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5.xml" ContentType="application/vnd.openxmlformats-officedocument.drawingml.chartshapes+xml"/>
  <Override PartName="/xl/charts/chart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ml.chartshapes+xml"/>
  <Override PartName="/xl/drawings/drawing7.xml" ContentType="application/vnd.openxmlformats-officedocument.drawing+xml"/>
  <Override PartName="/xl/comments1.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trlProps/ctrlProp13.xml" ContentType="application/vnd.ms-excel.controlproperties+xml"/>
  <Override PartName="/xl/comments2.xml" ContentType="application/vnd.openxmlformats-officedocument.spreadsheetml.comments+xml"/>
  <Override PartName="/xl/drawings/drawing11.xml" ContentType="application/vnd.openxmlformats-officedocument.drawing+xml"/>
  <Override PartName="/xl/comments3.xml" ContentType="application/vnd.openxmlformats-officedocument.spreadsheetml.comments+xml"/>
  <Override PartName="/xl/charts/chart5.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2.xml" ContentType="application/vnd.openxmlformats-officedocument.drawingml.chartshapes+xml"/>
  <Override PartName="/xl/drawings/drawing13.xml" ContentType="application/vnd.openxmlformats-officedocument.drawing+xml"/>
  <Override PartName="/xl/comments4.xml" ContentType="application/vnd.openxmlformats-officedocument.spreadsheetml.comments+xml"/>
  <Override PartName="/xl/charts/chart6.xml" ContentType="application/vnd.openxmlformats-officedocument.drawingml.chart+xml"/>
  <Override PartName="/xl/drawings/drawing14.xml" ContentType="application/vnd.openxmlformats-officedocument.drawingml.chartshapes+xml"/>
  <Override PartName="/xl/charts/chart7.xml" ContentType="application/vnd.openxmlformats-officedocument.drawingml.chart+xml"/>
  <Override PartName="/xl/charts/style3.xml" ContentType="application/vnd.ms-office.chartstyle+xml"/>
  <Override PartName="/xl/charts/colors3.xml" ContentType="application/vnd.ms-office.chartcolorstyle+xml"/>
  <Override PartName="/xl/charts/chart8.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5.xml" ContentType="application/vnd.openxmlformats-officedocument.drawingml.chartshapes+xml"/>
  <Override PartName="/xl/comments5.xml" ContentType="application/vnd.openxmlformats-officedocument.spreadsheetml.comments+xml"/>
  <Override PartName="/xl/drawings/drawing16.xml" ContentType="application/vnd.openxmlformats-officedocument.drawing+xml"/>
  <Override PartName="/xl/ctrlProps/ctrlProp14.xml" ContentType="application/vnd.ms-excel.controlproperties+xml"/>
  <Override PartName="/xl/ctrlProps/ctrlProp15.xml" ContentType="application/vnd.ms-excel.controlproperties+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028" codeName="{AE6600E7-7A62-396C-DE95-9942FA9DD81E}"/>
  <workbookPr codeName="ThisWorkbook" defaultThemeVersion="124226"/>
  <mc:AlternateContent xmlns:mc="http://schemas.openxmlformats.org/markup-compatibility/2006">
    <mc:Choice Requires="x15">
      <x15ac:absPath xmlns:x15ac="http://schemas.microsoft.com/office/spreadsheetml/2010/11/ac" url="\\nrel.gov\shared\5400\ADV_VEH_INFRA\Infrastructure_Systems\1.0 H2_Analysis_DOE\2.2 H2A_FCPower\H2A Version 3\Distributed production cases\"/>
    </mc:Choice>
  </mc:AlternateContent>
  <xr:revisionPtr revIDLastSave="0" documentId="13_ncr:1_{44C2101F-1E9A-4CDA-BEE7-70192C72FBD8}" xr6:coauthVersionLast="47" xr6:coauthVersionMax="47" xr10:uidLastSave="{00000000-0000-0000-0000-000000000000}"/>
  <bookViews>
    <workbookView xWindow="23028" yWindow="-12" windowWidth="23064" windowHeight="25344" tabRatio="848" firstSheet="3" activeTab="3" xr2:uid="{863CA6C2-806B-4D88-974A-8661E9CFE08E}"/>
  </bookViews>
  <sheets>
    <sheet name="Title" sheetId="111" r:id="rId1"/>
    <sheet name="Description" sheetId="112" r:id="rId2"/>
    <sheet name="ProcessFlow" sheetId="113" r:id="rId3"/>
    <sheet name="Input_Sheet_Template" sheetId="6" r:id="rId4"/>
    <sheet name="Replacement Costs" sheetId="17" r:id="rId5"/>
    <sheet name="Capital Costs" sheetId="35" r:id="rId6"/>
    <sheet name="Plant Scaling" sheetId="24" r:id="rId7"/>
    <sheet name="Carbon Sequestration" sheetId="33" r:id="rId8"/>
    <sheet name="Results" sheetId="34" r:id="rId9"/>
    <sheet name="Tornado Charts &amp; Risk Analysis" sheetId="119" r:id="rId10"/>
    <sheet name="Cash Flow Analysis" sheetId="15" r:id="rId11"/>
    <sheet name="Energy Feed &amp; Utility Prices" sheetId="12" r:id="rId12"/>
    <sheet name="Non-Energy Material Prices" sheetId="19" r:id="rId13"/>
    <sheet name="AEO Data" sheetId="11" r:id="rId14"/>
    <sheet name="HyARC Physical Property Data" sheetId="18" r:id="rId15"/>
    <sheet name="Debt Financing Calculations" sheetId="13" r:id="rId16"/>
    <sheet name="Depreciation" sheetId="14" r:id="rId17"/>
    <sheet name="Constants and Conversions" sheetId="5" r:id="rId18"/>
    <sheet name="Lists" sheetId="8" r:id="rId19"/>
  </sheets>
  <functionGroups builtInGroupCount="19"/>
  <definedNames>
    <definedName name="__123Graph_A" localSheetId="10" hidden="1">'Cash Flow Analysis'!$AB$65:$AB$112</definedName>
    <definedName name="__123Graph_ACUMCASH" localSheetId="10" hidden="1">'Cash Flow Analysis'!$AB$65:$AB$112</definedName>
    <definedName name="__123Graph_C" localSheetId="10" hidden="1">'Cash Flow Analysis'!#REF!</definedName>
    <definedName name="__123Graph_CCUMCASH" localSheetId="10" hidden="1">'Cash Flow Analysis'!#REF!</definedName>
    <definedName name="__123Graph_LBL_A" localSheetId="10" hidden="1">'Cash Flow Analysis'!#REF!</definedName>
    <definedName name="__123Graph_LBL_ACUMCASH" localSheetId="10" hidden="1">'Cash Flow Analysis'!#REF!</definedName>
    <definedName name="__123Graph_X" localSheetId="10" hidden="1">'Cash Flow Analysis'!$B$65:$B$112</definedName>
    <definedName name="__123Graph_XCUMCASH" localSheetId="10" hidden="1">'Cash Flow Analysis'!$B$65:$B$112</definedName>
    <definedName name="_ATPRegress_Dlg_Results" localSheetId="10" hidden="1">{2;#N/A;"R39C16:R60C16";#N/A;"R39C2:R60C2";FALSE;FALSE;FALSE;95;#N/A;#N/A;"R75C9";#N/A;FALSE;FALSE;FALSE;FALSE;#N/A;"";#N/A;FALSE;"";"";#N/A;#N/A;#N/A}</definedName>
    <definedName name="_ATPRegress_Dlg_Types" localSheetId="10" hidden="1">{"EXCELHLP.HLP!1802";5;10;5;10;13;13;13;8;5;5;10;14;13;13;13;13;5;10;14;13;5;10;1;2;24}</definedName>
    <definedName name="_ATPRegress_Range1" localSheetId="10" hidden="1">'Cash Flow Analysis'!$AB$65:$AB$112</definedName>
    <definedName name="_ATPRegress_Range2" localSheetId="10" hidden="1">'Cash Flow Analysis'!$B$65:$B$112</definedName>
    <definedName name="_ATPRegress_Range3" localSheetId="10" hidden="1">'Cash Flow Analysis'!#REF!</definedName>
    <definedName name="_ATPRegress_Range4" localSheetId="10" hidden="1">"="</definedName>
    <definedName name="_ATPRegress_Range5" localSheetId="10" hidden="1">"="</definedName>
    <definedName name="_xlnm._FilterDatabase" localSheetId="3" hidden="1">Input_Sheet_Template!$A$1:$E$51</definedName>
    <definedName name="_xlnm._FilterDatabase" localSheetId="6" hidden="1">'Plant Scaling'!#REF!</definedName>
    <definedName name="_Regression_Out" localSheetId="10" hidden="1">'Cash Flow Analysis'!#REF!</definedName>
    <definedName name="_Regression_X" localSheetId="10" hidden="1">'Cash Flow Analysis'!#REF!</definedName>
    <definedName name="_Regression_Y" localSheetId="10" hidden="1">'Cash Flow Analysis'!$AB$70:$AB$112</definedName>
    <definedName name="_xlpm.c" hidden="1" xlm="1">#NAME?</definedName>
    <definedName name="_xlpm.r" hidden="1" xlm="1">#NAME?</definedName>
    <definedName name="acre_cost">Input_Sheet_Template!$E$102</definedName>
    <definedName name="acres">Input_Sheet_Template!$E$103</definedName>
    <definedName name="Add_As_list">Lists!$A$8:$A$12</definedName>
    <definedName name="AEO_2009_Reference_Case">'Energy Feed &amp; Utility Prices'!$A$5:$CZ$18</definedName>
    <definedName name="AEO_2009_Reference_Case_Feeds">'Energy Feed &amp; Utility Prices'!$A$5:$A$18</definedName>
    <definedName name="AEO_2009_Reference_Case_Years">'Energy Feed &amp; Utility Prices'!$A$5:$CZ$5</definedName>
    <definedName name="AEO_2013_High_Price_Case">'Energy Feed &amp; Utility Prices'!$A$57:$CZ$68</definedName>
    <definedName name="AEO_2013_High_Price_Case_Feeds">'Energy Feed &amp; Utility Prices'!$A$57:$A$68</definedName>
    <definedName name="AEO_2013_High_Price_Case_Years">'Energy Feed &amp; Utility Prices'!$A$57:$CZ$57</definedName>
    <definedName name="AEO_2013_Reference_Case">'Energy Feed &amp; Utility Prices'!$A$23:$CZ$35</definedName>
    <definedName name="AEO_2013_Reference_Case_Feeds">'Energy Feed &amp; Utility Prices'!$A$23:$A$35</definedName>
    <definedName name="AEO_2013_Reference_Case_Years">'Energy Feed &amp; Utility Prices'!$A$23:$CZ$23</definedName>
    <definedName name="AEO_2014_Reference_Case" comment="energy feeds">'Energy Feed &amp; Utility Prices'!$A$87:$CZ$100</definedName>
    <definedName name="AEO_2014_Reference_Case_Feeds">'Energy Feed &amp; Utility Prices'!$A$87:$A$100</definedName>
    <definedName name="AEO_2014_Reference_Case_Years">'Energy Feed &amp; Utility Prices'!$A$87:$CZ$87</definedName>
    <definedName name="AEO_2017_Reference_Case">'Energy Feed &amp; Utility Prices'!$A$131:$CZ$142</definedName>
    <definedName name="AEO_2017_Reference_Case_Feeds">'Energy Feed &amp; Utility Prices'!$A$131:$A$142</definedName>
    <definedName name="AEO_2017_Reference_Case_Years">'Energy Feed &amp; Utility Prices'!$A$131:$CZ$131</definedName>
    <definedName name="after_tax_nominal_IRR">'Cash Flow Analysis'!$E$20</definedName>
    <definedName name="after_tax_real_IRR">'Cash Flow Analysis'!$E$18</definedName>
    <definedName name="anal_period">Input_Sheet_Template!$C$40</definedName>
    <definedName name="Baseline_Design_Capacity">'Capital Costs'!$C$7</definedName>
    <definedName name="BasisYear">Input_Sheet_Template!$C$32</definedName>
    <definedName name="btu_to_kWh">'Constants and Conversions'!$C$17</definedName>
    <definedName name="Cancelled">Lists!$A$1</definedName>
    <definedName name="cap_factor">Input_Sheet_Template!$C$25</definedName>
    <definedName name="Case_eByprod_List">'Cash Flow Analysis'!$K$131:$N$131</definedName>
    <definedName name="Case_eFeed_List">'Cash Flow Analysis'!$B$131:$E$131</definedName>
    <definedName name="Case_eUtility_List">'Cash Flow Analysis'!$F$131:$I$131</definedName>
    <definedName name="Case_material_byprod_list">'Cash Flow Analysis'!$T$131:$V$131</definedName>
    <definedName name="Case_Material_Input_List">'Cash Flow Analysis'!$P$131:$R$131</definedName>
    <definedName name="CC_feedconversion">'Constants and Conversions'!$A$29:$B$31</definedName>
    <definedName name="CCS_tax_insurance">'Carbon Sequestration'!$J$41</definedName>
    <definedName name="CCSEqpCap">'Carbon Sequestration'!$D$48</definedName>
    <definedName name="CEPC_Factor_08to05">'Carbon Sequestration'!#REF!</definedName>
    <definedName name="CEPCIinflator">'Capital Costs'!$C$11</definedName>
    <definedName name="Chemical_price_indexes">'HyARC Physical Property Data'!$K$95:$L$124</definedName>
    <definedName name="cmboSelectFeed">"Drop Down 23"</definedName>
    <definedName name="CO2_aprx_indCap">'Carbon Sequestration'!#REF!</definedName>
    <definedName name="CO2_cap_charge_rate">'Carbon Sequestration'!$C$33</definedName>
    <definedName name="CO2_cap_rec">'Carbon Sequestration'!$C$288</definedName>
    <definedName name="CO2_capptonneCO2">'Carbon Sequestration'!$K$45</definedName>
    <definedName name="CO2_Capture_Efficiency">'Carbon Sequestration'!$C$30</definedName>
    <definedName name="CO2_CashFlow_eUse">'Cash Flow Analysis'!$J$133</definedName>
    <definedName name="CO2_ControlSystem">'Carbon Sequestration'!$C$278</definedName>
    <definedName name="CO2_credit">'Carbon Sequestration'!$C$32</definedName>
    <definedName name="CO2_depr_factor">'Carbon Sequestration'!$C$289</definedName>
    <definedName name="CO2_eCost">'Carbon Sequestration'!$C$25</definedName>
    <definedName name="CO2_eCostpY">'Carbon Sequestration'!$J$32</definedName>
    <definedName name="CO2_energyptonneCO2">'Carbon Sequestration'!$K$43</definedName>
    <definedName name="CO2_eUse_kWhpkg">'Carbon Sequestration'!$C$26</definedName>
    <definedName name="CO2_flowrate">'Carbon Sequestration'!$C$23</definedName>
    <definedName name="CO2_flowrate_GTpY">'Carbon Sequestration'!$C$24</definedName>
    <definedName name="CO2_inUse">'Carbon Sequestration'!$B$2</definedName>
    <definedName name="CO2_Location">Lists!$T$4:$T$5</definedName>
    <definedName name="CO2_Location_factor">'Carbon Sequestration'!#REF!</definedName>
    <definedName name="CO2_MaintFactor">'Carbon Sequestration'!$C$286</definedName>
    <definedName name="CO2_Nwells">'Carbon Sequestration'!#REF!</definedName>
    <definedName name="CO2_OandMcost">Input_Sheet_Template!$E$156</definedName>
    <definedName name="CO2_OandMptonneCO2">'Carbon Sequestration'!$K$44</definedName>
    <definedName name="CO2_Pin_psia">'Carbon Sequestration'!$C$34</definedName>
    <definedName name="CO2_PipeDia">'Carbon Sequestration'!$C$281</definedName>
    <definedName name="CO2_PipeElevation">'Carbon Sequestration'!$C$280</definedName>
    <definedName name="CO2_PipeFactor">'Carbon Sequestration'!$C$287</definedName>
    <definedName name="CO2_PipeLength">'Carbon Sequestration'!$C$31</definedName>
    <definedName name="CO2_Pipeline_Temp">'Carbon Sequestration'!$C$283</definedName>
    <definedName name="CO2_Pipeline_Temp_factor">'Carbon Sequestration'!$C$283</definedName>
    <definedName name="CO2_Pump_Eff">'Carbon Sequestration'!$C$277</definedName>
    <definedName name="CO2_seq">Input_Sheet_Template!$C$89</definedName>
    <definedName name="CO2_SiteCap">'Carbon Sequestration'!#REF!</definedName>
    <definedName name="CO2_SurgeTank">'Carbon Sequestration'!$C$279</definedName>
    <definedName name="CO2_Terrain">Lists!$V$4:$V$10</definedName>
    <definedName name="CO2_Terrain_2">Lists!$V$4:$W$10</definedName>
    <definedName name="CO2_Terrain_factor">'Carbon Sequestration'!$C$283</definedName>
    <definedName name="CO2_TerrainType">'Carbon Sequestration'!#REF!</definedName>
    <definedName name="CO2_Value_Defaults">Lists!$Y$4:$Z$14</definedName>
    <definedName name="CO2_WellDepth">'Carbon Sequestration'!#REF!</definedName>
    <definedName name="co2ecost">'Carbon Sequestration'!#REF!</definedName>
    <definedName name="ColorList">Lists!$C$15:$C$19</definedName>
    <definedName name="construct">Input_Sheet_Template!$C$33</definedName>
    <definedName name="CPIinflator">'Capital Costs'!$C$12</definedName>
    <definedName name="CurrentYear">'Capital Costs'!$C$10</definedName>
    <definedName name="debt_interest">Input_Sheet_Template!$C$44</definedName>
    <definedName name="debt_period">Input_Sheet_Template!$C$45</definedName>
    <definedName name="decom">'Cash Flow Analysis'!$B$54</definedName>
    <definedName name="decom_percent">Input_Sheet_Template!$C$49</definedName>
    <definedName name="DeflatorTable">'HyARC Physical Property Data'!$A$95:$B$124</definedName>
    <definedName name="Delete_As_List">Lists!$A$15:$A$20</definedName>
    <definedName name="depr_cap">Input_Sheet_Template!$E$99</definedName>
    <definedName name="depr_cap_infl">'Cash Flow Analysis'!$B$51</definedName>
    <definedName name="depr_cost">Depreciation!$B$97:$B$140</definedName>
    <definedName name="depr_length">Input_Sheet_Template!$C$41</definedName>
    <definedName name="depr_type">Input_Sheet_Template!$C$42</definedName>
    <definedName name="depr_yr">Depreciation!$A$97:$A$140</definedName>
    <definedName name="design_cap">Input_Sheet_Template!$C$26</definedName>
    <definedName name="Det_CO2_OandMcost">'Carbon Sequestration'!$J$39</definedName>
    <definedName name="Det_CO2_seq">'Carbon Sequestration'!$J$28</definedName>
    <definedName name="Det_direct_cap">'Capital Costs'!$F$38</definedName>
    <definedName name="Det_scaled_cap">'Plant Scaling'!$G$35</definedName>
    <definedName name="direct_cap">Input_Sheet_Template!$C$88</definedName>
    <definedName name="DR_Carbon_Sequestration_1">'Carbon Sequestration'!$C$30:$C$289</definedName>
    <definedName name="DR_Carbon_Sequestration_2">'Carbon Sequestration'!$C$31</definedName>
    <definedName name="DR_CostDetail_1">'Capital Costs'!$B$16:$C$37,'Capital Costs'!$E$16:$E$37</definedName>
    <definedName name="DR_CostDetail_2">'Capital Costs'!$G$16:$H$37</definedName>
    <definedName name="DR_PlantScaling_1">'Plant Scaling'!$C$6:$C$8</definedName>
    <definedName name="DR_PlantScaling_2">'Plant Scaling'!$D$13:$D$34</definedName>
    <definedName name="DR_ReplacementCosts_01">'Replacement Costs'!$F$18:$F$57</definedName>
    <definedName name="DR_ReplacementCosts_1">'Replacement Costs'!$F$18:$F$57</definedName>
    <definedName name="Dynamic_Byproduct_Total">Input_Sheet_Template!$F$79:$F$80</definedName>
    <definedName name="Dynamic_Feed_Total">Input_Sheet_Template!$F$73:$F$78</definedName>
    <definedName name="Dynamic_NonE_Byprod_Total">Input_Sheet_Template!$E$139:$E$140</definedName>
    <definedName name="Dynamic_NonE_Feed_Total">Input_Sheet_Template!$E$136:$E$139</definedName>
    <definedName name="Dynamic_Utilities_Total">Input_Sheet_Template!$F$78:$F$79</definedName>
    <definedName name="Energy_Feed_List">Lists!$K$12</definedName>
    <definedName name="Energy_Feed_Years">Lists!$K$14</definedName>
    <definedName name="Engin">Input_Sheet_Template!$E$93</definedName>
    <definedName name="equity">Input_Sheet_Template!$C$43</definedName>
    <definedName name="Export_Variable_List">Lists!$R$4:$R$80</definedName>
    <definedName name="fed_tax_rate">Input_Sheet_Template!$C$54</definedName>
    <definedName name="Feed_CO2_kgpkgH2">Results!$D$85</definedName>
    <definedName name="Feed_CO2_MTpY">Results!$D$86</definedName>
    <definedName name="Feed_Type_List">Lists!$C$8:$C$12</definedName>
    <definedName name="FEEDPRICETABLE">INDIRECT(Price_Table_in_Use)</definedName>
    <definedName name="FeedPropertyTable">'HyARC Physical Property Data'!$A$71:$L$89</definedName>
    <definedName name="Feedstock">Lists!$A$8:$A$12</definedName>
    <definedName name="Feedstock_Year">INDIRECT(Energy_Feed_Years)</definedName>
    <definedName name="feedstockBio_Methane_Price">Input_Sheet_Template!#REF!</definedName>
    <definedName name="feedstockCommercial_Electricity_Price">Input_Sheet_Template!$D$77</definedName>
    <definedName name="feedstockCommercial_Electricity_Usage">Input_Sheet_Template!$E$77</definedName>
    <definedName name="feedstockCommercial_Natural_Gas_Price">Input_Sheet_Template!#REF!</definedName>
    <definedName name="feedstockElectric_Utility_Natural_Gas_Price">Input_Sheet_Template!#REF!</definedName>
    <definedName name="feedstockElectric_Utility_Steam_Coal_Price">Input_Sheet_Template!#REF!</definedName>
    <definedName name="feedstockEthanol_Price">Input_Sheet_Template!#REF!</definedName>
    <definedName name="feedstockIndustrial_Electricity_Price">Input_Sheet_Template!#REF!</definedName>
    <definedName name="feedstockIndustrial_Natural_Gas_Price">Input_Sheet_Template!$D$75</definedName>
    <definedName name="feedstockIndustrial_Natural_Gas_Usage">Input_Sheet_Template!$E$75</definedName>
    <definedName name="feedstockResidential_Electricity_Price">Input_Sheet_Template!#REF!</definedName>
    <definedName name="feedstockResidential_Natural_Gas_Price">Input_Sheet_Template!#REF!</definedName>
    <definedName name="feedstockWoody_Biomass_Price">Input_Sheet_Template!#REF!</definedName>
    <definedName name="Fees">Input_Sheet_Template!$E$97</definedName>
    <definedName name="fixed">Input_Sheet_Template!$E$124</definedName>
    <definedName name="FTE_cost">Input_Sheet_Template!$E$112</definedName>
    <definedName name="FTEs">Input_Sheet_Template!$E$111</definedName>
    <definedName name="gal_to_liters">'Constants and Conversions'!$C$4</definedName>
    <definedName name="GGE_to_kWh">'Constants and Conversions'!$C$13</definedName>
    <definedName name="GHG_CH4_factor">'Constants and Conversions'!$B$23</definedName>
    <definedName name="GHG_CO2_factor">'Constants and Conversions'!$B$22</definedName>
    <definedName name="GHG_N2O_factor">'Constants and Conversions'!$B$24</definedName>
    <definedName name="H2_LHV_MJ_p_kg">'HyARC Physical Property Data'!$E$7</definedName>
    <definedName name="H2_price_nominal">'Cash Flow Analysis'!$E$17</definedName>
    <definedName name="H2_price_real">'Cash Flow Analysis'!$E$16</definedName>
    <definedName name="Import_Variable_List">Lists!$M$4:$M$61</definedName>
    <definedName name="inflated_fixed">'Cash Flow Analysis'!$B$56</definedName>
    <definedName name="inflated_otherraw">'Cash Flow Analysis'!$B$57</definedName>
    <definedName name="inflated_othervar">'Cash Flow Analysis'!$B$58</definedName>
    <definedName name="INFLATION_FACTOR">'Cash Flow Analysis'!$B$128</definedName>
    <definedName name="inflation_rate">Input_Sheet_Template!$C$51</definedName>
    <definedName name="Input_Value_Defaults">Lists!$O$4:$P$20</definedName>
    <definedName name="key_MPTable">'HyARC Physical Property Data'!$A$70:$N$70</definedName>
    <definedName name="kgH2_to_GGE">'Constants and Conversions'!$C$14</definedName>
    <definedName name="kgH2_to_GJ">'Constants and Conversions'!$C$16</definedName>
    <definedName name="kgH2_to_kWh">'Constants and Conversions'!$C$15</definedName>
    <definedName name="labor_cost">Input_Sheet_Template!$E$113</definedName>
    <definedName name="land_cost">Input_Sheet_Template!$E$104</definedName>
    <definedName name="lb_to_kg">'Constants and Conversions'!$C$7</definedName>
    <definedName name="licensing">Input_Sheet_Template!$E$116</definedName>
    <definedName name="List_Energy_Feedstocks">INDIRECT(Energy_Feed_List)</definedName>
    <definedName name="low_capacity_limit">'Plant Scaling'!$C$7</definedName>
    <definedName name="MACRS_Table">Depreciation!$B$14:$H$37</definedName>
    <definedName name="MASTER_OTHER_PRICES">OFFSET('Non-Energy Material Prices'!$A$1,0,0,COUNTA('Non-Energy Material Prices'!$A:$A),104)</definedName>
    <definedName name="MASTER_PROPERTY_TABLE">OFFSET('HyARC Physical Property Data'!$A$70,1,0,COUNTA('HyARC Physical Property Data'!$A:$A),14)</definedName>
    <definedName name="material">Input_Sheet_Template!$E$120</definedName>
    <definedName name="miles_to_km">'Constants and Conversions'!$C$3</definedName>
    <definedName name="MJ_to_kWh">'Constants and Conversions'!$C$12</definedName>
    <definedName name="mmBTU_to_GJ">'Constants and Conversions'!$C$18</definedName>
    <definedName name="MPa_to_psi">'Constants and Conversions'!$C$9</definedName>
    <definedName name="MPG_to_kWhPkm">'Constants and Conversions'!$C$5</definedName>
    <definedName name="n_CO2_pumps">'Carbon Sequestration'!$C$66</definedName>
    <definedName name="n_pumps">'Carbon Sequestration'!$C$66</definedName>
    <definedName name="ncf_to_Nm3">'Constants and Conversions'!$C$8</definedName>
    <definedName name="NG_to_CO2Pipeline">'Carbon Sequestration'!#REF!</definedName>
    <definedName name="nominal_irr">'Cash Flow Analysis'!$B$27</definedName>
    <definedName name="non_dep_cap">Input_Sheet_Template!$E$106</definedName>
    <definedName name="non_dep_infl">'Cash Flow Analysis'!$B$52</definedName>
    <definedName name="NPV">'Cash Flow Analysis'!$E$26</definedName>
    <definedName name="operator_profit">Input_Sheet_Template!$E$154</definedName>
    <definedName name="other_fees">Input_Sheet_Template!$E$122</definedName>
    <definedName name="other_fixed">Input_Sheet_Template!$E$123</definedName>
    <definedName name="Other_indirect">Input_Sheet_Template!$E$96</definedName>
    <definedName name="Other_Inputs_List">OFFSET('Non-Energy Material Prices'!$A$1,0,0,COUNTA('Non-Energy Material Prices'!$A:$A),1)</definedName>
    <definedName name="Other_Inputs_years">'Non-Energy Material Prices'!$E$1:$CZ$1</definedName>
    <definedName name="Other_Materials_List">OFFSET('Non-Energy Material Prices'!$A$1,1,0,COUNTA('Non-Energy Material Prices'!$A:$A),1)</definedName>
    <definedName name="output_kgpday">Input_Sheet_Template!$C$27</definedName>
    <definedName name="output_kgyear">Input_Sheet_Template!$C$28</definedName>
    <definedName name="overhead_GA">Input_Sheet_Template!$E$115</definedName>
    <definedName name="overhead_rate">Input_Sheet_Template!$C$114</definedName>
    <definedName name="percent_cap1">Input_Sheet_Template!$C$34</definedName>
    <definedName name="percent_cap2">Input_Sheet_Template!$C$35</definedName>
    <definedName name="percent_cap3">Input_Sheet_Template!$C$36</definedName>
    <definedName name="percent_cap4">Input_Sheet_Template!$C$37</definedName>
    <definedName name="percnt_fixed">Input_Sheet_Template!$C$46</definedName>
    <definedName name="percnt_revs">Input_Sheet_Template!$C$47</definedName>
    <definedName name="percnt_var">Input_Sheet_Template!$C$48</definedName>
    <definedName name="Permitting">Input_Sheet_Template!$E$98</definedName>
    <definedName name="plant_life">Input_Sheet_Template!$C$39</definedName>
    <definedName name="pre_tax_nominal_IRR">'Cash Flow Analysis'!$E$21</definedName>
    <definedName name="pre_tax_real_IRR">'Cash Flow Analysis'!$E$19</definedName>
    <definedName name="Price_Table_in_Use">Lists!$J$12</definedName>
    <definedName name="Price_Table_List">Lists!$J$2</definedName>
    <definedName name="Price_Tables">Lists!$J$3:$J$7</definedName>
    <definedName name="_xlnm.Print_Area" localSheetId="13">'AEO Data'!$A$736:$I$762</definedName>
    <definedName name="_xlnm.Print_Area" localSheetId="5">'Capital Costs'!$B$14:$G$37</definedName>
    <definedName name="_xlnm.Print_Area" localSheetId="10">'Cash Flow Analysis'!$B$1:$G$14</definedName>
    <definedName name="_xlnm.Print_Area" localSheetId="14">'HyARC Physical Property Data'!$O$4:$U$18</definedName>
    <definedName name="_xlnm.Print_Area" localSheetId="3">Input_Sheet_Template!$B$126:$G$161</definedName>
    <definedName name="_xlnm.Print_Area" localSheetId="6">'Plant Scaling'!$B$2:$K$35</definedName>
    <definedName name="_xlnm.Print_Area" localSheetId="4">'Replacement Costs'!$A$13:$L$57</definedName>
    <definedName name="_xlnm.Print_Area" localSheetId="8">Results!$B$74:$G$121</definedName>
    <definedName name="_xlnm.Print_Titles" localSheetId="6">'Plant Scaling'!$B:$B</definedName>
    <definedName name="Proc_CO2_MTpY">Results!$D$84</definedName>
    <definedName name="Proc_CO2_tax">Input_Sheet_Template!$E$157</definedName>
    <definedName name="Proc_CO2_taxpYear">Input_Sheet_Template!$E$158</definedName>
    <definedName name="ProcEqpCap">'Plant Scaling'!$E$35</definedName>
    <definedName name="Process_cont">Input_Sheet_Template!$E$94</definedName>
    <definedName name="prod_maint">Input_Sheet_Template!$E$121</definedName>
    <definedName name="Project_cont">Input_Sheet_Template!$E$95</definedName>
    <definedName name="Pump_Eff">'Carbon Sequestration'!$C$277</definedName>
    <definedName name="pump_power">'Carbon Sequestration'!#REF!</definedName>
    <definedName name="R_CostDetail_6">'Plant Scaling'!$C$44:$C$48</definedName>
    <definedName name="real_irr">Input_Sheet_Template!$C$52</definedName>
    <definedName name="recovery_period">Depreciation!$B$14:$H$14</definedName>
    <definedName name="recovery_year">Depreciation!$B$14:$B$37</definedName>
    <definedName name="ref_year">Input_Sheet_Template!$C$30</definedName>
    <definedName name="rent">Input_Sheet_Template!$E$119</definedName>
    <definedName name="replace_factor">Input_Sheet_Template!$C$152</definedName>
    <definedName name="result_byprod_contr">Results!$C$24</definedName>
    <definedName name="result_cap_contr">Results!$C$19</definedName>
    <definedName name="result_decom_contr">Results!$C$20</definedName>
    <definedName name="result_feed_contr">Results!$C$22</definedName>
    <definedName name="result_Fixed_O_M_contr">Results!$C$21</definedName>
    <definedName name="result_Other_Mat_contr">Results!$C$23</definedName>
    <definedName name="result_other_var_contr">Results!$C$25</definedName>
    <definedName name="Result_price">Results!$C$26</definedName>
    <definedName name="royalties">Input_Sheet_Template!$E$153</definedName>
    <definedName name="RunRiskAnalysis">'Tornado Charts &amp; Risk Analysis'!$D$11</definedName>
    <definedName name="salvage">'Cash Flow Analysis'!$B$55</definedName>
    <definedName name="salvage_perct">Input_Sheet_Template!$C$50</definedName>
    <definedName name="Scale_Factor">'Plant Scaling'!$C$5</definedName>
    <definedName name="Scale_Ratio">'Plant Scaling'!$C$4</definedName>
    <definedName name="scaled_cap">Input_Sheet_Template!$C$88</definedName>
    <definedName name="Scaling_Factor_Exponent">'Plant Scaling'!$C$6</definedName>
    <definedName name="Scaling_Method_Defaults">Lists!$AB$4:$AC$28</definedName>
    <definedName name="Scaling_validation">Lists!$A$24:$A$37</definedName>
    <definedName name="scf_to_Nm3">'Constants and Conversions'!$C$6</definedName>
    <definedName name="SELECTED_FEED">Input_Sheet_Template!$B$61</definedName>
    <definedName name="sensitivity_01">'Tornado Charts &amp; Risk Analysis'!$C$48</definedName>
    <definedName name="sensitivity_02">'Tornado Charts &amp; Risk Analysis'!$D$48</definedName>
    <definedName name="sensitivity_03">'Tornado Charts &amp; Risk Analysis'!$E$48</definedName>
    <definedName name="sensitivity_04">'Tornado Charts &amp; Risk Analysis'!$F$48</definedName>
    <definedName name="sensitivity_05">'Tornado Charts &amp; Risk Analysis'!$G$48</definedName>
    <definedName name="sensitivity_06">'Tornado Charts &amp; Risk Analysis'!$H$48</definedName>
    <definedName name="sensitivity_07">'Tornado Charts &amp; Risk Analysis'!$I$48</definedName>
    <definedName name="Sensitivity_case">'Tornado Charts &amp; Risk Analysis'!$B$48</definedName>
    <definedName name="Sensitivity_output">'Tornado Charts &amp; Risk Analysis'!$K$50:$Y$50</definedName>
    <definedName name="Sensitivity_results">'Tornado Charts &amp; Risk Analysis'!$K$48:$Y$48</definedName>
    <definedName name="Sensitivity_Variables">OFFSET(Lists!$G$4,0,0,COUNTA(Lists!$G:$G),2)</definedName>
    <definedName name="SensitivityInputs">'Tornado Charts &amp; Risk Analysis'!$C$48:$I$48</definedName>
    <definedName name="Site_prep">Input_Sheet_Template!$E$92</definedName>
    <definedName name="solidwaste_treat">Input_Sheet_Template!$E$151</definedName>
    <definedName name="solver_adj" localSheetId="10" hidden="1">'Cash Flow Analysis'!#REF!</definedName>
    <definedName name="solver_cvg" localSheetId="10" hidden="1">0.001</definedName>
    <definedName name="solver_drv" localSheetId="10" hidden="1">0</definedName>
    <definedName name="solver_eng" localSheetId="2" hidden="1">2</definedName>
    <definedName name="solver_est" localSheetId="10" hidden="1">1</definedName>
    <definedName name="solver_itr" localSheetId="10" hidden="1">1000</definedName>
    <definedName name="solver_lin" localSheetId="10" hidden="1">2</definedName>
    <definedName name="solver_neg" localSheetId="10" hidden="1">2</definedName>
    <definedName name="solver_neg" localSheetId="2" hidden="1">1</definedName>
    <definedName name="solver_num" localSheetId="10" hidden="1">0</definedName>
    <definedName name="solver_num" localSheetId="2" hidden="1">0</definedName>
    <definedName name="solver_nwt" localSheetId="10" hidden="1">1</definedName>
    <definedName name="solver_opt" localSheetId="10" hidden="1">'Cash Flow Analysis'!#REF!</definedName>
    <definedName name="solver_opt" localSheetId="2" hidden="1">ProcessFlow!#REF!</definedName>
    <definedName name="solver_pre" localSheetId="10" hidden="1">0.000001</definedName>
    <definedName name="solver_scl" localSheetId="10" hidden="1">2</definedName>
    <definedName name="solver_sho" localSheetId="10" hidden="1">2</definedName>
    <definedName name="solver_tim" localSheetId="10" hidden="1">1000</definedName>
    <definedName name="solver_tmp" localSheetId="10" hidden="1">'Cash Flow Analysis'!$Q$65:$R$65,'Cash Flow Analysis'!$F$65:$F$65,'Cash Flow Analysis'!$U$65:$U$65,'Cash Flow Analysis'!$X$65:$X$65,'Cash Flow Analysis'!#REF!,'Cash Flow Analysis'!$U$105:$U$112,'Cash Flow Analysis'!#REF!,'Cash Flow Analysis'!#REF!,'Cash Flow Analysis'!#REF!,'Cash Flow Analysis'!#REF!,'Cash Flow Analysis'!#REF!</definedName>
    <definedName name="solver_tol" localSheetId="10" hidden="1">0.05</definedName>
    <definedName name="solver_typ" localSheetId="10" hidden="1">3</definedName>
    <definedName name="solver_typ" localSheetId="2" hidden="1">1</definedName>
    <definedName name="solver_val" localSheetId="10" hidden="1">0.15</definedName>
    <definedName name="solver_val" localSheetId="2" hidden="1">0</definedName>
    <definedName name="solver_ver" localSheetId="2" hidden="1">3</definedName>
    <definedName name="START_BYPROD">Input_Sheet_Template!$A$80</definedName>
    <definedName name="START_FEED">Input_Sheet_Template!$A$78</definedName>
    <definedName name="START_NONE_BYPROD">Input_Sheet_Template!$A$140</definedName>
    <definedName name="START_NONE_FEED">Input_Sheet_Template!$A$139</definedName>
    <definedName name="START_NONE_TOP">Input_Sheet_Template!$A$136</definedName>
    <definedName name="start_time">Input_Sheet_Template!$C$38</definedName>
    <definedName name="START_TOP">Input_Sheet_Template!$A$73</definedName>
    <definedName name="START_UTILITY">Input_Sheet_Template!$A$79</definedName>
    <definedName name="startup_year">Input_Sheet_Template!$C$31</definedName>
    <definedName name="StartYr_comm_Electricity">'Cash Flow Analysis'!$E$281</definedName>
    <definedName name="StartYr_indust_Electricity">'Cash Flow Analysis'!$E$282</definedName>
    <definedName name="state_tax_rate">Input_Sheet_Template!$C$53</definedName>
    <definedName name="tax_credit">Input_Sheet_Template!$E$155</definedName>
    <definedName name="tax_ins_rate">Input_Sheet_Template!$C$117</definedName>
    <definedName name="tax_insurance">Input_Sheet_Template!$E$118</definedName>
    <definedName name="Tbl_2005Emissions">'HyARC Physical Property Data'!$A$136:$I$155</definedName>
    <definedName name="Tbl_2020Emissions">'HyARC Physical Property Data'!#REF!</definedName>
    <definedName name="Tbl_eByprod_Transfer_Info">'Cash Flow Analysis'!$K$131:$N$135</definedName>
    <definedName name="Tbl_Emissions">'HyARC Physical Property Data'!$A$136:$I$155</definedName>
    <definedName name="Tbl_eUtility_Transfer_Info">'Cash Flow Analysis'!$F$131:$I$135</definedName>
    <definedName name="Tbl_Feedstock_Transfer_Info">'Cash Flow Analysis'!$B$131:$E$135</definedName>
    <definedName name="Tbl_labor_indexes">'HyARC Physical Property Data'!$G$95:$H$124</definedName>
    <definedName name="Tbl_material_byprod_transfer_info">'Cash Flow Analysis'!$T$131:$V$134</definedName>
    <definedName name="Tbl_Material_Input_transfer_info">'Cash Flow Analysis'!$P$131:$R$134</definedName>
    <definedName name="Tbl_Other_Inputs_and_Byproducts">MASTER_OTHER_PRICES</definedName>
    <definedName name="Tbl_PlantCostIndexes">'HyARC Physical Property Data'!$D$95:$E$124</definedName>
    <definedName name="Tbl_Result_CCSCost">Results!$F$17:$H$22</definedName>
    <definedName name="TCI_infl">'Cash Flow Analysis'!$B$51</definedName>
    <definedName name="Temp_Var_Location">Lists!$E$4</definedName>
    <definedName name="title">Input_Sheet_Template!$B$3</definedName>
    <definedName name="TMP_Conversion">Input_Sheet_Template!$C$66</definedName>
    <definedName name="TMP_conversion_effic">Input_Sheet_Template!$F$68</definedName>
    <definedName name="TMP_Escalation">Input_Sheet_Template!$C$70</definedName>
    <definedName name="TMP_FeedName">Input_Sheet_Template!$B$63</definedName>
    <definedName name="TMP_FeedType">Input_Sheet_Template!$B$65</definedName>
    <definedName name="TMP_nonE_Escalation">Input_Sheet_Template!$C$135</definedName>
    <definedName name="TMP_NonE_Feed">Input_Sheet_Template!$C$131</definedName>
    <definedName name="TMP_NonE_StartPrice">Input_Sheet_Template!$C$132</definedName>
    <definedName name="TMP_NonE_StartYrCost">Input_Sheet_Template!$C$134</definedName>
    <definedName name="TMP_NonE_Type">Input_Sheet_Template!$B$131</definedName>
    <definedName name="TMP_NonE_Usage">Input_Sheet_Template!$C$133</definedName>
    <definedName name="TMP_NonE_Usage_txt">Input_Sheet_Template!$B$132</definedName>
    <definedName name="TMP_PriceTable">Input_Sheet_Template!$B$59</definedName>
    <definedName name="TMP_StartPrice">Input_Sheet_Template!$C$67</definedName>
    <definedName name="TMP_StartYrCost">Input_Sheet_Template!$C$69</definedName>
    <definedName name="TMP_Units">Input_Sheet_Template!$D$61</definedName>
    <definedName name="TMP_Usage">Input_Sheet_Template!$C$68</definedName>
    <definedName name="total_byproducts">Input_Sheet_Template!$C$146</definedName>
    <definedName name="total_cap">Input_Sheet_Template!$C$108</definedName>
    <definedName name="Total_Energy_Byproduct_Cost">Input_Sheet_Template!$D$84</definedName>
    <definedName name="Total_Energy_Byproduct_Credit">Input_Sheet_Template!$F$84</definedName>
    <definedName name="Total_Energy_Feed_Cost">Input_Sheet_Template!$F$82</definedName>
    <definedName name="Total_Energy_Utilities_Cost">Input_Sheet_Template!$F$83</definedName>
    <definedName name="total_feedstock">Input_Sheet_Template!$C$144</definedName>
    <definedName name="total_non_energy_byproduct_credit">Input_Sheet_Template!$C$142</definedName>
    <definedName name="Total_Non_Energy_Feed_Cost">Input_Sheet_Template!$C$141</definedName>
    <definedName name="total_other_raw">Input_Sheet_Template!$E$149</definedName>
    <definedName name="total_tax_rate">Input_Sheet_Template!$C$55</definedName>
    <definedName name="total_utilities">Input_Sheet_Template!$C$145</definedName>
    <definedName name="total_var">Input_Sheet_Template!$E$161</definedName>
    <definedName name="upper_capacity_limit">'Plant Scaling'!$C$8</definedName>
    <definedName name="Upstream_CO2_tax">Input_Sheet_Template!$E$159</definedName>
    <definedName name="Upstream_CO2_taxpYear">Input_Sheet_Template!$E$160</definedName>
    <definedName name="Upstream_GHG_total">Results!$G$77</definedName>
    <definedName name="Use_Default">Lists!$A$4:$A$5</definedName>
    <definedName name="utilityCommercial_Electricity_Price">Input_Sheet_Template!#REF!</definedName>
    <definedName name="utilityCommercial_Natural_Gas_Price">Input_Sheet_Template!#REF!</definedName>
    <definedName name="utilityIndustrial_Electricity_Price">Input_Sheet_Template!#REF!</definedName>
    <definedName name="VAR_FEED_VALUES">Input_Sheet_Template!$B$65:$D$70</definedName>
    <definedName name="var_misc">Input_Sheet_Template!$E$148</definedName>
    <definedName name="VAR_NonE_FEED_VALUES">Input_Sheet_Template!$B$131:$D$135</definedName>
    <definedName name="waste_treat">Input_Sheet_Template!$E$150</definedName>
    <definedName name="WorkingCap">Input_Sheet_Template!$C$56</definedName>
    <definedName name="Yes_No">Lists!$C$4:$C$5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135" i="15" l="1"/>
  <c r="C134" i="15"/>
  <c r="C133" i="15"/>
  <c r="C132" i="15"/>
  <c r="C131" i="15"/>
  <c r="B135" i="15"/>
  <c r="B134" i="15"/>
  <c r="B133" i="15"/>
  <c r="B132" i="15"/>
  <c r="B131" i="15"/>
  <c r="P134" i="15" l="1"/>
  <c r="P133" i="15"/>
  <c r="P132" i="15"/>
  <c r="P131" i="15"/>
  <c r="C93" i="6"/>
  <c r="D88" i="18"/>
  <c r="F24" i="24"/>
  <c r="F25" i="24"/>
  <c r="F26" i="24"/>
  <c r="F27" i="24"/>
  <c r="F28" i="24"/>
  <c r="F29" i="24"/>
  <c r="F30" i="24"/>
  <c r="F31" i="24"/>
  <c r="F32" i="24"/>
  <c r="F33" i="24"/>
  <c r="B24" i="24"/>
  <c r="B25" i="24"/>
  <c r="B26" i="24"/>
  <c r="B27" i="24"/>
  <c r="B28" i="24"/>
  <c r="B29" i="24"/>
  <c r="B30" i="24"/>
  <c r="B31" i="24"/>
  <c r="B32" i="24"/>
  <c r="B33" i="24"/>
  <c r="C38" i="35"/>
  <c r="C273" i="33" l="1"/>
  <c r="C272" i="33"/>
  <c r="D35" i="33" l="1"/>
  <c r="K28" i="33"/>
  <c r="C52" i="33"/>
  <c r="C35" i="33"/>
  <c r="C54" i="33" l="1"/>
  <c r="AA234" i="33" s="1"/>
  <c r="AA187" i="33" l="1"/>
  <c r="AA83" i="33"/>
  <c r="AA219" i="33"/>
  <c r="AA82" i="33"/>
  <c r="AA220" i="33"/>
  <c r="AA103" i="33"/>
  <c r="AA104" i="33"/>
  <c r="AA119" i="33"/>
  <c r="AA136" i="33"/>
  <c r="AA235" i="33"/>
  <c r="AA236" i="33"/>
  <c r="AA121" i="33"/>
  <c r="AA137" i="33"/>
  <c r="AA153" i="33"/>
  <c r="AA204" i="33"/>
  <c r="AA154" i="33"/>
  <c r="AA170" i="33"/>
  <c r="AA171" i="33"/>
  <c r="AA186" i="33"/>
  <c r="AA203" i="33"/>
  <c r="AA81" i="33"/>
  <c r="AA105" i="33"/>
  <c r="AA122" i="33"/>
  <c r="AA138" i="33"/>
  <c r="AA155" i="33"/>
  <c r="AA172" i="33"/>
  <c r="AA188" i="33"/>
  <c r="AA205" i="33"/>
  <c r="AA221" i="33"/>
  <c r="AA237" i="33"/>
  <c r="AA80" i="33"/>
  <c r="AA106" i="33"/>
  <c r="AA123" i="33"/>
  <c r="AA139" i="33"/>
  <c r="AA156" i="33"/>
  <c r="AA173" i="33"/>
  <c r="AA189" i="33"/>
  <c r="AA206" i="33"/>
  <c r="AA222" i="33"/>
  <c r="AA238" i="33"/>
  <c r="AA95" i="33"/>
  <c r="AA79" i="33"/>
  <c r="AA107" i="33"/>
  <c r="AA124" i="33"/>
  <c r="AA140" i="33"/>
  <c r="AA157" i="33"/>
  <c r="AA174" i="33"/>
  <c r="AA190" i="33"/>
  <c r="AA207" i="33"/>
  <c r="AA223" i="33"/>
  <c r="AA239" i="33"/>
  <c r="AA73" i="33"/>
  <c r="AA94" i="33"/>
  <c r="AA78" i="33"/>
  <c r="AA108" i="33"/>
  <c r="AA125" i="33"/>
  <c r="AA141" i="33"/>
  <c r="AA158" i="33"/>
  <c r="AA175" i="33"/>
  <c r="AA191" i="33"/>
  <c r="AA208" i="33"/>
  <c r="AA224" i="33"/>
  <c r="AA93" i="33"/>
  <c r="AA77" i="33"/>
  <c r="AA109" i="33"/>
  <c r="AA126" i="33"/>
  <c r="AA142" i="33"/>
  <c r="AA159" i="33"/>
  <c r="AA176" i="33"/>
  <c r="AA193" i="33"/>
  <c r="AA209" i="33"/>
  <c r="AA225" i="33"/>
  <c r="AA92" i="33"/>
  <c r="AA76" i="33"/>
  <c r="AA110" i="33"/>
  <c r="AA127" i="33"/>
  <c r="AA143" i="33"/>
  <c r="AA160" i="33"/>
  <c r="AA177" i="33"/>
  <c r="AA194" i="33"/>
  <c r="AA210" i="33"/>
  <c r="AA226" i="33"/>
  <c r="AA91" i="33"/>
  <c r="AA75" i="33"/>
  <c r="AA111" i="33"/>
  <c r="AA128" i="33"/>
  <c r="AA145" i="33"/>
  <c r="AA161" i="33"/>
  <c r="AA178" i="33"/>
  <c r="AA195" i="33"/>
  <c r="AA211" i="33"/>
  <c r="AA227" i="33"/>
  <c r="AA90" i="33"/>
  <c r="AA74" i="33"/>
  <c r="AA112" i="33"/>
  <c r="AA129" i="33"/>
  <c r="AA146" i="33"/>
  <c r="AA162" i="33"/>
  <c r="AA179" i="33"/>
  <c r="AA196" i="33"/>
  <c r="AA212" i="33"/>
  <c r="AA228" i="33"/>
  <c r="AA89" i="33"/>
  <c r="AA97" i="33"/>
  <c r="AA113" i="33"/>
  <c r="AA130" i="33"/>
  <c r="AA147" i="33"/>
  <c r="AA163" i="33"/>
  <c r="AA180" i="33"/>
  <c r="AA197" i="33"/>
  <c r="AA213" i="33"/>
  <c r="AA229" i="33"/>
  <c r="AA88" i="33"/>
  <c r="AA98" i="33"/>
  <c r="AA114" i="33"/>
  <c r="AA131" i="33"/>
  <c r="AA148" i="33"/>
  <c r="AA164" i="33"/>
  <c r="AA181" i="33"/>
  <c r="AA198" i="33"/>
  <c r="AA214" i="33"/>
  <c r="AA230" i="33"/>
  <c r="AA87" i="33"/>
  <c r="AA99" i="33"/>
  <c r="AA115" i="33"/>
  <c r="AA132" i="33"/>
  <c r="AA149" i="33"/>
  <c r="AA165" i="33"/>
  <c r="AA182" i="33"/>
  <c r="AA199" i="33"/>
  <c r="AA215" i="33"/>
  <c r="AA231" i="33"/>
  <c r="AA100" i="33"/>
  <c r="AA133" i="33"/>
  <c r="AA150" i="33"/>
  <c r="AA166" i="33"/>
  <c r="AA183" i="33"/>
  <c r="AA200" i="33"/>
  <c r="AA232" i="33"/>
  <c r="AA116" i="33"/>
  <c r="AA85" i="33"/>
  <c r="AA101" i="33"/>
  <c r="AA117" i="33"/>
  <c r="AA134" i="33"/>
  <c r="AA151" i="33"/>
  <c r="AA167" i="33"/>
  <c r="AA184" i="33"/>
  <c r="AA201" i="33"/>
  <c r="AA217" i="33"/>
  <c r="AA233" i="33"/>
  <c r="AA86" i="33"/>
  <c r="AA84" i="33"/>
  <c r="AA102" i="33"/>
  <c r="AA118" i="33"/>
  <c r="AA135" i="33"/>
  <c r="AA152" i="33"/>
  <c r="AA169" i="33"/>
  <c r="AA185" i="33"/>
  <c r="AA202" i="33"/>
  <c r="AA218" i="33"/>
  <c r="AA72" i="33"/>
  <c r="B20" i="24" l="1"/>
  <c r="B21" i="24"/>
  <c r="B22" i="24"/>
  <c r="B23" i="24"/>
  <c r="C30" i="33" l="1"/>
  <c r="C41" i="33" l="1"/>
  <c r="C40" i="33"/>
  <c r="K120" i="18" l="1"/>
  <c r="K121" i="18" s="1"/>
  <c r="K122" i="18" s="1"/>
  <c r="K123" i="18" s="1"/>
  <c r="K124" i="18" s="1"/>
  <c r="D119" i="18"/>
  <c r="D120" i="18" l="1"/>
  <c r="D121" i="18" s="1"/>
  <c r="D122" i="18" s="1"/>
  <c r="D123" i="18" s="1"/>
  <c r="C51" i="33"/>
  <c r="A14" i="13"/>
  <c r="D41" i="33" l="1"/>
  <c r="D40" i="33"/>
  <c r="J25" i="33" s="1"/>
  <c r="E11" i="119"/>
  <c r="B239" i="119" a="1"/>
  <c r="B240" i="119" s="1"/>
  <c r="B224" i="119" a="1"/>
  <c r="B224" i="119" s="1"/>
  <c r="V16" i="119"/>
  <c r="G199" i="119"/>
  <c r="F199" i="119"/>
  <c r="C194" i="119"/>
  <c r="C196" i="119" s="1"/>
  <c r="I248" i="119"/>
  <c r="H248" i="119"/>
  <c r="G248" i="119"/>
  <c r="F248" i="119"/>
  <c r="E248" i="119"/>
  <c r="D248" i="119"/>
  <c r="C248" i="119"/>
  <c r="B245" i="119" l="1"/>
  <c r="B244" i="119"/>
  <c r="B242" i="119"/>
  <c r="B239" i="119"/>
  <c r="B243" i="119"/>
  <c r="B241" i="119"/>
  <c r="B238" i="119"/>
  <c r="B230" i="119"/>
  <c r="B237" i="119"/>
  <c r="B229" i="119"/>
  <c r="B236" i="119"/>
  <c r="B228" i="119"/>
  <c r="B235" i="119"/>
  <c r="B227" i="119"/>
  <c r="B231" i="119"/>
  <c r="B234" i="119"/>
  <c r="B226" i="119"/>
  <c r="B233" i="119"/>
  <c r="B225" i="119"/>
  <c r="B232" i="119"/>
  <c r="V17" i="119"/>
  <c r="C195" i="119"/>
  <c r="B202" i="119" s="1"/>
  <c r="V18" i="119" l="1"/>
  <c r="V19" i="119" l="1"/>
  <c r="I155" i="18"/>
  <c r="H155" i="18"/>
  <c r="G155" i="18"/>
  <c r="F155" i="18"/>
  <c r="E155" i="18"/>
  <c r="D155" i="18"/>
  <c r="C155" i="18"/>
  <c r="I154" i="18"/>
  <c r="H154" i="18"/>
  <c r="G154" i="18"/>
  <c r="F154" i="18"/>
  <c r="E154" i="18"/>
  <c r="D154" i="18"/>
  <c r="C154" i="18"/>
  <c r="I153" i="18"/>
  <c r="H153" i="18"/>
  <c r="G153" i="18"/>
  <c r="F153" i="18"/>
  <c r="E153" i="18"/>
  <c r="D153" i="18"/>
  <c r="C153" i="18"/>
  <c r="I152" i="18"/>
  <c r="H152" i="18"/>
  <c r="G152" i="18"/>
  <c r="F152" i="18"/>
  <c r="E152" i="18"/>
  <c r="D152" i="18"/>
  <c r="C152" i="18"/>
  <c r="I151" i="18"/>
  <c r="H151" i="18"/>
  <c r="G151" i="18"/>
  <c r="F151" i="18"/>
  <c r="E151" i="18"/>
  <c r="D151" i="18"/>
  <c r="C151" i="18"/>
  <c r="I149" i="18"/>
  <c r="H149" i="18"/>
  <c r="G149" i="18"/>
  <c r="F149" i="18"/>
  <c r="E149" i="18"/>
  <c r="D149" i="18"/>
  <c r="C149" i="18"/>
  <c r="I148" i="18"/>
  <c r="H148" i="18"/>
  <c r="G148" i="18"/>
  <c r="F148" i="18"/>
  <c r="E148" i="18"/>
  <c r="D148" i="18"/>
  <c r="C148" i="18"/>
  <c r="I147" i="18"/>
  <c r="H147" i="18"/>
  <c r="G147" i="18"/>
  <c r="F147" i="18"/>
  <c r="E147" i="18"/>
  <c r="D147" i="18"/>
  <c r="C147" i="18"/>
  <c r="I146" i="18"/>
  <c r="H146" i="18"/>
  <c r="G146" i="18"/>
  <c r="F146" i="18"/>
  <c r="E146" i="18"/>
  <c r="D146" i="18"/>
  <c r="C146" i="18"/>
  <c r="I145" i="18"/>
  <c r="H145" i="18"/>
  <c r="G145" i="18"/>
  <c r="F145" i="18"/>
  <c r="E145" i="18"/>
  <c r="D145" i="18"/>
  <c r="C145" i="18"/>
  <c r="I144" i="18"/>
  <c r="H144" i="18"/>
  <c r="G144" i="18"/>
  <c r="F144" i="18"/>
  <c r="E144" i="18"/>
  <c r="D144" i="18"/>
  <c r="C144" i="18"/>
  <c r="I143" i="18"/>
  <c r="H143" i="18"/>
  <c r="G143" i="18"/>
  <c r="F143" i="18"/>
  <c r="E143" i="18"/>
  <c r="D143" i="18"/>
  <c r="C143" i="18"/>
  <c r="I142" i="18"/>
  <c r="H142" i="18"/>
  <c r="G142" i="18"/>
  <c r="F142" i="18"/>
  <c r="E142" i="18"/>
  <c r="D142" i="18"/>
  <c r="C142" i="18"/>
  <c r="I141" i="18"/>
  <c r="H141" i="18"/>
  <c r="G141" i="18"/>
  <c r="F141" i="18"/>
  <c r="E141" i="18"/>
  <c r="D141" i="18"/>
  <c r="C141" i="18"/>
  <c r="I140" i="18"/>
  <c r="H140" i="18"/>
  <c r="G140" i="18"/>
  <c r="F140" i="18"/>
  <c r="E140" i="18"/>
  <c r="D140" i="18"/>
  <c r="C140" i="18"/>
  <c r="I139" i="18"/>
  <c r="H139" i="18"/>
  <c r="G139" i="18"/>
  <c r="F139" i="18"/>
  <c r="E139" i="18"/>
  <c r="D139" i="18"/>
  <c r="C139" i="18"/>
  <c r="I138" i="18"/>
  <c r="H138" i="18"/>
  <c r="G138" i="18"/>
  <c r="F138" i="18"/>
  <c r="E138" i="18"/>
  <c r="D138" i="18"/>
  <c r="C138" i="18"/>
  <c r="I137" i="18"/>
  <c r="H137" i="18"/>
  <c r="G137" i="18"/>
  <c r="F137" i="18"/>
  <c r="E137" i="18"/>
  <c r="D137" i="18"/>
  <c r="C137" i="18"/>
  <c r="V20" i="119" l="1"/>
  <c r="BW1" i="19"/>
  <c r="BX1" i="19" s="1"/>
  <c r="BY1" i="19" s="1"/>
  <c r="BZ1" i="19" s="1"/>
  <c r="CA1" i="19" s="1"/>
  <c r="CB1" i="19" s="1"/>
  <c r="CC1" i="19" s="1"/>
  <c r="CD1" i="19" s="1"/>
  <c r="CE1" i="19" s="1"/>
  <c r="CF1" i="19" s="1"/>
  <c r="CG1" i="19" s="1"/>
  <c r="CH1" i="19" s="1"/>
  <c r="CI1" i="19" s="1"/>
  <c r="CJ1" i="19" s="1"/>
  <c r="CK1" i="19" s="1"/>
  <c r="CL1" i="19" s="1"/>
  <c r="CM1" i="19" s="1"/>
  <c r="CN1" i="19" s="1"/>
  <c r="CO1" i="19" s="1"/>
  <c r="CP1" i="19" s="1"/>
  <c r="CQ1" i="19" s="1"/>
  <c r="CR1" i="19" s="1"/>
  <c r="CS1" i="19" s="1"/>
  <c r="CT1" i="19" s="1"/>
  <c r="CU1" i="19" s="1"/>
  <c r="CV1" i="19" s="1"/>
  <c r="CW1" i="19" s="1"/>
  <c r="CX1" i="19" s="1"/>
  <c r="CY1" i="19" s="1"/>
  <c r="CZ1" i="19" s="1"/>
  <c r="BW87" i="12"/>
  <c r="BX87" i="12" s="1"/>
  <c r="BY87" i="12" s="1"/>
  <c r="BZ87" i="12" s="1"/>
  <c r="CA87" i="12" s="1"/>
  <c r="CB87" i="12" s="1"/>
  <c r="CC87" i="12" s="1"/>
  <c r="CD87" i="12" s="1"/>
  <c r="CE87" i="12" s="1"/>
  <c r="CF87" i="12" s="1"/>
  <c r="CG87" i="12" s="1"/>
  <c r="CH87" i="12" s="1"/>
  <c r="CI87" i="12" s="1"/>
  <c r="CJ87" i="12" s="1"/>
  <c r="CK87" i="12" s="1"/>
  <c r="CL87" i="12" s="1"/>
  <c r="CM87" i="12" s="1"/>
  <c r="CN87" i="12" s="1"/>
  <c r="CO87" i="12" s="1"/>
  <c r="CP87" i="12" s="1"/>
  <c r="CQ87" i="12" s="1"/>
  <c r="CR87" i="12" s="1"/>
  <c r="CS87" i="12" s="1"/>
  <c r="CT87" i="12" s="1"/>
  <c r="CU87" i="12" s="1"/>
  <c r="CV87" i="12" s="1"/>
  <c r="CW87" i="12" s="1"/>
  <c r="CX87" i="12" s="1"/>
  <c r="CY87" i="12" s="1"/>
  <c r="CZ87" i="12" s="1"/>
  <c r="BW57" i="12"/>
  <c r="BX57" i="12" s="1"/>
  <c r="BY57" i="12" s="1"/>
  <c r="BZ57" i="12" s="1"/>
  <c r="CA57" i="12" s="1"/>
  <c r="CB57" i="12" s="1"/>
  <c r="CC57" i="12" s="1"/>
  <c r="CD57" i="12" s="1"/>
  <c r="CE57" i="12" s="1"/>
  <c r="CF57" i="12" s="1"/>
  <c r="CG57" i="12" s="1"/>
  <c r="CH57" i="12" s="1"/>
  <c r="CI57" i="12" s="1"/>
  <c r="CJ57" i="12" s="1"/>
  <c r="CK57" i="12" s="1"/>
  <c r="CL57" i="12" s="1"/>
  <c r="CM57" i="12" s="1"/>
  <c r="CN57" i="12" s="1"/>
  <c r="CO57" i="12" s="1"/>
  <c r="CP57" i="12" s="1"/>
  <c r="CQ57" i="12" s="1"/>
  <c r="CR57" i="12" s="1"/>
  <c r="CS57" i="12" s="1"/>
  <c r="CT57" i="12" s="1"/>
  <c r="CU57" i="12" s="1"/>
  <c r="CV57" i="12" s="1"/>
  <c r="CW57" i="12" s="1"/>
  <c r="CX57" i="12" s="1"/>
  <c r="CY57" i="12" s="1"/>
  <c r="CZ57" i="12" s="1"/>
  <c r="BW23" i="12"/>
  <c r="BX23" i="12" s="1"/>
  <c r="BY23" i="12" s="1"/>
  <c r="BZ23" i="12" s="1"/>
  <c r="CA23" i="12" s="1"/>
  <c r="CB23" i="12" s="1"/>
  <c r="CC23" i="12" s="1"/>
  <c r="CD23" i="12" s="1"/>
  <c r="CE23" i="12" s="1"/>
  <c r="CF23" i="12" s="1"/>
  <c r="CG23" i="12" s="1"/>
  <c r="CH23" i="12" s="1"/>
  <c r="CI23" i="12" s="1"/>
  <c r="CJ23" i="12" s="1"/>
  <c r="CK23" i="12" s="1"/>
  <c r="CL23" i="12" s="1"/>
  <c r="CM23" i="12" s="1"/>
  <c r="CN23" i="12" s="1"/>
  <c r="CO23" i="12" s="1"/>
  <c r="CP23" i="12" s="1"/>
  <c r="CQ23" i="12" s="1"/>
  <c r="CR23" i="12" s="1"/>
  <c r="CS23" i="12" s="1"/>
  <c r="CT23" i="12" s="1"/>
  <c r="CU23" i="12" s="1"/>
  <c r="CV23" i="12" s="1"/>
  <c r="CW23" i="12" s="1"/>
  <c r="CX23" i="12" s="1"/>
  <c r="CY23" i="12" s="1"/>
  <c r="CZ23" i="12" s="1"/>
  <c r="BW5" i="12"/>
  <c r="BX5" i="12" s="1"/>
  <c r="BY5" i="12" s="1"/>
  <c r="BZ5" i="12" s="1"/>
  <c r="CA5" i="12" s="1"/>
  <c r="CB5" i="12" s="1"/>
  <c r="CC5" i="12" s="1"/>
  <c r="CD5" i="12" s="1"/>
  <c r="CE5" i="12" s="1"/>
  <c r="CF5" i="12" s="1"/>
  <c r="CG5" i="12" s="1"/>
  <c r="CH5" i="12" s="1"/>
  <c r="CI5" i="12" s="1"/>
  <c r="CJ5" i="12" s="1"/>
  <c r="CK5" i="12" s="1"/>
  <c r="CL5" i="12" s="1"/>
  <c r="CM5" i="12" s="1"/>
  <c r="CN5" i="12" s="1"/>
  <c r="CO5" i="12" s="1"/>
  <c r="CP5" i="12" s="1"/>
  <c r="CQ5" i="12" s="1"/>
  <c r="CR5" i="12" s="1"/>
  <c r="CS5" i="12" s="1"/>
  <c r="CT5" i="12" s="1"/>
  <c r="CU5" i="12" s="1"/>
  <c r="CV5" i="12" s="1"/>
  <c r="CW5" i="12" s="1"/>
  <c r="CX5" i="12" s="1"/>
  <c r="CY5" i="12" s="1"/>
  <c r="CZ5" i="12" s="1"/>
  <c r="V21" i="119" l="1"/>
  <c r="E17" i="17"/>
  <c r="V22" i="119" l="1"/>
  <c r="C142" i="12"/>
  <c r="C141" i="12"/>
  <c r="C140" i="12"/>
  <c r="C139" i="12"/>
  <c r="C138" i="12"/>
  <c r="C136" i="12"/>
  <c r="C135" i="12"/>
  <c r="C134" i="12"/>
  <c r="C133" i="12"/>
  <c r="V23" i="119" l="1"/>
  <c r="I131" i="12"/>
  <c r="J131" i="12" s="1"/>
  <c r="K131" i="12" s="1"/>
  <c r="L131" i="12" s="1"/>
  <c r="M131" i="12" s="1"/>
  <c r="N131" i="12" s="1"/>
  <c r="O131" i="12" s="1"/>
  <c r="P131" i="12" s="1"/>
  <c r="Q131" i="12" s="1"/>
  <c r="R131" i="12" s="1"/>
  <c r="S131" i="12" s="1"/>
  <c r="T131" i="12" s="1"/>
  <c r="U131" i="12" s="1"/>
  <c r="V131" i="12" s="1"/>
  <c r="W131" i="12" s="1"/>
  <c r="X131" i="12" s="1"/>
  <c r="Y131" i="12" s="1"/>
  <c r="Z131" i="12" s="1"/>
  <c r="AA131" i="12" s="1"/>
  <c r="AB131" i="12" s="1"/>
  <c r="AC131" i="12" s="1"/>
  <c r="AD131" i="12" s="1"/>
  <c r="AE131" i="12" s="1"/>
  <c r="AF131" i="12" s="1"/>
  <c r="AG131" i="12" s="1"/>
  <c r="AH131" i="12" s="1"/>
  <c r="AI131" i="12" s="1"/>
  <c r="AJ131" i="12" s="1"/>
  <c r="AK131" i="12" s="1"/>
  <c r="AL131" i="12" s="1"/>
  <c r="AM131" i="12" s="1"/>
  <c r="AN131" i="12" s="1"/>
  <c r="AO131" i="12" s="1"/>
  <c r="AP131" i="12" s="1"/>
  <c r="AQ131" i="12" s="1"/>
  <c r="AR131" i="12" s="1"/>
  <c r="AS131" i="12" s="1"/>
  <c r="AT131" i="12" s="1"/>
  <c r="AU131" i="12" s="1"/>
  <c r="AV131" i="12" s="1"/>
  <c r="AW131" i="12" s="1"/>
  <c r="AX131" i="12" s="1"/>
  <c r="AY131" i="12" s="1"/>
  <c r="AZ131" i="12" s="1"/>
  <c r="BA131" i="12" s="1"/>
  <c r="BB131" i="12" s="1"/>
  <c r="BC131" i="12" s="1"/>
  <c r="BD131" i="12" s="1"/>
  <c r="BE131" i="12" s="1"/>
  <c r="BF131" i="12" s="1"/>
  <c r="BG131" i="12" s="1"/>
  <c r="BH131" i="12" s="1"/>
  <c r="BI131" i="12" s="1"/>
  <c r="BJ131" i="12" s="1"/>
  <c r="BK131" i="12" s="1"/>
  <c r="BL131" i="12" s="1"/>
  <c r="BM131" i="12" s="1"/>
  <c r="BN131" i="12" s="1"/>
  <c r="BO131" i="12" s="1"/>
  <c r="BP131" i="12" s="1"/>
  <c r="BQ131" i="12" s="1"/>
  <c r="BR131" i="12" s="1"/>
  <c r="BS131" i="12" s="1"/>
  <c r="BT131" i="12" s="1"/>
  <c r="BU131" i="12" s="1"/>
  <c r="BV131" i="12" s="1"/>
  <c r="BW131" i="12" s="1"/>
  <c r="BX131" i="12" s="1"/>
  <c r="BY131" i="12" s="1"/>
  <c r="BZ131" i="12" s="1"/>
  <c r="CA131" i="12" s="1"/>
  <c r="CB131" i="12" s="1"/>
  <c r="CC131" i="12" s="1"/>
  <c r="CD131" i="12" s="1"/>
  <c r="CE131" i="12" s="1"/>
  <c r="CF131" i="12" s="1"/>
  <c r="CG131" i="12" s="1"/>
  <c r="CH131" i="12" s="1"/>
  <c r="CI131" i="12" s="1"/>
  <c r="CJ131" i="12" s="1"/>
  <c r="CK131" i="12" s="1"/>
  <c r="CL131" i="12" s="1"/>
  <c r="CM131" i="12" s="1"/>
  <c r="CN131" i="12" s="1"/>
  <c r="CO131" i="12" s="1"/>
  <c r="CP131" i="12" s="1"/>
  <c r="CQ131" i="12" s="1"/>
  <c r="CR131" i="12" s="1"/>
  <c r="CS131" i="12" s="1"/>
  <c r="CT131" i="12" s="1"/>
  <c r="CU131" i="12" s="1"/>
  <c r="CV131" i="12" s="1"/>
  <c r="CW131" i="12" s="1"/>
  <c r="CX131" i="12" s="1"/>
  <c r="CY131" i="12" s="1"/>
  <c r="CZ131" i="12" s="1"/>
  <c r="V24" i="119" l="1"/>
  <c r="V25" i="119" l="1"/>
  <c r="V26" i="119" l="1"/>
  <c r="V27" i="119" l="1"/>
  <c r="V28" i="119" l="1"/>
  <c r="V29" i="119" l="1"/>
  <c r="V30" i="119" l="1"/>
  <c r="V31" i="119" l="1"/>
  <c r="K39" i="33"/>
  <c r="K41" i="33" s="1"/>
  <c r="K32" i="33"/>
  <c r="V32" i="119" l="1"/>
  <c r="V33" i="119" l="1"/>
  <c r="B18" i="17" l="1"/>
  <c r="C142" i="6"/>
  <c r="C3" i="24"/>
  <c r="C11" i="35"/>
  <c r="F84" i="6"/>
  <c r="C55" i="6" l="1"/>
  <c r="D96" i="12" l="1"/>
  <c r="D95" i="12"/>
  <c r="D100" i="12"/>
  <c r="D99" i="12"/>
  <c r="D98" i="12"/>
  <c r="D97" i="12"/>
  <c r="D94" i="12"/>
  <c r="D68" i="12"/>
  <c r="D67" i="12"/>
  <c r="D66" i="12"/>
  <c r="D65" i="12"/>
  <c r="D64" i="12"/>
  <c r="D35" i="12"/>
  <c r="D34" i="12"/>
  <c r="D33" i="12"/>
  <c r="D32" i="12"/>
  <c r="D31" i="12"/>
  <c r="D30" i="12"/>
  <c r="D18" i="12"/>
  <c r="D17" i="12"/>
  <c r="D16" i="12"/>
  <c r="D15" i="12"/>
  <c r="D14" i="12"/>
  <c r="D13" i="12"/>
  <c r="D12" i="12"/>
  <c r="D110" i="119" l="1"/>
  <c r="G110" i="119"/>
  <c r="H110" i="119"/>
  <c r="I110" i="119"/>
  <c r="J110" i="119"/>
  <c r="K110" i="119"/>
  <c r="L110" i="119"/>
  <c r="M110" i="119"/>
  <c r="N110" i="119"/>
  <c r="O110" i="119"/>
  <c r="P110" i="119"/>
  <c r="Q110" i="119"/>
  <c r="R110" i="119"/>
  <c r="S110" i="119"/>
  <c r="G4" i="119"/>
  <c r="G5" i="119"/>
  <c r="G6" i="119"/>
  <c r="G7" i="119"/>
  <c r="G8" i="119"/>
  <c r="G9" i="119"/>
  <c r="G3" i="119"/>
  <c r="N158" i="119" l="1"/>
  <c r="D181" i="119" l="1"/>
  <c r="D177" i="119"/>
  <c r="D178" i="119"/>
  <c r="D179" i="119"/>
  <c r="D180" i="119"/>
  <c r="D176" i="119"/>
  <c r="D175" i="119"/>
  <c r="E175" i="119" s="1"/>
  <c r="F179" i="119" l="1"/>
  <c r="G180" i="119"/>
  <c r="F178" i="119"/>
  <c r="G178" i="119"/>
  <c r="F180" i="119"/>
  <c r="G179" i="119"/>
  <c r="F176" i="119"/>
  <c r="E176" i="119" s="1"/>
  <c r="G177" i="119"/>
  <c r="F177" i="119"/>
  <c r="G176" i="119"/>
  <c r="E177" i="119" l="1"/>
  <c r="E178" i="119" s="1"/>
  <c r="H233" i="15"/>
  <c r="I39" i="34" s="1"/>
  <c r="I233" i="15"/>
  <c r="I40" i="34" s="1"/>
  <c r="L233" i="15"/>
  <c r="I48" i="34" s="1"/>
  <c r="M233" i="15"/>
  <c r="I49" i="34" s="1"/>
  <c r="N233" i="15"/>
  <c r="I50" i="34" s="1"/>
  <c r="N185" i="15"/>
  <c r="M185" i="15"/>
  <c r="L185" i="15"/>
  <c r="K185" i="15"/>
  <c r="I185" i="15"/>
  <c r="H185" i="15"/>
  <c r="G185" i="15"/>
  <c r="E185" i="15"/>
  <c r="D185" i="15"/>
  <c r="C185" i="15"/>
  <c r="B185" i="15"/>
  <c r="A281" i="15"/>
  <c r="E179" i="119" l="1"/>
  <c r="A282" i="15"/>
  <c r="E180" i="119" l="1"/>
  <c r="E181" i="119" l="1"/>
  <c r="M101" i="119" l="1"/>
  <c r="M102" i="119"/>
  <c r="M103" i="119"/>
  <c r="M104" i="119"/>
  <c r="M105" i="119"/>
  <c r="M106" i="119"/>
  <c r="M107" i="119"/>
  <c r="S91" i="119"/>
  <c r="R91" i="119"/>
  <c r="Q91" i="119"/>
  <c r="P91" i="119"/>
  <c r="O91" i="119"/>
  <c r="N91" i="119"/>
  <c r="M91" i="119"/>
  <c r="L91" i="119"/>
  <c r="K91" i="119"/>
  <c r="J91" i="119"/>
  <c r="I91" i="119"/>
  <c r="H91" i="119"/>
  <c r="G91" i="119"/>
  <c r="F91" i="119"/>
  <c r="E91" i="119"/>
  <c r="I65" i="119"/>
  <c r="B97" i="119"/>
  <c r="B91" i="119"/>
  <c r="I7" i="119"/>
  <c r="C91" i="119" s="1"/>
  <c r="D55" i="119"/>
  <c r="S90" i="119"/>
  <c r="R90" i="119"/>
  <c r="Q90" i="119"/>
  <c r="P90" i="119"/>
  <c r="O90" i="119"/>
  <c r="N90" i="119"/>
  <c r="M90" i="119"/>
  <c r="L90" i="119"/>
  <c r="K90" i="119"/>
  <c r="J90" i="119"/>
  <c r="I90" i="119"/>
  <c r="H90" i="119"/>
  <c r="G90" i="119"/>
  <c r="F90" i="119"/>
  <c r="E90" i="119"/>
  <c r="B96" i="119"/>
  <c r="B90" i="119"/>
  <c r="C90" i="119"/>
  <c r="S89" i="119"/>
  <c r="S80" i="119"/>
  <c r="R89" i="119"/>
  <c r="R80" i="119"/>
  <c r="Q89" i="119"/>
  <c r="Q80" i="119"/>
  <c r="P89" i="119"/>
  <c r="P80" i="119"/>
  <c r="O89" i="119"/>
  <c r="O80" i="119"/>
  <c r="N89" i="119"/>
  <c r="N80" i="119"/>
  <c r="M89" i="119"/>
  <c r="M80" i="119"/>
  <c r="L89" i="119"/>
  <c r="L80" i="119"/>
  <c r="K89" i="119"/>
  <c r="K80" i="119"/>
  <c r="J89" i="119"/>
  <c r="J80" i="119"/>
  <c r="I89" i="119"/>
  <c r="I80" i="119"/>
  <c r="H89" i="119"/>
  <c r="H80" i="119"/>
  <c r="G89" i="119"/>
  <c r="G80" i="119"/>
  <c r="F89" i="119"/>
  <c r="F80" i="119"/>
  <c r="E89" i="119"/>
  <c r="E80" i="119"/>
  <c r="F9" i="119"/>
  <c r="B95" i="119"/>
  <c r="B89" i="119"/>
  <c r="F7" i="119"/>
  <c r="F4" i="119"/>
  <c r="E77" i="119"/>
  <c r="E92" i="119"/>
  <c r="E95" i="119"/>
  <c r="E83" i="119"/>
  <c r="F105" i="119"/>
  <c r="E85" i="119"/>
  <c r="E82" i="119"/>
  <c r="F5" i="119"/>
  <c r="E57" i="119"/>
  <c r="F8" i="119"/>
  <c r="H63" i="119"/>
  <c r="B4" i="119"/>
  <c r="B82" i="119" s="1"/>
  <c r="B52" i="119"/>
  <c r="B53" i="119" s="1"/>
  <c r="B54" i="119" s="1"/>
  <c r="B55" i="119" s="1"/>
  <c r="B56" i="119" s="1"/>
  <c r="B57" i="119" s="1"/>
  <c r="B58" i="119" s="1"/>
  <c r="B59" i="119" s="1"/>
  <c r="B60" i="119" s="1"/>
  <c r="B61" i="119" s="1"/>
  <c r="B62" i="119" s="1"/>
  <c r="B63" i="119" s="1"/>
  <c r="B64" i="119" s="1"/>
  <c r="B65" i="119" s="1"/>
  <c r="B66" i="119" s="1"/>
  <c r="B67" i="119" s="1"/>
  <c r="B68" i="119" s="1"/>
  <c r="B69" i="119" s="1"/>
  <c r="B70" i="119" s="1"/>
  <c r="G61" i="119"/>
  <c r="B36" i="15"/>
  <c r="B31" i="15"/>
  <c r="B14" i="13" s="1"/>
  <c r="B88" i="119"/>
  <c r="B87" i="119"/>
  <c r="C87" i="119"/>
  <c r="F6" i="119"/>
  <c r="B86" i="119"/>
  <c r="D16" i="15"/>
  <c r="W60" i="15" s="1"/>
  <c r="C160" i="119"/>
  <c r="C161" i="119" s="1"/>
  <c r="C162" i="119" s="1"/>
  <c r="C163" i="119" s="1"/>
  <c r="C164" i="119" s="1"/>
  <c r="C165" i="119" s="1"/>
  <c r="C166" i="119" s="1"/>
  <c r="C167" i="119" s="1"/>
  <c r="C168" i="119" s="1"/>
  <c r="C169" i="119" s="1"/>
  <c r="C170" i="119" s="1"/>
  <c r="F185" i="15"/>
  <c r="F102" i="119"/>
  <c r="F103" i="119"/>
  <c r="F104" i="119"/>
  <c r="F106" i="119"/>
  <c r="F107" i="119"/>
  <c r="F101" i="119"/>
  <c r="D156" i="119"/>
  <c r="D157" i="119"/>
  <c r="D159" i="119"/>
  <c r="D160" i="119"/>
  <c r="D161" i="119"/>
  <c r="D162" i="119"/>
  <c r="D163" i="119"/>
  <c r="D164" i="119"/>
  <c r="D165" i="119"/>
  <c r="D166" i="119"/>
  <c r="D167" i="119"/>
  <c r="D168" i="119"/>
  <c r="D169" i="119"/>
  <c r="D170" i="119"/>
  <c r="F77" i="119"/>
  <c r="G77" i="119"/>
  <c r="H77" i="119"/>
  <c r="I77" i="119"/>
  <c r="J77" i="119"/>
  <c r="K77" i="119"/>
  <c r="L77" i="119"/>
  <c r="M77" i="119"/>
  <c r="N77" i="119"/>
  <c r="O77" i="119"/>
  <c r="P77" i="119"/>
  <c r="Q77" i="119"/>
  <c r="R77" i="119"/>
  <c r="S77" i="119"/>
  <c r="F78" i="119"/>
  <c r="G78" i="119"/>
  <c r="H78" i="119"/>
  <c r="I78" i="119"/>
  <c r="J78" i="119"/>
  <c r="K78" i="119"/>
  <c r="L78" i="119"/>
  <c r="M78" i="119"/>
  <c r="N78" i="119"/>
  <c r="O78" i="119"/>
  <c r="P78" i="119"/>
  <c r="Q78" i="119"/>
  <c r="R78" i="119"/>
  <c r="S78" i="119"/>
  <c r="F79" i="119"/>
  <c r="G79" i="119"/>
  <c r="H79" i="119"/>
  <c r="I79" i="119"/>
  <c r="J79" i="119"/>
  <c r="K79" i="119"/>
  <c r="L79" i="119"/>
  <c r="M79" i="119"/>
  <c r="N79" i="119"/>
  <c r="O79" i="119"/>
  <c r="P79" i="119"/>
  <c r="Q79" i="119"/>
  <c r="R79" i="119"/>
  <c r="S79" i="119"/>
  <c r="F81" i="119"/>
  <c r="G81" i="119"/>
  <c r="H81" i="119"/>
  <c r="I81" i="119"/>
  <c r="J81" i="119"/>
  <c r="K81" i="119"/>
  <c r="L81" i="119"/>
  <c r="M81" i="119"/>
  <c r="N81" i="119"/>
  <c r="O81" i="119"/>
  <c r="P81" i="119"/>
  <c r="Q81" i="119"/>
  <c r="R81" i="119"/>
  <c r="S81" i="119"/>
  <c r="F82" i="119"/>
  <c r="G82" i="119"/>
  <c r="H82" i="119"/>
  <c r="I82" i="119"/>
  <c r="J82" i="119"/>
  <c r="K82" i="119"/>
  <c r="L82" i="119"/>
  <c r="M82" i="119"/>
  <c r="N82" i="119"/>
  <c r="O82" i="119"/>
  <c r="P82" i="119"/>
  <c r="Q82" i="119"/>
  <c r="R82" i="119"/>
  <c r="S82" i="119"/>
  <c r="F83" i="119"/>
  <c r="G83" i="119"/>
  <c r="H83" i="119"/>
  <c r="I83" i="119"/>
  <c r="J83" i="119"/>
  <c r="K83" i="119"/>
  <c r="L83" i="119"/>
  <c r="M83" i="119"/>
  <c r="N83" i="119"/>
  <c r="O83" i="119"/>
  <c r="P83" i="119"/>
  <c r="Q83" i="119"/>
  <c r="R83" i="119"/>
  <c r="S83" i="119"/>
  <c r="F84" i="119"/>
  <c r="G84" i="119"/>
  <c r="H84" i="119"/>
  <c r="I84" i="119"/>
  <c r="J84" i="119"/>
  <c r="K84" i="119"/>
  <c r="L84" i="119"/>
  <c r="M84" i="119"/>
  <c r="N84" i="119"/>
  <c r="O84" i="119"/>
  <c r="P84" i="119"/>
  <c r="Q84" i="119"/>
  <c r="R84" i="119"/>
  <c r="S84" i="119"/>
  <c r="F85" i="119"/>
  <c r="G85" i="119"/>
  <c r="H85" i="119"/>
  <c r="I85" i="119"/>
  <c r="J85" i="119"/>
  <c r="K85" i="119"/>
  <c r="L85" i="119"/>
  <c r="M85" i="119"/>
  <c r="N85" i="119"/>
  <c r="O85" i="119"/>
  <c r="P85" i="119"/>
  <c r="Q85" i="119"/>
  <c r="R85" i="119"/>
  <c r="S85" i="119"/>
  <c r="F86" i="119"/>
  <c r="G86" i="119"/>
  <c r="H86" i="119"/>
  <c r="I86" i="119"/>
  <c r="J86" i="119"/>
  <c r="K86" i="119"/>
  <c r="L86" i="119"/>
  <c r="M86" i="119"/>
  <c r="N86" i="119"/>
  <c r="O86" i="119"/>
  <c r="P86" i="119"/>
  <c r="Q86" i="119"/>
  <c r="R86" i="119"/>
  <c r="S86" i="119"/>
  <c r="F87" i="119"/>
  <c r="G87" i="119"/>
  <c r="H87" i="119"/>
  <c r="I87" i="119"/>
  <c r="J87" i="119"/>
  <c r="K87" i="119"/>
  <c r="L87" i="119"/>
  <c r="M87" i="119"/>
  <c r="N87" i="119"/>
  <c r="O87" i="119"/>
  <c r="P87" i="119"/>
  <c r="Q87" i="119"/>
  <c r="R87" i="119"/>
  <c r="S87" i="119"/>
  <c r="F88" i="119"/>
  <c r="G88" i="119"/>
  <c r="H88" i="119"/>
  <c r="I88" i="119"/>
  <c r="J88" i="119"/>
  <c r="K88" i="119"/>
  <c r="L88" i="119"/>
  <c r="M88" i="119"/>
  <c r="N88" i="119"/>
  <c r="O88" i="119"/>
  <c r="P88" i="119"/>
  <c r="Q88" i="119"/>
  <c r="R88" i="119"/>
  <c r="S88" i="119"/>
  <c r="F92" i="119"/>
  <c r="G92" i="119"/>
  <c r="H92" i="119"/>
  <c r="I92" i="119"/>
  <c r="J92" i="119"/>
  <c r="K92" i="119"/>
  <c r="L92" i="119"/>
  <c r="M92" i="119"/>
  <c r="N92" i="119"/>
  <c r="O92" i="119"/>
  <c r="P92" i="119"/>
  <c r="Q92" i="119"/>
  <c r="R92" i="119"/>
  <c r="S92" i="119"/>
  <c r="F93" i="119"/>
  <c r="G93" i="119"/>
  <c r="H93" i="119"/>
  <c r="I93" i="119"/>
  <c r="J93" i="119"/>
  <c r="K93" i="119"/>
  <c r="L93" i="119"/>
  <c r="M93" i="119"/>
  <c r="N93" i="119"/>
  <c r="O93" i="119"/>
  <c r="P93" i="119"/>
  <c r="Q93" i="119"/>
  <c r="R93" i="119"/>
  <c r="S93" i="119"/>
  <c r="F94" i="119"/>
  <c r="G94" i="119"/>
  <c r="H94" i="119"/>
  <c r="I94" i="119"/>
  <c r="J94" i="119"/>
  <c r="K94" i="119"/>
  <c r="L94" i="119"/>
  <c r="M94" i="119"/>
  <c r="N94" i="119"/>
  <c r="O94" i="119"/>
  <c r="P94" i="119"/>
  <c r="Q94" i="119"/>
  <c r="R94" i="119"/>
  <c r="S94" i="119"/>
  <c r="F95" i="119"/>
  <c r="G95" i="119"/>
  <c r="H95" i="119"/>
  <c r="I95" i="119"/>
  <c r="J95" i="119"/>
  <c r="K95" i="119"/>
  <c r="L95" i="119"/>
  <c r="M95" i="119"/>
  <c r="N95" i="119"/>
  <c r="O95" i="119"/>
  <c r="P95" i="119"/>
  <c r="Q95" i="119"/>
  <c r="R95" i="119"/>
  <c r="S95" i="119"/>
  <c r="F96" i="119"/>
  <c r="G96" i="119"/>
  <c r="H96" i="119"/>
  <c r="I96" i="119"/>
  <c r="J96" i="119"/>
  <c r="K96" i="119"/>
  <c r="L96" i="119"/>
  <c r="M96" i="119"/>
  <c r="N96" i="119"/>
  <c r="O96" i="119"/>
  <c r="P96" i="119"/>
  <c r="Q96" i="119"/>
  <c r="R96" i="119"/>
  <c r="S96" i="119"/>
  <c r="F97" i="119"/>
  <c r="G97" i="119"/>
  <c r="H97" i="119"/>
  <c r="I97" i="119"/>
  <c r="J97" i="119"/>
  <c r="K97" i="119"/>
  <c r="L97" i="119"/>
  <c r="M97" i="119"/>
  <c r="N97" i="119"/>
  <c r="O97" i="119"/>
  <c r="P97" i="119"/>
  <c r="Q97" i="119"/>
  <c r="R97" i="119"/>
  <c r="S97" i="119"/>
  <c r="E97" i="119"/>
  <c r="E94" i="119"/>
  <c r="E88" i="119"/>
  <c r="E86" i="119"/>
  <c r="E79" i="119"/>
  <c r="E96" i="119"/>
  <c r="E93" i="119"/>
  <c r="E87" i="119"/>
  <c r="E84" i="119"/>
  <c r="E81" i="119"/>
  <c r="E78" i="119"/>
  <c r="B93" i="119"/>
  <c r="B94" i="119"/>
  <c r="B92" i="119"/>
  <c r="F3" i="119"/>
  <c r="C53" i="119"/>
  <c r="B77" i="119"/>
  <c r="B78" i="119"/>
  <c r="B79" i="119"/>
  <c r="B85" i="119"/>
  <c r="B83" i="119"/>
  <c r="B84" i="119"/>
  <c r="F34" i="34"/>
  <c r="A109" i="12"/>
  <c r="A77" i="12"/>
  <c r="A46" i="12"/>
  <c r="A45" i="12"/>
  <c r="A18" i="12"/>
  <c r="A17" i="12"/>
  <c r="A16" i="12"/>
  <c r="A15" i="12"/>
  <c r="A14" i="12"/>
  <c r="A13" i="12"/>
  <c r="A12" i="12"/>
  <c r="D11" i="12"/>
  <c r="A11" i="12"/>
  <c r="D10" i="12"/>
  <c r="A10" i="12"/>
  <c r="D9" i="12"/>
  <c r="A9" i="12"/>
  <c r="D8" i="12"/>
  <c r="A8" i="12"/>
  <c r="D7" i="12"/>
  <c r="A7" i="12"/>
  <c r="C18" i="12"/>
  <c r="L18" i="12" s="1"/>
  <c r="C17" i="12"/>
  <c r="Q17" i="12" s="1"/>
  <c r="C16" i="12"/>
  <c r="N16" i="12" s="1"/>
  <c r="C15" i="12"/>
  <c r="C14" i="12"/>
  <c r="BD14" i="12" s="1"/>
  <c r="C13" i="12"/>
  <c r="U13" i="12" s="1"/>
  <c r="C12" i="12"/>
  <c r="AY12" i="12" s="1"/>
  <c r="C11" i="12"/>
  <c r="C10" i="12"/>
  <c r="C9" i="12"/>
  <c r="C8" i="12"/>
  <c r="C7" i="12"/>
  <c r="B4" i="12"/>
  <c r="D35" i="11"/>
  <c r="C35" i="11"/>
  <c r="B35" i="11"/>
  <c r="D34" i="11"/>
  <c r="C34" i="11"/>
  <c r="B34" i="11"/>
  <c r="D33" i="11"/>
  <c r="C33" i="11"/>
  <c r="B33" i="11"/>
  <c r="D32" i="11"/>
  <c r="C32" i="11"/>
  <c r="B32" i="11"/>
  <c r="D31" i="11"/>
  <c r="C31" i="11"/>
  <c r="B31" i="11"/>
  <c r="D30" i="11"/>
  <c r="C30" i="11"/>
  <c r="B30" i="11"/>
  <c r="D29" i="11"/>
  <c r="C29" i="11"/>
  <c r="B29" i="11"/>
  <c r="D28" i="11"/>
  <c r="C28" i="11"/>
  <c r="B28" i="11"/>
  <c r="C65" i="12"/>
  <c r="C59" i="12"/>
  <c r="C35" i="12"/>
  <c r="C34" i="12"/>
  <c r="AL34" i="12" s="1"/>
  <c r="C33" i="12"/>
  <c r="C32" i="12"/>
  <c r="C28" i="12"/>
  <c r="C27" i="12"/>
  <c r="C26" i="12"/>
  <c r="C25" i="12"/>
  <c r="A9" i="17"/>
  <c r="D17" i="17"/>
  <c r="D112" i="6"/>
  <c r="E112" i="6" s="1"/>
  <c r="C12" i="35"/>
  <c r="F13" i="24"/>
  <c r="F14" i="24"/>
  <c r="F15" i="24"/>
  <c r="F16" i="24"/>
  <c r="F17" i="24"/>
  <c r="F18" i="24"/>
  <c r="F19" i="24"/>
  <c r="F20" i="24"/>
  <c r="F21" i="24"/>
  <c r="F22" i="24"/>
  <c r="F23" i="24"/>
  <c r="E91" i="6"/>
  <c r="C91" i="6"/>
  <c r="E147" i="6"/>
  <c r="C147" i="6"/>
  <c r="E110" i="6"/>
  <c r="C110" i="6"/>
  <c r="E101" i="6"/>
  <c r="C101" i="6"/>
  <c r="C9" i="35"/>
  <c r="B15" i="24"/>
  <c r="B16" i="24"/>
  <c r="B17" i="24"/>
  <c r="B18" i="24"/>
  <c r="B19" i="24"/>
  <c r="C131" i="6"/>
  <c r="B132" i="6" s="1"/>
  <c r="I72" i="18"/>
  <c r="I87" i="18"/>
  <c r="A31" i="12"/>
  <c r="C31" i="12"/>
  <c r="D3" i="19"/>
  <c r="D4" i="19"/>
  <c r="O4" i="19" s="1"/>
  <c r="D5" i="19"/>
  <c r="V5" i="19" s="1"/>
  <c r="D6" i="19"/>
  <c r="S6" i="19" s="1"/>
  <c r="D7" i="19"/>
  <c r="AG7" i="19" s="1"/>
  <c r="D8" i="19"/>
  <c r="AJ8" i="19" s="1"/>
  <c r="D2" i="19"/>
  <c r="D93" i="12"/>
  <c r="D92" i="12"/>
  <c r="D91" i="12"/>
  <c r="D90" i="12"/>
  <c r="D89" i="12"/>
  <c r="A100" i="12"/>
  <c r="A99" i="12"/>
  <c r="A98" i="12"/>
  <c r="A97" i="12"/>
  <c r="A96" i="12"/>
  <c r="A95" i="12"/>
  <c r="D63" i="12"/>
  <c r="D62" i="12"/>
  <c r="D61" i="12"/>
  <c r="D60" i="12"/>
  <c r="D59" i="12"/>
  <c r="D29" i="12"/>
  <c r="D28" i="12"/>
  <c r="D27" i="12"/>
  <c r="D26" i="12"/>
  <c r="D25" i="12"/>
  <c r="A94" i="12"/>
  <c r="A93" i="12"/>
  <c r="A92" i="12"/>
  <c r="A91" i="12"/>
  <c r="A90" i="12"/>
  <c r="A89" i="12"/>
  <c r="A68" i="12"/>
  <c r="A67" i="12"/>
  <c r="A66" i="12"/>
  <c r="A64" i="12"/>
  <c r="A63" i="12"/>
  <c r="A62" i="12"/>
  <c r="A61" i="12"/>
  <c r="A60" i="12"/>
  <c r="A59" i="12"/>
  <c r="A35" i="12"/>
  <c r="I78" i="18"/>
  <c r="A34" i="12"/>
  <c r="A33" i="12"/>
  <c r="A29" i="12"/>
  <c r="I75" i="18"/>
  <c r="A28" i="12"/>
  <c r="A27" i="12"/>
  <c r="A26" i="12"/>
  <c r="A25" i="12"/>
  <c r="I73" i="18"/>
  <c r="A65" i="12"/>
  <c r="A32" i="12"/>
  <c r="A30" i="12"/>
  <c r="C64" i="12"/>
  <c r="BQ64" i="12" s="1"/>
  <c r="C94" i="12"/>
  <c r="BR94" i="12" s="1"/>
  <c r="C90" i="12"/>
  <c r="C91" i="12"/>
  <c r="C92" i="12"/>
  <c r="C93" i="12"/>
  <c r="BO93" i="12" s="1"/>
  <c r="C95" i="12"/>
  <c r="C96" i="12"/>
  <c r="C97" i="12"/>
  <c r="C98" i="12"/>
  <c r="AK98" i="12" s="1"/>
  <c r="C99" i="12"/>
  <c r="AK99" i="12" s="1"/>
  <c r="C100" i="12"/>
  <c r="Q100" i="12" s="1"/>
  <c r="C89" i="12"/>
  <c r="B86" i="12"/>
  <c r="B56" i="12"/>
  <c r="B12" i="35"/>
  <c r="B11" i="35"/>
  <c r="B61" i="11"/>
  <c r="H49" i="11" s="1"/>
  <c r="H50" i="11" s="1"/>
  <c r="C30" i="12"/>
  <c r="AB30" i="12" s="1"/>
  <c r="C15" i="35"/>
  <c r="B14" i="35"/>
  <c r="B133" i="6"/>
  <c r="B65" i="6"/>
  <c r="B30" i="5"/>
  <c r="B29" i="5"/>
  <c r="C65" i="6"/>
  <c r="D15" i="35"/>
  <c r="I74" i="18"/>
  <c r="I71" i="18"/>
  <c r="J12" i="8"/>
  <c r="K12" i="8" s="1"/>
  <c r="C68" i="12"/>
  <c r="AN68" i="12" s="1"/>
  <c r="C67" i="12"/>
  <c r="C66" i="12"/>
  <c r="S66" i="12" s="1"/>
  <c r="C63" i="12"/>
  <c r="AK63" i="12" s="1"/>
  <c r="C62" i="12"/>
  <c r="C61" i="12"/>
  <c r="C60" i="12"/>
  <c r="C29" i="12"/>
  <c r="V29" i="12" s="1"/>
  <c r="B22" i="12"/>
  <c r="B66" i="15"/>
  <c r="A15" i="13" s="1"/>
  <c r="A65" i="15"/>
  <c r="B128" i="15"/>
  <c r="H50" i="18"/>
  <c r="I50" i="18" s="1"/>
  <c r="D50" i="18"/>
  <c r="E50" i="18" s="1"/>
  <c r="H49" i="18"/>
  <c r="I49" i="18" s="1"/>
  <c r="D49" i="18"/>
  <c r="E49" i="18" s="1"/>
  <c r="H48" i="18"/>
  <c r="I48" i="18" s="1"/>
  <c r="D48" i="18"/>
  <c r="E48" i="18" s="1"/>
  <c r="H47" i="18"/>
  <c r="I47" i="18" s="1"/>
  <c r="D47" i="18"/>
  <c r="E47" i="18" s="1"/>
  <c r="H46" i="18"/>
  <c r="I46" i="18" s="1"/>
  <c r="D46" i="18"/>
  <c r="E46" i="18" s="1"/>
  <c r="H45" i="18"/>
  <c r="I45" i="18" s="1"/>
  <c r="G13" i="12" s="1"/>
  <c r="D45" i="18"/>
  <c r="E45" i="18" s="1"/>
  <c r="F94" i="12" s="1"/>
  <c r="H44" i="18"/>
  <c r="I44" i="18" s="1"/>
  <c r="G95" i="12" s="1"/>
  <c r="D44" i="18"/>
  <c r="E44" i="18" s="1"/>
  <c r="F95" i="12" s="1"/>
  <c r="H43" i="18"/>
  <c r="I43" i="18" s="1"/>
  <c r="D43" i="18"/>
  <c r="E43" i="18" s="1"/>
  <c r="H42" i="18"/>
  <c r="I42" i="18" s="1"/>
  <c r="D42" i="18"/>
  <c r="E42" i="18" s="1"/>
  <c r="F15" i="12" s="1"/>
  <c r="H40" i="18"/>
  <c r="I40" i="18" s="1"/>
  <c r="D40" i="18"/>
  <c r="E40" i="18" s="1"/>
  <c r="H39" i="18"/>
  <c r="I39" i="18" s="1"/>
  <c r="D39" i="18"/>
  <c r="E39" i="18" s="1"/>
  <c r="H38" i="18"/>
  <c r="I38" i="18" s="1"/>
  <c r="D38" i="18"/>
  <c r="E38" i="18" s="1"/>
  <c r="H37" i="18"/>
  <c r="I37" i="18" s="1"/>
  <c r="D37" i="18"/>
  <c r="E37" i="18" s="1"/>
  <c r="H36" i="18"/>
  <c r="I36" i="18" s="1"/>
  <c r="D36" i="18"/>
  <c r="E36" i="18" s="1"/>
  <c r="H35" i="18"/>
  <c r="I35" i="18" s="1"/>
  <c r="D35" i="18"/>
  <c r="E35" i="18" s="1"/>
  <c r="H34" i="18"/>
  <c r="I34" i="18" s="1"/>
  <c r="D34" i="18"/>
  <c r="E34" i="18" s="1"/>
  <c r="H33" i="18"/>
  <c r="I33" i="18" s="1"/>
  <c r="D33" i="18"/>
  <c r="E33" i="18" s="1"/>
  <c r="H32" i="18"/>
  <c r="I32" i="18" s="1"/>
  <c r="D32" i="18"/>
  <c r="E32" i="18" s="1"/>
  <c r="H31" i="18"/>
  <c r="I31" i="18" s="1"/>
  <c r="D31" i="18"/>
  <c r="E31" i="18" s="1"/>
  <c r="H30" i="18"/>
  <c r="I30" i="18" s="1"/>
  <c r="D30" i="18"/>
  <c r="E30" i="18" s="1"/>
  <c r="H29" i="18"/>
  <c r="I29" i="18" s="1"/>
  <c r="D29" i="18"/>
  <c r="E29" i="18" s="1"/>
  <c r="H28" i="18"/>
  <c r="I28" i="18" s="1"/>
  <c r="D28" i="18"/>
  <c r="E28" i="18" s="1"/>
  <c r="H27" i="18"/>
  <c r="I27" i="18" s="1"/>
  <c r="D27" i="18"/>
  <c r="E27" i="18" s="1"/>
  <c r="H26" i="18"/>
  <c r="I26" i="18" s="1"/>
  <c r="D26" i="18"/>
  <c r="E26" i="18" s="1"/>
  <c r="H25" i="18"/>
  <c r="I25" i="18" s="1"/>
  <c r="D25" i="18"/>
  <c r="E25" i="18" s="1"/>
  <c r="H24" i="18"/>
  <c r="I24" i="18" s="1"/>
  <c r="D24" i="18"/>
  <c r="E24" i="18" s="1"/>
  <c r="H23" i="18"/>
  <c r="I23" i="18" s="1"/>
  <c r="D23" i="18"/>
  <c r="E23" i="18" s="1"/>
  <c r="H22" i="18"/>
  <c r="I22" i="18" s="1"/>
  <c r="D22" i="18"/>
  <c r="E22" i="18" s="1"/>
  <c r="H21" i="18"/>
  <c r="I21" i="18" s="1"/>
  <c r="D21" i="18"/>
  <c r="E21" i="18" s="1"/>
  <c r="H20" i="18"/>
  <c r="I20" i="18" s="1"/>
  <c r="D20" i="18"/>
  <c r="E20" i="18" s="1"/>
  <c r="H19" i="18"/>
  <c r="I19" i="18" s="1"/>
  <c r="D19" i="18"/>
  <c r="E19" i="18" s="1"/>
  <c r="H18" i="18"/>
  <c r="I18" i="18" s="1"/>
  <c r="D18" i="18"/>
  <c r="E18" i="18" s="1"/>
  <c r="H17" i="18"/>
  <c r="I17" i="18" s="1"/>
  <c r="D17" i="18"/>
  <c r="E17" i="18" s="1"/>
  <c r="H16" i="18"/>
  <c r="I16" i="18" s="1"/>
  <c r="D16" i="18"/>
  <c r="E16" i="18" s="1"/>
  <c r="H15" i="18"/>
  <c r="I15" i="18" s="1"/>
  <c r="D15" i="18"/>
  <c r="E15" i="18" s="1"/>
  <c r="H14" i="18"/>
  <c r="I14" i="18" s="1"/>
  <c r="D14" i="18"/>
  <c r="E14" i="18" s="1"/>
  <c r="H13" i="18"/>
  <c r="I13" i="18" s="1"/>
  <c r="D13" i="18"/>
  <c r="E13" i="18" s="1"/>
  <c r="H12" i="18"/>
  <c r="I12" i="18" s="1"/>
  <c r="D12" i="18"/>
  <c r="E12" i="18" s="1"/>
  <c r="H11" i="18"/>
  <c r="I11" i="18" s="1"/>
  <c r="D11" i="18"/>
  <c r="E11" i="18" s="1"/>
  <c r="H10" i="18"/>
  <c r="I10" i="18" s="1"/>
  <c r="D10" i="18"/>
  <c r="E10" i="18" s="1"/>
  <c r="H8" i="18"/>
  <c r="I8" i="18" s="1"/>
  <c r="D8" i="18"/>
  <c r="E8" i="18" s="1"/>
  <c r="H7" i="18"/>
  <c r="I7" i="18" s="1"/>
  <c r="D7" i="18"/>
  <c r="E7" i="18" s="1"/>
  <c r="C16" i="5" s="1"/>
  <c r="C15" i="5" s="1"/>
  <c r="H6" i="18"/>
  <c r="I6" i="18" s="1"/>
  <c r="D6" i="18"/>
  <c r="E6" i="18" s="1"/>
  <c r="I77" i="18"/>
  <c r="B38" i="34"/>
  <c r="E38" i="34" s="1"/>
  <c r="B33" i="34"/>
  <c r="B62" i="34" s="1"/>
  <c r="B34" i="34"/>
  <c r="B97" i="34" s="1"/>
  <c r="B35" i="34"/>
  <c r="G35" i="34" s="1"/>
  <c r="B39" i="34"/>
  <c r="C39" i="34" s="1"/>
  <c r="B40" i="34"/>
  <c r="E40" i="34" s="1"/>
  <c r="C65" i="15"/>
  <c r="B32" i="15"/>
  <c r="B33" i="15"/>
  <c r="B42" i="14"/>
  <c r="B43" i="14"/>
  <c r="B25" i="15"/>
  <c r="B19" i="17"/>
  <c r="C19" i="17" s="1"/>
  <c r="F17" i="34"/>
  <c r="B30" i="15"/>
  <c r="I76" i="18"/>
  <c r="C7" i="5"/>
  <c r="B14" i="24"/>
  <c r="B13" i="24"/>
  <c r="B134" i="6"/>
  <c r="F50" i="34"/>
  <c r="F49" i="34"/>
  <c r="F48" i="34"/>
  <c r="F40" i="34"/>
  <c r="F39" i="34"/>
  <c r="F35" i="34"/>
  <c r="B50" i="34"/>
  <c r="B49" i="34"/>
  <c r="B48" i="34"/>
  <c r="C48" i="34" s="1"/>
  <c r="B47" i="34"/>
  <c r="H47" i="34" s="1"/>
  <c r="E136" i="15"/>
  <c r="O4" i="8"/>
  <c r="O5" i="8"/>
  <c r="O6" i="8"/>
  <c r="O7" i="8"/>
  <c r="O8" i="8"/>
  <c r="O9" i="8"/>
  <c r="O10" i="8"/>
  <c r="O11" i="8"/>
  <c r="O12" i="8"/>
  <c r="O13" i="8"/>
  <c r="T7" i="18"/>
  <c r="U7" i="18"/>
  <c r="T8" i="18"/>
  <c r="U8" i="18"/>
  <c r="T9" i="18"/>
  <c r="U9" i="18"/>
  <c r="T12" i="18"/>
  <c r="U12" i="18"/>
  <c r="R13" i="18"/>
  <c r="T13" i="18" s="1"/>
  <c r="S13" i="18"/>
  <c r="U13" i="18" s="1"/>
  <c r="T14" i="18"/>
  <c r="U14" i="18"/>
  <c r="R16" i="18"/>
  <c r="T16" i="18" s="1"/>
  <c r="S16" i="18"/>
  <c r="U16" i="18" s="1"/>
  <c r="T17" i="18"/>
  <c r="U17" i="18"/>
  <c r="I82" i="18"/>
  <c r="I83" i="18"/>
  <c r="I84" i="18"/>
  <c r="Z701" i="11"/>
  <c r="AA531" i="11" s="1"/>
  <c r="AB531" i="11" s="1"/>
  <c r="AC531" i="11" s="1"/>
  <c r="AD531" i="11" s="1"/>
  <c r="AE531" i="11" s="1"/>
  <c r="AF531" i="11" s="1"/>
  <c r="AG531" i="11" s="1"/>
  <c r="AH531" i="11" s="1"/>
  <c r="AJ531" i="11"/>
  <c r="AK531" i="11" s="1"/>
  <c r="AL531" i="11" s="1"/>
  <c r="AM531" i="11" s="1"/>
  <c r="AN531" i="11" s="1"/>
  <c r="AO531" i="11" s="1"/>
  <c r="AP531" i="11" s="1"/>
  <c r="AQ531" i="11" s="1"/>
  <c r="AR531" i="11" s="1"/>
  <c r="AS531" i="11" s="1"/>
  <c r="AT531" i="11" s="1"/>
  <c r="AU531" i="11" s="1"/>
  <c r="AV531" i="11" s="1"/>
  <c r="AW531" i="11" s="1"/>
  <c r="AX531" i="11" s="1"/>
  <c r="AY531" i="11" s="1"/>
  <c r="AZ531" i="11" s="1"/>
  <c r="BA531" i="11" s="1"/>
  <c r="BB531" i="11" s="1"/>
  <c r="BC531" i="11" s="1"/>
  <c r="BD531" i="11" s="1"/>
  <c r="BE531" i="11" s="1"/>
  <c r="BF531" i="11" s="1"/>
  <c r="BG531" i="11" s="1"/>
  <c r="BH531" i="11" s="1"/>
  <c r="BI531" i="11" s="1"/>
  <c r="BJ531" i="11" s="1"/>
  <c r="BK531" i="11" s="1"/>
  <c r="BL531" i="11" s="1"/>
  <c r="BN531" i="11"/>
  <c r="BO531" i="11" s="1"/>
  <c r="BP531" i="11" s="1"/>
  <c r="BQ531" i="11" s="1"/>
  <c r="BR531" i="11" s="1"/>
  <c r="AX532" i="11"/>
  <c r="AJ532" i="11" s="1"/>
  <c r="AK532" i="11" s="1"/>
  <c r="AL532" i="11" s="1"/>
  <c r="AM532" i="11" s="1"/>
  <c r="AN532" i="11" s="1"/>
  <c r="AO532" i="11" s="1"/>
  <c r="AP532" i="11" s="1"/>
  <c r="AQ532" i="11" s="1"/>
  <c r="AR532" i="11" s="1"/>
  <c r="AS532" i="11" s="1"/>
  <c r="AT532" i="11" s="1"/>
  <c r="AU532" i="11" s="1"/>
  <c r="AV532" i="11" s="1"/>
  <c r="AW532" i="11" s="1"/>
  <c r="B704" i="11"/>
  <c r="C704" i="11"/>
  <c r="D704" i="11"/>
  <c r="E704" i="11"/>
  <c r="F704" i="11"/>
  <c r="G704" i="11"/>
  <c r="H704" i="11"/>
  <c r="I704" i="11"/>
  <c r="J704" i="11"/>
  <c r="K704" i="11"/>
  <c r="L704" i="11"/>
  <c r="M704" i="11"/>
  <c r="N704" i="11"/>
  <c r="O704" i="11"/>
  <c r="P704" i="11"/>
  <c r="Q704" i="11"/>
  <c r="R704" i="11"/>
  <c r="S704" i="11"/>
  <c r="T704" i="11"/>
  <c r="U704" i="11"/>
  <c r="V704" i="11"/>
  <c r="W704" i="11"/>
  <c r="X704" i="11"/>
  <c r="Y704" i="11"/>
  <c r="Z704" i="11"/>
  <c r="AA534" i="11"/>
  <c r="AB534" i="11"/>
  <c r="AC534" i="11"/>
  <c r="AD534" i="11"/>
  <c r="AE534" i="11"/>
  <c r="AF534" i="11"/>
  <c r="AG534" i="11"/>
  <c r="AH534" i="11"/>
  <c r="AI534" i="11"/>
  <c r="AJ534" i="11"/>
  <c r="AK534" i="11"/>
  <c r="AL534" i="11"/>
  <c r="AM534" i="11"/>
  <c r="AN534" i="11"/>
  <c r="AO534" i="11"/>
  <c r="AP534" i="11"/>
  <c r="AQ534" i="11"/>
  <c r="AR534" i="11"/>
  <c r="AS534" i="11"/>
  <c r="AT534" i="11"/>
  <c r="AU534" i="11"/>
  <c r="AV534" i="11"/>
  <c r="AW534" i="11"/>
  <c r="AX534" i="11"/>
  <c r="AY534" i="11"/>
  <c r="AZ534" i="11"/>
  <c r="BA534" i="11"/>
  <c r="BB534" i="11"/>
  <c r="BC534" i="11"/>
  <c r="BD534" i="11"/>
  <c r="BE534" i="11"/>
  <c r="BF534" i="11"/>
  <c r="BG534" i="11"/>
  <c r="BH534" i="11"/>
  <c r="BI534" i="11"/>
  <c r="BJ534" i="11"/>
  <c r="BK534" i="11"/>
  <c r="BL534" i="11"/>
  <c r="BM534" i="11"/>
  <c r="BN534" i="11"/>
  <c r="BO534" i="11"/>
  <c r="BP534" i="11"/>
  <c r="BQ534" i="11"/>
  <c r="BR534" i="11"/>
  <c r="E740" i="11"/>
  <c r="AI393" i="11" s="1"/>
  <c r="E741" i="11"/>
  <c r="E742" i="11"/>
  <c r="AI480" i="11" s="1"/>
  <c r="E743" i="11"/>
  <c r="E744" i="11"/>
  <c r="AI488" i="11" s="1"/>
  <c r="Z658" i="11" s="1"/>
  <c r="AA488" i="11" s="1"/>
  <c r="AB488" i="11" s="1"/>
  <c r="AC488" i="11" s="1"/>
  <c r="AD488" i="11" s="1"/>
  <c r="AE488" i="11" s="1"/>
  <c r="AF488" i="11" s="1"/>
  <c r="AG488" i="11" s="1"/>
  <c r="AH488" i="11" s="1"/>
  <c r="E745" i="11"/>
  <c r="AI254" i="11" s="1"/>
  <c r="E746" i="11"/>
  <c r="E747" i="11"/>
  <c r="AI266" i="11" s="1"/>
  <c r="B28" i="15"/>
  <c r="B29" i="15"/>
  <c r="B37" i="15"/>
  <c r="B40" i="15"/>
  <c r="B41" i="15"/>
  <c r="B42" i="15"/>
  <c r="B43" i="15"/>
  <c r="B44" i="15"/>
  <c r="B47" i="15"/>
  <c r="B48" i="15"/>
  <c r="H136" i="15"/>
  <c r="I136" i="15"/>
  <c r="C137" i="15"/>
  <c r="D137" i="15"/>
  <c r="E137" i="15"/>
  <c r="G137" i="15"/>
  <c r="H137" i="15"/>
  <c r="I137" i="15"/>
  <c r="K137" i="15"/>
  <c r="L137" i="15"/>
  <c r="M137" i="15"/>
  <c r="N137" i="15"/>
  <c r="C138" i="15"/>
  <c r="D138" i="15"/>
  <c r="E138" i="15"/>
  <c r="G138" i="15"/>
  <c r="H138" i="15"/>
  <c r="I138" i="15"/>
  <c r="K138" i="15"/>
  <c r="L138" i="15"/>
  <c r="M138" i="15"/>
  <c r="N138" i="15"/>
  <c r="R138" i="15"/>
  <c r="T138" i="15"/>
  <c r="U138" i="15"/>
  <c r="V138" i="15"/>
  <c r="B11" i="24"/>
  <c r="B15" i="17"/>
  <c r="F17" i="17"/>
  <c r="G17" i="17"/>
  <c r="D136" i="15"/>
  <c r="AC56" i="15"/>
  <c r="B138" i="15"/>
  <c r="D61" i="6"/>
  <c r="D36" i="35" l="1"/>
  <c r="D27" i="35"/>
  <c r="B186" i="15"/>
  <c r="Q65" i="15"/>
  <c r="B15" i="13"/>
  <c r="F14" i="13"/>
  <c r="AI507" i="11"/>
  <c r="Z677" i="11" s="1"/>
  <c r="AA507" i="11" s="1"/>
  <c r="AB507" i="11" s="1"/>
  <c r="AC507" i="11" s="1"/>
  <c r="AD507" i="11" s="1"/>
  <c r="AE507" i="11" s="1"/>
  <c r="AF507" i="11" s="1"/>
  <c r="AG507" i="11" s="1"/>
  <c r="AH507" i="11" s="1"/>
  <c r="D54" i="119"/>
  <c r="D189" i="119"/>
  <c r="D191" i="119"/>
  <c r="G60" i="119"/>
  <c r="G189" i="119"/>
  <c r="G191" i="119"/>
  <c r="E56" i="119"/>
  <c r="E189" i="119"/>
  <c r="E191" i="119"/>
  <c r="H6" i="119"/>
  <c r="C86" i="119" s="1"/>
  <c r="D86" i="119" s="1"/>
  <c r="F189" i="119"/>
  <c r="F191" i="119"/>
  <c r="I64" i="119"/>
  <c r="I189" i="119"/>
  <c r="I191" i="119"/>
  <c r="H62" i="119"/>
  <c r="H189" i="119"/>
  <c r="H191" i="119"/>
  <c r="C52" i="119"/>
  <c r="C189" i="119"/>
  <c r="C191" i="119"/>
  <c r="AI276" i="11"/>
  <c r="AX276" i="11" s="1"/>
  <c r="BM276" i="11" s="1"/>
  <c r="BR276" i="11" s="1"/>
  <c r="M17" i="12"/>
  <c r="AI494" i="11"/>
  <c r="AX494" i="11" s="1"/>
  <c r="BM494" i="11" s="1"/>
  <c r="BR494" i="11" s="1"/>
  <c r="AI380" i="11"/>
  <c r="Z550" i="11" s="1"/>
  <c r="AA380" i="11" s="1"/>
  <c r="AB380" i="11" s="1"/>
  <c r="AC380" i="11" s="1"/>
  <c r="AD380" i="11" s="1"/>
  <c r="AE380" i="11" s="1"/>
  <c r="AF380" i="11" s="1"/>
  <c r="AG380" i="11" s="1"/>
  <c r="AH380" i="11" s="1"/>
  <c r="AI277" i="11"/>
  <c r="AX277" i="11" s="1"/>
  <c r="BM277" i="11" s="1"/>
  <c r="BR277" i="11" s="1"/>
  <c r="D16" i="35"/>
  <c r="C13" i="24" s="1"/>
  <c r="G94" i="12"/>
  <c r="T15" i="18"/>
  <c r="AX480" i="11"/>
  <c r="BM480" i="11" s="1"/>
  <c r="BR480" i="11" s="1"/>
  <c r="Z650" i="11"/>
  <c r="AA480" i="11" s="1"/>
  <c r="AB480" i="11" s="1"/>
  <c r="AC480" i="11" s="1"/>
  <c r="AD480" i="11" s="1"/>
  <c r="AE480" i="11" s="1"/>
  <c r="AF480" i="11" s="1"/>
  <c r="AG480" i="11" s="1"/>
  <c r="AH480" i="11" s="1"/>
  <c r="G25" i="12"/>
  <c r="G91" i="12"/>
  <c r="G29" i="12"/>
  <c r="G92" i="12"/>
  <c r="G9" i="12"/>
  <c r="AI392" i="11"/>
  <c r="Z562" i="11" s="1"/>
  <c r="AA392" i="11" s="1"/>
  <c r="AB392" i="11" s="1"/>
  <c r="AC392" i="11" s="1"/>
  <c r="AD392" i="11" s="1"/>
  <c r="AE392" i="11" s="1"/>
  <c r="AF392" i="11" s="1"/>
  <c r="AG392" i="11" s="1"/>
  <c r="AH392" i="11" s="1"/>
  <c r="AI358" i="11"/>
  <c r="Z528" i="11" s="1"/>
  <c r="AA358" i="11" s="1"/>
  <c r="AB358" i="11" s="1"/>
  <c r="AC358" i="11" s="1"/>
  <c r="AD358" i="11" s="1"/>
  <c r="AE358" i="11" s="1"/>
  <c r="AF358" i="11" s="1"/>
  <c r="AG358" i="11" s="1"/>
  <c r="AH358" i="11" s="1"/>
  <c r="G64" i="12"/>
  <c r="F32" i="12"/>
  <c r="AI471" i="11"/>
  <c r="I85" i="18"/>
  <c r="AI369" i="11"/>
  <c r="AI472" i="11"/>
  <c r="F30" i="12"/>
  <c r="AI253" i="11"/>
  <c r="AI483" i="11"/>
  <c r="F49" i="11"/>
  <c r="F50" i="11" s="1"/>
  <c r="AI263" i="11"/>
  <c r="AX266" i="11"/>
  <c r="AJ266" i="11" s="1"/>
  <c r="AK266" i="11" s="1"/>
  <c r="AL266" i="11" s="1"/>
  <c r="AM266" i="11" s="1"/>
  <c r="AN266" i="11" s="1"/>
  <c r="AO266" i="11" s="1"/>
  <c r="AP266" i="11" s="1"/>
  <c r="AQ266" i="11" s="1"/>
  <c r="AR266" i="11" s="1"/>
  <c r="AS266" i="11" s="1"/>
  <c r="AT266" i="11" s="1"/>
  <c r="AU266" i="11" s="1"/>
  <c r="AV266" i="11" s="1"/>
  <c r="AW266" i="11" s="1"/>
  <c r="AE266" i="11"/>
  <c r="AF266" i="11" s="1"/>
  <c r="AG266" i="11" s="1"/>
  <c r="AH266" i="11" s="1"/>
  <c r="Z563" i="11"/>
  <c r="AA393" i="11" s="1"/>
  <c r="AB393" i="11" s="1"/>
  <c r="AC393" i="11" s="1"/>
  <c r="AD393" i="11" s="1"/>
  <c r="AE393" i="11" s="1"/>
  <c r="AF393" i="11" s="1"/>
  <c r="AG393" i="11" s="1"/>
  <c r="AH393" i="11" s="1"/>
  <c r="AX393" i="11"/>
  <c r="BM393" i="11" s="1"/>
  <c r="G97" i="12"/>
  <c r="G32" i="12"/>
  <c r="G96" i="12"/>
  <c r="AQ34" i="12"/>
  <c r="G7" i="12"/>
  <c r="H38" i="34"/>
  <c r="B116" i="34"/>
  <c r="G49" i="11"/>
  <c r="G50" i="11" s="1"/>
  <c r="G10" i="12"/>
  <c r="D102" i="6"/>
  <c r="E102" i="6" s="1"/>
  <c r="E49" i="11"/>
  <c r="E50" i="11" s="1"/>
  <c r="G59" i="12"/>
  <c r="G8" i="12"/>
  <c r="G28" i="12"/>
  <c r="G27" i="12"/>
  <c r="G90" i="12"/>
  <c r="G93" i="12"/>
  <c r="BM532" i="11"/>
  <c r="AY532" i="11" s="1"/>
  <c r="AZ532" i="11" s="1"/>
  <c r="BA532" i="11" s="1"/>
  <c r="BB532" i="11" s="1"/>
  <c r="BC532" i="11" s="1"/>
  <c r="BD532" i="11" s="1"/>
  <c r="BE532" i="11" s="1"/>
  <c r="BF532" i="11" s="1"/>
  <c r="BG532" i="11" s="1"/>
  <c r="BH532" i="11" s="1"/>
  <c r="BI532" i="11" s="1"/>
  <c r="BJ532" i="11" s="1"/>
  <c r="BK532" i="11" s="1"/>
  <c r="BL532" i="11" s="1"/>
  <c r="U15" i="18"/>
  <c r="T13" i="12"/>
  <c r="AQ13" i="12"/>
  <c r="BV13" i="12"/>
  <c r="BW13" i="12" s="1"/>
  <c r="BX13" i="12" s="1"/>
  <c r="BY13" i="12" s="1"/>
  <c r="BZ13" i="12" s="1"/>
  <c r="CA13" i="12" s="1"/>
  <c r="CB13" i="12" s="1"/>
  <c r="CC13" i="12" s="1"/>
  <c r="CD13" i="12" s="1"/>
  <c r="CE13" i="12" s="1"/>
  <c r="CF13" i="12" s="1"/>
  <c r="CG13" i="12" s="1"/>
  <c r="CH13" i="12" s="1"/>
  <c r="CI13" i="12" s="1"/>
  <c r="CJ13" i="12" s="1"/>
  <c r="CK13" i="12" s="1"/>
  <c r="CL13" i="12" s="1"/>
  <c r="CM13" i="12" s="1"/>
  <c r="CN13" i="12" s="1"/>
  <c r="CO13" i="12" s="1"/>
  <c r="CP13" i="12" s="1"/>
  <c r="CQ13" i="12" s="1"/>
  <c r="CR13" i="12" s="1"/>
  <c r="CS13" i="12" s="1"/>
  <c r="CT13" i="12" s="1"/>
  <c r="CU13" i="12" s="1"/>
  <c r="CV13" i="12" s="1"/>
  <c r="CW13" i="12" s="1"/>
  <c r="CX13" i="12" s="1"/>
  <c r="CY13" i="12" s="1"/>
  <c r="CZ13" i="12" s="1"/>
  <c r="AW13" i="12"/>
  <c r="AC13" i="12"/>
  <c r="P13" i="12"/>
  <c r="BR13" i="12"/>
  <c r="R13" i="12"/>
  <c r="BC13" i="12"/>
  <c r="P12" i="12"/>
  <c r="Q13" i="12"/>
  <c r="AR5" i="19"/>
  <c r="AK13" i="12"/>
  <c r="BN13" i="12"/>
  <c r="BD13" i="12"/>
  <c r="AV13" i="12"/>
  <c r="AY13" i="12"/>
  <c r="AP13" i="12"/>
  <c r="BI13" i="12"/>
  <c r="AE13" i="12"/>
  <c r="AN13" i="12"/>
  <c r="BL12" i="12"/>
  <c r="AA13" i="12"/>
  <c r="BF13" i="12"/>
  <c r="BB13" i="12"/>
  <c r="BB4" i="19"/>
  <c r="I13" i="12"/>
  <c r="BS13" i="12"/>
  <c r="AJ13" i="12"/>
  <c r="X13" i="12"/>
  <c r="AI12" i="12"/>
  <c r="AM13" i="12"/>
  <c r="L12" i="12"/>
  <c r="AS13" i="12"/>
  <c r="AU13" i="12"/>
  <c r="BU13" i="12"/>
  <c r="AB13" i="12"/>
  <c r="AH5" i="19"/>
  <c r="BQ13" i="12"/>
  <c r="Z13" i="12"/>
  <c r="H13" i="12"/>
  <c r="AR13" i="12"/>
  <c r="M4" i="19"/>
  <c r="W13" i="12"/>
  <c r="BP12" i="12"/>
  <c r="K13" i="12"/>
  <c r="BO13" i="12"/>
  <c r="BH13" i="12"/>
  <c r="BA5" i="19"/>
  <c r="BJ13" i="12"/>
  <c r="J13" i="12"/>
  <c r="S13" i="12"/>
  <c r="BE13" i="12"/>
  <c r="AP66" i="12"/>
  <c r="AB5" i="19"/>
  <c r="O13" i="12"/>
  <c r="AG13" i="12"/>
  <c r="AH13" i="12"/>
  <c r="AT13" i="12"/>
  <c r="M13" i="12"/>
  <c r="BK13" i="12"/>
  <c r="V13" i="12"/>
  <c r="L13" i="12"/>
  <c r="Q5" i="19"/>
  <c r="AO13" i="12"/>
  <c r="O66" i="12"/>
  <c r="AT5" i="19"/>
  <c r="AI13" i="12"/>
  <c r="BC12" i="12"/>
  <c r="AF13" i="12"/>
  <c r="BP13" i="12"/>
  <c r="AD13" i="12"/>
  <c r="BA13" i="12"/>
  <c r="AX13" i="12"/>
  <c r="O30" i="12"/>
  <c r="Y13" i="12"/>
  <c r="BJ5" i="19"/>
  <c r="Z12" i="12"/>
  <c r="BG13" i="12"/>
  <c r="BL13" i="12"/>
  <c r="AZ13" i="12"/>
  <c r="N13" i="12"/>
  <c r="BT13" i="12"/>
  <c r="AL13" i="12"/>
  <c r="BM13" i="12"/>
  <c r="B101" i="34"/>
  <c r="BH94" i="12"/>
  <c r="AD17" i="12"/>
  <c r="Q98" i="12"/>
  <c r="AZ94" i="12"/>
  <c r="AM94" i="12"/>
  <c r="V17" i="12"/>
  <c r="AP94" i="12"/>
  <c r="AM98" i="12"/>
  <c r="BB98" i="12" s="1"/>
  <c r="BQ98" i="12" s="1"/>
  <c r="BP94" i="12"/>
  <c r="AB17" i="12"/>
  <c r="N17" i="12"/>
  <c r="U18" i="12"/>
  <c r="W17" i="12"/>
  <c r="R17" i="12"/>
  <c r="D157" i="6"/>
  <c r="P5" i="19"/>
  <c r="AA94" i="12"/>
  <c r="AP34" i="12"/>
  <c r="AJ98" i="12"/>
  <c r="AR94" i="12"/>
  <c r="AE34" i="12"/>
  <c r="AE98" i="12"/>
  <c r="AT94" i="12"/>
  <c r="BD94" i="12"/>
  <c r="AU94" i="12"/>
  <c r="AI94" i="12"/>
  <c r="AS94" i="12"/>
  <c r="T98" i="12"/>
  <c r="N18" i="12"/>
  <c r="D93" i="6"/>
  <c r="S94" i="12"/>
  <c r="AQ98" i="12"/>
  <c r="P66" i="12"/>
  <c r="AC34" i="12"/>
  <c r="BM94" i="12"/>
  <c r="V98" i="12"/>
  <c r="K18" i="12"/>
  <c r="AK94" i="12"/>
  <c r="AH68" i="12"/>
  <c r="U94" i="12"/>
  <c r="O94" i="12"/>
  <c r="BC94" i="12"/>
  <c r="AG94" i="12"/>
  <c r="BJ94" i="12"/>
  <c r="Y98" i="12"/>
  <c r="R98" i="12"/>
  <c r="P98" i="12"/>
  <c r="AN94" i="12"/>
  <c r="BS94" i="12"/>
  <c r="R18" i="12"/>
  <c r="AI68" i="12"/>
  <c r="AC94" i="12"/>
  <c r="P94" i="12"/>
  <c r="BK94" i="12"/>
  <c r="AW94" i="12"/>
  <c r="AB98" i="12"/>
  <c r="AR98" i="12"/>
  <c r="Z98" i="12"/>
  <c r="X98" i="12"/>
  <c r="AE12" i="12"/>
  <c r="AR68" i="12"/>
  <c r="AV94" i="12"/>
  <c r="BO94" i="12"/>
  <c r="BQ94" i="12"/>
  <c r="T94" i="12"/>
  <c r="AB18" i="12"/>
  <c r="AY94" i="12"/>
  <c r="V94" i="12"/>
  <c r="AH98" i="12"/>
  <c r="R94" i="12"/>
  <c r="BG94" i="12"/>
  <c r="AQ94" i="12"/>
  <c r="Y94" i="12"/>
  <c r="AL98" i="12"/>
  <c r="Q94" i="12"/>
  <c r="AG99" i="12"/>
  <c r="S98" i="12"/>
  <c r="AL94" i="12"/>
  <c r="W94" i="12"/>
  <c r="BU94" i="12"/>
  <c r="AO94" i="12"/>
  <c r="AG98" i="12"/>
  <c r="U98" i="12"/>
  <c r="O98" i="12"/>
  <c r="AB12" i="12"/>
  <c r="AG12" i="12"/>
  <c r="BV12" i="12"/>
  <c r="BW12" i="12" s="1"/>
  <c r="BX12" i="12" s="1"/>
  <c r="BY12" i="12" s="1"/>
  <c r="BZ12" i="12" s="1"/>
  <c r="CA12" i="12" s="1"/>
  <c r="CB12" i="12" s="1"/>
  <c r="CC12" i="12" s="1"/>
  <c r="CD12" i="12" s="1"/>
  <c r="CE12" i="12" s="1"/>
  <c r="CF12" i="12" s="1"/>
  <c r="CG12" i="12" s="1"/>
  <c r="CH12" i="12" s="1"/>
  <c r="CI12" i="12" s="1"/>
  <c r="CJ12" i="12" s="1"/>
  <c r="CK12" i="12" s="1"/>
  <c r="CL12" i="12" s="1"/>
  <c r="CM12" i="12" s="1"/>
  <c r="CN12" i="12" s="1"/>
  <c r="CO12" i="12" s="1"/>
  <c r="CP12" i="12" s="1"/>
  <c r="CQ12" i="12" s="1"/>
  <c r="CR12" i="12" s="1"/>
  <c r="CS12" i="12" s="1"/>
  <c r="CT12" i="12" s="1"/>
  <c r="CU12" i="12" s="1"/>
  <c r="CV12" i="12" s="1"/>
  <c r="CW12" i="12" s="1"/>
  <c r="CX12" i="12" s="1"/>
  <c r="CY12" i="12" s="1"/>
  <c r="CZ12" i="12" s="1"/>
  <c r="Z94" i="12"/>
  <c r="AE29" i="12"/>
  <c r="AP68" i="12"/>
  <c r="BQ29" i="12"/>
  <c r="BB94" i="12"/>
  <c r="BF94" i="12"/>
  <c r="AO98" i="12"/>
  <c r="AA98" i="12"/>
  <c r="AF98" i="12"/>
  <c r="AD94" i="12"/>
  <c r="BA94" i="12"/>
  <c r="AT29" i="12"/>
  <c r="AH94" i="12"/>
  <c r="BT94" i="12"/>
  <c r="AD98" i="12"/>
  <c r="AP98" i="12"/>
  <c r="AN98" i="12"/>
  <c r="BN94" i="12"/>
  <c r="AE94" i="12"/>
  <c r="AJ94" i="12"/>
  <c r="AF94" i="12"/>
  <c r="BI94" i="12"/>
  <c r="AC98" i="12"/>
  <c r="AI98" i="12"/>
  <c r="W98" i="12"/>
  <c r="BH12" i="12"/>
  <c r="BL94" i="12"/>
  <c r="AP12" i="12"/>
  <c r="U14" i="12"/>
  <c r="U95" i="12"/>
  <c r="AJ95" i="12"/>
  <c r="AB95" i="12"/>
  <c r="AA95" i="12"/>
  <c r="F28" i="12"/>
  <c r="F61" i="12"/>
  <c r="F92" i="12"/>
  <c r="F89" i="12"/>
  <c r="F11" i="12"/>
  <c r="F26" i="12"/>
  <c r="F10" i="12"/>
  <c r="F7" i="12"/>
  <c r="F27" i="12"/>
  <c r="F63" i="12"/>
  <c r="F29" i="12"/>
  <c r="F91" i="12"/>
  <c r="F60" i="12"/>
  <c r="F62" i="12"/>
  <c r="F25" i="12"/>
  <c r="F93" i="12"/>
  <c r="F8" i="12"/>
  <c r="F59" i="12"/>
  <c r="F9" i="12"/>
  <c r="AP2" i="19"/>
  <c r="AA2" i="19"/>
  <c r="BT2" i="19"/>
  <c r="Y95" i="12"/>
  <c r="BN276" i="11"/>
  <c r="BO276" i="11" s="1"/>
  <c r="BP276" i="11" s="1"/>
  <c r="BQ276" i="11" s="1"/>
  <c r="BF64" i="12"/>
  <c r="AC64" i="12"/>
  <c r="AO64" i="12"/>
  <c r="E44" i="34"/>
  <c r="C44" i="34"/>
  <c r="AB31" i="12"/>
  <c r="BH31" i="12"/>
  <c r="BU31" i="12"/>
  <c r="BR31" i="12"/>
  <c r="F90" i="12"/>
  <c r="I79" i="18"/>
  <c r="I81" i="18"/>
  <c r="I80" i="18"/>
  <c r="AX392" i="11"/>
  <c r="S33" i="12"/>
  <c r="AA33" i="12"/>
  <c r="AK33" i="12"/>
  <c r="AC33" i="12"/>
  <c r="AA100" i="12"/>
  <c r="AX507" i="11"/>
  <c r="AX488" i="11"/>
  <c r="AE254" i="11"/>
  <c r="AF254" i="11" s="1"/>
  <c r="AG254" i="11" s="1"/>
  <c r="AH254" i="11" s="1"/>
  <c r="AX254" i="11"/>
  <c r="AJ254" i="11" s="1"/>
  <c r="AK254" i="11" s="1"/>
  <c r="AL254" i="11" s="1"/>
  <c r="AM254" i="11" s="1"/>
  <c r="AN254" i="11" s="1"/>
  <c r="AO254" i="11" s="1"/>
  <c r="AP254" i="11" s="1"/>
  <c r="AQ254" i="11" s="1"/>
  <c r="AR254" i="11" s="1"/>
  <c r="AS254" i="11" s="1"/>
  <c r="AT254" i="11" s="1"/>
  <c r="AU254" i="11" s="1"/>
  <c r="AV254" i="11" s="1"/>
  <c r="AW254" i="11" s="1"/>
  <c r="AB67" i="12"/>
  <c r="AI67" i="12"/>
  <c r="AF67" i="12"/>
  <c r="AL67" i="12"/>
  <c r="X67" i="12"/>
  <c r="Z67" i="12"/>
  <c r="C66" i="6"/>
  <c r="X18" i="12"/>
  <c r="I18" i="12"/>
  <c r="O18" i="12"/>
  <c r="T18" i="12"/>
  <c r="AF18" i="12"/>
  <c r="W18" i="12"/>
  <c r="AG18" i="12"/>
  <c r="M18" i="12"/>
  <c r="S18" i="12"/>
  <c r="H18" i="12"/>
  <c r="AH18" i="12"/>
  <c r="BB18" i="12" s="1"/>
  <c r="BQ18" i="12" s="1"/>
  <c r="BV18" i="12" s="1"/>
  <c r="V18" i="12"/>
  <c r="J18" i="12"/>
  <c r="Z18" i="12"/>
  <c r="Q18" i="12"/>
  <c r="P18" i="12"/>
  <c r="AD18" i="12"/>
  <c r="AQ67" i="12"/>
  <c r="Y18" i="12"/>
  <c r="AX380" i="11"/>
  <c r="F65" i="12"/>
  <c r="F97" i="12"/>
  <c r="F96" i="12"/>
  <c r="AJ6" i="19"/>
  <c r="BN6" i="19"/>
  <c r="F6" i="19"/>
  <c r="AR6" i="19"/>
  <c r="U6" i="19"/>
  <c r="BG6" i="19"/>
  <c r="P6" i="19"/>
  <c r="BP6" i="19"/>
  <c r="AI6" i="19"/>
  <c r="AE6" i="19"/>
  <c r="O6" i="19"/>
  <c r="AC18" i="12"/>
  <c r="AI267" i="11"/>
  <c r="AI269" i="11"/>
  <c r="AI376" i="11"/>
  <c r="AI490" i="11"/>
  <c r="AI374" i="11"/>
  <c r="D50" i="34"/>
  <c r="G50" i="34"/>
  <c r="F64" i="12"/>
  <c r="F12" i="12"/>
  <c r="F13" i="12"/>
  <c r="I86" i="18"/>
  <c r="B63" i="34"/>
  <c r="AI259" i="11"/>
  <c r="AI357" i="11"/>
  <c r="AI506" i="11"/>
  <c r="AI366" i="11"/>
  <c r="G89" i="12"/>
  <c r="G26" i="12"/>
  <c r="G60" i="12"/>
  <c r="G63" i="12"/>
  <c r="G62" i="12"/>
  <c r="G11" i="12"/>
  <c r="G61" i="12"/>
  <c r="G15" i="12"/>
  <c r="AH15" i="12" s="1"/>
  <c r="BB15" i="12" s="1"/>
  <c r="G65" i="12"/>
  <c r="B137" i="15"/>
  <c r="G30" i="12"/>
  <c r="G12" i="12"/>
  <c r="B281" i="15"/>
  <c r="B282" i="15"/>
  <c r="R95" i="12"/>
  <c r="AD95" i="12"/>
  <c r="BQ31" i="12"/>
  <c r="AG31" i="12"/>
  <c r="W31" i="12"/>
  <c r="B20" i="17"/>
  <c r="B21" i="17" s="1"/>
  <c r="B22" i="17" s="1"/>
  <c r="AO6" i="19"/>
  <c r="T95" i="12"/>
  <c r="AI31" i="12"/>
  <c r="AM95" i="12"/>
  <c r="BB95" i="12" s="1"/>
  <c r="BQ95" i="12" s="1"/>
  <c r="BV95" i="12" s="1"/>
  <c r="BW95" i="12" s="1"/>
  <c r="BX95" i="12" s="1"/>
  <c r="BY95" i="12" s="1"/>
  <c r="BZ95" i="12" s="1"/>
  <c r="CA95" i="12" s="1"/>
  <c r="CB95" i="12" s="1"/>
  <c r="CC95" i="12" s="1"/>
  <c r="CD95" i="12" s="1"/>
  <c r="CE95" i="12" s="1"/>
  <c r="CF95" i="12" s="1"/>
  <c r="CG95" i="12" s="1"/>
  <c r="CH95" i="12" s="1"/>
  <c r="CI95" i="12" s="1"/>
  <c r="CJ95" i="12" s="1"/>
  <c r="CK95" i="12" s="1"/>
  <c r="CL95" i="12" s="1"/>
  <c r="CM95" i="12" s="1"/>
  <c r="CN95" i="12" s="1"/>
  <c r="CO95" i="12" s="1"/>
  <c r="CP95" i="12" s="1"/>
  <c r="CQ95" i="12" s="1"/>
  <c r="CR95" i="12" s="1"/>
  <c r="CS95" i="12" s="1"/>
  <c r="CT95" i="12" s="1"/>
  <c r="CU95" i="12" s="1"/>
  <c r="CV95" i="12" s="1"/>
  <c r="CW95" i="12" s="1"/>
  <c r="CX95" i="12" s="1"/>
  <c r="CY95" i="12" s="1"/>
  <c r="CZ95" i="12" s="1"/>
  <c r="U63" i="12"/>
  <c r="AR66" i="12"/>
  <c r="AP95" i="12"/>
  <c r="AG95" i="12"/>
  <c r="O2" i="19"/>
  <c r="AZ31" i="12"/>
  <c r="X31" i="12"/>
  <c r="AL31" i="12"/>
  <c r="BB31" i="12"/>
  <c r="BI31" i="12"/>
  <c r="AQ95" i="12"/>
  <c r="AE31" i="12"/>
  <c r="W95" i="12"/>
  <c r="AN95" i="12"/>
  <c r="BE2" i="19"/>
  <c r="K2" i="19"/>
  <c r="AM93" i="12"/>
  <c r="Y31" i="12"/>
  <c r="BA8" i="19"/>
  <c r="BT31" i="12"/>
  <c r="AO95" i="12"/>
  <c r="BV31" i="12"/>
  <c r="BW31" i="12" s="1"/>
  <c r="BX31" i="12" s="1"/>
  <c r="BY31" i="12" s="1"/>
  <c r="BZ31" i="12" s="1"/>
  <c r="CA31" i="12" s="1"/>
  <c r="CB31" i="12" s="1"/>
  <c r="CC31" i="12" s="1"/>
  <c r="CD31" i="12" s="1"/>
  <c r="CE31" i="12" s="1"/>
  <c r="CF31" i="12" s="1"/>
  <c r="CG31" i="12" s="1"/>
  <c r="CH31" i="12" s="1"/>
  <c r="CI31" i="12" s="1"/>
  <c r="CJ31" i="12" s="1"/>
  <c r="CK31" i="12" s="1"/>
  <c r="CL31" i="12" s="1"/>
  <c r="CM31" i="12" s="1"/>
  <c r="CN31" i="12" s="1"/>
  <c r="CO31" i="12" s="1"/>
  <c r="CP31" i="12" s="1"/>
  <c r="CQ31" i="12" s="1"/>
  <c r="CR31" i="12" s="1"/>
  <c r="CS31" i="12" s="1"/>
  <c r="CT31" i="12" s="1"/>
  <c r="CU31" i="12" s="1"/>
  <c r="CV31" i="12" s="1"/>
  <c r="CW31" i="12" s="1"/>
  <c r="CX31" i="12" s="1"/>
  <c r="CY31" i="12" s="1"/>
  <c r="CZ31" i="12" s="1"/>
  <c r="P2" i="19"/>
  <c r="BK63" i="12"/>
  <c r="BU8" i="19"/>
  <c r="P95" i="12"/>
  <c r="AD63" i="12"/>
  <c r="N31" i="12"/>
  <c r="AU7" i="19"/>
  <c r="AA30" i="12"/>
  <c r="AD66" i="12"/>
  <c r="AN66" i="12"/>
  <c r="AC67" i="12"/>
  <c r="BQ30" i="12"/>
  <c r="AM66" i="12"/>
  <c r="BB66" i="12" s="1"/>
  <c r="BQ66" i="12" s="1"/>
  <c r="AL68" i="12"/>
  <c r="S34" i="12"/>
  <c r="P67" i="12"/>
  <c r="Y67" i="12"/>
  <c r="AB66" i="12"/>
  <c r="Z7" i="19"/>
  <c r="G7" i="19"/>
  <c r="Q7" i="19"/>
  <c r="M6" i="19"/>
  <c r="BV6" i="19"/>
  <c r="BW6" i="19" s="1"/>
  <c r="BX6" i="19" s="1"/>
  <c r="BY6" i="19" s="1"/>
  <c r="BZ6" i="19" s="1"/>
  <c r="CA6" i="19" s="1"/>
  <c r="CB6" i="19" s="1"/>
  <c r="CC6" i="19" s="1"/>
  <c r="CD6" i="19" s="1"/>
  <c r="CE6" i="19" s="1"/>
  <c r="CF6" i="19" s="1"/>
  <c r="CG6" i="19" s="1"/>
  <c r="CH6" i="19" s="1"/>
  <c r="CI6" i="19" s="1"/>
  <c r="CJ6" i="19" s="1"/>
  <c r="CK6" i="19" s="1"/>
  <c r="CL6" i="19" s="1"/>
  <c r="CM6" i="19" s="1"/>
  <c r="CN6" i="19" s="1"/>
  <c r="CO6" i="19" s="1"/>
  <c r="CP6" i="19" s="1"/>
  <c r="CQ6" i="19" s="1"/>
  <c r="CR6" i="19" s="1"/>
  <c r="CS6" i="19" s="1"/>
  <c r="CT6" i="19" s="1"/>
  <c r="CU6" i="19" s="1"/>
  <c r="CV6" i="19" s="1"/>
  <c r="CW6" i="19" s="1"/>
  <c r="CX6" i="19" s="1"/>
  <c r="CY6" i="19" s="1"/>
  <c r="CZ6" i="19" s="1"/>
  <c r="P8" i="19"/>
  <c r="AL66" i="12"/>
  <c r="AB6" i="19"/>
  <c r="E6" i="19"/>
  <c r="D25" i="35"/>
  <c r="C22" i="24" s="1"/>
  <c r="H22" i="24" s="1"/>
  <c r="BT93" i="12"/>
  <c r="AG67" i="12"/>
  <c r="Q33" i="12"/>
  <c r="Y66" i="12"/>
  <c r="R66" i="12"/>
  <c r="AH34" i="12"/>
  <c r="AA34" i="12"/>
  <c r="W67" i="12"/>
  <c r="AR67" i="12"/>
  <c r="AJ66" i="12"/>
  <c r="AI66" i="12"/>
  <c r="AD67" i="12"/>
  <c r="V7" i="19"/>
  <c r="AQ6" i="19"/>
  <c r="AD6" i="19"/>
  <c r="K8" i="19"/>
  <c r="F8" i="19"/>
  <c r="X68" i="12"/>
  <c r="BO6" i="19"/>
  <c r="BM6" i="19"/>
  <c r="BR30" i="12"/>
  <c r="BE6" i="19"/>
  <c r="J8" i="19"/>
  <c r="BJ8" i="19"/>
  <c r="BN7" i="19"/>
  <c r="AQ7" i="19"/>
  <c r="BP7" i="19"/>
  <c r="AG66" i="12"/>
  <c r="Z66" i="12"/>
  <c r="Y34" i="12"/>
  <c r="AI34" i="12"/>
  <c r="U67" i="12"/>
  <c r="AJ67" i="12"/>
  <c r="R67" i="12"/>
  <c r="U66" i="12"/>
  <c r="AK66" i="12"/>
  <c r="D17" i="35"/>
  <c r="F17" i="35" s="1"/>
  <c r="BF6" i="19"/>
  <c r="BD6" i="19"/>
  <c r="S7" i="19"/>
  <c r="AG8" i="19"/>
  <c r="AZ8" i="19"/>
  <c r="AS8" i="19"/>
  <c r="AH30" i="12"/>
  <c r="T6" i="19"/>
  <c r="AE65" i="15"/>
  <c r="K186" i="15"/>
  <c r="C186" i="15"/>
  <c r="J186" i="15"/>
  <c r="I186" i="15"/>
  <c r="H186" i="15"/>
  <c r="N186" i="15"/>
  <c r="F186" i="15"/>
  <c r="L186" i="15"/>
  <c r="D186" i="15"/>
  <c r="G186" i="15"/>
  <c r="M186" i="15"/>
  <c r="E186" i="15"/>
  <c r="W66" i="12"/>
  <c r="AE66" i="12"/>
  <c r="AK67" i="12"/>
  <c r="E8" i="19"/>
  <c r="AO66" i="12"/>
  <c r="AH66" i="12"/>
  <c r="Y99" i="12"/>
  <c r="AG34" i="12"/>
  <c r="AJ34" i="12"/>
  <c r="AH67" i="12"/>
  <c r="X66" i="12"/>
  <c r="V6" i="19"/>
  <c r="Z6" i="19"/>
  <c r="X8" i="19"/>
  <c r="D87" i="119"/>
  <c r="D90" i="119"/>
  <c r="B32" i="34"/>
  <c r="D40" i="34"/>
  <c r="P138" i="15"/>
  <c r="H34" i="34"/>
  <c r="G34" i="34"/>
  <c r="Q138" i="15"/>
  <c r="B68" i="34"/>
  <c r="C68" i="34" s="1"/>
  <c r="G39" i="34"/>
  <c r="H39" i="34"/>
  <c r="B102" i="34"/>
  <c r="E102" i="34" s="1"/>
  <c r="E39" i="34"/>
  <c r="B117" i="34"/>
  <c r="D39" i="34"/>
  <c r="H35" i="34"/>
  <c r="E47" i="34"/>
  <c r="B67" i="34"/>
  <c r="G38" i="34"/>
  <c r="G47" i="34"/>
  <c r="B98" i="34"/>
  <c r="B64" i="34"/>
  <c r="BL29" i="12"/>
  <c r="AO29" i="12"/>
  <c r="R29" i="12"/>
  <c r="Q29" i="12"/>
  <c r="AK29" i="12"/>
  <c r="AJ29" i="12"/>
  <c r="AQ29" i="12"/>
  <c r="AP29" i="12"/>
  <c r="S29" i="12"/>
  <c r="BN29" i="12"/>
  <c r="AB68" i="12"/>
  <c r="T68" i="12"/>
  <c r="N68" i="12"/>
  <c r="AC68" i="12"/>
  <c r="AG68" i="12"/>
  <c r="W68" i="12"/>
  <c r="AD68" i="12"/>
  <c r="Q68" i="12"/>
  <c r="AF68" i="12"/>
  <c r="AK30" i="12"/>
  <c r="AI30" i="12"/>
  <c r="BP30" i="12"/>
  <c r="BA30" i="12"/>
  <c r="Z30" i="12"/>
  <c r="BU30" i="12"/>
  <c r="AN30" i="12"/>
  <c r="BE30" i="12"/>
  <c r="V30" i="12"/>
  <c r="BL30" i="12"/>
  <c r="T30" i="12"/>
  <c r="Q30" i="12"/>
  <c r="BN30" i="12"/>
  <c r="AF30" i="12"/>
  <c r="AW30" i="12"/>
  <c r="X30" i="12"/>
  <c r="AE30" i="12"/>
  <c r="P30" i="12"/>
  <c r="AW7" i="19"/>
  <c r="H7" i="19"/>
  <c r="AB7" i="19"/>
  <c r="AA7" i="19"/>
  <c r="W7" i="19"/>
  <c r="AP7" i="19"/>
  <c r="AO7" i="19"/>
  <c r="AI7" i="19"/>
  <c r="BC7" i="19"/>
  <c r="I7" i="19"/>
  <c r="BH7" i="19"/>
  <c r="AT7" i="19"/>
  <c r="L7" i="19"/>
  <c r="BE7" i="19"/>
  <c r="AC7" i="19"/>
  <c r="AD7" i="19"/>
  <c r="BS7" i="19"/>
  <c r="BK7" i="19"/>
  <c r="AX7" i="19"/>
  <c r="BB7" i="19"/>
  <c r="AN7" i="19"/>
  <c r="BQ7" i="19"/>
  <c r="P7" i="19"/>
  <c r="X7" i="19"/>
  <c r="BQ14" i="12"/>
  <c r="BL14" i="12"/>
  <c r="BB14" i="12"/>
  <c r="BJ14" i="12"/>
  <c r="M14" i="12"/>
  <c r="S68" i="12"/>
  <c r="BT7" i="19"/>
  <c r="O29" i="12"/>
  <c r="Y30" i="12"/>
  <c r="W100" i="12"/>
  <c r="S100" i="12"/>
  <c r="U100" i="12"/>
  <c r="V68" i="12"/>
  <c r="AO68" i="12"/>
  <c r="AK14" i="12"/>
  <c r="U7" i="19"/>
  <c r="BO30" i="12"/>
  <c r="AC11" i="12"/>
  <c r="V11" i="12"/>
  <c r="O68" i="12"/>
  <c r="E7" i="19"/>
  <c r="R68" i="12"/>
  <c r="BK30" i="12"/>
  <c r="AO30" i="12"/>
  <c r="AA63" i="12"/>
  <c r="V63" i="12"/>
  <c r="BD63" i="12"/>
  <c r="AV63" i="12"/>
  <c r="AJ63" i="12"/>
  <c r="BM63" i="12"/>
  <c r="AN64" i="12"/>
  <c r="AB64" i="12"/>
  <c r="BE64" i="12"/>
  <c r="F4" i="19"/>
  <c r="AU4" i="19"/>
  <c r="AW4" i="19"/>
  <c r="BM4" i="19"/>
  <c r="BA4" i="19"/>
  <c r="AC4" i="19"/>
  <c r="AV4" i="19"/>
  <c r="BC4" i="19"/>
  <c r="S16" i="12"/>
  <c r="V16" i="12"/>
  <c r="L16" i="12"/>
  <c r="X16" i="12"/>
  <c r="T16" i="12"/>
  <c r="B37" i="34"/>
  <c r="B100" i="34" s="1"/>
  <c r="F137" i="15"/>
  <c r="F138" i="15"/>
  <c r="Q16" i="12"/>
  <c r="AD29" i="12"/>
  <c r="BB30" i="12"/>
  <c r="D37" i="35"/>
  <c r="F37" i="35" s="1"/>
  <c r="D28" i="35"/>
  <c r="C25" i="24" s="1"/>
  <c r="H25" i="24" s="1"/>
  <c r="D21" i="35"/>
  <c r="D33" i="35"/>
  <c r="D19" i="35"/>
  <c r="AJ68" i="12"/>
  <c r="D94" i="6"/>
  <c r="A49" i="14"/>
  <c r="B49" i="14" s="1"/>
  <c r="E49" i="14" s="1"/>
  <c r="AM68" i="12"/>
  <c r="BB68" i="12" s="1"/>
  <c r="O7" i="19"/>
  <c r="BM7" i="19"/>
  <c r="R7" i="19"/>
  <c r="BF30" i="12"/>
  <c r="BH30" i="12"/>
  <c r="AF12" i="12"/>
  <c r="AE17" i="12"/>
  <c r="Z17" i="12"/>
  <c r="Y6" i="19"/>
  <c r="AF6" i="19"/>
  <c r="BB6" i="19"/>
  <c r="BQ6" i="19"/>
  <c r="BG12" i="12"/>
  <c r="AM6" i="19"/>
  <c r="K12" i="12"/>
  <c r="N12" i="12"/>
  <c r="AC6" i="19"/>
  <c r="BA6" i="19"/>
  <c r="AN6" i="19"/>
  <c r="BK6" i="19"/>
  <c r="Q12" i="12"/>
  <c r="AP6" i="19"/>
  <c r="N6" i="19"/>
  <c r="AU12" i="12"/>
  <c r="BK12" i="12"/>
  <c r="H6" i="19"/>
  <c r="BL6" i="19"/>
  <c r="BT6" i="19"/>
  <c r="AT6" i="19"/>
  <c r="Q6" i="19"/>
  <c r="AV6" i="19"/>
  <c r="BE12" i="12"/>
  <c r="B112" i="34"/>
  <c r="E34" i="34"/>
  <c r="AF14" i="12"/>
  <c r="AU14" i="12"/>
  <c r="AT14" i="12"/>
  <c r="AM14" i="12"/>
  <c r="AX14" i="12"/>
  <c r="W14" i="12"/>
  <c r="AC14" i="12"/>
  <c r="BK14" i="12"/>
  <c r="Y14" i="12"/>
  <c r="AW14" i="12"/>
  <c r="BT14" i="12"/>
  <c r="Z14" i="12"/>
  <c r="BG14" i="12"/>
  <c r="BI14" i="12"/>
  <c r="L14" i="12"/>
  <c r="BE14" i="12"/>
  <c r="AH14" i="12"/>
  <c r="AP14" i="12"/>
  <c r="BA14" i="12"/>
  <c r="AI14" i="12"/>
  <c r="K14" i="12"/>
  <c r="N14" i="12"/>
  <c r="BM14" i="12"/>
  <c r="BN14" i="12"/>
  <c r="BH14" i="12"/>
  <c r="BC14" i="12"/>
  <c r="AS14" i="12"/>
  <c r="AY14" i="12"/>
  <c r="AG14" i="12"/>
  <c r="J14" i="12"/>
  <c r="V14" i="12"/>
  <c r="I14" i="12"/>
  <c r="BP14" i="12"/>
  <c r="H14" i="12"/>
  <c r="BR14" i="12"/>
  <c r="AN14" i="12"/>
  <c r="AK11" i="12"/>
  <c r="AQ64" i="12"/>
  <c r="AV14" i="12"/>
  <c r="AW11" i="12"/>
  <c r="AE14" i="12"/>
  <c r="BP64" i="12"/>
  <c r="AO33" i="12"/>
  <c r="U33" i="12"/>
  <c r="AJ33" i="12"/>
  <c r="AD33" i="12"/>
  <c r="AF33" i="12"/>
  <c r="AE33" i="12"/>
  <c r="N33" i="12"/>
  <c r="Z33" i="12"/>
  <c r="P33" i="12"/>
  <c r="AR33" i="12"/>
  <c r="V33" i="12"/>
  <c r="AP33" i="12"/>
  <c r="AH33" i="12"/>
  <c r="AB33" i="12"/>
  <c r="AG33" i="12"/>
  <c r="T33" i="12"/>
  <c r="AN33" i="12"/>
  <c r="X33" i="12"/>
  <c r="AL33" i="12"/>
  <c r="X14" i="12"/>
  <c r="R33" i="12"/>
  <c r="AI33" i="12"/>
  <c r="BK11" i="12"/>
  <c r="BI11" i="12"/>
  <c r="BR11" i="12"/>
  <c r="BT64" i="12"/>
  <c r="AD14" i="12"/>
  <c r="E4" i="19"/>
  <c r="AH63" i="12"/>
  <c r="AB63" i="12"/>
  <c r="S63" i="12"/>
  <c r="BN63" i="12"/>
  <c r="BS63" i="12"/>
  <c r="AZ63" i="12"/>
  <c r="BH63" i="12"/>
  <c r="AE63" i="12"/>
  <c r="BI63" i="12"/>
  <c r="BE63" i="12"/>
  <c r="W63" i="12"/>
  <c r="BL63" i="12"/>
  <c r="P63" i="12"/>
  <c r="AP63" i="12"/>
  <c r="BQ63" i="12"/>
  <c r="Q63" i="12"/>
  <c r="Z63" i="12"/>
  <c r="X63" i="12"/>
  <c r="AQ63" i="12"/>
  <c r="BC63" i="12"/>
  <c r="AM63" i="12"/>
  <c r="AY63" i="12"/>
  <c r="BP63" i="12"/>
  <c r="AF63" i="12"/>
  <c r="AL63" i="12"/>
  <c r="Y63" i="12"/>
  <c r="T63" i="12"/>
  <c r="O5" i="19"/>
  <c r="AG5" i="19"/>
  <c r="BE5" i="19"/>
  <c r="X5" i="19"/>
  <c r="AM5" i="19"/>
  <c r="BF5" i="19"/>
  <c r="AQ5" i="19"/>
  <c r="AN5" i="19"/>
  <c r="AD5" i="19"/>
  <c r="R5" i="19"/>
  <c r="AY5" i="19"/>
  <c r="BV5" i="19"/>
  <c r="BW5" i="19" s="1"/>
  <c r="BX5" i="19" s="1"/>
  <c r="BY5" i="19" s="1"/>
  <c r="BZ5" i="19" s="1"/>
  <c r="CA5" i="19" s="1"/>
  <c r="CB5" i="19" s="1"/>
  <c r="CC5" i="19" s="1"/>
  <c r="CD5" i="19" s="1"/>
  <c r="CE5" i="19" s="1"/>
  <c r="CF5" i="19" s="1"/>
  <c r="CG5" i="19" s="1"/>
  <c r="CH5" i="19" s="1"/>
  <c r="CI5" i="19" s="1"/>
  <c r="CJ5" i="19" s="1"/>
  <c r="CK5" i="19" s="1"/>
  <c r="CL5" i="19" s="1"/>
  <c r="CM5" i="19" s="1"/>
  <c r="CN5" i="19" s="1"/>
  <c r="CO5" i="19" s="1"/>
  <c r="CP5" i="19" s="1"/>
  <c r="CQ5" i="19" s="1"/>
  <c r="CR5" i="19" s="1"/>
  <c r="CS5" i="19" s="1"/>
  <c r="CT5" i="19" s="1"/>
  <c r="CU5" i="19" s="1"/>
  <c r="CV5" i="19" s="1"/>
  <c r="CW5" i="19" s="1"/>
  <c r="CX5" i="19" s="1"/>
  <c r="CY5" i="19" s="1"/>
  <c r="CZ5" i="19" s="1"/>
  <c r="BD5" i="19"/>
  <c r="M5" i="19"/>
  <c r="H5" i="19"/>
  <c r="AO5" i="19"/>
  <c r="BP5" i="19"/>
  <c r="AP5" i="19"/>
  <c r="D105" i="6"/>
  <c r="BS14" i="12"/>
  <c r="AY64" i="12"/>
  <c r="AR64" i="12"/>
  <c r="BD64" i="12"/>
  <c r="AF64" i="12"/>
  <c r="Q64" i="12"/>
  <c r="AX64" i="12"/>
  <c r="AD64" i="12"/>
  <c r="AM64" i="12"/>
  <c r="AT64" i="12"/>
  <c r="BR64" i="12"/>
  <c r="AE64" i="12"/>
  <c r="U64" i="12"/>
  <c r="AW64" i="12"/>
  <c r="AU64" i="12"/>
  <c r="S64" i="12"/>
  <c r="AS64" i="12"/>
  <c r="BI64" i="12"/>
  <c r="X64" i="12"/>
  <c r="V64" i="12"/>
  <c r="BB64" i="12"/>
  <c r="AH64" i="12"/>
  <c r="T64" i="12"/>
  <c r="AA64" i="12"/>
  <c r="BG64" i="12"/>
  <c r="W64" i="12"/>
  <c r="BC64" i="12"/>
  <c r="O64" i="12"/>
  <c r="AL14" i="12"/>
  <c r="Y33" i="12"/>
  <c r="Q11" i="12"/>
  <c r="AK64" i="12"/>
  <c r="Z64" i="12"/>
  <c r="BF14" i="12"/>
  <c r="AR14" i="12"/>
  <c r="O33" i="12"/>
  <c r="AM33" i="12"/>
  <c r="BB33" i="12" s="1"/>
  <c r="AZ14" i="12"/>
  <c r="BL64" i="12"/>
  <c r="AO14" i="12"/>
  <c r="BV64" i="12"/>
  <c r="BW64" i="12" s="1"/>
  <c r="BX64" i="12" s="1"/>
  <c r="BY64" i="12" s="1"/>
  <c r="BZ64" i="12" s="1"/>
  <c r="CA64" i="12" s="1"/>
  <c r="CB64" i="12" s="1"/>
  <c r="CC64" i="12" s="1"/>
  <c r="CD64" i="12" s="1"/>
  <c r="CE64" i="12" s="1"/>
  <c r="CF64" i="12" s="1"/>
  <c r="CG64" i="12" s="1"/>
  <c r="CH64" i="12" s="1"/>
  <c r="CI64" i="12" s="1"/>
  <c r="CJ64" i="12" s="1"/>
  <c r="CK64" i="12" s="1"/>
  <c r="CL64" i="12" s="1"/>
  <c r="CM64" i="12" s="1"/>
  <c r="CN64" i="12" s="1"/>
  <c r="CO64" i="12" s="1"/>
  <c r="CP64" i="12" s="1"/>
  <c r="CQ64" i="12" s="1"/>
  <c r="CR64" i="12" s="1"/>
  <c r="CS64" i="12" s="1"/>
  <c r="CT64" i="12" s="1"/>
  <c r="CU64" i="12" s="1"/>
  <c r="CV64" i="12" s="1"/>
  <c r="CW64" i="12" s="1"/>
  <c r="CX64" i="12" s="1"/>
  <c r="CY64" i="12" s="1"/>
  <c r="CZ64" i="12" s="1"/>
  <c r="S67" i="12"/>
  <c r="N67" i="12"/>
  <c r="AM67" i="12"/>
  <c r="BB67" i="12" s="1"/>
  <c r="BQ67" i="12" s="1"/>
  <c r="BV67" i="12" s="1"/>
  <c r="BW67" i="12" s="1"/>
  <c r="BX67" i="12" s="1"/>
  <c r="BY67" i="12" s="1"/>
  <c r="BZ67" i="12" s="1"/>
  <c r="CA67" i="12" s="1"/>
  <c r="CB67" i="12" s="1"/>
  <c r="CC67" i="12" s="1"/>
  <c r="CD67" i="12" s="1"/>
  <c r="CE67" i="12" s="1"/>
  <c r="CF67" i="12" s="1"/>
  <c r="CG67" i="12" s="1"/>
  <c r="CH67" i="12" s="1"/>
  <c r="CI67" i="12" s="1"/>
  <c r="CJ67" i="12" s="1"/>
  <c r="CK67" i="12" s="1"/>
  <c r="CL67" i="12" s="1"/>
  <c r="CM67" i="12" s="1"/>
  <c r="CN67" i="12" s="1"/>
  <c r="CO67" i="12" s="1"/>
  <c r="CP67" i="12" s="1"/>
  <c r="CQ67" i="12" s="1"/>
  <c r="CR67" i="12" s="1"/>
  <c r="CS67" i="12" s="1"/>
  <c r="CT67" i="12" s="1"/>
  <c r="CU67" i="12" s="1"/>
  <c r="CV67" i="12" s="1"/>
  <c r="CW67" i="12" s="1"/>
  <c r="CX67" i="12" s="1"/>
  <c r="CY67" i="12" s="1"/>
  <c r="CZ67" i="12" s="1"/>
  <c r="O67" i="12"/>
  <c r="AA67" i="12"/>
  <c r="Q67" i="12"/>
  <c r="V67" i="12"/>
  <c r="T67" i="12"/>
  <c r="AO67" i="12"/>
  <c r="AP67" i="12"/>
  <c r="AN67" i="12"/>
  <c r="AJ93" i="12"/>
  <c r="BH93" i="12"/>
  <c r="AU93" i="12"/>
  <c r="AK93" i="12"/>
  <c r="AP93" i="12"/>
  <c r="AA93" i="12"/>
  <c r="AR93" i="12"/>
  <c r="AZ93" i="12"/>
  <c r="AT93" i="12"/>
  <c r="AY2" i="19"/>
  <c r="BS2" i="19"/>
  <c r="AI2" i="19"/>
  <c r="AJ2" i="19"/>
  <c r="AV2" i="19"/>
  <c r="F2" i="19"/>
  <c r="AX2" i="19"/>
  <c r="AH2" i="19"/>
  <c r="J2" i="19"/>
  <c r="BL31" i="12"/>
  <c r="AV31" i="12"/>
  <c r="BF31" i="12"/>
  <c r="U31" i="12"/>
  <c r="BA31" i="12"/>
  <c r="AP31" i="12"/>
  <c r="AH31" i="12"/>
  <c r="BP31" i="12"/>
  <c r="AY31" i="12"/>
  <c r="BO31" i="12"/>
  <c r="AR31" i="12"/>
  <c r="AT31" i="12"/>
  <c r="V31" i="12"/>
  <c r="AS31" i="12"/>
  <c r="AM31" i="12"/>
  <c r="AJ31" i="12"/>
  <c r="BS31" i="12"/>
  <c r="BD31" i="12"/>
  <c r="AF31" i="12"/>
  <c r="AA31" i="12"/>
  <c r="AU31" i="12"/>
  <c r="AC31" i="12"/>
  <c r="BE31" i="12"/>
  <c r="AN31" i="12"/>
  <c r="BK31" i="12"/>
  <c r="BC31" i="12"/>
  <c r="AD31" i="12"/>
  <c r="AW31" i="12"/>
  <c r="BM31" i="12"/>
  <c r="AQ14" i="12"/>
  <c r="BV14" i="12"/>
  <c r="BW14" i="12" s="1"/>
  <c r="BX14" i="12" s="1"/>
  <c r="BY14" i="12" s="1"/>
  <c r="BZ14" i="12" s="1"/>
  <c r="CA14" i="12" s="1"/>
  <c r="CB14" i="12" s="1"/>
  <c r="CC14" i="12" s="1"/>
  <c r="CD14" i="12" s="1"/>
  <c r="CE14" i="12" s="1"/>
  <c r="CF14" i="12" s="1"/>
  <c r="CG14" i="12" s="1"/>
  <c r="CH14" i="12" s="1"/>
  <c r="CI14" i="12" s="1"/>
  <c r="CJ14" i="12" s="1"/>
  <c r="CK14" i="12" s="1"/>
  <c r="CL14" i="12" s="1"/>
  <c r="CM14" i="12" s="1"/>
  <c r="CN14" i="12" s="1"/>
  <c r="CO14" i="12" s="1"/>
  <c r="CP14" i="12" s="1"/>
  <c r="CQ14" i="12" s="1"/>
  <c r="CR14" i="12" s="1"/>
  <c r="CS14" i="12" s="1"/>
  <c r="CT14" i="12" s="1"/>
  <c r="CU14" i="12" s="1"/>
  <c r="CV14" i="12" s="1"/>
  <c r="CW14" i="12" s="1"/>
  <c r="CX14" i="12" s="1"/>
  <c r="CY14" i="12" s="1"/>
  <c r="CZ14" i="12" s="1"/>
  <c r="AA14" i="12"/>
  <c r="AX4" i="19"/>
  <c r="AK4" i="19"/>
  <c r="AQ4" i="19"/>
  <c r="J4" i="19"/>
  <c r="BL4" i="19"/>
  <c r="BU4" i="19"/>
  <c r="P4" i="19"/>
  <c r="I4" i="19"/>
  <c r="Q4" i="19"/>
  <c r="BI4" i="19"/>
  <c r="AE4" i="19"/>
  <c r="L4" i="19"/>
  <c r="AZ4" i="19"/>
  <c r="AO4" i="19"/>
  <c r="N4" i="19"/>
  <c r="BQ4" i="19"/>
  <c r="BK4" i="19"/>
  <c r="K4" i="19"/>
  <c r="BO4" i="19"/>
  <c r="U4" i="19"/>
  <c r="X4" i="19"/>
  <c r="AR11" i="12"/>
  <c r="AT11" i="12"/>
  <c r="M11" i="12"/>
  <c r="AA11" i="12"/>
  <c r="BS11" i="12"/>
  <c r="R11" i="12"/>
  <c r="BV11" i="12"/>
  <c r="BW11" i="12" s="1"/>
  <c r="BX11" i="12" s="1"/>
  <c r="BY11" i="12" s="1"/>
  <c r="BZ11" i="12" s="1"/>
  <c r="CA11" i="12" s="1"/>
  <c r="CB11" i="12" s="1"/>
  <c r="CC11" i="12" s="1"/>
  <c r="CD11" i="12" s="1"/>
  <c r="CE11" i="12" s="1"/>
  <c r="CF11" i="12" s="1"/>
  <c r="CG11" i="12" s="1"/>
  <c r="CH11" i="12" s="1"/>
  <c r="CI11" i="12" s="1"/>
  <c r="CJ11" i="12" s="1"/>
  <c r="CK11" i="12" s="1"/>
  <c r="CL11" i="12" s="1"/>
  <c r="CM11" i="12" s="1"/>
  <c r="CN11" i="12" s="1"/>
  <c r="CO11" i="12" s="1"/>
  <c r="CP11" i="12" s="1"/>
  <c r="CQ11" i="12" s="1"/>
  <c r="CR11" i="12" s="1"/>
  <c r="CS11" i="12" s="1"/>
  <c r="CT11" i="12" s="1"/>
  <c r="CU11" i="12" s="1"/>
  <c r="CV11" i="12" s="1"/>
  <c r="CW11" i="12" s="1"/>
  <c r="CX11" i="12" s="1"/>
  <c r="CY11" i="12" s="1"/>
  <c r="CZ11" i="12" s="1"/>
  <c r="AI11" i="12"/>
  <c r="AU11" i="12"/>
  <c r="AD11" i="12"/>
  <c r="AM11" i="12"/>
  <c r="AO11" i="12"/>
  <c r="BG11" i="12"/>
  <c r="BF11" i="12"/>
  <c r="BC11" i="12"/>
  <c r="BO11" i="12"/>
  <c r="AQ33" i="12"/>
  <c r="T11" i="12"/>
  <c r="BU14" i="12"/>
  <c r="AB14" i="12"/>
  <c r="W33" i="12"/>
  <c r="AJ14" i="12"/>
  <c r="R64" i="12"/>
  <c r="BG63" i="12"/>
  <c r="BI5" i="19"/>
  <c r="BO14" i="12"/>
  <c r="AE67" i="12"/>
  <c r="BU63" i="12"/>
  <c r="AS4" i="19"/>
  <c r="BG4" i="19"/>
  <c r="W4" i="19"/>
  <c r="D96" i="6"/>
  <c r="E96" i="6" s="1"/>
  <c r="D29" i="35"/>
  <c r="C26" i="24" s="1"/>
  <c r="H26" i="24" s="1"/>
  <c r="D34" i="35"/>
  <c r="D18" i="35"/>
  <c r="D92" i="6"/>
  <c r="D24" i="35"/>
  <c r="C21" i="24" s="1"/>
  <c r="H21" i="24" s="1"/>
  <c r="D95" i="6"/>
  <c r="D22" i="35"/>
  <c r="D20" i="35"/>
  <c r="Q34" i="12"/>
  <c r="T34" i="12"/>
  <c r="T12" i="12"/>
  <c r="BO12" i="12"/>
  <c r="AJ12" i="12"/>
  <c r="D35" i="35"/>
  <c r="D31" i="35"/>
  <c r="O34" i="12"/>
  <c r="AM29" i="12"/>
  <c r="AA29" i="12"/>
  <c r="BM29" i="12"/>
  <c r="BO29" i="12"/>
  <c r="AC66" i="12"/>
  <c r="V66" i="12"/>
  <c r="N66" i="12"/>
  <c r="Q66" i="12"/>
  <c r="AA66" i="12"/>
  <c r="AQ66" i="12"/>
  <c r="AF66" i="12"/>
  <c r="AH95" i="12"/>
  <c r="X95" i="12"/>
  <c r="AI95" i="12"/>
  <c r="Z95" i="12"/>
  <c r="AC95" i="12"/>
  <c r="V95" i="12"/>
  <c r="AF95" i="12"/>
  <c r="S95" i="12"/>
  <c r="AR95" i="12"/>
  <c r="O95" i="12"/>
  <c r="AE95" i="12"/>
  <c r="Q95" i="12"/>
  <c r="AF3" i="19"/>
  <c r="BG3" i="19"/>
  <c r="AZ3" i="19"/>
  <c r="X35" i="12"/>
  <c r="AD35" i="12"/>
  <c r="AM35" i="12"/>
  <c r="BB35" i="12" s="1"/>
  <c r="BQ35" i="12" s="1"/>
  <c r="AX29" i="12"/>
  <c r="AF29" i="12"/>
  <c r="BP29" i="12"/>
  <c r="AL29" i="12"/>
  <c r="BC29" i="12"/>
  <c r="BJ29" i="12"/>
  <c r="W29" i="12"/>
  <c r="BD29" i="12"/>
  <c r="BH29" i="12"/>
  <c r="AC29" i="12"/>
  <c r="AZ29" i="12"/>
  <c r="BI29" i="12"/>
  <c r="AR29" i="12"/>
  <c r="U29" i="12"/>
  <c r="AS29" i="12"/>
  <c r="AT12" i="12"/>
  <c r="S12" i="12"/>
  <c r="U12" i="12"/>
  <c r="W12" i="12"/>
  <c r="AC12" i="12"/>
  <c r="X12" i="12"/>
  <c r="AA12" i="12"/>
  <c r="BB12" i="12"/>
  <c r="AS12" i="12"/>
  <c r="AW12" i="12"/>
  <c r="BA12" i="12"/>
  <c r="BI12" i="12"/>
  <c r="BF12" i="12"/>
  <c r="BR12" i="12"/>
  <c r="R12" i="12"/>
  <c r="BM12" i="12"/>
  <c r="AK12" i="12"/>
  <c r="AZ12" i="12"/>
  <c r="AX12" i="12"/>
  <c r="AV12" i="12"/>
  <c r="AR12" i="12"/>
  <c r="AH17" i="12"/>
  <c r="BB17" i="12" s="1"/>
  <c r="BQ17" i="12" s="1"/>
  <c r="H17" i="12"/>
  <c r="P17" i="12"/>
  <c r="L17" i="12"/>
  <c r="AG17" i="12"/>
  <c r="AR34" i="12"/>
  <c r="V34" i="12"/>
  <c r="BS12" i="12"/>
  <c r="AH12" i="12"/>
  <c r="S17" i="12"/>
  <c r="BD12" i="12"/>
  <c r="V12" i="12"/>
  <c r="D23" i="35"/>
  <c r="O17" i="12"/>
  <c r="X34" i="12"/>
  <c r="AI29" i="12"/>
  <c r="BB29" i="12"/>
  <c r="AD12" i="12"/>
  <c r="BT29" i="12"/>
  <c r="AY29" i="12"/>
  <c r="BS29" i="12"/>
  <c r="J7" i="19"/>
  <c r="AK7" i="19"/>
  <c r="BD7" i="19"/>
  <c r="AE7" i="19"/>
  <c r="F7" i="19"/>
  <c r="AZ7" i="19"/>
  <c r="AS7" i="19"/>
  <c r="AJ7" i="19"/>
  <c r="BF7" i="19"/>
  <c r="AR7" i="19"/>
  <c r="AH7" i="19"/>
  <c r="BA7" i="19"/>
  <c r="BU7" i="19"/>
  <c r="BO7" i="19"/>
  <c r="AL7" i="19"/>
  <c r="N7" i="19"/>
  <c r="AV7" i="19"/>
  <c r="BR7" i="19"/>
  <c r="AM7" i="19"/>
  <c r="BI7" i="19"/>
  <c r="BJ7" i="19"/>
  <c r="BV7" i="19"/>
  <c r="BW7" i="19" s="1"/>
  <c r="BX7" i="19" s="1"/>
  <c r="BY7" i="19" s="1"/>
  <c r="BZ7" i="19" s="1"/>
  <c r="CA7" i="19" s="1"/>
  <c r="CB7" i="19" s="1"/>
  <c r="CC7" i="19" s="1"/>
  <c r="CD7" i="19" s="1"/>
  <c r="CE7" i="19" s="1"/>
  <c r="CF7" i="19" s="1"/>
  <c r="CG7" i="19" s="1"/>
  <c r="CH7" i="19" s="1"/>
  <c r="CI7" i="19" s="1"/>
  <c r="CJ7" i="19" s="1"/>
  <c r="CK7" i="19" s="1"/>
  <c r="CL7" i="19" s="1"/>
  <c r="CM7" i="19" s="1"/>
  <c r="CN7" i="19" s="1"/>
  <c r="CO7" i="19" s="1"/>
  <c r="CP7" i="19" s="1"/>
  <c r="CQ7" i="19" s="1"/>
  <c r="CR7" i="19" s="1"/>
  <c r="CS7" i="19" s="1"/>
  <c r="CT7" i="19" s="1"/>
  <c r="CU7" i="19" s="1"/>
  <c r="CV7" i="19" s="1"/>
  <c r="CW7" i="19" s="1"/>
  <c r="CX7" i="19" s="1"/>
  <c r="CY7" i="19" s="1"/>
  <c r="CZ7" i="19" s="1"/>
  <c r="T7" i="19"/>
  <c r="C146" i="6"/>
  <c r="I17" i="12"/>
  <c r="Z34" i="12"/>
  <c r="AM12" i="12"/>
  <c r="BN12" i="12"/>
  <c r="K17" i="12"/>
  <c r="T66" i="12"/>
  <c r="H12" i="12"/>
  <c r="M12" i="12"/>
  <c r="D97" i="6"/>
  <c r="E97" i="6" s="1"/>
  <c r="D30" i="35"/>
  <c r="C27" i="24" s="1"/>
  <c r="H27" i="24" s="1"/>
  <c r="AL95" i="12"/>
  <c r="AK95" i="12"/>
  <c r="D26" i="35"/>
  <c r="BE29" i="12"/>
  <c r="BG29" i="12"/>
  <c r="J12" i="12"/>
  <c r="M7" i="19"/>
  <c r="AQ12" i="12"/>
  <c r="AH29" i="12"/>
  <c r="AA56" i="15"/>
  <c r="Y56" i="15"/>
  <c r="AP3" i="19"/>
  <c r="L3" i="19"/>
  <c r="BB3" i="19"/>
  <c r="V3" i="19"/>
  <c r="AJ3" i="19"/>
  <c r="BF3" i="19"/>
  <c r="BN3" i="19"/>
  <c r="BL3" i="19"/>
  <c r="AB3" i="19"/>
  <c r="N3" i="19"/>
  <c r="AR3" i="19"/>
  <c r="AI3" i="19"/>
  <c r="AU3" i="19"/>
  <c r="AL3" i="19"/>
  <c r="BR3" i="19"/>
  <c r="AE3" i="19"/>
  <c r="BI3" i="19"/>
  <c r="AK3" i="19"/>
  <c r="BC3" i="19"/>
  <c r="Y3" i="19"/>
  <c r="U3" i="19"/>
  <c r="Z3" i="19"/>
  <c r="I3" i="19"/>
  <c r="BA3" i="19"/>
  <c r="AQ3" i="19"/>
  <c r="J3" i="19"/>
  <c r="W3" i="19"/>
  <c r="AS3" i="19"/>
  <c r="BV3" i="19"/>
  <c r="BW3" i="19" s="1"/>
  <c r="BX3" i="19" s="1"/>
  <c r="BY3" i="19" s="1"/>
  <c r="BZ3" i="19" s="1"/>
  <c r="CA3" i="19" s="1"/>
  <c r="CB3" i="19" s="1"/>
  <c r="CC3" i="19" s="1"/>
  <c r="CD3" i="19" s="1"/>
  <c r="CE3" i="19" s="1"/>
  <c r="CF3" i="19" s="1"/>
  <c r="CG3" i="19" s="1"/>
  <c r="CH3" i="19" s="1"/>
  <c r="CI3" i="19" s="1"/>
  <c r="CJ3" i="19" s="1"/>
  <c r="CK3" i="19" s="1"/>
  <c r="CL3" i="19" s="1"/>
  <c r="CM3" i="19" s="1"/>
  <c r="CN3" i="19" s="1"/>
  <c r="CO3" i="19" s="1"/>
  <c r="CP3" i="19" s="1"/>
  <c r="CQ3" i="19" s="1"/>
  <c r="CR3" i="19" s="1"/>
  <c r="CS3" i="19" s="1"/>
  <c r="CT3" i="19" s="1"/>
  <c r="CU3" i="19" s="1"/>
  <c r="CV3" i="19" s="1"/>
  <c r="CW3" i="19" s="1"/>
  <c r="CX3" i="19" s="1"/>
  <c r="CY3" i="19" s="1"/>
  <c r="CZ3" i="19" s="1"/>
  <c r="BP3" i="19"/>
  <c r="AX3" i="19"/>
  <c r="AC3" i="19"/>
  <c r="BO3" i="19"/>
  <c r="BU3" i="19"/>
  <c r="BJ3" i="19"/>
  <c r="BD3" i="19"/>
  <c r="BQ3" i="19"/>
  <c r="AW3" i="19"/>
  <c r="AM3" i="19"/>
  <c r="H3" i="19"/>
  <c r="X3" i="19"/>
  <c r="AO3" i="19"/>
  <c r="AY3" i="19"/>
  <c r="BK3" i="19"/>
  <c r="AV3" i="19"/>
  <c r="T3" i="19"/>
  <c r="BE3" i="19"/>
  <c r="F3" i="19"/>
  <c r="AA3" i="19"/>
  <c r="AT3" i="19"/>
  <c r="Q3" i="19"/>
  <c r="G3" i="19"/>
  <c r="BM3" i="19"/>
  <c r="M3" i="19"/>
  <c r="S3" i="19"/>
  <c r="O3" i="19"/>
  <c r="AG3" i="19"/>
  <c r="AH3" i="19"/>
  <c r="BH3" i="19"/>
  <c r="BT3" i="19"/>
  <c r="K3" i="19"/>
  <c r="E3" i="19"/>
  <c r="P3" i="19"/>
  <c r="AN3" i="19"/>
  <c r="BS3" i="19"/>
  <c r="AD3" i="19"/>
  <c r="P35" i="12"/>
  <c r="AQ35" i="12"/>
  <c r="AC35" i="12"/>
  <c r="N35" i="12"/>
  <c r="Z35" i="12"/>
  <c r="AH35" i="12"/>
  <c r="AJ35" i="12"/>
  <c r="O35" i="12"/>
  <c r="R35" i="12"/>
  <c r="Y35" i="12"/>
  <c r="AE35" i="12"/>
  <c r="AK35" i="12"/>
  <c r="W35" i="12"/>
  <c r="U35" i="12"/>
  <c r="AP35" i="12"/>
  <c r="AL35" i="12"/>
  <c r="V35" i="12"/>
  <c r="AI35" i="12"/>
  <c r="T35" i="12"/>
  <c r="AB35" i="12"/>
  <c r="AG35" i="12"/>
  <c r="Q35" i="12"/>
  <c r="S35" i="12"/>
  <c r="AO35" i="12"/>
  <c r="AF35" i="12"/>
  <c r="AN35" i="12"/>
  <c r="AA35" i="12"/>
  <c r="R3" i="19"/>
  <c r="AR35" i="12"/>
  <c r="AE100" i="12"/>
  <c r="AQ99" i="12"/>
  <c r="U99" i="12"/>
  <c r="W99" i="12"/>
  <c r="X99" i="12"/>
  <c r="AP99" i="12"/>
  <c r="AR99" i="12"/>
  <c r="AC99" i="12"/>
  <c r="AL99" i="12"/>
  <c r="V99" i="12"/>
  <c r="P99" i="12"/>
  <c r="Z99" i="12"/>
  <c r="AB99" i="12"/>
  <c r="AM99" i="12"/>
  <c r="BB99" i="12" s="1"/>
  <c r="O99" i="12"/>
  <c r="AO99" i="12"/>
  <c r="S99" i="12"/>
  <c r="AN99" i="12"/>
  <c r="AJ99" i="12"/>
  <c r="AA99" i="12"/>
  <c r="AF99" i="12"/>
  <c r="Q99" i="12"/>
  <c r="AD99" i="12"/>
  <c r="T99" i="12"/>
  <c r="AI99" i="12"/>
  <c r="AH99" i="12"/>
  <c r="AE99" i="12"/>
  <c r="R99" i="12"/>
  <c r="A97" i="14"/>
  <c r="C97" i="14" s="1"/>
  <c r="L65" i="15"/>
  <c r="W65" i="15"/>
  <c r="O65" i="15"/>
  <c r="D65" i="15"/>
  <c r="M65" i="15" s="1"/>
  <c r="J65" i="15"/>
  <c r="AF65" i="15"/>
  <c r="I65" i="15"/>
  <c r="P65" i="15"/>
  <c r="R65" i="15"/>
  <c r="N65" i="15"/>
  <c r="F65" i="15"/>
  <c r="R100" i="12"/>
  <c r="AK100" i="12"/>
  <c r="AJ100" i="12"/>
  <c r="AD100" i="12"/>
  <c r="O100" i="12"/>
  <c r="AP100" i="12"/>
  <c r="T100" i="12"/>
  <c r="AN100" i="12"/>
  <c r="AC100" i="12"/>
  <c r="V100" i="12"/>
  <c r="AG100" i="12"/>
  <c r="AI100" i="12"/>
  <c r="AH100" i="12"/>
  <c r="AO100" i="12"/>
  <c r="AR100" i="12"/>
  <c r="AM100" i="12"/>
  <c r="BB100" i="12" s="1"/>
  <c r="P100" i="12"/>
  <c r="AB100" i="12"/>
  <c r="AL100" i="12"/>
  <c r="X100" i="12"/>
  <c r="AF100" i="12"/>
  <c r="AQ100" i="12"/>
  <c r="Z100" i="12"/>
  <c r="Y100" i="12"/>
  <c r="C66" i="15"/>
  <c r="AV93" i="12"/>
  <c r="AC93" i="12"/>
  <c r="AL93" i="12"/>
  <c r="BA93" i="12"/>
  <c r="BS93" i="12"/>
  <c r="AB93" i="12"/>
  <c r="AN93" i="12"/>
  <c r="AE93" i="12"/>
  <c r="W93" i="12"/>
  <c r="AY93" i="12"/>
  <c r="BI93" i="12"/>
  <c r="BG93" i="12"/>
  <c r="BE93" i="12"/>
  <c r="BD93" i="12"/>
  <c r="BF93" i="12"/>
  <c r="Q93" i="12"/>
  <c r="P93" i="12"/>
  <c r="X93" i="12"/>
  <c r="AD93" i="12"/>
  <c r="AQ93" i="12"/>
  <c r="BB93" i="12"/>
  <c r="AH93" i="12"/>
  <c r="BR93" i="12"/>
  <c r="S93" i="12"/>
  <c r="BV93" i="12"/>
  <c r="BW93" i="12" s="1"/>
  <c r="BX93" i="12" s="1"/>
  <c r="BY93" i="12" s="1"/>
  <c r="BZ93" i="12" s="1"/>
  <c r="CA93" i="12" s="1"/>
  <c r="CB93" i="12" s="1"/>
  <c r="CC93" i="12" s="1"/>
  <c r="CD93" i="12" s="1"/>
  <c r="CE93" i="12" s="1"/>
  <c r="CF93" i="12" s="1"/>
  <c r="CG93" i="12" s="1"/>
  <c r="CH93" i="12" s="1"/>
  <c r="CI93" i="12" s="1"/>
  <c r="CJ93" i="12" s="1"/>
  <c r="CK93" i="12" s="1"/>
  <c r="CL93" i="12" s="1"/>
  <c r="CM93" i="12" s="1"/>
  <c r="CN93" i="12" s="1"/>
  <c r="CO93" i="12" s="1"/>
  <c r="CP93" i="12" s="1"/>
  <c r="CQ93" i="12" s="1"/>
  <c r="CR93" i="12" s="1"/>
  <c r="CS93" i="12" s="1"/>
  <c r="CT93" i="12" s="1"/>
  <c r="CU93" i="12" s="1"/>
  <c r="CV93" i="12" s="1"/>
  <c r="CW93" i="12" s="1"/>
  <c r="CX93" i="12" s="1"/>
  <c r="CY93" i="12" s="1"/>
  <c r="CZ93" i="12" s="1"/>
  <c r="Y93" i="12"/>
  <c r="BU93" i="12"/>
  <c r="AX93" i="12"/>
  <c r="BK93" i="12"/>
  <c r="BN93" i="12"/>
  <c r="Z93" i="12"/>
  <c r="AF93" i="12"/>
  <c r="BM93" i="12"/>
  <c r="T93" i="12"/>
  <c r="BQ93" i="12"/>
  <c r="U93" i="12"/>
  <c r="BP93" i="12"/>
  <c r="O93" i="12"/>
  <c r="AI93" i="12"/>
  <c r="AG93" i="12"/>
  <c r="AW93" i="12"/>
  <c r="AO93" i="12"/>
  <c r="BL93" i="12"/>
  <c r="V93" i="12"/>
  <c r="BC93" i="12"/>
  <c r="AC2" i="19"/>
  <c r="X2" i="19"/>
  <c r="E2" i="19"/>
  <c r="BL2" i="19"/>
  <c r="BK2" i="19"/>
  <c r="W2" i="19"/>
  <c r="H2" i="19"/>
  <c r="AO2" i="19"/>
  <c r="BO2" i="19"/>
  <c r="BR2" i="19"/>
  <c r="S2" i="19"/>
  <c r="V2" i="19"/>
  <c r="U2" i="19"/>
  <c r="T2" i="19"/>
  <c r="Z2" i="19"/>
  <c r="Q2" i="19"/>
  <c r="AS2" i="19"/>
  <c r="BM2" i="19"/>
  <c r="BQ2" i="19"/>
  <c r="BP2" i="19"/>
  <c r="AR2" i="19"/>
  <c r="BD2" i="19"/>
  <c r="AF2" i="19"/>
  <c r="AG2" i="19"/>
  <c r="AL2" i="19"/>
  <c r="R2" i="19"/>
  <c r="AT2" i="19"/>
  <c r="AK2" i="19"/>
  <c r="BC2" i="19"/>
  <c r="AB2" i="19"/>
  <c r="BA2" i="19"/>
  <c r="AM2" i="19"/>
  <c r="BN2" i="19"/>
  <c r="AE2" i="19"/>
  <c r="BI2" i="19"/>
  <c r="I2" i="19"/>
  <c r="BF2" i="19"/>
  <c r="AZ2" i="19"/>
  <c r="AQ2" i="19"/>
  <c r="M2" i="19"/>
  <c r="AD2" i="19"/>
  <c r="BU2" i="19"/>
  <c r="BJ2" i="19"/>
  <c r="N2" i="19"/>
  <c r="L2" i="19"/>
  <c r="AU2" i="19"/>
  <c r="AW2" i="19"/>
  <c r="AN2" i="19"/>
  <c r="Y2" i="19"/>
  <c r="BG2" i="19"/>
  <c r="BV2" i="19"/>
  <c r="BW2" i="19" s="1"/>
  <c r="BX2" i="19" s="1"/>
  <c r="BY2" i="19" s="1"/>
  <c r="BZ2" i="19" s="1"/>
  <c r="CA2" i="19" s="1"/>
  <c r="CB2" i="19" s="1"/>
  <c r="CC2" i="19" s="1"/>
  <c r="CD2" i="19" s="1"/>
  <c r="CE2" i="19" s="1"/>
  <c r="CF2" i="19" s="1"/>
  <c r="CG2" i="19" s="1"/>
  <c r="CH2" i="19" s="1"/>
  <c r="CI2" i="19" s="1"/>
  <c r="CJ2" i="19" s="1"/>
  <c r="CK2" i="19" s="1"/>
  <c r="CL2" i="19" s="1"/>
  <c r="CM2" i="19" s="1"/>
  <c r="CN2" i="19" s="1"/>
  <c r="CO2" i="19" s="1"/>
  <c r="CP2" i="19" s="1"/>
  <c r="CQ2" i="19" s="1"/>
  <c r="CR2" i="19" s="1"/>
  <c r="CS2" i="19" s="1"/>
  <c r="CT2" i="19" s="1"/>
  <c r="CU2" i="19" s="1"/>
  <c r="CV2" i="19" s="1"/>
  <c r="CW2" i="19" s="1"/>
  <c r="CX2" i="19" s="1"/>
  <c r="CY2" i="19" s="1"/>
  <c r="CZ2" i="19" s="1"/>
  <c r="BH2" i="19"/>
  <c r="BB2" i="19"/>
  <c r="BJ11" i="12"/>
  <c r="AX11" i="12"/>
  <c r="BL11" i="12"/>
  <c r="Y11" i="12"/>
  <c r="N11" i="12"/>
  <c r="BM11" i="12"/>
  <c r="S11" i="12"/>
  <c r="U11" i="12"/>
  <c r="K11" i="12"/>
  <c r="H11" i="12"/>
  <c r="BD11" i="12"/>
  <c r="AG11" i="12"/>
  <c r="BN11" i="12"/>
  <c r="AH11" i="12"/>
  <c r="AY11" i="12"/>
  <c r="BA11" i="12"/>
  <c r="AQ11" i="12"/>
  <c r="BT11" i="12"/>
  <c r="P11" i="12"/>
  <c r="BP11" i="12"/>
  <c r="BQ11" i="12"/>
  <c r="W11" i="12"/>
  <c r="AS11" i="12"/>
  <c r="BE11" i="12"/>
  <c r="O11" i="12"/>
  <c r="BU11" i="12"/>
  <c r="AL11" i="12"/>
  <c r="BH11" i="12"/>
  <c r="AV11" i="12"/>
  <c r="I11" i="12"/>
  <c r="Z11" i="12"/>
  <c r="AJ11" i="12"/>
  <c r="L11" i="12"/>
  <c r="AP11" i="12"/>
  <c r="J11" i="12"/>
  <c r="AZ11" i="12"/>
  <c r="AB11" i="12"/>
  <c r="AS93" i="12"/>
  <c r="R93" i="12"/>
  <c r="BJ93" i="12"/>
  <c r="K14" i="8"/>
  <c r="M8" i="19"/>
  <c r="BP8" i="19"/>
  <c r="L8" i="19"/>
  <c r="AQ8" i="19"/>
  <c r="BT8" i="19"/>
  <c r="AK8" i="19"/>
  <c r="BR8" i="19"/>
  <c r="AC8" i="19"/>
  <c r="AB8" i="19"/>
  <c r="BH8" i="19"/>
  <c r="AO8" i="19"/>
  <c r="BF8" i="19"/>
  <c r="I8" i="19"/>
  <c r="BS8" i="19"/>
  <c r="BG8" i="19"/>
  <c r="AV8" i="19"/>
  <c r="BL8" i="19"/>
  <c r="S8" i="19"/>
  <c r="Q8" i="19"/>
  <c r="AT8" i="19"/>
  <c r="BQ8" i="19"/>
  <c r="AW8" i="19"/>
  <c r="AX8" i="19"/>
  <c r="AM8" i="19"/>
  <c r="AN8" i="19"/>
  <c r="U8" i="19"/>
  <c r="BC8" i="19"/>
  <c r="G8" i="19"/>
  <c r="BV8" i="19"/>
  <c r="BW8" i="19" s="1"/>
  <c r="BX8" i="19" s="1"/>
  <c r="BY8" i="19" s="1"/>
  <c r="BZ8" i="19" s="1"/>
  <c r="CA8" i="19" s="1"/>
  <c r="CB8" i="19" s="1"/>
  <c r="CC8" i="19" s="1"/>
  <c r="CD8" i="19" s="1"/>
  <c r="CE8" i="19" s="1"/>
  <c r="CF8" i="19" s="1"/>
  <c r="CG8" i="19" s="1"/>
  <c r="CH8" i="19" s="1"/>
  <c r="CI8" i="19" s="1"/>
  <c r="CJ8" i="19" s="1"/>
  <c r="CK8" i="19" s="1"/>
  <c r="CL8" i="19" s="1"/>
  <c r="CM8" i="19" s="1"/>
  <c r="CN8" i="19" s="1"/>
  <c r="CO8" i="19" s="1"/>
  <c r="CP8" i="19" s="1"/>
  <c r="CQ8" i="19" s="1"/>
  <c r="CR8" i="19" s="1"/>
  <c r="CS8" i="19" s="1"/>
  <c r="CT8" i="19" s="1"/>
  <c r="CU8" i="19" s="1"/>
  <c r="CV8" i="19" s="1"/>
  <c r="CW8" i="19" s="1"/>
  <c r="CX8" i="19" s="1"/>
  <c r="CY8" i="19" s="1"/>
  <c r="CZ8" i="19" s="1"/>
  <c r="H8" i="19"/>
  <c r="O8" i="19"/>
  <c r="BK8" i="19"/>
  <c r="AL8" i="19"/>
  <c r="BE8" i="19"/>
  <c r="BO8" i="19"/>
  <c r="AD8" i="19"/>
  <c r="AI8" i="19"/>
  <c r="AP8" i="19"/>
  <c r="AE8" i="19"/>
  <c r="N8" i="19"/>
  <c r="AU8" i="19"/>
  <c r="AY8" i="19"/>
  <c r="BB8" i="19"/>
  <c r="AA8" i="19"/>
  <c r="V8" i="19"/>
  <c r="AF8" i="19"/>
  <c r="R8" i="19"/>
  <c r="BN8" i="19"/>
  <c r="AR8" i="19"/>
  <c r="AH8" i="19"/>
  <c r="BI8" i="19"/>
  <c r="T8" i="19"/>
  <c r="Y8" i="19"/>
  <c r="BD8" i="19"/>
  <c r="H16" i="12"/>
  <c r="W16" i="12"/>
  <c r="AH16" i="12"/>
  <c r="BB16" i="12" s="1"/>
  <c r="J16" i="12"/>
  <c r="AA16" i="12"/>
  <c r="K16" i="12"/>
  <c r="AG16" i="12"/>
  <c r="U16" i="12"/>
  <c r="AD16" i="12"/>
  <c r="AC16" i="12"/>
  <c r="Z16" i="12"/>
  <c r="P16" i="12"/>
  <c r="AB16" i="12"/>
  <c r="O16" i="12"/>
  <c r="Y16" i="12"/>
  <c r="M16" i="12"/>
  <c r="AF16" i="12"/>
  <c r="R16" i="12"/>
  <c r="I16" i="12"/>
  <c r="AE16" i="12"/>
  <c r="AE11" i="12"/>
  <c r="X11" i="12"/>
  <c r="AF11" i="12"/>
  <c r="BB11" i="12"/>
  <c r="G2" i="19"/>
  <c r="AN11" i="12"/>
  <c r="Z8" i="19"/>
  <c r="W8" i="19"/>
  <c r="BM8" i="19"/>
  <c r="B67" i="15"/>
  <c r="A16" i="13" s="1"/>
  <c r="BC5" i="19"/>
  <c r="AV5" i="19"/>
  <c r="BL5" i="19"/>
  <c r="BK5" i="19"/>
  <c r="F5" i="19"/>
  <c r="BM5" i="19"/>
  <c r="AX5" i="19"/>
  <c r="BG5" i="19"/>
  <c r="E5" i="19"/>
  <c r="K5" i="19"/>
  <c r="AE5" i="19"/>
  <c r="BU5" i="19"/>
  <c r="N5" i="19"/>
  <c r="AC5" i="19"/>
  <c r="BO5" i="19"/>
  <c r="U5" i="19"/>
  <c r="AI5" i="19"/>
  <c r="Y5" i="19"/>
  <c r="BQ5" i="19"/>
  <c r="AK5" i="19"/>
  <c r="AL5" i="19"/>
  <c r="BS5" i="19"/>
  <c r="Z5" i="19"/>
  <c r="AW5" i="19"/>
  <c r="AS5" i="19"/>
  <c r="W5" i="19"/>
  <c r="BH5" i="19"/>
  <c r="AA5" i="19"/>
  <c r="BT5" i="19"/>
  <c r="S5" i="19"/>
  <c r="G5" i="19"/>
  <c r="BR5" i="19"/>
  <c r="AJ5" i="19"/>
  <c r="BB5" i="19"/>
  <c r="T5" i="19"/>
  <c r="AU5" i="19"/>
  <c r="AZ5" i="19"/>
  <c r="BN5" i="19"/>
  <c r="L5" i="19"/>
  <c r="AF5" i="19"/>
  <c r="I5" i="19"/>
  <c r="J5" i="19"/>
  <c r="AI63" i="12"/>
  <c r="AC63" i="12"/>
  <c r="BF63" i="12"/>
  <c r="AG63" i="12"/>
  <c r="AW63" i="12"/>
  <c r="AN63" i="12"/>
  <c r="AX63" i="12"/>
  <c r="BO63" i="12"/>
  <c r="AO63" i="12"/>
  <c r="AR63" i="12"/>
  <c r="BA63" i="12"/>
  <c r="BJ63" i="12"/>
  <c r="BV63" i="12"/>
  <c r="BW63" i="12" s="1"/>
  <c r="BX63" i="12" s="1"/>
  <c r="BY63" i="12" s="1"/>
  <c r="BZ63" i="12" s="1"/>
  <c r="CA63" i="12" s="1"/>
  <c r="CB63" i="12" s="1"/>
  <c r="CC63" i="12" s="1"/>
  <c r="CD63" i="12" s="1"/>
  <c r="CE63" i="12" s="1"/>
  <c r="CF63" i="12" s="1"/>
  <c r="CG63" i="12" s="1"/>
  <c r="CH63" i="12" s="1"/>
  <c r="CI63" i="12" s="1"/>
  <c r="CJ63" i="12" s="1"/>
  <c r="CK63" i="12" s="1"/>
  <c r="CL63" i="12" s="1"/>
  <c r="CM63" i="12" s="1"/>
  <c r="CN63" i="12" s="1"/>
  <c r="CO63" i="12" s="1"/>
  <c r="CP63" i="12" s="1"/>
  <c r="CQ63" i="12" s="1"/>
  <c r="CR63" i="12" s="1"/>
  <c r="CS63" i="12" s="1"/>
  <c r="CT63" i="12" s="1"/>
  <c r="CU63" i="12" s="1"/>
  <c r="CV63" i="12" s="1"/>
  <c r="CW63" i="12" s="1"/>
  <c r="CX63" i="12" s="1"/>
  <c r="CY63" i="12" s="1"/>
  <c r="CZ63" i="12" s="1"/>
  <c r="AU63" i="12"/>
  <c r="AT63" i="12"/>
  <c r="BT63" i="12"/>
  <c r="BR63" i="12"/>
  <c r="N63" i="12"/>
  <c r="O63" i="12"/>
  <c r="AS63" i="12"/>
  <c r="R63" i="12"/>
  <c r="BB63" i="12"/>
  <c r="X17" i="12"/>
  <c r="AA17" i="12"/>
  <c r="T17" i="12"/>
  <c r="AF17" i="12"/>
  <c r="AC17" i="12"/>
  <c r="U17" i="12"/>
  <c r="J17" i="12"/>
  <c r="Y17" i="12"/>
  <c r="Y68" i="12"/>
  <c r="U68" i="12"/>
  <c r="AA68" i="12"/>
  <c r="AE68" i="12"/>
  <c r="P68" i="12"/>
  <c r="AK68" i="12"/>
  <c r="AQ68" i="12"/>
  <c r="Z68" i="12"/>
  <c r="U30" i="12"/>
  <c r="AZ30" i="12"/>
  <c r="W30" i="12"/>
  <c r="AC30" i="12"/>
  <c r="AX30" i="12"/>
  <c r="BM30" i="12"/>
  <c r="S30" i="12"/>
  <c r="AP30" i="12"/>
  <c r="AQ30" i="12"/>
  <c r="BV30" i="12"/>
  <c r="BW30" i="12" s="1"/>
  <c r="BX30" i="12" s="1"/>
  <c r="BY30" i="12" s="1"/>
  <c r="BZ30" i="12" s="1"/>
  <c r="CA30" i="12" s="1"/>
  <c r="CB30" i="12" s="1"/>
  <c r="CC30" i="12" s="1"/>
  <c r="CD30" i="12" s="1"/>
  <c r="CE30" i="12" s="1"/>
  <c r="CF30" i="12" s="1"/>
  <c r="CG30" i="12" s="1"/>
  <c r="CH30" i="12" s="1"/>
  <c r="CI30" i="12" s="1"/>
  <c r="CJ30" i="12" s="1"/>
  <c r="CK30" i="12" s="1"/>
  <c r="CL30" i="12" s="1"/>
  <c r="CM30" i="12" s="1"/>
  <c r="CN30" i="12" s="1"/>
  <c r="CO30" i="12" s="1"/>
  <c r="CP30" i="12" s="1"/>
  <c r="CQ30" i="12" s="1"/>
  <c r="CR30" i="12" s="1"/>
  <c r="CS30" i="12" s="1"/>
  <c r="CT30" i="12" s="1"/>
  <c r="CU30" i="12" s="1"/>
  <c r="CV30" i="12" s="1"/>
  <c r="CW30" i="12" s="1"/>
  <c r="CX30" i="12" s="1"/>
  <c r="CY30" i="12" s="1"/>
  <c r="CZ30" i="12" s="1"/>
  <c r="BC30" i="12"/>
  <c r="AU30" i="12"/>
  <c r="BI30" i="12"/>
  <c r="AT30" i="12"/>
  <c r="BT30" i="12"/>
  <c r="AL30" i="12"/>
  <c r="AV30" i="12"/>
  <c r="BJ30" i="12"/>
  <c r="AM30" i="12"/>
  <c r="N30" i="12"/>
  <c r="BD30" i="12"/>
  <c r="AR30" i="12"/>
  <c r="AS30" i="12"/>
  <c r="AY30" i="12"/>
  <c r="R30" i="12"/>
  <c r="AD30" i="12"/>
  <c r="BS30" i="12"/>
  <c r="BG30" i="12"/>
  <c r="AG30" i="12"/>
  <c r="AJ30" i="12"/>
  <c r="AM34" i="12"/>
  <c r="BB34" i="12" s="1"/>
  <c r="AF34" i="12"/>
  <c r="AO34" i="12"/>
  <c r="W34" i="12"/>
  <c r="AN34" i="12"/>
  <c r="AK34" i="12"/>
  <c r="R34" i="12"/>
  <c r="AD34" i="12"/>
  <c r="P34" i="12"/>
  <c r="AB34" i="12"/>
  <c r="N34" i="12"/>
  <c r="U34" i="12"/>
  <c r="BV94" i="12"/>
  <c r="BW94" i="12" s="1"/>
  <c r="BX94" i="12" s="1"/>
  <c r="BY94" i="12" s="1"/>
  <c r="BZ94" i="12" s="1"/>
  <c r="CA94" i="12" s="1"/>
  <c r="CB94" i="12" s="1"/>
  <c r="CC94" i="12" s="1"/>
  <c r="CD94" i="12" s="1"/>
  <c r="CE94" i="12" s="1"/>
  <c r="CF94" i="12" s="1"/>
  <c r="CG94" i="12" s="1"/>
  <c r="CH94" i="12" s="1"/>
  <c r="CI94" i="12" s="1"/>
  <c r="CJ94" i="12" s="1"/>
  <c r="CK94" i="12" s="1"/>
  <c r="CL94" i="12" s="1"/>
  <c r="CM94" i="12" s="1"/>
  <c r="CN94" i="12" s="1"/>
  <c r="CO94" i="12" s="1"/>
  <c r="CP94" i="12" s="1"/>
  <c r="CQ94" i="12" s="1"/>
  <c r="CR94" i="12" s="1"/>
  <c r="CS94" i="12" s="1"/>
  <c r="CT94" i="12" s="1"/>
  <c r="CU94" i="12" s="1"/>
  <c r="CV94" i="12" s="1"/>
  <c r="CW94" i="12" s="1"/>
  <c r="CX94" i="12" s="1"/>
  <c r="CY94" i="12" s="1"/>
  <c r="CZ94" i="12" s="1"/>
  <c r="BE94" i="12"/>
  <c r="X94" i="12"/>
  <c r="AX94" i="12"/>
  <c r="AB94" i="12"/>
  <c r="AU6" i="19"/>
  <c r="BI6" i="19"/>
  <c r="BR6" i="19"/>
  <c r="BJ6" i="19"/>
  <c r="AS6" i="19"/>
  <c r="AK6" i="19"/>
  <c r="AH6" i="19"/>
  <c r="AZ6" i="19"/>
  <c r="AG6" i="19"/>
  <c r="X6" i="19"/>
  <c r="AL6" i="19"/>
  <c r="AY6" i="19"/>
  <c r="R6" i="19"/>
  <c r="K6" i="19"/>
  <c r="AA6" i="19"/>
  <c r="G6" i="19"/>
  <c r="I6" i="19"/>
  <c r="J6" i="19"/>
  <c r="BU6" i="19"/>
  <c r="BH6" i="19"/>
  <c r="L6" i="19"/>
  <c r="AW6" i="19"/>
  <c r="BC6" i="19"/>
  <c r="W6" i="19"/>
  <c r="AX6" i="19"/>
  <c r="BS6" i="19"/>
  <c r="AN12" i="12"/>
  <c r="Y12" i="12"/>
  <c r="I12" i="12"/>
  <c r="BU12" i="12"/>
  <c r="AO12" i="12"/>
  <c r="BJ12" i="12"/>
  <c r="O12" i="12"/>
  <c r="BT12" i="12"/>
  <c r="BQ12" i="12"/>
  <c r="AL12" i="12"/>
  <c r="C61" i="6"/>
  <c r="B69" i="6"/>
  <c r="BS64" i="12"/>
  <c r="AZ64" i="12"/>
  <c r="AJ64" i="12"/>
  <c r="AV64" i="12"/>
  <c r="AL64" i="12"/>
  <c r="N64" i="12"/>
  <c r="BM64" i="12"/>
  <c r="Y64" i="12"/>
  <c r="BH64" i="12"/>
  <c r="BU64" i="12"/>
  <c r="BA64" i="12"/>
  <c r="P64" i="12"/>
  <c r="BJ64" i="12"/>
  <c r="BO64" i="12"/>
  <c r="BK64" i="12"/>
  <c r="AG64" i="12"/>
  <c r="AI64" i="12"/>
  <c r="BN64" i="12"/>
  <c r="AP64" i="12"/>
  <c r="AI4" i="19"/>
  <c r="AT4" i="19"/>
  <c r="AL4" i="19"/>
  <c r="AF4" i="19"/>
  <c r="BV4" i="19"/>
  <c r="BW4" i="19" s="1"/>
  <c r="BX4" i="19" s="1"/>
  <c r="BY4" i="19" s="1"/>
  <c r="BZ4" i="19" s="1"/>
  <c r="CA4" i="19" s="1"/>
  <c r="CB4" i="19" s="1"/>
  <c r="CC4" i="19" s="1"/>
  <c r="CD4" i="19" s="1"/>
  <c r="CE4" i="19" s="1"/>
  <c r="CF4" i="19" s="1"/>
  <c r="CG4" i="19" s="1"/>
  <c r="CH4" i="19" s="1"/>
  <c r="CI4" i="19" s="1"/>
  <c r="CJ4" i="19" s="1"/>
  <c r="CK4" i="19" s="1"/>
  <c r="CL4" i="19" s="1"/>
  <c r="CM4" i="19" s="1"/>
  <c r="CN4" i="19" s="1"/>
  <c r="CO4" i="19" s="1"/>
  <c r="CP4" i="19" s="1"/>
  <c r="CQ4" i="19" s="1"/>
  <c r="CR4" i="19" s="1"/>
  <c r="CS4" i="19" s="1"/>
  <c r="CT4" i="19" s="1"/>
  <c r="CU4" i="19" s="1"/>
  <c r="CV4" i="19" s="1"/>
  <c r="CW4" i="19" s="1"/>
  <c r="CX4" i="19" s="1"/>
  <c r="CY4" i="19" s="1"/>
  <c r="CZ4" i="19" s="1"/>
  <c r="BD4" i="19"/>
  <c r="AH4" i="19"/>
  <c r="S4" i="19"/>
  <c r="AJ4" i="19"/>
  <c r="BN4" i="19"/>
  <c r="Y4" i="19"/>
  <c r="R4" i="19"/>
  <c r="BJ4" i="19"/>
  <c r="BF4" i="19"/>
  <c r="G4" i="19"/>
  <c r="AP4" i="19"/>
  <c r="BT4" i="19"/>
  <c r="BP4" i="19"/>
  <c r="V4" i="19"/>
  <c r="AN4" i="19"/>
  <c r="BH4" i="19"/>
  <c r="BR4" i="19"/>
  <c r="T4" i="19"/>
  <c r="AY4" i="19"/>
  <c r="AB4" i="19"/>
  <c r="AA4" i="19"/>
  <c r="AR4" i="19"/>
  <c r="H4" i="19"/>
  <c r="AM4" i="19"/>
  <c r="Z4" i="19"/>
  <c r="BS4" i="19"/>
  <c r="AG4" i="19"/>
  <c r="AD4" i="19"/>
  <c r="BE4" i="19"/>
  <c r="BV29" i="12"/>
  <c r="BW29" i="12" s="1"/>
  <c r="BX29" i="12" s="1"/>
  <c r="BY29" i="12" s="1"/>
  <c r="BZ29" i="12" s="1"/>
  <c r="CA29" i="12" s="1"/>
  <c r="CB29" i="12" s="1"/>
  <c r="CC29" i="12" s="1"/>
  <c r="CD29" i="12" s="1"/>
  <c r="CE29" i="12" s="1"/>
  <c r="CF29" i="12" s="1"/>
  <c r="CG29" i="12" s="1"/>
  <c r="CH29" i="12" s="1"/>
  <c r="CI29" i="12" s="1"/>
  <c r="CJ29" i="12" s="1"/>
  <c r="CK29" i="12" s="1"/>
  <c r="CL29" i="12" s="1"/>
  <c r="CM29" i="12" s="1"/>
  <c r="CN29" i="12" s="1"/>
  <c r="CO29" i="12" s="1"/>
  <c r="CP29" i="12" s="1"/>
  <c r="CQ29" i="12" s="1"/>
  <c r="CR29" i="12" s="1"/>
  <c r="CS29" i="12" s="1"/>
  <c r="CT29" i="12" s="1"/>
  <c r="CU29" i="12" s="1"/>
  <c r="CV29" i="12" s="1"/>
  <c r="CW29" i="12" s="1"/>
  <c r="CX29" i="12" s="1"/>
  <c r="CY29" i="12" s="1"/>
  <c r="CZ29" i="12" s="1"/>
  <c r="AA18" i="12"/>
  <c r="AE18" i="12"/>
  <c r="BR29" i="12"/>
  <c r="P29" i="12"/>
  <c r="X29" i="12"/>
  <c r="AN29" i="12"/>
  <c r="BA29" i="12"/>
  <c r="AW29" i="12"/>
  <c r="AG29" i="12"/>
  <c r="BF29" i="12"/>
  <c r="Y29" i="12"/>
  <c r="AB29" i="12"/>
  <c r="BK29" i="12"/>
  <c r="T29" i="12"/>
  <c r="BU29" i="12"/>
  <c r="AU29" i="12"/>
  <c r="N29" i="12"/>
  <c r="Z29" i="12"/>
  <c r="AV29" i="12"/>
  <c r="Y7" i="19"/>
  <c r="AY7" i="19"/>
  <c r="K7" i="19"/>
  <c r="AF7" i="19"/>
  <c r="BG7" i="19"/>
  <c r="BL7" i="19"/>
  <c r="AQ31" i="12"/>
  <c r="BG31" i="12"/>
  <c r="AO31" i="12"/>
  <c r="BJ31" i="12"/>
  <c r="Z31" i="12"/>
  <c r="AK31" i="12"/>
  <c r="BN31" i="12"/>
  <c r="AX31" i="12"/>
  <c r="D32" i="35"/>
  <c r="D98" i="6"/>
  <c r="D159" i="6"/>
  <c r="D49" i="34"/>
  <c r="H49" i="34"/>
  <c r="E49" i="34"/>
  <c r="G49" i="34"/>
  <c r="C49" i="34"/>
  <c r="G48" i="34"/>
  <c r="H48" i="34"/>
  <c r="D48" i="34"/>
  <c r="E48" i="34"/>
  <c r="E33" i="34"/>
  <c r="H33" i="34"/>
  <c r="G33" i="34"/>
  <c r="B111" i="34"/>
  <c r="B96" i="34"/>
  <c r="C40" i="34"/>
  <c r="B103" i="34"/>
  <c r="B69" i="34"/>
  <c r="G40" i="34"/>
  <c r="H40" i="34"/>
  <c r="B118" i="34"/>
  <c r="A18" i="17"/>
  <c r="E65" i="15"/>
  <c r="A66" i="15"/>
  <c r="A139" i="15"/>
  <c r="A186" i="15" s="1"/>
  <c r="E50" i="34"/>
  <c r="H50" i="34"/>
  <c r="C50" i="34"/>
  <c r="B113" i="34"/>
  <c r="E35" i="34"/>
  <c r="H7" i="119"/>
  <c r="C89" i="119" s="1"/>
  <c r="D89" i="119" s="1"/>
  <c r="F59" i="119"/>
  <c r="B81" i="119"/>
  <c r="B80" i="119"/>
  <c r="D91" i="119"/>
  <c r="I6" i="119"/>
  <c r="C88" i="119" s="1"/>
  <c r="D88" i="119" s="1"/>
  <c r="F58" i="119"/>
  <c r="N101" i="119"/>
  <c r="N107" i="119"/>
  <c r="N103" i="119"/>
  <c r="N105" i="119"/>
  <c r="N104" i="119"/>
  <c r="N106" i="119"/>
  <c r="N102" i="119"/>
  <c r="B68" i="6"/>
  <c r="B67" i="6"/>
  <c r="B66" i="6"/>
  <c r="C25" i="33"/>
  <c r="C281" i="15"/>
  <c r="F34" i="35" l="1"/>
  <c r="C31" i="24"/>
  <c r="H31" i="24" s="1"/>
  <c r="F32" i="35"/>
  <c r="C29" i="24"/>
  <c r="H29" i="24" s="1"/>
  <c r="F31" i="35"/>
  <c r="C28" i="24"/>
  <c r="H28" i="24" s="1"/>
  <c r="F35" i="35"/>
  <c r="C32" i="24"/>
  <c r="H32" i="24" s="1"/>
  <c r="F33" i="35"/>
  <c r="C30" i="24"/>
  <c r="H30" i="24" s="1"/>
  <c r="F27" i="35"/>
  <c r="C24" i="24"/>
  <c r="H24" i="24" s="1"/>
  <c r="F36" i="35"/>
  <c r="C33" i="24"/>
  <c r="H33" i="24" s="1"/>
  <c r="AL28" i="12"/>
  <c r="AJ32" i="12"/>
  <c r="AY276" i="11"/>
  <c r="AZ276" i="11" s="1"/>
  <c r="BA276" i="11" s="1"/>
  <c r="BB276" i="11" s="1"/>
  <c r="BC276" i="11" s="1"/>
  <c r="BD276" i="11" s="1"/>
  <c r="BE276" i="11" s="1"/>
  <c r="BF276" i="11" s="1"/>
  <c r="BG276" i="11" s="1"/>
  <c r="BH276" i="11" s="1"/>
  <c r="BI276" i="11" s="1"/>
  <c r="BJ276" i="11" s="1"/>
  <c r="BK276" i="11" s="1"/>
  <c r="BL276" i="11" s="1"/>
  <c r="T9" i="12"/>
  <c r="E32" i="34"/>
  <c r="AE276" i="11"/>
  <c r="AF276" i="11" s="1"/>
  <c r="AG276" i="11" s="1"/>
  <c r="AH276" i="11" s="1"/>
  <c r="R7" i="12"/>
  <c r="AF9" i="12"/>
  <c r="E249" i="119"/>
  <c r="B16" i="13"/>
  <c r="F15" i="13"/>
  <c r="AY480" i="11"/>
  <c r="AZ480" i="11" s="1"/>
  <c r="BA480" i="11" s="1"/>
  <c r="BB480" i="11" s="1"/>
  <c r="BC480" i="11" s="1"/>
  <c r="BD480" i="11" s="1"/>
  <c r="BE480" i="11" s="1"/>
  <c r="BF480" i="11" s="1"/>
  <c r="BG480" i="11" s="1"/>
  <c r="BH480" i="11" s="1"/>
  <c r="BI480" i="11" s="1"/>
  <c r="BJ480" i="11" s="1"/>
  <c r="BK480" i="11" s="1"/>
  <c r="BL480" i="11" s="1"/>
  <c r="Z664" i="11"/>
  <c r="AA494" i="11" s="1"/>
  <c r="AB494" i="11" s="1"/>
  <c r="AC494" i="11" s="1"/>
  <c r="AD494" i="11" s="1"/>
  <c r="AE494" i="11" s="1"/>
  <c r="AF494" i="11" s="1"/>
  <c r="AG494" i="11" s="1"/>
  <c r="AH494" i="11" s="1"/>
  <c r="AG97" i="12"/>
  <c r="H37" i="34"/>
  <c r="I249" i="119"/>
  <c r="G249" i="119"/>
  <c r="F249" i="119"/>
  <c r="D249" i="119"/>
  <c r="H249" i="119"/>
  <c r="C249" i="119"/>
  <c r="BR18" i="12"/>
  <c r="BS18" i="12" s="1"/>
  <c r="BT18" i="12" s="1"/>
  <c r="BU18" i="12" s="1"/>
  <c r="BW18" i="12"/>
  <c r="BX18" i="12" s="1"/>
  <c r="BY18" i="12" s="1"/>
  <c r="BZ18" i="12" s="1"/>
  <c r="CA18" i="12" s="1"/>
  <c r="CB18" i="12" s="1"/>
  <c r="CC18" i="12" s="1"/>
  <c r="CD18" i="12" s="1"/>
  <c r="CE18" i="12" s="1"/>
  <c r="CF18" i="12" s="1"/>
  <c r="CG18" i="12" s="1"/>
  <c r="CH18" i="12" s="1"/>
  <c r="CI18" i="12" s="1"/>
  <c r="CJ18" i="12" s="1"/>
  <c r="CK18" i="12" s="1"/>
  <c r="CL18" i="12" s="1"/>
  <c r="CM18" i="12" s="1"/>
  <c r="CN18" i="12" s="1"/>
  <c r="CO18" i="12" s="1"/>
  <c r="CP18" i="12" s="1"/>
  <c r="CQ18" i="12" s="1"/>
  <c r="CR18" i="12" s="1"/>
  <c r="CS18" i="12" s="1"/>
  <c r="CT18" i="12" s="1"/>
  <c r="CU18" i="12" s="1"/>
  <c r="CV18" i="12" s="1"/>
  <c r="CW18" i="12" s="1"/>
  <c r="CX18" i="12" s="1"/>
  <c r="CY18" i="12" s="1"/>
  <c r="CZ18" i="12" s="1"/>
  <c r="N7" i="12"/>
  <c r="Y25" i="12"/>
  <c r="AC7" i="12"/>
  <c r="F16" i="35"/>
  <c r="AF91" i="12"/>
  <c r="AR65" i="12"/>
  <c r="AQ91" i="12"/>
  <c r="AA65" i="12"/>
  <c r="AH26" i="12"/>
  <c r="AH27" i="12"/>
  <c r="M9" i="12"/>
  <c r="AO61" i="12"/>
  <c r="AN90" i="12"/>
  <c r="R96" i="12"/>
  <c r="AJ494" i="11"/>
  <c r="AK494" i="11" s="1"/>
  <c r="AL494" i="11" s="1"/>
  <c r="AM494" i="11" s="1"/>
  <c r="AN494" i="11" s="1"/>
  <c r="AO494" i="11" s="1"/>
  <c r="AP494" i="11" s="1"/>
  <c r="AQ494" i="11" s="1"/>
  <c r="AR494" i="11" s="1"/>
  <c r="AS494" i="11" s="1"/>
  <c r="AT494" i="11" s="1"/>
  <c r="AU494" i="11" s="1"/>
  <c r="AV494" i="11" s="1"/>
  <c r="AW494" i="11" s="1"/>
  <c r="AJ276" i="11"/>
  <c r="AK276" i="11" s="1"/>
  <c r="AL276" i="11" s="1"/>
  <c r="AM276" i="11" s="1"/>
  <c r="AN276" i="11" s="1"/>
  <c r="AO276" i="11" s="1"/>
  <c r="AP276" i="11" s="1"/>
  <c r="AQ276" i="11" s="1"/>
  <c r="AR276" i="11" s="1"/>
  <c r="AS276" i="11" s="1"/>
  <c r="AT276" i="11" s="1"/>
  <c r="AU276" i="11" s="1"/>
  <c r="AV276" i="11" s="1"/>
  <c r="AW276" i="11" s="1"/>
  <c r="AH8" i="12"/>
  <c r="BB8" i="12" s="1"/>
  <c r="AI8" i="12" s="1"/>
  <c r="AJ8" i="12" s="1"/>
  <c r="AK8" i="12" s="1"/>
  <c r="AL8" i="12" s="1"/>
  <c r="AM8" i="12" s="1"/>
  <c r="AN8" i="12" s="1"/>
  <c r="AO8" i="12" s="1"/>
  <c r="AP8" i="12" s="1"/>
  <c r="AQ8" i="12" s="1"/>
  <c r="AR8" i="12" s="1"/>
  <c r="AS8" i="12" s="1"/>
  <c r="AT8" i="12" s="1"/>
  <c r="AU8" i="12" s="1"/>
  <c r="AV8" i="12" s="1"/>
  <c r="AW8" i="12" s="1"/>
  <c r="AX8" i="12" s="1"/>
  <c r="AY8" i="12" s="1"/>
  <c r="AZ8" i="12" s="1"/>
  <c r="BA8" i="12" s="1"/>
  <c r="S7" i="12"/>
  <c r="V89" i="12"/>
  <c r="AY277" i="11"/>
  <c r="AZ277" i="11" s="1"/>
  <c r="BA277" i="11" s="1"/>
  <c r="BB277" i="11" s="1"/>
  <c r="BC277" i="11" s="1"/>
  <c r="BD277" i="11" s="1"/>
  <c r="BE277" i="11" s="1"/>
  <c r="BF277" i="11" s="1"/>
  <c r="BG277" i="11" s="1"/>
  <c r="BH277" i="11" s="1"/>
  <c r="BI277" i="11" s="1"/>
  <c r="BJ277" i="11" s="1"/>
  <c r="BK277" i="11" s="1"/>
  <c r="BL277" i="11" s="1"/>
  <c r="Z65" i="12"/>
  <c r="W9" i="12"/>
  <c r="P9" i="12"/>
  <c r="Q7" i="12"/>
  <c r="Q9" i="12"/>
  <c r="W89" i="12"/>
  <c r="Z8" i="12"/>
  <c r="S9" i="12"/>
  <c r="AA9" i="12"/>
  <c r="N9" i="12"/>
  <c r="T89" i="12"/>
  <c r="AJ480" i="11"/>
  <c r="AK480" i="11" s="1"/>
  <c r="AL480" i="11" s="1"/>
  <c r="AM480" i="11" s="1"/>
  <c r="AN480" i="11" s="1"/>
  <c r="AO480" i="11" s="1"/>
  <c r="AP480" i="11" s="1"/>
  <c r="AQ480" i="11" s="1"/>
  <c r="AR480" i="11" s="1"/>
  <c r="AS480" i="11" s="1"/>
  <c r="AT480" i="11" s="1"/>
  <c r="AU480" i="11" s="1"/>
  <c r="AV480" i="11" s="1"/>
  <c r="AW480" i="11" s="1"/>
  <c r="AJ277" i="11"/>
  <c r="AK277" i="11" s="1"/>
  <c r="AL277" i="11" s="1"/>
  <c r="AM277" i="11" s="1"/>
  <c r="AN277" i="11" s="1"/>
  <c r="AO277" i="11" s="1"/>
  <c r="AP277" i="11" s="1"/>
  <c r="AQ277" i="11" s="1"/>
  <c r="AR277" i="11" s="1"/>
  <c r="AS277" i="11" s="1"/>
  <c r="AT277" i="11" s="1"/>
  <c r="AU277" i="11" s="1"/>
  <c r="AV277" i="11" s="1"/>
  <c r="AW277" i="11" s="1"/>
  <c r="AL91" i="12"/>
  <c r="AP90" i="12"/>
  <c r="AI92" i="12"/>
  <c r="AG91" i="12"/>
  <c r="AO89" i="12"/>
  <c r="AK59" i="12"/>
  <c r="P65" i="12"/>
  <c r="J7" i="12"/>
  <c r="S96" i="12"/>
  <c r="H7" i="12"/>
  <c r="AE277" i="11"/>
  <c r="AF277" i="11" s="1"/>
  <c r="AG277" i="11" s="1"/>
  <c r="AH277" i="11" s="1"/>
  <c r="BN277" i="11"/>
  <c r="BO277" i="11" s="1"/>
  <c r="BP277" i="11" s="1"/>
  <c r="BQ277" i="11" s="1"/>
  <c r="P28" i="12"/>
  <c r="Y32" i="12"/>
  <c r="T25" i="12"/>
  <c r="AB27" i="12"/>
  <c r="AH28" i="12"/>
  <c r="S59" i="12"/>
  <c r="AM27" i="12"/>
  <c r="BB27" i="12" s="1"/>
  <c r="BQ27" i="12" s="1"/>
  <c r="BC27" i="12" s="1"/>
  <c r="BD27" i="12" s="1"/>
  <c r="BE27" i="12" s="1"/>
  <c r="BF27" i="12" s="1"/>
  <c r="BG27" i="12" s="1"/>
  <c r="BH27" i="12" s="1"/>
  <c r="BI27" i="12" s="1"/>
  <c r="BJ27" i="12" s="1"/>
  <c r="BK27" i="12" s="1"/>
  <c r="BL27" i="12" s="1"/>
  <c r="BM27" i="12" s="1"/>
  <c r="BN27" i="12" s="1"/>
  <c r="BO27" i="12" s="1"/>
  <c r="BP27" i="12" s="1"/>
  <c r="AG7" i="12"/>
  <c r="U89" i="12"/>
  <c r="AR25" i="12"/>
  <c r="AQ28" i="12"/>
  <c r="S8" i="12"/>
  <c r="Q27" i="12"/>
  <c r="N27" i="12"/>
  <c r="AQ65" i="12"/>
  <c r="Q91" i="12"/>
  <c r="AE96" i="12"/>
  <c r="AC25" i="12"/>
  <c r="AF90" i="12"/>
  <c r="AG32" i="12"/>
  <c r="X91" i="12"/>
  <c r="AQ89" i="12"/>
  <c r="R8" i="12"/>
  <c r="AF92" i="12"/>
  <c r="AG9" i="12"/>
  <c r="AE10" i="12"/>
  <c r="P32" i="12"/>
  <c r="R65" i="12"/>
  <c r="AP91" i="12"/>
  <c r="V25" i="12"/>
  <c r="AB32" i="12"/>
  <c r="AC91" i="12"/>
  <c r="AA89" i="12"/>
  <c r="AJ89" i="12"/>
  <c r="AC62" i="12"/>
  <c r="T60" i="12"/>
  <c r="AJ97" i="12"/>
  <c r="W91" i="12"/>
  <c r="AD25" i="12"/>
  <c r="Z90" i="12"/>
  <c r="AH25" i="12"/>
  <c r="AA25" i="12"/>
  <c r="Q8" i="12"/>
  <c r="AH32" i="12"/>
  <c r="AQ32" i="12"/>
  <c r="U27" i="12"/>
  <c r="AF27" i="12"/>
  <c r="AK91" i="12"/>
  <c r="Y59" i="12"/>
  <c r="R91" i="12"/>
  <c r="AE92" i="12"/>
  <c r="AK65" i="12"/>
  <c r="AE91" i="12"/>
  <c r="AM25" i="12"/>
  <c r="BB25" i="12" s="1"/>
  <c r="BQ25" i="12" s="1"/>
  <c r="BV25" i="12" s="1"/>
  <c r="BW25" i="12" s="1"/>
  <c r="BX25" i="12" s="1"/>
  <c r="BY25" i="12" s="1"/>
  <c r="BZ25" i="12" s="1"/>
  <c r="CA25" i="12" s="1"/>
  <c r="CB25" i="12" s="1"/>
  <c r="CC25" i="12" s="1"/>
  <c r="CD25" i="12" s="1"/>
  <c r="CE25" i="12" s="1"/>
  <c r="CF25" i="12" s="1"/>
  <c r="CG25" i="12" s="1"/>
  <c r="CH25" i="12" s="1"/>
  <c r="CI25" i="12" s="1"/>
  <c r="CJ25" i="12" s="1"/>
  <c r="CK25" i="12" s="1"/>
  <c r="CL25" i="12" s="1"/>
  <c r="CM25" i="12" s="1"/>
  <c r="CN25" i="12" s="1"/>
  <c r="CO25" i="12" s="1"/>
  <c r="CP25" i="12" s="1"/>
  <c r="CQ25" i="12" s="1"/>
  <c r="CR25" i="12" s="1"/>
  <c r="CS25" i="12" s="1"/>
  <c r="CT25" i="12" s="1"/>
  <c r="CU25" i="12" s="1"/>
  <c r="CV25" i="12" s="1"/>
  <c r="CW25" i="12" s="1"/>
  <c r="CX25" i="12" s="1"/>
  <c r="CY25" i="12" s="1"/>
  <c r="CZ25" i="12" s="1"/>
  <c r="AO25" i="12"/>
  <c r="Z25" i="12"/>
  <c r="AJ61" i="12"/>
  <c r="O25" i="12"/>
  <c r="AL32" i="12"/>
  <c r="AR89" i="12"/>
  <c r="AR27" i="12"/>
  <c r="AD65" i="12"/>
  <c r="U91" i="12"/>
  <c r="AJ393" i="11"/>
  <c r="AK393" i="11" s="1"/>
  <c r="AL393" i="11" s="1"/>
  <c r="AM393" i="11" s="1"/>
  <c r="AN393" i="11" s="1"/>
  <c r="AO393" i="11" s="1"/>
  <c r="AP393" i="11" s="1"/>
  <c r="AQ393" i="11" s="1"/>
  <c r="AR393" i="11" s="1"/>
  <c r="AS393" i="11" s="1"/>
  <c r="AT393" i="11" s="1"/>
  <c r="AU393" i="11" s="1"/>
  <c r="AV393" i="11" s="1"/>
  <c r="AW393" i="11" s="1"/>
  <c r="AL27" i="12"/>
  <c r="AI25" i="12"/>
  <c r="AI61" i="12"/>
  <c r="G37" i="34"/>
  <c r="AJ91" i="12"/>
  <c r="X96" i="12"/>
  <c r="W25" i="12"/>
  <c r="AC92" i="12"/>
  <c r="BN480" i="11"/>
  <c r="BO480" i="11" s="1"/>
  <c r="BP480" i="11" s="1"/>
  <c r="BQ480" i="11" s="1"/>
  <c r="Z96" i="12"/>
  <c r="AO28" i="12"/>
  <c r="AB62" i="12"/>
  <c r="AB96" i="12"/>
  <c r="W96" i="12"/>
  <c r="AJ96" i="12"/>
  <c r="AG92" i="12"/>
  <c r="AF60" i="12"/>
  <c r="S32" i="12"/>
  <c r="Q32" i="12"/>
  <c r="AR32" i="12"/>
  <c r="O32" i="12"/>
  <c r="AM32" i="12"/>
  <c r="BB32" i="12" s="1"/>
  <c r="BQ32" i="12" s="1"/>
  <c r="BV32" i="12" s="1"/>
  <c r="BW32" i="12" s="1"/>
  <c r="BX32" i="12" s="1"/>
  <c r="BY32" i="12" s="1"/>
  <c r="BZ32" i="12" s="1"/>
  <c r="CA32" i="12" s="1"/>
  <c r="CB32" i="12" s="1"/>
  <c r="CC32" i="12" s="1"/>
  <c r="CD32" i="12" s="1"/>
  <c r="CE32" i="12" s="1"/>
  <c r="CF32" i="12" s="1"/>
  <c r="CG32" i="12" s="1"/>
  <c r="CH32" i="12" s="1"/>
  <c r="CI32" i="12" s="1"/>
  <c r="CJ32" i="12" s="1"/>
  <c r="CK32" i="12" s="1"/>
  <c r="CL32" i="12" s="1"/>
  <c r="CM32" i="12" s="1"/>
  <c r="CN32" i="12" s="1"/>
  <c r="CO32" i="12" s="1"/>
  <c r="CP32" i="12" s="1"/>
  <c r="CQ32" i="12" s="1"/>
  <c r="CR32" i="12" s="1"/>
  <c r="CS32" i="12" s="1"/>
  <c r="CT32" i="12" s="1"/>
  <c r="CU32" i="12" s="1"/>
  <c r="CV32" i="12" s="1"/>
  <c r="CW32" i="12" s="1"/>
  <c r="CX32" i="12" s="1"/>
  <c r="CY32" i="12" s="1"/>
  <c r="CZ32" i="12" s="1"/>
  <c r="L8" i="12"/>
  <c r="AH91" i="12"/>
  <c r="AF7" i="12"/>
  <c r="M7" i="12"/>
  <c r="AP28" i="12"/>
  <c r="U96" i="12"/>
  <c r="AO96" i="12"/>
  <c r="O96" i="12"/>
  <c r="AP96" i="12"/>
  <c r="AI32" i="12"/>
  <c r="X7" i="12"/>
  <c r="AE60" i="12"/>
  <c r="N32" i="12"/>
  <c r="AG8" i="12"/>
  <c r="Z32" i="12"/>
  <c r="AB92" i="12"/>
  <c r="AH89" i="12"/>
  <c r="K7" i="12"/>
  <c r="X89" i="12"/>
  <c r="AA8" i="12"/>
  <c r="P90" i="12"/>
  <c r="AC32" i="12"/>
  <c r="O92" i="12"/>
  <c r="U32" i="12"/>
  <c r="BR532" i="11"/>
  <c r="BN532" i="11" s="1"/>
  <c r="BO532" i="11" s="1"/>
  <c r="BP532" i="11" s="1"/>
  <c r="BQ532" i="11" s="1"/>
  <c r="AJ392" i="11"/>
  <c r="AK392" i="11" s="1"/>
  <c r="AL392" i="11" s="1"/>
  <c r="AM392" i="11" s="1"/>
  <c r="AN392" i="11" s="1"/>
  <c r="AO392" i="11" s="1"/>
  <c r="AP392" i="11" s="1"/>
  <c r="AQ392" i="11" s="1"/>
  <c r="AR392" i="11" s="1"/>
  <c r="AS392" i="11" s="1"/>
  <c r="AT392" i="11" s="1"/>
  <c r="AU392" i="11" s="1"/>
  <c r="AV392" i="11" s="1"/>
  <c r="AW392" i="11" s="1"/>
  <c r="O28" i="12"/>
  <c r="AA32" i="12"/>
  <c r="R25" i="12"/>
  <c r="AY494" i="11"/>
  <c r="AZ494" i="11" s="1"/>
  <c r="BA494" i="11" s="1"/>
  <c r="BB494" i="11" s="1"/>
  <c r="BC494" i="11" s="1"/>
  <c r="BD494" i="11" s="1"/>
  <c r="BE494" i="11" s="1"/>
  <c r="BF494" i="11" s="1"/>
  <c r="BG494" i="11" s="1"/>
  <c r="BH494" i="11" s="1"/>
  <c r="BI494" i="11" s="1"/>
  <c r="BJ494" i="11" s="1"/>
  <c r="BK494" i="11" s="1"/>
  <c r="BL494" i="11" s="1"/>
  <c r="Z642" i="11"/>
  <c r="AA472" i="11" s="1"/>
  <c r="AB472" i="11" s="1"/>
  <c r="AC472" i="11" s="1"/>
  <c r="AD472" i="11" s="1"/>
  <c r="AE472" i="11" s="1"/>
  <c r="AF472" i="11" s="1"/>
  <c r="AG472" i="11" s="1"/>
  <c r="AH472" i="11" s="1"/>
  <c r="AX472" i="11"/>
  <c r="AD28" i="12"/>
  <c r="T96" i="12"/>
  <c r="R92" i="12"/>
  <c r="AI62" i="12"/>
  <c r="AF28" i="12"/>
  <c r="AR96" i="12"/>
  <c r="T32" i="12"/>
  <c r="Z641" i="11"/>
  <c r="AA471" i="11" s="1"/>
  <c r="AB471" i="11" s="1"/>
  <c r="AC471" i="11" s="1"/>
  <c r="AD471" i="11" s="1"/>
  <c r="AE471" i="11" s="1"/>
  <c r="AF471" i="11" s="1"/>
  <c r="AG471" i="11" s="1"/>
  <c r="AH471" i="11" s="1"/>
  <c r="AX471" i="11"/>
  <c r="W26" i="12"/>
  <c r="V59" i="12"/>
  <c r="AM91" i="12"/>
  <c r="BB91" i="12" s="1"/>
  <c r="BQ91" i="12" s="1"/>
  <c r="AA91" i="12"/>
  <c r="V7" i="12"/>
  <c r="N28" i="12"/>
  <c r="AN96" i="12"/>
  <c r="Q96" i="12"/>
  <c r="P96" i="12"/>
  <c r="AK96" i="12"/>
  <c r="AH96" i="12"/>
  <c r="V10" i="12"/>
  <c r="O90" i="12"/>
  <c r="U92" i="12"/>
  <c r="AK32" i="12"/>
  <c r="R32" i="12"/>
  <c r="AM92" i="12"/>
  <c r="BB92" i="12" s="1"/>
  <c r="BQ92" i="12" s="1"/>
  <c r="BV92" i="12" s="1"/>
  <c r="S92" i="12"/>
  <c r="W90" i="12"/>
  <c r="AD32" i="12"/>
  <c r="AF32" i="12"/>
  <c r="AQ90" i="12"/>
  <c r="AL97" i="12"/>
  <c r="H8" i="12"/>
  <c r="AB28" i="12"/>
  <c r="AP92" i="12"/>
  <c r="AF96" i="12"/>
  <c r="AA96" i="12"/>
  <c r="AB89" i="12"/>
  <c r="AN59" i="12"/>
  <c r="AD91" i="12"/>
  <c r="AD7" i="12"/>
  <c r="I7" i="12"/>
  <c r="AJ28" i="12"/>
  <c r="AG96" i="12"/>
  <c r="AI96" i="12"/>
  <c r="AC96" i="12"/>
  <c r="AD96" i="12"/>
  <c r="AJ90" i="12"/>
  <c r="O8" i="12"/>
  <c r="X32" i="12"/>
  <c r="AE32" i="12"/>
  <c r="AE89" i="12"/>
  <c r="AO32" i="12"/>
  <c r="W32" i="12"/>
  <c r="R62" i="12"/>
  <c r="AG26" i="12"/>
  <c r="X59" i="12"/>
  <c r="AR61" i="12"/>
  <c r="AO90" i="12"/>
  <c r="AX358" i="11"/>
  <c r="BM358" i="11" s="1"/>
  <c r="AX483" i="11"/>
  <c r="Z653" i="11"/>
  <c r="AA483" i="11" s="1"/>
  <c r="AB483" i="11" s="1"/>
  <c r="AC483" i="11" s="1"/>
  <c r="AD483" i="11" s="1"/>
  <c r="AE483" i="11" s="1"/>
  <c r="AF483" i="11" s="1"/>
  <c r="AG483" i="11" s="1"/>
  <c r="AH483" i="11" s="1"/>
  <c r="Z539" i="11"/>
  <c r="AA369" i="11" s="1"/>
  <c r="AB369" i="11" s="1"/>
  <c r="AC369" i="11" s="1"/>
  <c r="AD369" i="11" s="1"/>
  <c r="AE369" i="11" s="1"/>
  <c r="AF369" i="11" s="1"/>
  <c r="AG369" i="11" s="1"/>
  <c r="AH369" i="11" s="1"/>
  <c r="AX369" i="11"/>
  <c r="AM96" i="12"/>
  <c r="BB96" i="12" s="1"/>
  <c r="BQ96" i="12" s="1"/>
  <c r="AM28" i="12"/>
  <c r="BB28" i="12" s="1"/>
  <c r="BQ28" i="12" s="1"/>
  <c r="AL96" i="12"/>
  <c r="AP32" i="12"/>
  <c r="AH92" i="12"/>
  <c r="AX263" i="11"/>
  <c r="AE263" i="11"/>
  <c r="AF263" i="11" s="1"/>
  <c r="AG263" i="11" s="1"/>
  <c r="AH263" i="11" s="1"/>
  <c r="AK89" i="12"/>
  <c r="Z7" i="12"/>
  <c r="U7" i="12"/>
  <c r="V96" i="12"/>
  <c r="AQ96" i="12"/>
  <c r="K15" i="12"/>
  <c r="AF89" i="12"/>
  <c r="AN32" i="12"/>
  <c r="V32" i="12"/>
  <c r="AN89" i="12"/>
  <c r="Q92" i="12"/>
  <c r="AG89" i="12"/>
  <c r="AP89" i="12"/>
  <c r="BN494" i="11"/>
  <c r="BO494" i="11" s="1"/>
  <c r="BP494" i="11" s="1"/>
  <c r="BQ494" i="11" s="1"/>
  <c r="W8" i="12"/>
  <c r="T28" i="12"/>
  <c r="AE253" i="11"/>
  <c r="AF253" i="11" s="1"/>
  <c r="AG253" i="11" s="1"/>
  <c r="AH253" i="11" s="1"/>
  <c r="AX253" i="11"/>
  <c r="AJ253" i="11" s="1"/>
  <c r="AK253" i="11" s="1"/>
  <c r="AL253" i="11" s="1"/>
  <c r="AM253" i="11" s="1"/>
  <c r="AN253" i="11" s="1"/>
  <c r="AO253" i="11" s="1"/>
  <c r="AP253" i="11" s="1"/>
  <c r="AQ253" i="11" s="1"/>
  <c r="AR253" i="11" s="1"/>
  <c r="AS253" i="11" s="1"/>
  <c r="AT253" i="11" s="1"/>
  <c r="AU253" i="11" s="1"/>
  <c r="AV253" i="11" s="1"/>
  <c r="AW253" i="11" s="1"/>
  <c r="AC26" i="12"/>
  <c r="T59" i="12"/>
  <c r="Q59" i="12"/>
  <c r="AP62" i="12"/>
  <c r="W10" i="12"/>
  <c r="Y10" i="12"/>
  <c r="AB61" i="12"/>
  <c r="X97" i="12"/>
  <c r="AQ60" i="12"/>
  <c r="AF8" i="12"/>
  <c r="Y27" i="12"/>
  <c r="Z27" i="12"/>
  <c r="AB59" i="12"/>
  <c r="AN61" i="12"/>
  <c r="AC65" i="12"/>
  <c r="AG65" i="12"/>
  <c r="O26" i="12"/>
  <c r="P59" i="12"/>
  <c r="V91" i="12"/>
  <c r="AR91" i="12"/>
  <c r="O91" i="12"/>
  <c r="X28" i="12"/>
  <c r="AN28" i="12"/>
  <c r="AG28" i="12"/>
  <c r="AQ62" i="12"/>
  <c r="AG10" i="12"/>
  <c r="AA10" i="12"/>
  <c r="W97" i="12"/>
  <c r="P97" i="12"/>
  <c r="AB91" i="12"/>
  <c r="AJ60" i="12"/>
  <c r="Q89" i="12"/>
  <c r="AB8" i="12"/>
  <c r="AC89" i="12"/>
  <c r="AD8" i="12"/>
  <c r="Y89" i="12"/>
  <c r="AB90" i="12"/>
  <c r="AM89" i="12"/>
  <c r="BB89" i="12" s="1"/>
  <c r="BQ89" i="12" s="1"/>
  <c r="BC89" i="12" s="1"/>
  <c r="BD89" i="12" s="1"/>
  <c r="BE89" i="12" s="1"/>
  <c r="BF89" i="12" s="1"/>
  <c r="BG89" i="12" s="1"/>
  <c r="BH89" i="12" s="1"/>
  <c r="BI89" i="12" s="1"/>
  <c r="BJ89" i="12" s="1"/>
  <c r="BK89" i="12" s="1"/>
  <c r="BL89" i="12" s="1"/>
  <c r="BM89" i="12" s="1"/>
  <c r="BN89" i="12" s="1"/>
  <c r="BO89" i="12" s="1"/>
  <c r="BP89" i="12" s="1"/>
  <c r="P8" i="12"/>
  <c r="W27" i="12"/>
  <c r="AK27" i="12"/>
  <c r="AQ27" i="12"/>
  <c r="V90" i="12"/>
  <c r="X25" i="12"/>
  <c r="Y96" i="12"/>
  <c r="AR59" i="12"/>
  <c r="R61" i="12"/>
  <c r="AS98" i="12"/>
  <c r="AT98" i="12" s="1"/>
  <c r="AU98" i="12" s="1"/>
  <c r="AV98" i="12" s="1"/>
  <c r="AW98" i="12" s="1"/>
  <c r="AX98" i="12" s="1"/>
  <c r="AY98" i="12" s="1"/>
  <c r="AZ98" i="12" s="1"/>
  <c r="BA98" i="12" s="1"/>
  <c r="AG59" i="12"/>
  <c r="AH60" i="12"/>
  <c r="BM266" i="11"/>
  <c r="BR266" i="11" s="1"/>
  <c r="BN266" i="11" s="1"/>
  <c r="BO266" i="11" s="1"/>
  <c r="BP266" i="11" s="1"/>
  <c r="BQ266" i="11" s="1"/>
  <c r="P89" i="12"/>
  <c r="Y65" i="12"/>
  <c r="AE26" i="12"/>
  <c r="AM26" i="12"/>
  <c r="BB26" i="12" s="1"/>
  <c r="BQ26" i="12" s="1"/>
  <c r="AD59" i="12"/>
  <c r="AO91" i="12"/>
  <c r="Z91" i="12"/>
  <c r="Q28" i="12"/>
  <c r="AC28" i="12"/>
  <c r="Y28" i="12"/>
  <c r="AO62" i="12"/>
  <c r="AL59" i="12"/>
  <c r="AC8" i="12"/>
  <c r="AD89" i="12"/>
  <c r="O89" i="12"/>
  <c r="M8" i="12"/>
  <c r="T8" i="12"/>
  <c r="X10" i="12"/>
  <c r="AO27" i="12"/>
  <c r="P27" i="12"/>
  <c r="Q62" i="12"/>
  <c r="V27" i="12"/>
  <c r="N10" i="12"/>
  <c r="U97" i="12"/>
  <c r="X26" i="12"/>
  <c r="AA62" i="12"/>
  <c r="V97" i="12"/>
  <c r="O61" i="12"/>
  <c r="R10" i="12"/>
  <c r="P61" i="12"/>
  <c r="R89" i="12"/>
  <c r="AE65" i="12"/>
  <c r="AH65" i="12"/>
  <c r="V26" i="12"/>
  <c r="R59" i="12"/>
  <c r="AE59" i="12"/>
  <c r="AI91" i="12"/>
  <c r="S91" i="12"/>
  <c r="T91" i="12"/>
  <c r="AN91" i="12"/>
  <c r="Z28" i="12"/>
  <c r="AE28" i="12"/>
  <c r="W28" i="12"/>
  <c r="V62" i="12"/>
  <c r="J10" i="12"/>
  <c r="AH59" i="12"/>
  <c r="AD90" i="12"/>
  <c r="AI90" i="12"/>
  <c r="V28" i="12"/>
  <c r="X8" i="12"/>
  <c r="K8" i="12"/>
  <c r="AL89" i="12"/>
  <c r="AE90" i="12"/>
  <c r="P10" i="12"/>
  <c r="L10" i="12"/>
  <c r="X27" i="12"/>
  <c r="AD27" i="12"/>
  <c r="U61" i="12"/>
  <c r="AG61" i="12"/>
  <c r="AY393" i="11"/>
  <c r="AZ393" i="11" s="1"/>
  <c r="BA393" i="11" s="1"/>
  <c r="BB393" i="11" s="1"/>
  <c r="BC393" i="11" s="1"/>
  <c r="BD393" i="11" s="1"/>
  <c r="BE393" i="11" s="1"/>
  <c r="BF393" i="11" s="1"/>
  <c r="BG393" i="11" s="1"/>
  <c r="BH393" i="11" s="1"/>
  <c r="BI393" i="11" s="1"/>
  <c r="BJ393" i="11" s="1"/>
  <c r="BK393" i="11" s="1"/>
  <c r="BL393" i="11" s="1"/>
  <c r="K10" i="12"/>
  <c r="AQ61" i="12"/>
  <c r="AI26" i="12"/>
  <c r="AL26" i="12"/>
  <c r="AI89" i="12"/>
  <c r="AM65" i="12"/>
  <c r="BB65" i="12" s="1"/>
  <c r="BQ65" i="12" s="1"/>
  <c r="AP59" i="12"/>
  <c r="AA59" i="12"/>
  <c r="AR28" i="12"/>
  <c r="P91" i="12"/>
  <c r="Y91" i="12"/>
  <c r="AK28" i="12"/>
  <c r="AI28" i="12"/>
  <c r="R28" i="12"/>
  <c r="AG62" i="12"/>
  <c r="AK90" i="12"/>
  <c r="O59" i="12"/>
  <c r="Z89" i="12"/>
  <c r="N8" i="12"/>
  <c r="V8" i="12"/>
  <c r="S89" i="12"/>
  <c r="AG27" i="12"/>
  <c r="AE27" i="12"/>
  <c r="O27" i="12"/>
  <c r="O14" i="12"/>
  <c r="P14" i="12" s="1"/>
  <c r="Q14" i="12" s="1"/>
  <c r="R14" i="12" s="1"/>
  <c r="S14" i="12" s="1"/>
  <c r="T14" i="12" s="1"/>
  <c r="C132" i="6"/>
  <c r="F25" i="35"/>
  <c r="AS95" i="12"/>
  <c r="AT95" i="12" s="1"/>
  <c r="AU95" i="12" s="1"/>
  <c r="AV95" i="12" s="1"/>
  <c r="AW95" i="12" s="1"/>
  <c r="AX95" i="12" s="1"/>
  <c r="AY95" i="12" s="1"/>
  <c r="AZ95" i="12" s="1"/>
  <c r="BA95" i="12" s="1"/>
  <c r="AS68" i="12"/>
  <c r="AT68" i="12" s="1"/>
  <c r="AU68" i="12" s="1"/>
  <c r="AV68" i="12" s="1"/>
  <c r="AW68" i="12" s="1"/>
  <c r="AX68" i="12" s="1"/>
  <c r="AY68" i="12" s="1"/>
  <c r="AZ68" i="12" s="1"/>
  <c r="BA68" i="12" s="1"/>
  <c r="BC18" i="12"/>
  <c r="BD18" i="12" s="1"/>
  <c r="BE18" i="12" s="1"/>
  <c r="BF18" i="12" s="1"/>
  <c r="BG18" i="12" s="1"/>
  <c r="BH18" i="12" s="1"/>
  <c r="BI18" i="12" s="1"/>
  <c r="BJ18" i="12" s="1"/>
  <c r="BK18" i="12" s="1"/>
  <c r="BL18" i="12" s="1"/>
  <c r="BM18" i="12" s="1"/>
  <c r="BN18" i="12" s="1"/>
  <c r="BO18" i="12" s="1"/>
  <c r="BP18" i="12" s="1"/>
  <c r="F28" i="35"/>
  <c r="AI18" i="12"/>
  <c r="AJ18" i="12" s="1"/>
  <c r="AK18" i="12" s="1"/>
  <c r="AL18" i="12" s="1"/>
  <c r="AM18" i="12" s="1"/>
  <c r="AN18" i="12" s="1"/>
  <c r="AO18" i="12" s="1"/>
  <c r="AP18" i="12" s="1"/>
  <c r="AQ18" i="12" s="1"/>
  <c r="AR18" i="12" s="1"/>
  <c r="AS18" i="12" s="1"/>
  <c r="AT18" i="12" s="1"/>
  <c r="AU18" i="12" s="1"/>
  <c r="AV18" i="12" s="1"/>
  <c r="AW18" i="12" s="1"/>
  <c r="AX18" i="12" s="1"/>
  <c r="AY18" i="12" s="1"/>
  <c r="AZ18" i="12" s="1"/>
  <c r="BA18" i="12" s="1"/>
  <c r="AS33" i="12"/>
  <c r="AT33" i="12" s="1"/>
  <c r="AU33" i="12" s="1"/>
  <c r="AV33" i="12" s="1"/>
  <c r="AW33" i="12" s="1"/>
  <c r="AX33" i="12" s="1"/>
  <c r="AY33" i="12" s="1"/>
  <c r="AZ33" i="12" s="1"/>
  <c r="BA33" i="12" s="1"/>
  <c r="AS66" i="12"/>
  <c r="AT66" i="12" s="1"/>
  <c r="AU66" i="12" s="1"/>
  <c r="AV66" i="12" s="1"/>
  <c r="AW66" i="12" s="1"/>
  <c r="AX66" i="12" s="1"/>
  <c r="AY66" i="12" s="1"/>
  <c r="AZ66" i="12" s="1"/>
  <c r="BA66" i="12" s="1"/>
  <c r="G111" i="119"/>
  <c r="O112" i="119"/>
  <c r="G115" i="119"/>
  <c r="O116" i="119"/>
  <c r="G117" i="119"/>
  <c r="O118" i="119"/>
  <c r="G120" i="119"/>
  <c r="O121" i="119"/>
  <c r="G122" i="119"/>
  <c r="O123" i="119"/>
  <c r="G125" i="119"/>
  <c r="O126" i="119"/>
  <c r="G127" i="119"/>
  <c r="O128" i="119"/>
  <c r="G130" i="119"/>
  <c r="O131" i="119"/>
  <c r="G132" i="119"/>
  <c r="O133" i="119"/>
  <c r="G135" i="119"/>
  <c r="O136" i="119"/>
  <c r="G137" i="119"/>
  <c r="O138" i="119"/>
  <c r="G140" i="119"/>
  <c r="O141" i="119"/>
  <c r="G142" i="119"/>
  <c r="O143" i="119"/>
  <c r="G145" i="119"/>
  <c r="O146" i="119"/>
  <c r="G147" i="119"/>
  <c r="O148" i="119"/>
  <c r="I116" i="119"/>
  <c r="Q118" i="119"/>
  <c r="I123" i="119"/>
  <c r="I126" i="119"/>
  <c r="Q128" i="119"/>
  <c r="I133" i="119"/>
  <c r="Q136" i="119"/>
  <c r="I141" i="119"/>
  <c r="Q143" i="119"/>
  <c r="I148" i="119"/>
  <c r="R112" i="119"/>
  <c r="J118" i="119"/>
  <c r="R121" i="119"/>
  <c r="R126" i="119"/>
  <c r="J131" i="119"/>
  <c r="R133" i="119"/>
  <c r="J138" i="119"/>
  <c r="R141" i="119"/>
  <c r="J146" i="119"/>
  <c r="R148" i="119"/>
  <c r="K118" i="119"/>
  <c r="S121" i="119"/>
  <c r="K126" i="119"/>
  <c r="S128" i="119"/>
  <c r="K133" i="119"/>
  <c r="K138" i="119"/>
  <c r="S141" i="119"/>
  <c r="K146" i="119"/>
  <c r="S148" i="119"/>
  <c r="L126" i="119"/>
  <c r="L133" i="119"/>
  <c r="L141" i="119"/>
  <c r="L148" i="119"/>
  <c r="E111" i="119"/>
  <c r="M116" i="119"/>
  <c r="E120" i="119"/>
  <c r="M123" i="119"/>
  <c r="E127" i="119"/>
  <c r="M131" i="119"/>
  <c r="E135" i="119"/>
  <c r="M138" i="119"/>
  <c r="E142" i="119"/>
  <c r="M146" i="119"/>
  <c r="H112" i="119"/>
  <c r="P112" i="119"/>
  <c r="H116" i="119"/>
  <c r="P116" i="119"/>
  <c r="H118" i="119"/>
  <c r="P118" i="119"/>
  <c r="H121" i="119"/>
  <c r="P121" i="119"/>
  <c r="H123" i="119"/>
  <c r="P123" i="119"/>
  <c r="H126" i="119"/>
  <c r="P126" i="119"/>
  <c r="H128" i="119"/>
  <c r="P128" i="119"/>
  <c r="H131" i="119"/>
  <c r="P131" i="119"/>
  <c r="H133" i="119"/>
  <c r="P133" i="119"/>
  <c r="H136" i="119"/>
  <c r="P136" i="119"/>
  <c r="H138" i="119"/>
  <c r="P138" i="119"/>
  <c r="H141" i="119"/>
  <c r="P141" i="119"/>
  <c r="H143" i="119"/>
  <c r="P143" i="119"/>
  <c r="H146" i="119"/>
  <c r="P146" i="119"/>
  <c r="H148" i="119"/>
  <c r="P148" i="119"/>
  <c r="I112" i="119"/>
  <c r="Q112" i="119"/>
  <c r="Q116" i="119"/>
  <c r="I118" i="119"/>
  <c r="I121" i="119"/>
  <c r="Q123" i="119"/>
  <c r="I128" i="119"/>
  <c r="Q131" i="119"/>
  <c r="I136" i="119"/>
  <c r="Q138" i="119"/>
  <c r="I143" i="119"/>
  <c r="Q146" i="119"/>
  <c r="J112" i="119"/>
  <c r="R116" i="119"/>
  <c r="J121" i="119"/>
  <c r="R123" i="119"/>
  <c r="J128" i="119"/>
  <c r="R131" i="119"/>
  <c r="J136" i="119"/>
  <c r="J141" i="119"/>
  <c r="R143" i="119"/>
  <c r="J148" i="119"/>
  <c r="K116" i="119"/>
  <c r="S118" i="119"/>
  <c r="S123" i="119"/>
  <c r="K128" i="119"/>
  <c r="S131" i="119"/>
  <c r="K136" i="119"/>
  <c r="S138" i="119"/>
  <c r="K143" i="119"/>
  <c r="S146" i="119"/>
  <c r="L112" i="119"/>
  <c r="L116" i="119"/>
  <c r="L123" i="119"/>
  <c r="L128" i="119"/>
  <c r="L136" i="119"/>
  <c r="L143" i="119"/>
  <c r="M112" i="119"/>
  <c r="E117" i="119"/>
  <c r="M121" i="119"/>
  <c r="E125" i="119"/>
  <c r="M128" i="119"/>
  <c r="E132" i="119"/>
  <c r="E137" i="119"/>
  <c r="M141" i="119"/>
  <c r="E145" i="119"/>
  <c r="M148" i="119"/>
  <c r="F111" i="119"/>
  <c r="N112" i="119"/>
  <c r="F115" i="119"/>
  <c r="N116" i="119"/>
  <c r="F117" i="119"/>
  <c r="N118" i="119"/>
  <c r="F120" i="119"/>
  <c r="N121" i="119"/>
  <c r="F122" i="119"/>
  <c r="N123" i="119"/>
  <c r="F125" i="119"/>
  <c r="N126" i="119"/>
  <c r="F127" i="119"/>
  <c r="N128" i="119"/>
  <c r="F130" i="119"/>
  <c r="N131" i="119"/>
  <c r="F132" i="119"/>
  <c r="N133" i="119"/>
  <c r="F135" i="119"/>
  <c r="N136" i="119"/>
  <c r="F137" i="119"/>
  <c r="N138" i="119"/>
  <c r="F140" i="119"/>
  <c r="N141" i="119"/>
  <c r="F142" i="119"/>
  <c r="N143" i="119"/>
  <c r="F145" i="119"/>
  <c r="N146" i="119"/>
  <c r="F147" i="119"/>
  <c r="N148" i="119"/>
  <c r="Q121" i="119"/>
  <c r="Q126" i="119"/>
  <c r="I131" i="119"/>
  <c r="Q133" i="119"/>
  <c r="I138" i="119"/>
  <c r="Q141" i="119"/>
  <c r="I146" i="119"/>
  <c r="Q148" i="119"/>
  <c r="J116" i="119"/>
  <c r="R118" i="119"/>
  <c r="J123" i="119"/>
  <c r="J126" i="119"/>
  <c r="R128" i="119"/>
  <c r="J133" i="119"/>
  <c r="R136" i="119"/>
  <c r="R138" i="119"/>
  <c r="J143" i="119"/>
  <c r="R146" i="119"/>
  <c r="K112" i="119"/>
  <c r="S112" i="119"/>
  <c r="S116" i="119"/>
  <c r="K121" i="119"/>
  <c r="K123" i="119"/>
  <c r="S126" i="119"/>
  <c r="K131" i="119"/>
  <c r="S133" i="119"/>
  <c r="S136" i="119"/>
  <c r="K141" i="119"/>
  <c r="S143" i="119"/>
  <c r="K148" i="119"/>
  <c r="L118" i="119"/>
  <c r="L121" i="119"/>
  <c r="L131" i="119"/>
  <c r="L138" i="119"/>
  <c r="L146" i="119"/>
  <c r="E115" i="119"/>
  <c r="M118" i="119"/>
  <c r="E122" i="119"/>
  <c r="M126" i="119"/>
  <c r="E130" i="119"/>
  <c r="M133" i="119"/>
  <c r="M136" i="119"/>
  <c r="E140" i="119"/>
  <c r="M143" i="119"/>
  <c r="E147" i="119"/>
  <c r="L105" i="119"/>
  <c r="AX366" i="11"/>
  <c r="AJ366" i="11" s="1"/>
  <c r="AK366" i="11" s="1"/>
  <c r="AL366" i="11" s="1"/>
  <c r="AM366" i="11" s="1"/>
  <c r="AN366" i="11" s="1"/>
  <c r="AO366" i="11" s="1"/>
  <c r="AP366" i="11" s="1"/>
  <c r="AQ366" i="11" s="1"/>
  <c r="AR366" i="11" s="1"/>
  <c r="AS366" i="11" s="1"/>
  <c r="AT366" i="11" s="1"/>
  <c r="AU366" i="11" s="1"/>
  <c r="AV366" i="11" s="1"/>
  <c r="AW366" i="11" s="1"/>
  <c r="Z536" i="11"/>
  <c r="AA366" i="11" s="1"/>
  <c r="AB366" i="11" s="1"/>
  <c r="AC366" i="11" s="1"/>
  <c r="AD366" i="11" s="1"/>
  <c r="AE366" i="11" s="1"/>
  <c r="AF366" i="11" s="1"/>
  <c r="AG366" i="11" s="1"/>
  <c r="AH366" i="11" s="1"/>
  <c r="AB15" i="12"/>
  <c r="AN97" i="12"/>
  <c r="N62" i="12"/>
  <c r="O15" i="12"/>
  <c r="AP97" i="12"/>
  <c r="AC97" i="12"/>
  <c r="B95" i="34"/>
  <c r="G32" i="34"/>
  <c r="AX357" i="11"/>
  <c r="AJ357" i="11" s="1"/>
  <c r="AK357" i="11" s="1"/>
  <c r="AL357" i="11" s="1"/>
  <c r="AM357" i="11" s="1"/>
  <c r="AN357" i="11" s="1"/>
  <c r="AO357" i="11" s="1"/>
  <c r="AP357" i="11" s="1"/>
  <c r="AQ357" i="11" s="1"/>
  <c r="AR357" i="11" s="1"/>
  <c r="AS357" i="11" s="1"/>
  <c r="AT357" i="11" s="1"/>
  <c r="AU357" i="11" s="1"/>
  <c r="AV357" i="11" s="1"/>
  <c r="AW357" i="11" s="1"/>
  <c r="Z527" i="11"/>
  <c r="AA357" i="11" s="1"/>
  <c r="AB357" i="11" s="1"/>
  <c r="AC357" i="11" s="1"/>
  <c r="AD357" i="11" s="1"/>
  <c r="AE357" i="11" s="1"/>
  <c r="AF357" i="11" s="1"/>
  <c r="AG357" i="11" s="1"/>
  <c r="AH357" i="11" s="1"/>
  <c r="AX267" i="11"/>
  <c r="AJ267" i="11" s="1"/>
  <c r="AK267" i="11" s="1"/>
  <c r="AL267" i="11" s="1"/>
  <c r="AM267" i="11" s="1"/>
  <c r="AN267" i="11" s="1"/>
  <c r="AO267" i="11" s="1"/>
  <c r="AP267" i="11" s="1"/>
  <c r="AQ267" i="11" s="1"/>
  <c r="AR267" i="11" s="1"/>
  <c r="AS267" i="11" s="1"/>
  <c r="AT267" i="11" s="1"/>
  <c r="AU267" i="11" s="1"/>
  <c r="AV267" i="11" s="1"/>
  <c r="AW267" i="11" s="1"/>
  <c r="AE267" i="11"/>
  <c r="AF267" i="11" s="1"/>
  <c r="AG267" i="11" s="1"/>
  <c r="AH267" i="11" s="1"/>
  <c r="AA7" i="12"/>
  <c r="P7" i="12"/>
  <c r="T7" i="12"/>
  <c r="AB7" i="12"/>
  <c r="AH7" i="12"/>
  <c r="BB7" i="12" s="1"/>
  <c r="BQ7" i="12" s="1"/>
  <c r="W7" i="12"/>
  <c r="O7" i="12"/>
  <c r="AE7" i="12"/>
  <c r="L7" i="12"/>
  <c r="Y7" i="12"/>
  <c r="W15" i="12"/>
  <c r="T15" i="12"/>
  <c r="M15" i="12"/>
  <c r="AE15" i="12"/>
  <c r="V15" i="12"/>
  <c r="S15" i="12"/>
  <c r="X15" i="12"/>
  <c r="I15" i="12"/>
  <c r="Q15" i="12"/>
  <c r="R15" i="12"/>
  <c r="Z15" i="12"/>
  <c r="AC15" i="12"/>
  <c r="U15" i="12"/>
  <c r="AX376" i="11"/>
  <c r="Z546" i="11"/>
  <c r="AA376" i="11" s="1"/>
  <c r="AB376" i="11" s="1"/>
  <c r="AC376" i="11" s="1"/>
  <c r="AD376" i="11" s="1"/>
  <c r="AE376" i="11" s="1"/>
  <c r="AF376" i="11" s="1"/>
  <c r="AG376" i="11" s="1"/>
  <c r="AH376" i="11" s="1"/>
  <c r="Y15" i="12"/>
  <c r="AH62" i="12"/>
  <c r="P62" i="12"/>
  <c r="O62" i="12"/>
  <c r="AE62" i="12"/>
  <c r="AM62" i="12"/>
  <c r="BB62" i="12" s="1"/>
  <c r="U62" i="12"/>
  <c r="Y62" i="12"/>
  <c r="AF62" i="12"/>
  <c r="AD62" i="12"/>
  <c r="S62" i="12"/>
  <c r="AR62" i="12"/>
  <c r="AJ62" i="12"/>
  <c r="AX259" i="11"/>
  <c r="AJ259" i="11" s="1"/>
  <c r="AK259" i="11" s="1"/>
  <c r="AL259" i="11" s="1"/>
  <c r="AM259" i="11" s="1"/>
  <c r="AN259" i="11" s="1"/>
  <c r="AO259" i="11" s="1"/>
  <c r="AP259" i="11" s="1"/>
  <c r="AQ259" i="11" s="1"/>
  <c r="AR259" i="11" s="1"/>
  <c r="AS259" i="11" s="1"/>
  <c r="AT259" i="11" s="1"/>
  <c r="AU259" i="11" s="1"/>
  <c r="AV259" i="11" s="1"/>
  <c r="AW259" i="11" s="1"/>
  <c r="AE259" i="11"/>
  <c r="AF259" i="11" s="1"/>
  <c r="AG259" i="11" s="1"/>
  <c r="AH259" i="11" s="1"/>
  <c r="BM380" i="11"/>
  <c r="AY380" i="11" s="1"/>
  <c r="AZ380" i="11" s="1"/>
  <c r="BA380" i="11" s="1"/>
  <c r="BB380" i="11" s="1"/>
  <c r="BC380" i="11" s="1"/>
  <c r="BD380" i="11" s="1"/>
  <c r="BE380" i="11" s="1"/>
  <c r="BF380" i="11" s="1"/>
  <c r="BG380" i="11" s="1"/>
  <c r="BH380" i="11" s="1"/>
  <c r="BI380" i="11" s="1"/>
  <c r="BJ380" i="11" s="1"/>
  <c r="BK380" i="11" s="1"/>
  <c r="BL380" i="11" s="1"/>
  <c r="AJ380" i="11"/>
  <c r="AK380" i="11" s="1"/>
  <c r="AL380" i="11" s="1"/>
  <c r="AM380" i="11" s="1"/>
  <c r="AN380" i="11" s="1"/>
  <c r="AO380" i="11" s="1"/>
  <c r="AP380" i="11" s="1"/>
  <c r="AQ380" i="11" s="1"/>
  <c r="AR380" i="11" s="1"/>
  <c r="AS380" i="11" s="1"/>
  <c r="AT380" i="11" s="1"/>
  <c r="AU380" i="11" s="1"/>
  <c r="AV380" i="11" s="1"/>
  <c r="AW380" i="11" s="1"/>
  <c r="X62" i="12"/>
  <c r="AN62" i="12"/>
  <c r="AL62" i="12"/>
  <c r="J15" i="12"/>
  <c r="L15" i="12"/>
  <c r="O31" i="12"/>
  <c r="P31" i="12" s="1"/>
  <c r="Q31" i="12" s="1"/>
  <c r="R31" i="12" s="1"/>
  <c r="S31" i="12" s="1"/>
  <c r="T31" i="12" s="1"/>
  <c r="O97" i="12"/>
  <c r="BM254" i="11"/>
  <c r="AY254" i="11" s="1"/>
  <c r="AZ254" i="11" s="1"/>
  <c r="BA254" i="11" s="1"/>
  <c r="BB254" i="11" s="1"/>
  <c r="BC254" i="11" s="1"/>
  <c r="BD254" i="11" s="1"/>
  <c r="BE254" i="11" s="1"/>
  <c r="BF254" i="11" s="1"/>
  <c r="BG254" i="11" s="1"/>
  <c r="BH254" i="11" s="1"/>
  <c r="BI254" i="11" s="1"/>
  <c r="BJ254" i="11" s="1"/>
  <c r="BK254" i="11" s="1"/>
  <c r="BL254" i="11" s="1"/>
  <c r="H15" i="12"/>
  <c r="AK62" i="12"/>
  <c r="W62" i="12"/>
  <c r="N15" i="12"/>
  <c r="AA15" i="12"/>
  <c r="AR97" i="12"/>
  <c r="W60" i="12"/>
  <c r="AN60" i="12"/>
  <c r="AM60" i="12"/>
  <c r="BB60" i="12" s="1"/>
  <c r="AL60" i="12"/>
  <c r="AD60" i="12"/>
  <c r="AR60" i="12"/>
  <c r="P60" i="12"/>
  <c r="N60" i="12"/>
  <c r="AP60" i="12"/>
  <c r="Q60" i="12"/>
  <c r="O60" i="12"/>
  <c r="AO60" i="12"/>
  <c r="S60" i="12"/>
  <c r="AA60" i="12"/>
  <c r="AC60" i="12"/>
  <c r="V60" i="12"/>
  <c r="U60" i="12"/>
  <c r="AB60" i="12"/>
  <c r="AK60" i="12"/>
  <c r="Z60" i="12"/>
  <c r="Y60" i="12"/>
  <c r="AG60" i="12"/>
  <c r="R60" i="12"/>
  <c r="X60" i="12"/>
  <c r="AI60" i="12"/>
  <c r="AF15" i="12"/>
  <c r="AD15" i="12"/>
  <c r="AI97" i="12"/>
  <c r="T97" i="12"/>
  <c r="AB97" i="12"/>
  <c r="R97" i="12"/>
  <c r="AO97" i="12"/>
  <c r="AK97" i="12"/>
  <c r="Y97" i="12"/>
  <c r="AA97" i="12"/>
  <c r="AH97" i="12"/>
  <c r="S97" i="12"/>
  <c r="AF97" i="12"/>
  <c r="AD97" i="12"/>
  <c r="AQ97" i="12"/>
  <c r="Q97" i="12"/>
  <c r="AM97" i="12"/>
  <c r="BB97" i="12" s="1"/>
  <c r="BQ97" i="12" s="1"/>
  <c r="Z62" i="12"/>
  <c r="T62" i="12"/>
  <c r="AG15" i="12"/>
  <c r="P15" i="12"/>
  <c r="Z97" i="12"/>
  <c r="BM488" i="11"/>
  <c r="AY488" i="11" s="1"/>
  <c r="AZ488" i="11" s="1"/>
  <c r="BA488" i="11" s="1"/>
  <c r="BB488" i="11" s="1"/>
  <c r="BC488" i="11" s="1"/>
  <c r="BD488" i="11" s="1"/>
  <c r="BE488" i="11" s="1"/>
  <c r="BF488" i="11" s="1"/>
  <c r="BG488" i="11" s="1"/>
  <c r="BH488" i="11" s="1"/>
  <c r="BI488" i="11" s="1"/>
  <c r="BJ488" i="11" s="1"/>
  <c r="BK488" i="11" s="1"/>
  <c r="BL488" i="11" s="1"/>
  <c r="AJ488" i="11"/>
  <c r="AK488" i="11" s="1"/>
  <c r="AL488" i="11" s="1"/>
  <c r="AM488" i="11" s="1"/>
  <c r="AN488" i="11" s="1"/>
  <c r="AO488" i="11" s="1"/>
  <c r="AP488" i="11" s="1"/>
  <c r="AQ488" i="11" s="1"/>
  <c r="AR488" i="11" s="1"/>
  <c r="AS488" i="11" s="1"/>
  <c r="AT488" i="11" s="1"/>
  <c r="AU488" i="11" s="1"/>
  <c r="AV488" i="11" s="1"/>
  <c r="AW488" i="11" s="1"/>
  <c r="V9" i="12"/>
  <c r="Z9" i="12"/>
  <c r="AC9" i="12"/>
  <c r="I9" i="12"/>
  <c r="O9" i="12"/>
  <c r="AH9" i="12"/>
  <c r="BB9" i="12" s="1"/>
  <c r="J9" i="12"/>
  <c r="Y9" i="12"/>
  <c r="L9" i="12"/>
  <c r="K9" i="12"/>
  <c r="X9" i="12"/>
  <c r="AD9" i="12"/>
  <c r="AB9" i="12"/>
  <c r="H9" i="12"/>
  <c r="R9" i="12"/>
  <c r="U9" i="12"/>
  <c r="AE9" i="12"/>
  <c r="AD92" i="12"/>
  <c r="W92" i="12"/>
  <c r="AN92" i="12"/>
  <c r="AR92" i="12"/>
  <c r="V92" i="12"/>
  <c r="AK92" i="12"/>
  <c r="Y92" i="12"/>
  <c r="Z92" i="12"/>
  <c r="AJ92" i="12"/>
  <c r="AL92" i="12"/>
  <c r="P92" i="12"/>
  <c r="AO92" i="12"/>
  <c r="X92" i="12"/>
  <c r="AA92" i="12"/>
  <c r="T92" i="12"/>
  <c r="AQ92" i="12"/>
  <c r="AE97" i="12"/>
  <c r="BM392" i="11"/>
  <c r="AY392" i="11" s="1"/>
  <c r="AZ392" i="11" s="1"/>
  <c r="BA392" i="11" s="1"/>
  <c r="BB392" i="11" s="1"/>
  <c r="BC392" i="11" s="1"/>
  <c r="BD392" i="11" s="1"/>
  <c r="BE392" i="11" s="1"/>
  <c r="BF392" i="11" s="1"/>
  <c r="BG392" i="11" s="1"/>
  <c r="BH392" i="11" s="1"/>
  <c r="BI392" i="11" s="1"/>
  <c r="BJ392" i="11" s="1"/>
  <c r="BK392" i="11" s="1"/>
  <c r="BL392" i="11" s="1"/>
  <c r="BR393" i="11"/>
  <c r="BN393" i="11" s="1"/>
  <c r="BO393" i="11" s="1"/>
  <c r="BP393" i="11" s="1"/>
  <c r="BQ393" i="11" s="1"/>
  <c r="AC61" i="12"/>
  <c r="AH61" i="12"/>
  <c r="Z59" i="12"/>
  <c r="AM59" i="12"/>
  <c r="BB59" i="12" s="1"/>
  <c r="AC10" i="12"/>
  <c r="S10" i="12"/>
  <c r="AP25" i="12"/>
  <c r="Q25" i="12"/>
  <c r="AQ25" i="12"/>
  <c r="N25" i="12"/>
  <c r="W61" i="12"/>
  <c r="V61" i="12"/>
  <c r="AH90" i="12"/>
  <c r="S90" i="12"/>
  <c r="T90" i="12"/>
  <c r="AL90" i="12"/>
  <c r="Y90" i="12"/>
  <c r="AC90" i="12"/>
  <c r="C56" i="34"/>
  <c r="D44" i="34"/>
  <c r="Z61" i="12"/>
  <c r="AK61" i="12"/>
  <c r="AQ59" i="12"/>
  <c r="N61" i="12"/>
  <c r="Q61" i="12"/>
  <c r="AP26" i="12"/>
  <c r="Q26" i="12"/>
  <c r="N26" i="12"/>
  <c r="AD26" i="12"/>
  <c r="AO26" i="12"/>
  <c r="AF26" i="12"/>
  <c r="U26" i="12"/>
  <c r="AQ26" i="12"/>
  <c r="Z26" i="12"/>
  <c r="R26" i="12"/>
  <c r="AJ26" i="12"/>
  <c r="AN26" i="12"/>
  <c r="Y26" i="12"/>
  <c r="AR26" i="12"/>
  <c r="AK26" i="12"/>
  <c r="AB26" i="12"/>
  <c r="S26" i="12"/>
  <c r="Z544" i="11"/>
  <c r="AA374" i="11" s="1"/>
  <c r="AB374" i="11" s="1"/>
  <c r="AC374" i="11" s="1"/>
  <c r="AD374" i="11" s="1"/>
  <c r="AE374" i="11" s="1"/>
  <c r="AF374" i="11" s="1"/>
  <c r="AG374" i="11" s="1"/>
  <c r="AH374" i="11" s="1"/>
  <c r="AX374" i="11"/>
  <c r="AJ59" i="12"/>
  <c r="AB25" i="12"/>
  <c r="AF25" i="12"/>
  <c r="P25" i="12"/>
  <c r="S25" i="12"/>
  <c r="AG25" i="12"/>
  <c r="AJ25" i="12"/>
  <c r="AL25" i="12"/>
  <c r="AF10" i="12"/>
  <c r="AH10" i="12"/>
  <c r="BB10" i="12" s="1"/>
  <c r="H10" i="12"/>
  <c r="M10" i="12"/>
  <c r="O10" i="12"/>
  <c r="Q10" i="12"/>
  <c r="AD10" i="12"/>
  <c r="S61" i="12"/>
  <c r="T61" i="12"/>
  <c r="AD61" i="12"/>
  <c r="T26" i="12"/>
  <c r="AA26" i="12"/>
  <c r="AC59" i="12"/>
  <c r="AO59" i="12"/>
  <c r="T10" i="12"/>
  <c r="AF59" i="12"/>
  <c r="U25" i="12"/>
  <c r="AA61" i="12"/>
  <c r="AK25" i="12"/>
  <c r="AR90" i="12"/>
  <c r="AP61" i="12"/>
  <c r="AE8" i="12"/>
  <c r="I8" i="12"/>
  <c r="Y8" i="12"/>
  <c r="AA28" i="12"/>
  <c r="U90" i="12"/>
  <c r="X90" i="12"/>
  <c r="U8" i="12"/>
  <c r="J8" i="12"/>
  <c r="AA27" i="12"/>
  <c r="S27" i="12"/>
  <c r="U65" i="12"/>
  <c r="N65" i="12"/>
  <c r="AO65" i="12"/>
  <c r="AN65" i="12"/>
  <c r="V65" i="12"/>
  <c r="X65" i="12"/>
  <c r="S65" i="12"/>
  <c r="AI65" i="12"/>
  <c r="AB65" i="12"/>
  <c r="T65" i="12"/>
  <c r="Q65" i="12"/>
  <c r="AJ65" i="12"/>
  <c r="AP65" i="12"/>
  <c r="AL65" i="12"/>
  <c r="O65" i="12"/>
  <c r="W65" i="12"/>
  <c r="AF65" i="12"/>
  <c r="Z660" i="11"/>
  <c r="AA490" i="11" s="1"/>
  <c r="AB490" i="11" s="1"/>
  <c r="AC490" i="11" s="1"/>
  <c r="AD490" i="11" s="1"/>
  <c r="AE490" i="11" s="1"/>
  <c r="AF490" i="11" s="1"/>
  <c r="AG490" i="11" s="1"/>
  <c r="AH490" i="11" s="1"/>
  <c r="AX490" i="11"/>
  <c r="W59" i="12"/>
  <c r="BM507" i="11"/>
  <c r="AY507" i="11" s="1"/>
  <c r="AZ507" i="11" s="1"/>
  <c r="BA507" i="11" s="1"/>
  <c r="BB507" i="11" s="1"/>
  <c r="BC507" i="11" s="1"/>
  <c r="BD507" i="11" s="1"/>
  <c r="BE507" i="11" s="1"/>
  <c r="BF507" i="11" s="1"/>
  <c r="BG507" i="11" s="1"/>
  <c r="BH507" i="11" s="1"/>
  <c r="BI507" i="11" s="1"/>
  <c r="BJ507" i="11" s="1"/>
  <c r="BK507" i="11" s="1"/>
  <c r="BL507" i="11" s="1"/>
  <c r="AJ507" i="11"/>
  <c r="AK507" i="11" s="1"/>
  <c r="AL507" i="11" s="1"/>
  <c r="AM507" i="11" s="1"/>
  <c r="AN507" i="11" s="1"/>
  <c r="AO507" i="11" s="1"/>
  <c r="AP507" i="11" s="1"/>
  <c r="AQ507" i="11" s="1"/>
  <c r="AR507" i="11" s="1"/>
  <c r="AS507" i="11" s="1"/>
  <c r="AT507" i="11" s="1"/>
  <c r="AU507" i="11" s="1"/>
  <c r="AV507" i="11" s="1"/>
  <c r="AW507" i="11" s="1"/>
  <c r="AI27" i="12"/>
  <c r="AM61" i="12"/>
  <c r="BB61" i="12" s="1"/>
  <c r="BQ61" i="12" s="1"/>
  <c r="AE61" i="12"/>
  <c r="AF61" i="12"/>
  <c r="AB10" i="12"/>
  <c r="Y61" i="12"/>
  <c r="P49" i="14"/>
  <c r="P26" i="12"/>
  <c r="AI59" i="12"/>
  <c r="U59" i="12"/>
  <c r="U10" i="12"/>
  <c r="AE25" i="12"/>
  <c r="N59" i="12"/>
  <c r="AN25" i="12"/>
  <c r="AG90" i="12"/>
  <c r="AM90" i="12"/>
  <c r="BB90" i="12" s="1"/>
  <c r="U28" i="12"/>
  <c r="S28" i="12"/>
  <c r="Z10" i="12"/>
  <c r="AA90" i="12"/>
  <c r="Q90" i="12"/>
  <c r="I10" i="12"/>
  <c r="R90" i="12"/>
  <c r="AC27" i="12"/>
  <c r="AP27" i="12"/>
  <c r="AN27" i="12"/>
  <c r="AJ27" i="12"/>
  <c r="T27" i="12"/>
  <c r="Z676" i="11"/>
  <c r="AA506" i="11" s="1"/>
  <c r="AB506" i="11" s="1"/>
  <c r="AC506" i="11" s="1"/>
  <c r="AD506" i="11" s="1"/>
  <c r="AE506" i="11" s="1"/>
  <c r="AF506" i="11" s="1"/>
  <c r="AG506" i="11" s="1"/>
  <c r="AH506" i="11" s="1"/>
  <c r="AX506" i="11"/>
  <c r="AJ506" i="11" s="1"/>
  <c r="AK506" i="11" s="1"/>
  <c r="AL506" i="11" s="1"/>
  <c r="AM506" i="11" s="1"/>
  <c r="AN506" i="11" s="1"/>
  <c r="AO506" i="11" s="1"/>
  <c r="AP506" i="11" s="1"/>
  <c r="AQ506" i="11" s="1"/>
  <c r="AR506" i="11" s="1"/>
  <c r="AS506" i="11" s="1"/>
  <c r="AT506" i="11" s="1"/>
  <c r="AU506" i="11" s="1"/>
  <c r="AV506" i="11" s="1"/>
  <c r="AW506" i="11" s="1"/>
  <c r="AX269" i="11"/>
  <c r="AJ269" i="11" s="1"/>
  <c r="AK269" i="11" s="1"/>
  <c r="AL269" i="11" s="1"/>
  <c r="AM269" i="11" s="1"/>
  <c r="AN269" i="11" s="1"/>
  <c r="AO269" i="11" s="1"/>
  <c r="AP269" i="11" s="1"/>
  <c r="AQ269" i="11" s="1"/>
  <c r="AR269" i="11" s="1"/>
  <c r="AS269" i="11" s="1"/>
  <c r="AT269" i="11" s="1"/>
  <c r="AU269" i="11" s="1"/>
  <c r="AV269" i="11" s="1"/>
  <c r="AW269" i="11" s="1"/>
  <c r="AE269" i="11"/>
  <c r="AF269" i="11" s="1"/>
  <c r="AG269" i="11" s="1"/>
  <c r="AH269" i="11" s="1"/>
  <c r="X61" i="12"/>
  <c r="R27" i="12"/>
  <c r="AL61" i="12"/>
  <c r="BQ33" i="12"/>
  <c r="BV33" i="12" s="1"/>
  <c r="BW33" i="12" s="1"/>
  <c r="BX33" i="12" s="1"/>
  <c r="BY33" i="12" s="1"/>
  <c r="BZ33" i="12" s="1"/>
  <c r="CA33" i="12" s="1"/>
  <c r="CB33" i="12" s="1"/>
  <c r="CC33" i="12" s="1"/>
  <c r="CD33" i="12" s="1"/>
  <c r="CE33" i="12" s="1"/>
  <c r="CF33" i="12" s="1"/>
  <c r="CG33" i="12" s="1"/>
  <c r="CH33" i="12" s="1"/>
  <c r="CI33" i="12" s="1"/>
  <c r="CJ33" i="12" s="1"/>
  <c r="CK33" i="12" s="1"/>
  <c r="CL33" i="12" s="1"/>
  <c r="CM33" i="12" s="1"/>
  <c r="CN33" i="12" s="1"/>
  <c r="CO33" i="12" s="1"/>
  <c r="CP33" i="12" s="1"/>
  <c r="CQ33" i="12" s="1"/>
  <c r="CR33" i="12" s="1"/>
  <c r="CS33" i="12" s="1"/>
  <c r="CT33" i="12" s="1"/>
  <c r="CU33" i="12" s="1"/>
  <c r="CV33" i="12" s="1"/>
  <c r="CW33" i="12" s="1"/>
  <c r="CX33" i="12" s="1"/>
  <c r="CY33" i="12" s="1"/>
  <c r="CZ33" i="12" s="1"/>
  <c r="C20" i="17"/>
  <c r="C21" i="17" s="1"/>
  <c r="C22" i="17" s="1"/>
  <c r="R49" i="14"/>
  <c r="AI17" i="12"/>
  <c r="AJ17" i="12" s="1"/>
  <c r="AK17" i="12" s="1"/>
  <c r="AL17" i="12" s="1"/>
  <c r="AM17" i="12" s="1"/>
  <c r="AN17" i="12" s="1"/>
  <c r="AO17" i="12" s="1"/>
  <c r="AP17" i="12" s="1"/>
  <c r="AQ17" i="12" s="1"/>
  <c r="AR17" i="12" s="1"/>
  <c r="AS17" i="12" s="1"/>
  <c r="AT17" i="12" s="1"/>
  <c r="AU17" i="12" s="1"/>
  <c r="AV17" i="12" s="1"/>
  <c r="AW17" i="12" s="1"/>
  <c r="AX17" i="12" s="1"/>
  <c r="AY17" i="12" s="1"/>
  <c r="AZ17" i="12" s="1"/>
  <c r="BA17" i="12" s="1"/>
  <c r="F24" i="35"/>
  <c r="BC95" i="12"/>
  <c r="BD95" i="12" s="1"/>
  <c r="BE95" i="12" s="1"/>
  <c r="BF95" i="12" s="1"/>
  <c r="BG95" i="12" s="1"/>
  <c r="BH95" i="12" s="1"/>
  <c r="BI95" i="12" s="1"/>
  <c r="BJ95" i="12" s="1"/>
  <c r="BK95" i="12" s="1"/>
  <c r="BL95" i="12" s="1"/>
  <c r="BM95" i="12" s="1"/>
  <c r="BN95" i="12" s="1"/>
  <c r="BO95" i="12" s="1"/>
  <c r="BP95" i="12" s="1"/>
  <c r="C14" i="24"/>
  <c r="H14" i="24" s="1"/>
  <c r="BC67" i="12"/>
  <c r="BD67" i="12" s="1"/>
  <c r="BE67" i="12" s="1"/>
  <c r="BF67" i="12" s="1"/>
  <c r="BG67" i="12" s="1"/>
  <c r="BH67" i="12" s="1"/>
  <c r="BI67" i="12" s="1"/>
  <c r="BJ67" i="12" s="1"/>
  <c r="BK67" i="12" s="1"/>
  <c r="BL67" i="12" s="1"/>
  <c r="BM67" i="12" s="1"/>
  <c r="BN67" i="12" s="1"/>
  <c r="BO67" i="12" s="1"/>
  <c r="BP67" i="12" s="1"/>
  <c r="AS67" i="12"/>
  <c r="AT67" i="12" s="1"/>
  <c r="AU67" i="12" s="1"/>
  <c r="AV67" i="12" s="1"/>
  <c r="AW67" i="12" s="1"/>
  <c r="AX67" i="12" s="1"/>
  <c r="AY67" i="12" s="1"/>
  <c r="AZ67" i="12" s="1"/>
  <c r="BA67" i="12" s="1"/>
  <c r="D66" i="15"/>
  <c r="M66" i="15" s="1"/>
  <c r="C34" i="34"/>
  <c r="E63" i="34" s="1"/>
  <c r="I49" i="14"/>
  <c r="C102" i="34"/>
  <c r="D102" i="34"/>
  <c r="B115" i="34"/>
  <c r="E37" i="34"/>
  <c r="H32" i="34"/>
  <c r="B110" i="34"/>
  <c r="B61" i="34"/>
  <c r="C117" i="34"/>
  <c r="D117" i="34"/>
  <c r="W66" i="15"/>
  <c r="E117" i="34"/>
  <c r="F102" i="34"/>
  <c r="F117" i="34"/>
  <c r="C49" i="14"/>
  <c r="B97" i="14" s="1"/>
  <c r="U65" i="15" s="1"/>
  <c r="E68" i="34"/>
  <c r="D68" i="34"/>
  <c r="C98" i="34"/>
  <c r="C35" i="34"/>
  <c r="E64" i="34" s="1"/>
  <c r="D98" i="34"/>
  <c r="E98" i="34"/>
  <c r="V49" i="14"/>
  <c r="L49" i="14"/>
  <c r="L66" i="15"/>
  <c r="B66" i="34"/>
  <c r="K49" i="14"/>
  <c r="W49" i="14"/>
  <c r="H49" i="14"/>
  <c r="C18" i="24"/>
  <c r="H18" i="24" s="1"/>
  <c r="F21" i="35"/>
  <c r="O49" i="14"/>
  <c r="T49" i="14"/>
  <c r="M49" i="14"/>
  <c r="K66" i="15"/>
  <c r="N49" i="14"/>
  <c r="J49" i="14"/>
  <c r="U49" i="14"/>
  <c r="S49" i="14"/>
  <c r="G49" i="14"/>
  <c r="C16" i="24"/>
  <c r="H16" i="24" s="1"/>
  <c r="F19" i="35"/>
  <c r="Q49" i="14"/>
  <c r="BQ68" i="12"/>
  <c r="BV68" i="12" s="1"/>
  <c r="BW68" i="12" s="1"/>
  <c r="BX68" i="12" s="1"/>
  <c r="BY68" i="12" s="1"/>
  <c r="BZ68" i="12" s="1"/>
  <c r="CA68" i="12" s="1"/>
  <c r="CB68" i="12" s="1"/>
  <c r="CC68" i="12" s="1"/>
  <c r="CD68" i="12" s="1"/>
  <c r="CE68" i="12" s="1"/>
  <c r="CF68" i="12" s="1"/>
  <c r="CG68" i="12" s="1"/>
  <c r="CH68" i="12" s="1"/>
  <c r="CI68" i="12" s="1"/>
  <c r="CJ68" i="12" s="1"/>
  <c r="CK68" i="12" s="1"/>
  <c r="CL68" i="12" s="1"/>
  <c r="CM68" i="12" s="1"/>
  <c r="CN68" i="12" s="1"/>
  <c r="CO68" i="12" s="1"/>
  <c r="CP68" i="12" s="1"/>
  <c r="CQ68" i="12" s="1"/>
  <c r="CR68" i="12" s="1"/>
  <c r="CS68" i="12" s="1"/>
  <c r="CT68" i="12" s="1"/>
  <c r="CU68" i="12" s="1"/>
  <c r="CV68" i="12" s="1"/>
  <c r="CW68" i="12" s="1"/>
  <c r="CX68" i="12" s="1"/>
  <c r="CY68" i="12" s="1"/>
  <c r="CZ68" i="12" s="1"/>
  <c r="E66" i="15"/>
  <c r="D49" i="14"/>
  <c r="F49" i="14"/>
  <c r="C97" i="34"/>
  <c r="E97" i="34"/>
  <c r="D97" i="34"/>
  <c r="C15" i="24"/>
  <c r="H15" i="24" s="1"/>
  <c r="F18" i="35"/>
  <c r="F20" i="35"/>
  <c r="C17" i="24"/>
  <c r="H17" i="24" s="1"/>
  <c r="C19" i="24"/>
  <c r="H19" i="24" s="1"/>
  <c r="F22" i="35"/>
  <c r="F26" i="35"/>
  <c r="C23" i="24"/>
  <c r="H23" i="24" s="1"/>
  <c r="C20" i="24"/>
  <c r="H20" i="24" s="1"/>
  <c r="F23" i="35"/>
  <c r="F29" i="35"/>
  <c r="F30" i="35"/>
  <c r="H34" i="24"/>
  <c r="C67" i="15"/>
  <c r="BC66" i="12"/>
  <c r="BD66" i="12" s="1"/>
  <c r="BE66" i="12" s="1"/>
  <c r="BF66" i="12" s="1"/>
  <c r="BG66" i="12" s="1"/>
  <c r="BH66" i="12" s="1"/>
  <c r="BI66" i="12" s="1"/>
  <c r="BJ66" i="12" s="1"/>
  <c r="BK66" i="12" s="1"/>
  <c r="BL66" i="12" s="1"/>
  <c r="BM66" i="12" s="1"/>
  <c r="BN66" i="12" s="1"/>
  <c r="BO66" i="12" s="1"/>
  <c r="BP66" i="12" s="1"/>
  <c r="BV66" i="12"/>
  <c r="BW66" i="12" s="1"/>
  <c r="BX66" i="12" s="1"/>
  <c r="BY66" i="12" s="1"/>
  <c r="BZ66" i="12" s="1"/>
  <c r="CA66" i="12" s="1"/>
  <c r="CB66" i="12" s="1"/>
  <c r="CC66" i="12" s="1"/>
  <c r="CD66" i="12" s="1"/>
  <c r="CE66" i="12" s="1"/>
  <c r="CF66" i="12" s="1"/>
  <c r="CG66" i="12" s="1"/>
  <c r="CH66" i="12" s="1"/>
  <c r="CI66" i="12" s="1"/>
  <c r="CJ66" i="12" s="1"/>
  <c r="CK66" i="12" s="1"/>
  <c r="CL66" i="12" s="1"/>
  <c r="CM66" i="12" s="1"/>
  <c r="CN66" i="12" s="1"/>
  <c r="CO66" i="12" s="1"/>
  <c r="CP66" i="12" s="1"/>
  <c r="CQ66" i="12" s="1"/>
  <c r="CR66" i="12" s="1"/>
  <c r="CS66" i="12" s="1"/>
  <c r="CT66" i="12" s="1"/>
  <c r="CU66" i="12" s="1"/>
  <c r="CV66" i="12" s="1"/>
  <c r="CW66" i="12" s="1"/>
  <c r="CX66" i="12" s="1"/>
  <c r="CY66" i="12" s="1"/>
  <c r="CZ66" i="12" s="1"/>
  <c r="BQ34" i="12"/>
  <c r="AS34" i="12"/>
  <c r="AT34" i="12" s="1"/>
  <c r="AU34" i="12" s="1"/>
  <c r="AV34" i="12" s="1"/>
  <c r="AW34" i="12" s="1"/>
  <c r="AX34" i="12" s="1"/>
  <c r="AY34" i="12" s="1"/>
  <c r="AZ34" i="12" s="1"/>
  <c r="BA34" i="12" s="1"/>
  <c r="B23" i="17"/>
  <c r="H13" i="24"/>
  <c r="BR95" i="12"/>
  <c r="BS95" i="12" s="1"/>
  <c r="BT95" i="12" s="1"/>
  <c r="BU95" i="12" s="1"/>
  <c r="BQ99" i="12"/>
  <c r="AS99" i="12"/>
  <c r="AT99" i="12" s="1"/>
  <c r="AU99" i="12" s="1"/>
  <c r="AV99" i="12" s="1"/>
  <c r="AW99" i="12" s="1"/>
  <c r="AX99" i="12" s="1"/>
  <c r="AY99" i="12" s="1"/>
  <c r="AZ99" i="12" s="1"/>
  <c r="BA99" i="12" s="1"/>
  <c r="BC98" i="12"/>
  <c r="BD98" i="12" s="1"/>
  <c r="BE98" i="12" s="1"/>
  <c r="BF98" i="12" s="1"/>
  <c r="BG98" i="12" s="1"/>
  <c r="BH98" i="12" s="1"/>
  <c r="BI98" i="12" s="1"/>
  <c r="BJ98" i="12" s="1"/>
  <c r="BK98" i="12" s="1"/>
  <c r="BL98" i="12" s="1"/>
  <c r="BM98" i="12" s="1"/>
  <c r="BN98" i="12" s="1"/>
  <c r="BO98" i="12" s="1"/>
  <c r="BP98" i="12" s="1"/>
  <c r="BV98" i="12"/>
  <c r="BW98" i="12" s="1"/>
  <c r="BX98" i="12" s="1"/>
  <c r="BY98" i="12" s="1"/>
  <c r="BZ98" i="12" s="1"/>
  <c r="CA98" i="12" s="1"/>
  <c r="CB98" i="12" s="1"/>
  <c r="CC98" i="12" s="1"/>
  <c r="CD98" i="12" s="1"/>
  <c r="CE98" i="12" s="1"/>
  <c r="CF98" i="12" s="1"/>
  <c r="CG98" i="12" s="1"/>
  <c r="CH98" i="12" s="1"/>
  <c r="CI98" i="12" s="1"/>
  <c r="CJ98" i="12" s="1"/>
  <c r="CK98" i="12" s="1"/>
  <c r="CL98" i="12" s="1"/>
  <c r="CM98" i="12" s="1"/>
  <c r="CN98" i="12" s="1"/>
  <c r="CO98" i="12" s="1"/>
  <c r="CP98" i="12" s="1"/>
  <c r="CQ98" i="12" s="1"/>
  <c r="CR98" i="12" s="1"/>
  <c r="CS98" i="12" s="1"/>
  <c r="CT98" i="12" s="1"/>
  <c r="CU98" i="12" s="1"/>
  <c r="CV98" i="12" s="1"/>
  <c r="CW98" i="12" s="1"/>
  <c r="CX98" i="12" s="1"/>
  <c r="CY98" i="12" s="1"/>
  <c r="CZ98" i="12" s="1"/>
  <c r="AI16" i="12"/>
  <c r="AJ16" i="12" s="1"/>
  <c r="AK16" i="12" s="1"/>
  <c r="AL16" i="12" s="1"/>
  <c r="AM16" i="12" s="1"/>
  <c r="AN16" i="12" s="1"/>
  <c r="AO16" i="12" s="1"/>
  <c r="AP16" i="12" s="1"/>
  <c r="AQ16" i="12" s="1"/>
  <c r="AR16" i="12" s="1"/>
  <c r="AS16" i="12" s="1"/>
  <c r="AT16" i="12" s="1"/>
  <c r="AU16" i="12" s="1"/>
  <c r="AV16" i="12" s="1"/>
  <c r="AW16" i="12" s="1"/>
  <c r="AX16" i="12" s="1"/>
  <c r="AY16" i="12" s="1"/>
  <c r="AZ16" i="12" s="1"/>
  <c r="BA16" i="12" s="1"/>
  <c r="BQ16" i="12"/>
  <c r="BQ15" i="12"/>
  <c r="AI15" i="12"/>
  <c r="AJ15" i="12" s="1"/>
  <c r="AK15" i="12" s="1"/>
  <c r="AL15" i="12" s="1"/>
  <c r="AM15" i="12" s="1"/>
  <c r="AN15" i="12" s="1"/>
  <c r="AO15" i="12" s="1"/>
  <c r="AP15" i="12" s="1"/>
  <c r="AQ15" i="12" s="1"/>
  <c r="AR15" i="12" s="1"/>
  <c r="AS15" i="12" s="1"/>
  <c r="AT15" i="12" s="1"/>
  <c r="AU15" i="12" s="1"/>
  <c r="AV15" i="12" s="1"/>
  <c r="AW15" i="12" s="1"/>
  <c r="AX15" i="12" s="1"/>
  <c r="AY15" i="12" s="1"/>
  <c r="AZ15" i="12" s="1"/>
  <c r="BA15" i="12" s="1"/>
  <c r="A50" i="14"/>
  <c r="AF66" i="15"/>
  <c r="A98" i="14"/>
  <c r="C98" i="14" s="1"/>
  <c r="BQ100" i="12"/>
  <c r="AS100" i="12"/>
  <c r="AT100" i="12" s="1"/>
  <c r="AU100" i="12" s="1"/>
  <c r="AV100" i="12" s="1"/>
  <c r="AW100" i="12" s="1"/>
  <c r="AX100" i="12" s="1"/>
  <c r="AY100" i="12" s="1"/>
  <c r="AZ100" i="12" s="1"/>
  <c r="BA100" i="12" s="1"/>
  <c r="BC35" i="12"/>
  <c r="BD35" i="12" s="1"/>
  <c r="BE35" i="12" s="1"/>
  <c r="BF35" i="12" s="1"/>
  <c r="BG35" i="12" s="1"/>
  <c r="BH35" i="12" s="1"/>
  <c r="BI35" i="12" s="1"/>
  <c r="BJ35" i="12" s="1"/>
  <c r="BK35" i="12" s="1"/>
  <c r="BL35" i="12" s="1"/>
  <c r="BM35" i="12" s="1"/>
  <c r="BN35" i="12" s="1"/>
  <c r="BO35" i="12" s="1"/>
  <c r="BP35" i="12" s="1"/>
  <c r="BV35" i="12"/>
  <c r="BW35" i="12" s="1"/>
  <c r="BX35" i="12" s="1"/>
  <c r="BY35" i="12" s="1"/>
  <c r="BZ35" i="12" s="1"/>
  <c r="CA35" i="12" s="1"/>
  <c r="CB35" i="12" s="1"/>
  <c r="CC35" i="12" s="1"/>
  <c r="CD35" i="12" s="1"/>
  <c r="CE35" i="12" s="1"/>
  <c r="CF35" i="12" s="1"/>
  <c r="CG35" i="12" s="1"/>
  <c r="CH35" i="12" s="1"/>
  <c r="CI35" i="12" s="1"/>
  <c r="CJ35" i="12" s="1"/>
  <c r="CK35" i="12" s="1"/>
  <c r="CL35" i="12" s="1"/>
  <c r="CM35" i="12" s="1"/>
  <c r="CN35" i="12" s="1"/>
  <c r="CO35" i="12" s="1"/>
  <c r="CP35" i="12" s="1"/>
  <c r="CQ35" i="12" s="1"/>
  <c r="CR35" i="12" s="1"/>
  <c r="CS35" i="12" s="1"/>
  <c r="CT35" i="12" s="1"/>
  <c r="CU35" i="12" s="1"/>
  <c r="CV35" i="12" s="1"/>
  <c r="CW35" i="12" s="1"/>
  <c r="CX35" i="12" s="1"/>
  <c r="CY35" i="12" s="1"/>
  <c r="CZ35" i="12" s="1"/>
  <c r="AS35" i="12"/>
  <c r="AT35" i="12" s="1"/>
  <c r="AU35" i="12" s="1"/>
  <c r="AV35" i="12" s="1"/>
  <c r="AW35" i="12" s="1"/>
  <c r="AX35" i="12" s="1"/>
  <c r="AY35" i="12" s="1"/>
  <c r="AZ35" i="12" s="1"/>
  <c r="BA35" i="12" s="1"/>
  <c r="B68" i="15"/>
  <c r="A17" i="13" s="1"/>
  <c r="BC17" i="12"/>
  <c r="BD17" i="12" s="1"/>
  <c r="BE17" i="12" s="1"/>
  <c r="BF17" i="12" s="1"/>
  <c r="BG17" i="12" s="1"/>
  <c r="BH17" i="12" s="1"/>
  <c r="BI17" i="12" s="1"/>
  <c r="BJ17" i="12" s="1"/>
  <c r="BK17" i="12" s="1"/>
  <c r="BL17" i="12" s="1"/>
  <c r="BM17" i="12" s="1"/>
  <c r="BN17" i="12" s="1"/>
  <c r="BO17" i="12" s="1"/>
  <c r="BP17" i="12" s="1"/>
  <c r="BV17" i="12"/>
  <c r="BW17" i="12" s="1"/>
  <c r="BX17" i="12" s="1"/>
  <c r="BY17" i="12" s="1"/>
  <c r="BZ17" i="12" s="1"/>
  <c r="CA17" i="12" s="1"/>
  <c r="CB17" i="12" s="1"/>
  <c r="CC17" i="12" s="1"/>
  <c r="CD17" i="12" s="1"/>
  <c r="CE17" i="12" s="1"/>
  <c r="CF17" i="12" s="1"/>
  <c r="CG17" i="12" s="1"/>
  <c r="CH17" i="12" s="1"/>
  <c r="CI17" i="12" s="1"/>
  <c r="CJ17" i="12" s="1"/>
  <c r="CK17" i="12" s="1"/>
  <c r="CL17" i="12" s="1"/>
  <c r="CM17" i="12" s="1"/>
  <c r="CN17" i="12" s="1"/>
  <c r="CO17" i="12" s="1"/>
  <c r="CP17" i="12" s="1"/>
  <c r="CQ17" i="12" s="1"/>
  <c r="CR17" i="12" s="1"/>
  <c r="CS17" i="12" s="1"/>
  <c r="CT17" i="12" s="1"/>
  <c r="CU17" i="12" s="1"/>
  <c r="CV17" i="12" s="1"/>
  <c r="CW17" i="12" s="1"/>
  <c r="CX17" i="12" s="1"/>
  <c r="CY17" i="12" s="1"/>
  <c r="CZ17" i="12" s="1"/>
  <c r="BR67" i="12"/>
  <c r="BS67" i="12" s="1"/>
  <c r="BT67" i="12" s="1"/>
  <c r="BU67" i="12" s="1"/>
  <c r="D38" i="35"/>
  <c r="L139" i="15"/>
  <c r="I139" i="15"/>
  <c r="H139" i="15"/>
  <c r="T139" i="15"/>
  <c r="Q139" i="15"/>
  <c r="U139" i="15"/>
  <c r="R139" i="15"/>
  <c r="M139" i="15"/>
  <c r="N139" i="15"/>
  <c r="P139" i="15"/>
  <c r="V139" i="15"/>
  <c r="C118" i="34"/>
  <c r="F118" i="34"/>
  <c r="E118" i="34"/>
  <c r="D118" i="34"/>
  <c r="A19" i="17"/>
  <c r="A67" i="15"/>
  <c r="A140" i="15"/>
  <c r="A187" i="15" s="1"/>
  <c r="D69" i="34"/>
  <c r="E69" i="34"/>
  <c r="C69" i="34"/>
  <c r="E103" i="34"/>
  <c r="D103" i="34"/>
  <c r="F103" i="34"/>
  <c r="C103" i="34"/>
  <c r="L104" i="119"/>
  <c r="H72" i="119"/>
  <c r="H69" i="119" s="1"/>
  <c r="G72" i="119"/>
  <c r="C72" i="119"/>
  <c r="F72" i="119"/>
  <c r="E102" i="119"/>
  <c r="H102" i="119" s="1"/>
  <c r="I72" i="119"/>
  <c r="G102" i="119"/>
  <c r="J102" i="119" s="1"/>
  <c r="G105" i="119"/>
  <c r="J105" i="119" s="1"/>
  <c r="G107" i="119"/>
  <c r="J107" i="119" s="1"/>
  <c r="G103" i="119"/>
  <c r="J103" i="119" s="1"/>
  <c r="G104" i="119"/>
  <c r="J104" i="119" s="1"/>
  <c r="G106" i="119"/>
  <c r="J106" i="119" s="1"/>
  <c r="E106" i="119"/>
  <c r="H106" i="119" s="1"/>
  <c r="E105" i="119"/>
  <c r="E104" i="119"/>
  <c r="H104" i="119" s="1"/>
  <c r="E103" i="119"/>
  <c r="E107" i="119"/>
  <c r="I107" i="119" s="1"/>
  <c r="G101" i="119"/>
  <c r="J101" i="119" s="1"/>
  <c r="E101" i="119"/>
  <c r="D139" i="15"/>
  <c r="E139" i="15"/>
  <c r="D281" i="15"/>
  <c r="C282" i="15"/>
  <c r="C67" i="6"/>
  <c r="BQ8" i="12" l="1"/>
  <c r="BV8" i="12" s="1"/>
  <c r="BW8" i="12" s="1"/>
  <c r="BX8" i="12" s="1"/>
  <c r="BY8" i="12" s="1"/>
  <c r="BZ8" i="12" s="1"/>
  <c r="CA8" i="12" s="1"/>
  <c r="CB8" i="12" s="1"/>
  <c r="CC8" i="12" s="1"/>
  <c r="CD8" i="12" s="1"/>
  <c r="CE8" i="12" s="1"/>
  <c r="CF8" i="12" s="1"/>
  <c r="CG8" i="12" s="1"/>
  <c r="CH8" i="12" s="1"/>
  <c r="CI8" i="12" s="1"/>
  <c r="CJ8" i="12" s="1"/>
  <c r="CK8" i="12" s="1"/>
  <c r="CL8" i="12" s="1"/>
  <c r="CM8" i="12" s="1"/>
  <c r="CN8" i="12" s="1"/>
  <c r="CO8" i="12" s="1"/>
  <c r="CP8" i="12" s="1"/>
  <c r="CQ8" i="12" s="1"/>
  <c r="CR8" i="12" s="1"/>
  <c r="CS8" i="12" s="1"/>
  <c r="CT8" i="12" s="1"/>
  <c r="CU8" i="12" s="1"/>
  <c r="CV8" i="12" s="1"/>
  <c r="CW8" i="12" s="1"/>
  <c r="CX8" i="12" s="1"/>
  <c r="CY8" i="12" s="1"/>
  <c r="CZ8" i="12" s="1"/>
  <c r="AJ358" i="11"/>
  <c r="AK358" i="11" s="1"/>
  <c r="AL358" i="11" s="1"/>
  <c r="AM358" i="11" s="1"/>
  <c r="AN358" i="11" s="1"/>
  <c r="AO358" i="11" s="1"/>
  <c r="AP358" i="11" s="1"/>
  <c r="AQ358" i="11" s="1"/>
  <c r="AR358" i="11" s="1"/>
  <c r="AS358" i="11" s="1"/>
  <c r="AT358" i="11" s="1"/>
  <c r="AU358" i="11" s="1"/>
  <c r="AV358" i="11" s="1"/>
  <c r="AW358" i="11" s="1"/>
  <c r="F16" i="13"/>
  <c r="B17" i="13"/>
  <c r="BV27" i="12"/>
  <c r="BW27" i="12" s="1"/>
  <c r="BX27" i="12" s="1"/>
  <c r="BY27" i="12" s="1"/>
  <c r="BZ27" i="12" s="1"/>
  <c r="CA27" i="12" s="1"/>
  <c r="CB27" i="12" s="1"/>
  <c r="CC27" i="12" s="1"/>
  <c r="CD27" i="12" s="1"/>
  <c r="CE27" i="12" s="1"/>
  <c r="CF27" i="12" s="1"/>
  <c r="CG27" i="12" s="1"/>
  <c r="CH27" i="12" s="1"/>
  <c r="CI27" i="12" s="1"/>
  <c r="CJ27" i="12" s="1"/>
  <c r="CK27" i="12" s="1"/>
  <c r="CL27" i="12" s="1"/>
  <c r="CM27" i="12" s="1"/>
  <c r="CN27" i="12" s="1"/>
  <c r="CO27" i="12" s="1"/>
  <c r="CP27" i="12" s="1"/>
  <c r="CQ27" i="12" s="1"/>
  <c r="CR27" i="12" s="1"/>
  <c r="CS27" i="12" s="1"/>
  <c r="CT27" i="12" s="1"/>
  <c r="CU27" i="12" s="1"/>
  <c r="CV27" i="12" s="1"/>
  <c r="CW27" i="12" s="1"/>
  <c r="CX27" i="12" s="1"/>
  <c r="CY27" i="12" s="1"/>
  <c r="CZ27" i="12" s="1"/>
  <c r="BR92" i="12"/>
  <c r="BS92" i="12" s="1"/>
  <c r="BT92" i="12" s="1"/>
  <c r="BU92" i="12" s="1"/>
  <c r="BW92" i="12"/>
  <c r="BX92" i="12" s="1"/>
  <c r="BY92" i="12" s="1"/>
  <c r="BZ92" i="12" s="1"/>
  <c r="CA92" i="12" s="1"/>
  <c r="CB92" i="12" s="1"/>
  <c r="CC92" i="12" s="1"/>
  <c r="CD92" i="12" s="1"/>
  <c r="CE92" i="12" s="1"/>
  <c r="CF92" i="12" s="1"/>
  <c r="CG92" i="12" s="1"/>
  <c r="CH92" i="12" s="1"/>
  <c r="CI92" i="12" s="1"/>
  <c r="CJ92" i="12" s="1"/>
  <c r="CK92" i="12" s="1"/>
  <c r="CL92" i="12" s="1"/>
  <c r="CM92" i="12" s="1"/>
  <c r="CN92" i="12" s="1"/>
  <c r="CO92" i="12" s="1"/>
  <c r="CP92" i="12" s="1"/>
  <c r="CQ92" i="12" s="1"/>
  <c r="CR92" i="12" s="1"/>
  <c r="CS92" i="12" s="1"/>
  <c r="CT92" i="12" s="1"/>
  <c r="CU92" i="12" s="1"/>
  <c r="CV92" i="12" s="1"/>
  <c r="CW92" i="12" s="1"/>
  <c r="CX92" i="12" s="1"/>
  <c r="CY92" i="12" s="1"/>
  <c r="CZ92" i="12" s="1"/>
  <c r="AS27" i="12"/>
  <c r="AT27" i="12" s="1"/>
  <c r="AU27" i="12" s="1"/>
  <c r="AV27" i="12" s="1"/>
  <c r="AW27" i="12" s="1"/>
  <c r="AX27" i="12" s="1"/>
  <c r="AY27" i="12" s="1"/>
  <c r="AZ27" i="12" s="1"/>
  <c r="BA27" i="12" s="1"/>
  <c r="AS25" i="12"/>
  <c r="AT25" i="12" s="1"/>
  <c r="AU25" i="12" s="1"/>
  <c r="AV25" i="12" s="1"/>
  <c r="AW25" i="12" s="1"/>
  <c r="AX25" i="12" s="1"/>
  <c r="AY25" i="12" s="1"/>
  <c r="AZ25" i="12" s="1"/>
  <c r="BA25" i="12" s="1"/>
  <c r="BC92" i="12"/>
  <c r="BD92" i="12" s="1"/>
  <c r="BE92" i="12" s="1"/>
  <c r="BF92" i="12" s="1"/>
  <c r="BG92" i="12" s="1"/>
  <c r="BH92" i="12" s="1"/>
  <c r="BI92" i="12" s="1"/>
  <c r="BJ92" i="12" s="1"/>
  <c r="BK92" i="12" s="1"/>
  <c r="BL92" i="12" s="1"/>
  <c r="BM92" i="12" s="1"/>
  <c r="BN92" i="12" s="1"/>
  <c r="BO92" i="12" s="1"/>
  <c r="BP92" i="12" s="1"/>
  <c r="AS26" i="12"/>
  <c r="AT26" i="12" s="1"/>
  <c r="AU26" i="12" s="1"/>
  <c r="AV26" i="12" s="1"/>
  <c r="AW26" i="12" s="1"/>
  <c r="AX26" i="12" s="1"/>
  <c r="AY26" i="12" s="1"/>
  <c r="AZ26" i="12" s="1"/>
  <c r="BA26" i="12" s="1"/>
  <c r="AS96" i="12"/>
  <c r="AT96" i="12" s="1"/>
  <c r="AU96" i="12" s="1"/>
  <c r="AV96" i="12" s="1"/>
  <c r="AW96" i="12" s="1"/>
  <c r="AX96" i="12" s="1"/>
  <c r="AY96" i="12" s="1"/>
  <c r="AZ96" i="12" s="1"/>
  <c r="BA96" i="12" s="1"/>
  <c r="AS92" i="12"/>
  <c r="AT92" i="12" s="1"/>
  <c r="AU92" i="12" s="1"/>
  <c r="AV92" i="12" s="1"/>
  <c r="AW92" i="12" s="1"/>
  <c r="AX92" i="12" s="1"/>
  <c r="AY92" i="12" s="1"/>
  <c r="AZ92" i="12" s="1"/>
  <c r="BA92" i="12" s="1"/>
  <c r="AS28" i="12"/>
  <c r="AT28" i="12" s="1"/>
  <c r="AU28" i="12" s="1"/>
  <c r="AV28" i="12" s="1"/>
  <c r="AW28" i="12" s="1"/>
  <c r="AX28" i="12" s="1"/>
  <c r="AY28" i="12" s="1"/>
  <c r="AZ28" i="12" s="1"/>
  <c r="BA28" i="12" s="1"/>
  <c r="BC32" i="12"/>
  <c r="BD32" i="12" s="1"/>
  <c r="BE32" i="12" s="1"/>
  <c r="BF32" i="12" s="1"/>
  <c r="BG32" i="12" s="1"/>
  <c r="BH32" i="12" s="1"/>
  <c r="BI32" i="12" s="1"/>
  <c r="BJ32" i="12" s="1"/>
  <c r="BK32" i="12" s="1"/>
  <c r="BL32" i="12" s="1"/>
  <c r="BM32" i="12" s="1"/>
  <c r="BN32" i="12" s="1"/>
  <c r="BO32" i="12" s="1"/>
  <c r="BP32" i="12" s="1"/>
  <c r="AS65" i="12"/>
  <c r="AT65" i="12" s="1"/>
  <c r="AU65" i="12" s="1"/>
  <c r="AV65" i="12" s="1"/>
  <c r="AW65" i="12" s="1"/>
  <c r="AX65" i="12" s="1"/>
  <c r="AY65" i="12" s="1"/>
  <c r="AZ65" i="12" s="1"/>
  <c r="BA65" i="12" s="1"/>
  <c r="AJ263" i="11"/>
  <c r="AK263" i="11" s="1"/>
  <c r="AL263" i="11" s="1"/>
  <c r="AM263" i="11" s="1"/>
  <c r="AN263" i="11" s="1"/>
  <c r="AO263" i="11" s="1"/>
  <c r="AP263" i="11" s="1"/>
  <c r="AQ263" i="11" s="1"/>
  <c r="AR263" i="11" s="1"/>
  <c r="AS263" i="11" s="1"/>
  <c r="AT263" i="11" s="1"/>
  <c r="AU263" i="11" s="1"/>
  <c r="AV263" i="11" s="1"/>
  <c r="AW263" i="11" s="1"/>
  <c r="BM263" i="11"/>
  <c r="AY263" i="11" s="1"/>
  <c r="AZ263" i="11" s="1"/>
  <c r="BA263" i="11" s="1"/>
  <c r="BB263" i="11" s="1"/>
  <c r="BC263" i="11" s="1"/>
  <c r="BD263" i="11" s="1"/>
  <c r="BE263" i="11" s="1"/>
  <c r="BF263" i="11" s="1"/>
  <c r="BG263" i="11" s="1"/>
  <c r="BH263" i="11" s="1"/>
  <c r="BI263" i="11" s="1"/>
  <c r="BJ263" i="11" s="1"/>
  <c r="BK263" i="11" s="1"/>
  <c r="BL263" i="11" s="1"/>
  <c r="AJ483" i="11"/>
  <c r="AK483" i="11" s="1"/>
  <c r="AL483" i="11" s="1"/>
  <c r="AM483" i="11" s="1"/>
  <c r="AN483" i="11" s="1"/>
  <c r="AO483" i="11" s="1"/>
  <c r="AP483" i="11" s="1"/>
  <c r="AQ483" i="11" s="1"/>
  <c r="AR483" i="11" s="1"/>
  <c r="AS483" i="11" s="1"/>
  <c r="AT483" i="11" s="1"/>
  <c r="AU483" i="11" s="1"/>
  <c r="AV483" i="11" s="1"/>
  <c r="AW483" i="11" s="1"/>
  <c r="BM483" i="11"/>
  <c r="AY358" i="11"/>
  <c r="AZ358" i="11" s="1"/>
  <c r="BA358" i="11" s="1"/>
  <c r="BB358" i="11" s="1"/>
  <c r="BC358" i="11" s="1"/>
  <c r="BD358" i="11" s="1"/>
  <c r="BE358" i="11" s="1"/>
  <c r="BF358" i="11" s="1"/>
  <c r="BG358" i="11" s="1"/>
  <c r="BH358" i="11" s="1"/>
  <c r="BI358" i="11" s="1"/>
  <c r="BJ358" i="11" s="1"/>
  <c r="BK358" i="11" s="1"/>
  <c r="BL358" i="11" s="1"/>
  <c r="BR358" i="11"/>
  <c r="BN358" i="11" s="1"/>
  <c r="BO358" i="11" s="1"/>
  <c r="BP358" i="11" s="1"/>
  <c r="BQ358" i="11" s="1"/>
  <c r="AS91" i="12"/>
  <c r="AT91" i="12" s="1"/>
  <c r="AU91" i="12" s="1"/>
  <c r="AV91" i="12" s="1"/>
  <c r="AW91" i="12" s="1"/>
  <c r="AX91" i="12" s="1"/>
  <c r="AY91" i="12" s="1"/>
  <c r="AZ91" i="12" s="1"/>
  <c r="BA91" i="12" s="1"/>
  <c r="AS32" i="12"/>
  <c r="AT32" i="12" s="1"/>
  <c r="AU32" i="12" s="1"/>
  <c r="AV32" i="12" s="1"/>
  <c r="AW32" i="12" s="1"/>
  <c r="AX32" i="12" s="1"/>
  <c r="AY32" i="12" s="1"/>
  <c r="AZ32" i="12" s="1"/>
  <c r="BA32" i="12" s="1"/>
  <c r="BM369" i="11"/>
  <c r="AY369" i="11" s="1"/>
  <c r="AZ369" i="11" s="1"/>
  <c r="BA369" i="11" s="1"/>
  <c r="BB369" i="11" s="1"/>
  <c r="BC369" i="11" s="1"/>
  <c r="BD369" i="11" s="1"/>
  <c r="BE369" i="11" s="1"/>
  <c r="BF369" i="11" s="1"/>
  <c r="BG369" i="11" s="1"/>
  <c r="BH369" i="11" s="1"/>
  <c r="BI369" i="11" s="1"/>
  <c r="BJ369" i="11" s="1"/>
  <c r="BK369" i="11" s="1"/>
  <c r="BL369" i="11" s="1"/>
  <c r="BM471" i="11"/>
  <c r="BR471" i="11" s="1"/>
  <c r="BN471" i="11" s="1"/>
  <c r="BO471" i="11" s="1"/>
  <c r="BP471" i="11" s="1"/>
  <c r="BQ471" i="11" s="1"/>
  <c r="AJ471" i="11"/>
  <c r="AK471" i="11" s="1"/>
  <c r="AL471" i="11" s="1"/>
  <c r="AM471" i="11" s="1"/>
  <c r="AN471" i="11" s="1"/>
  <c r="AO471" i="11" s="1"/>
  <c r="AP471" i="11" s="1"/>
  <c r="AQ471" i="11" s="1"/>
  <c r="AR471" i="11" s="1"/>
  <c r="AS471" i="11" s="1"/>
  <c r="AT471" i="11" s="1"/>
  <c r="AU471" i="11" s="1"/>
  <c r="AV471" i="11" s="1"/>
  <c r="AW471" i="11" s="1"/>
  <c r="BM253" i="11"/>
  <c r="AY253" i="11" s="1"/>
  <c r="AZ253" i="11" s="1"/>
  <c r="BA253" i="11" s="1"/>
  <c r="BB253" i="11" s="1"/>
  <c r="BC253" i="11" s="1"/>
  <c r="BD253" i="11" s="1"/>
  <c r="BE253" i="11" s="1"/>
  <c r="BF253" i="11" s="1"/>
  <c r="BG253" i="11" s="1"/>
  <c r="BH253" i="11" s="1"/>
  <c r="BI253" i="11" s="1"/>
  <c r="BJ253" i="11" s="1"/>
  <c r="BK253" i="11" s="1"/>
  <c r="BL253" i="11" s="1"/>
  <c r="AJ472" i="11"/>
  <c r="AK472" i="11" s="1"/>
  <c r="AL472" i="11" s="1"/>
  <c r="AM472" i="11" s="1"/>
  <c r="AN472" i="11" s="1"/>
  <c r="AO472" i="11" s="1"/>
  <c r="AP472" i="11" s="1"/>
  <c r="AQ472" i="11" s="1"/>
  <c r="AR472" i="11" s="1"/>
  <c r="AS472" i="11" s="1"/>
  <c r="AT472" i="11" s="1"/>
  <c r="AU472" i="11" s="1"/>
  <c r="AV472" i="11" s="1"/>
  <c r="AW472" i="11" s="1"/>
  <c r="BM472" i="11"/>
  <c r="BR472" i="11" s="1"/>
  <c r="BN472" i="11" s="1"/>
  <c r="BO472" i="11" s="1"/>
  <c r="BP472" i="11" s="1"/>
  <c r="BQ472" i="11" s="1"/>
  <c r="AJ369" i="11"/>
  <c r="AK369" i="11" s="1"/>
  <c r="AL369" i="11" s="1"/>
  <c r="AM369" i="11" s="1"/>
  <c r="AN369" i="11" s="1"/>
  <c r="AO369" i="11" s="1"/>
  <c r="AP369" i="11" s="1"/>
  <c r="AQ369" i="11" s="1"/>
  <c r="AR369" i="11" s="1"/>
  <c r="AS369" i="11" s="1"/>
  <c r="AT369" i="11" s="1"/>
  <c r="AU369" i="11" s="1"/>
  <c r="AV369" i="11" s="1"/>
  <c r="AW369" i="11" s="1"/>
  <c r="AS89" i="12"/>
  <c r="AT89" i="12" s="1"/>
  <c r="AU89" i="12" s="1"/>
  <c r="AV89" i="12" s="1"/>
  <c r="AW89" i="12" s="1"/>
  <c r="AX89" i="12" s="1"/>
  <c r="AY89" i="12" s="1"/>
  <c r="AZ89" i="12" s="1"/>
  <c r="BA89" i="12" s="1"/>
  <c r="AY266" i="11"/>
  <c r="AZ266" i="11" s="1"/>
  <c r="BA266" i="11" s="1"/>
  <c r="BB266" i="11" s="1"/>
  <c r="BC266" i="11" s="1"/>
  <c r="BD266" i="11" s="1"/>
  <c r="BE266" i="11" s="1"/>
  <c r="BF266" i="11" s="1"/>
  <c r="BG266" i="11" s="1"/>
  <c r="BH266" i="11" s="1"/>
  <c r="BI266" i="11" s="1"/>
  <c r="BJ266" i="11" s="1"/>
  <c r="BK266" i="11" s="1"/>
  <c r="BL266" i="11" s="1"/>
  <c r="AS59" i="12"/>
  <c r="AT59" i="12" s="1"/>
  <c r="AU59" i="12" s="1"/>
  <c r="AV59" i="12" s="1"/>
  <c r="AW59" i="12" s="1"/>
  <c r="AX59" i="12" s="1"/>
  <c r="AY59" i="12" s="1"/>
  <c r="AZ59" i="12" s="1"/>
  <c r="BA59" i="12" s="1"/>
  <c r="AI7" i="12"/>
  <c r="AJ7" i="12" s="1"/>
  <c r="AK7" i="12" s="1"/>
  <c r="AL7" i="12" s="1"/>
  <c r="AM7" i="12" s="1"/>
  <c r="AN7" i="12" s="1"/>
  <c r="AO7" i="12" s="1"/>
  <c r="AP7" i="12" s="1"/>
  <c r="AQ7" i="12" s="1"/>
  <c r="AR7" i="12" s="1"/>
  <c r="AS7" i="12" s="1"/>
  <c r="AT7" i="12" s="1"/>
  <c r="AU7" i="12" s="1"/>
  <c r="AV7" i="12" s="1"/>
  <c r="AW7" i="12" s="1"/>
  <c r="AX7" i="12" s="1"/>
  <c r="AY7" i="12" s="1"/>
  <c r="AZ7" i="12" s="1"/>
  <c r="BA7" i="12" s="1"/>
  <c r="BC25" i="12"/>
  <c r="BD25" i="12" s="1"/>
  <c r="BE25" i="12" s="1"/>
  <c r="BF25" i="12" s="1"/>
  <c r="BG25" i="12" s="1"/>
  <c r="BH25" i="12" s="1"/>
  <c r="BI25" i="12" s="1"/>
  <c r="BJ25" i="12" s="1"/>
  <c r="BK25" i="12" s="1"/>
  <c r="BL25" i="12" s="1"/>
  <c r="BM25" i="12" s="1"/>
  <c r="BN25" i="12" s="1"/>
  <c r="BO25" i="12" s="1"/>
  <c r="BP25" i="12" s="1"/>
  <c r="AS90" i="12"/>
  <c r="AT90" i="12" s="1"/>
  <c r="AU90" i="12" s="1"/>
  <c r="AV90" i="12" s="1"/>
  <c r="AW90" i="12" s="1"/>
  <c r="AX90" i="12" s="1"/>
  <c r="AY90" i="12" s="1"/>
  <c r="AZ90" i="12" s="1"/>
  <c r="BA90" i="12" s="1"/>
  <c r="BV89" i="12"/>
  <c r="AS62" i="12"/>
  <c r="AT62" i="12" s="1"/>
  <c r="AU62" i="12" s="1"/>
  <c r="AV62" i="12" s="1"/>
  <c r="AW62" i="12" s="1"/>
  <c r="AX62" i="12" s="1"/>
  <c r="AY62" i="12" s="1"/>
  <c r="AZ62" i="12" s="1"/>
  <c r="BA62" i="12" s="1"/>
  <c r="BC33" i="12"/>
  <c r="BD33" i="12" s="1"/>
  <c r="BE33" i="12" s="1"/>
  <c r="BF33" i="12" s="1"/>
  <c r="BG33" i="12" s="1"/>
  <c r="BH33" i="12" s="1"/>
  <c r="BI33" i="12" s="1"/>
  <c r="BJ33" i="12" s="1"/>
  <c r="BK33" i="12" s="1"/>
  <c r="BL33" i="12" s="1"/>
  <c r="BM33" i="12" s="1"/>
  <c r="BN33" i="12" s="1"/>
  <c r="BO33" i="12" s="1"/>
  <c r="BP33" i="12" s="1"/>
  <c r="BQ90" i="12"/>
  <c r="BQ62" i="12"/>
  <c r="BC62" i="12" s="1"/>
  <c r="BD62" i="12" s="1"/>
  <c r="BE62" i="12" s="1"/>
  <c r="BF62" i="12" s="1"/>
  <c r="BG62" i="12" s="1"/>
  <c r="BH62" i="12" s="1"/>
  <c r="BI62" i="12" s="1"/>
  <c r="BJ62" i="12" s="1"/>
  <c r="BK62" i="12" s="1"/>
  <c r="BL62" i="12" s="1"/>
  <c r="BM62" i="12" s="1"/>
  <c r="BN62" i="12" s="1"/>
  <c r="BO62" i="12" s="1"/>
  <c r="BP62" i="12" s="1"/>
  <c r="BQ59" i="12"/>
  <c r="BC59" i="12" s="1"/>
  <c r="BD59" i="12" s="1"/>
  <c r="BE59" i="12" s="1"/>
  <c r="BF59" i="12" s="1"/>
  <c r="BG59" i="12" s="1"/>
  <c r="BH59" i="12" s="1"/>
  <c r="BI59" i="12" s="1"/>
  <c r="BJ59" i="12" s="1"/>
  <c r="BK59" i="12" s="1"/>
  <c r="BL59" i="12" s="1"/>
  <c r="BM59" i="12" s="1"/>
  <c r="BN59" i="12" s="1"/>
  <c r="BO59" i="12" s="1"/>
  <c r="BP59" i="12" s="1"/>
  <c r="BC97" i="12"/>
  <c r="BD97" i="12" s="1"/>
  <c r="BE97" i="12" s="1"/>
  <c r="BF97" i="12" s="1"/>
  <c r="BG97" i="12" s="1"/>
  <c r="BH97" i="12" s="1"/>
  <c r="BI97" i="12" s="1"/>
  <c r="BJ97" i="12" s="1"/>
  <c r="BK97" i="12" s="1"/>
  <c r="BL97" i="12" s="1"/>
  <c r="BM97" i="12" s="1"/>
  <c r="BN97" i="12" s="1"/>
  <c r="BO97" i="12" s="1"/>
  <c r="BP97" i="12" s="1"/>
  <c r="BV97" i="12"/>
  <c r="BM269" i="11"/>
  <c r="AY269" i="11" s="1"/>
  <c r="AZ269" i="11" s="1"/>
  <c r="BA269" i="11" s="1"/>
  <c r="BB269" i="11" s="1"/>
  <c r="BC269" i="11" s="1"/>
  <c r="BD269" i="11" s="1"/>
  <c r="BE269" i="11" s="1"/>
  <c r="BF269" i="11" s="1"/>
  <c r="BG269" i="11" s="1"/>
  <c r="BH269" i="11" s="1"/>
  <c r="BI269" i="11" s="1"/>
  <c r="BJ269" i="11" s="1"/>
  <c r="BK269" i="11" s="1"/>
  <c r="BL269" i="11" s="1"/>
  <c r="BM374" i="11"/>
  <c r="AY374" i="11" s="1"/>
  <c r="AZ374" i="11" s="1"/>
  <c r="BA374" i="11" s="1"/>
  <c r="BB374" i="11" s="1"/>
  <c r="BC374" i="11" s="1"/>
  <c r="BD374" i="11" s="1"/>
  <c r="BE374" i="11" s="1"/>
  <c r="BF374" i="11" s="1"/>
  <c r="BG374" i="11" s="1"/>
  <c r="BH374" i="11" s="1"/>
  <c r="BI374" i="11" s="1"/>
  <c r="BJ374" i="11" s="1"/>
  <c r="BK374" i="11" s="1"/>
  <c r="BL374" i="11" s="1"/>
  <c r="BM267" i="11"/>
  <c r="BM490" i="11"/>
  <c r="AY490" i="11" s="1"/>
  <c r="AZ490" i="11" s="1"/>
  <c r="BA490" i="11" s="1"/>
  <c r="BB490" i="11" s="1"/>
  <c r="BC490" i="11" s="1"/>
  <c r="BD490" i="11" s="1"/>
  <c r="BE490" i="11" s="1"/>
  <c r="BF490" i="11" s="1"/>
  <c r="BG490" i="11" s="1"/>
  <c r="BH490" i="11" s="1"/>
  <c r="BI490" i="11" s="1"/>
  <c r="BJ490" i="11" s="1"/>
  <c r="BK490" i="11" s="1"/>
  <c r="BL490" i="11" s="1"/>
  <c r="BQ60" i="12"/>
  <c r="AS60" i="12"/>
  <c r="AT60" i="12" s="1"/>
  <c r="AU60" i="12" s="1"/>
  <c r="AV60" i="12" s="1"/>
  <c r="AW60" i="12" s="1"/>
  <c r="AX60" i="12" s="1"/>
  <c r="AY60" i="12" s="1"/>
  <c r="AZ60" i="12" s="1"/>
  <c r="BA60" i="12" s="1"/>
  <c r="BR392" i="11"/>
  <c r="BN392" i="11" s="1"/>
  <c r="BO392" i="11" s="1"/>
  <c r="BP392" i="11" s="1"/>
  <c r="BQ392" i="11" s="1"/>
  <c r="AS61" i="12"/>
  <c r="AT61" i="12" s="1"/>
  <c r="AU61" i="12" s="1"/>
  <c r="AV61" i="12" s="1"/>
  <c r="AW61" i="12" s="1"/>
  <c r="AX61" i="12" s="1"/>
  <c r="AY61" i="12" s="1"/>
  <c r="AZ61" i="12" s="1"/>
  <c r="BA61" i="12" s="1"/>
  <c r="AS97" i="12"/>
  <c r="AT97" i="12" s="1"/>
  <c r="AU97" i="12" s="1"/>
  <c r="AV97" i="12" s="1"/>
  <c r="AW97" i="12" s="1"/>
  <c r="AX97" i="12" s="1"/>
  <c r="AY97" i="12" s="1"/>
  <c r="AZ97" i="12" s="1"/>
  <c r="BA97" i="12" s="1"/>
  <c r="AJ374" i="11"/>
  <c r="AK374" i="11" s="1"/>
  <c r="AL374" i="11" s="1"/>
  <c r="AM374" i="11" s="1"/>
  <c r="AN374" i="11" s="1"/>
  <c r="AO374" i="11" s="1"/>
  <c r="AP374" i="11" s="1"/>
  <c r="AQ374" i="11" s="1"/>
  <c r="AR374" i="11" s="1"/>
  <c r="AS374" i="11" s="1"/>
  <c r="AT374" i="11" s="1"/>
  <c r="AU374" i="11" s="1"/>
  <c r="AV374" i="11" s="1"/>
  <c r="AW374" i="11" s="1"/>
  <c r="BR254" i="11"/>
  <c r="BN254" i="11" s="1"/>
  <c r="BO254" i="11" s="1"/>
  <c r="BP254" i="11" s="1"/>
  <c r="BQ254" i="11" s="1"/>
  <c r="AI9" i="12"/>
  <c r="AJ9" i="12" s="1"/>
  <c r="AK9" i="12" s="1"/>
  <c r="AL9" i="12" s="1"/>
  <c r="AM9" i="12" s="1"/>
  <c r="AN9" i="12" s="1"/>
  <c r="AO9" i="12" s="1"/>
  <c r="AP9" i="12" s="1"/>
  <c r="AQ9" i="12" s="1"/>
  <c r="AR9" i="12" s="1"/>
  <c r="AS9" i="12" s="1"/>
  <c r="AT9" i="12" s="1"/>
  <c r="AU9" i="12" s="1"/>
  <c r="AV9" i="12" s="1"/>
  <c r="AW9" i="12" s="1"/>
  <c r="AX9" i="12" s="1"/>
  <c r="AY9" i="12" s="1"/>
  <c r="AZ9" i="12" s="1"/>
  <c r="BA9" i="12" s="1"/>
  <c r="BQ9" i="12"/>
  <c r="BR488" i="11"/>
  <c r="BN488" i="11" s="1"/>
  <c r="BO488" i="11" s="1"/>
  <c r="BP488" i="11" s="1"/>
  <c r="BQ488" i="11" s="1"/>
  <c r="BM376" i="11"/>
  <c r="BM259" i="11"/>
  <c r="AY259" i="11" s="1"/>
  <c r="AZ259" i="11" s="1"/>
  <c r="BA259" i="11" s="1"/>
  <c r="BB259" i="11" s="1"/>
  <c r="BC259" i="11" s="1"/>
  <c r="BD259" i="11" s="1"/>
  <c r="BE259" i="11" s="1"/>
  <c r="BF259" i="11" s="1"/>
  <c r="BG259" i="11" s="1"/>
  <c r="BH259" i="11" s="1"/>
  <c r="BI259" i="11" s="1"/>
  <c r="BJ259" i="11" s="1"/>
  <c r="BK259" i="11" s="1"/>
  <c r="BL259" i="11" s="1"/>
  <c r="BM506" i="11"/>
  <c r="AY506" i="11" s="1"/>
  <c r="AZ506" i="11" s="1"/>
  <c r="BA506" i="11" s="1"/>
  <c r="BB506" i="11" s="1"/>
  <c r="BC506" i="11" s="1"/>
  <c r="BD506" i="11" s="1"/>
  <c r="BE506" i="11" s="1"/>
  <c r="BF506" i="11" s="1"/>
  <c r="BG506" i="11" s="1"/>
  <c r="BH506" i="11" s="1"/>
  <c r="BI506" i="11" s="1"/>
  <c r="BJ506" i="11" s="1"/>
  <c r="BK506" i="11" s="1"/>
  <c r="BL506" i="11" s="1"/>
  <c r="BR507" i="11"/>
  <c r="BN507" i="11" s="1"/>
  <c r="BO507" i="11" s="1"/>
  <c r="BP507" i="11" s="1"/>
  <c r="BQ507" i="11" s="1"/>
  <c r="AJ490" i="11"/>
  <c r="AK490" i="11" s="1"/>
  <c r="AL490" i="11" s="1"/>
  <c r="AM490" i="11" s="1"/>
  <c r="AN490" i="11" s="1"/>
  <c r="AO490" i="11" s="1"/>
  <c r="AP490" i="11" s="1"/>
  <c r="AQ490" i="11" s="1"/>
  <c r="AR490" i="11" s="1"/>
  <c r="AS490" i="11" s="1"/>
  <c r="AT490" i="11" s="1"/>
  <c r="AU490" i="11" s="1"/>
  <c r="AV490" i="11" s="1"/>
  <c r="AW490" i="11" s="1"/>
  <c r="BC61" i="12"/>
  <c r="BD61" i="12" s="1"/>
  <c r="BE61" i="12" s="1"/>
  <c r="BF61" i="12" s="1"/>
  <c r="BG61" i="12" s="1"/>
  <c r="BH61" i="12" s="1"/>
  <c r="BI61" i="12" s="1"/>
  <c r="BJ61" i="12" s="1"/>
  <c r="BK61" i="12" s="1"/>
  <c r="BL61" i="12" s="1"/>
  <c r="BM61" i="12" s="1"/>
  <c r="BN61" i="12" s="1"/>
  <c r="BO61" i="12" s="1"/>
  <c r="BP61" i="12" s="1"/>
  <c r="BV61" i="12"/>
  <c r="AI10" i="12"/>
  <c r="AJ10" i="12" s="1"/>
  <c r="AK10" i="12" s="1"/>
  <c r="AL10" i="12" s="1"/>
  <c r="AM10" i="12" s="1"/>
  <c r="AN10" i="12" s="1"/>
  <c r="AO10" i="12" s="1"/>
  <c r="AP10" i="12" s="1"/>
  <c r="AQ10" i="12" s="1"/>
  <c r="AR10" i="12" s="1"/>
  <c r="AS10" i="12" s="1"/>
  <c r="AT10" i="12" s="1"/>
  <c r="AU10" i="12" s="1"/>
  <c r="AV10" i="12" s="1"/>
  <c r="AW10" i="12" s="1"/>
  <c r="AX10" i="12" s="1"/>
  <c r="AY10" i="12" s="1"/>
  <c r="AZ10" i="12" s="1"/>
  <c r="BA10" i="12" s="1"/>
  <c r="BQ10" i="12"/>
  <c r="AJ376" i="11"/>
  <c r="AK376" i="11" s="1"/>
  <c r="AL376" i="11" s="1"/>
  <c r="AM376" i="11" s="1"/>
  <c r="AN376" i="11" s="1"/>
  <c r="AO376" i="11" s="1"/>
  <c r="AP376" i="11" s="1"/>
  <c r="AQ376" i="11" s="1"/>
  <c r="AR376" i="11" s="1"/>
  <c r="AS376" i="11" s="1"/>
  <c r="AT376" i="11" s="1"/>
  <c r="AU376" i="11" s="1"/>
  <c r="AV376" i="11" s="1"/>
  <c r="AW376" i="11" s="1"/>
  <c r="BR380" i="11"/>
  <c r="BN380" i="11" s="1"/>
  <c r="BO380" i="11" s="1"/>
  <c r="BP380" i="11" s="1"/>
  <c r="BQ380" i="11" s="1"/>
  <c r="BM357" i="11"/>
  <c r="BM366" i="11"/>
  <c r="AY366" i="11" s="1"/>
  <c r="AZ366" i="11" s="1"/>
  <c r="BA366" i="11" s="1"/>
  <c r="BB366" i="11" s="1"/>
  <c r="BC366" i="11" s="1"/>
  <c r="BD366" i="11" s="1"/>
  <c r="BE366" i="11" s="1"/>
  <c r="BF366" i="11" s="1"/>
  <c r="BG366" i="11" s="1"/>
  <c r="BH366" i="11" s="1"/>
  <c r="BI366" i="11" s="1"/>
  <c r="BJ366" i="11" s="1"/>
  <c r="BK366" i="11" s="1"/>
  <c r="BL366" i="11" s="1"/>
  <c r="E281" i="15"/>
  <c r="BC68" i="12"/>
  <c r="BD68" i="12" s="1"/>
  <c r="BE68" i="12" s="1"/>
  <c r="BF68" i="12" s="1"/>
  <c r="BG68" i="12" s="1"/>
  <c r="BH68" i="12" s="1"/>
  <c r="BI68" i="12" s="1"/>
  <c r="BJ68" i="12" s="1"/>
  <c r="BK68" i="12" s="1"/>
  <c r="BL68" i="12" s="1"/>
  <c r="BM68" i="12" s="1"/>
  <c r="BN68" i="12" s="1"/>
  <c r="BO68" i="12" s="1"/>
  <c r="BP68" i="12" s="1"/>
  <c r="C63" i="34"/>
  <c r="E112" i="34"/>
  <c r="C180" i="119"/>
  <c r="C179" i="119"/>
  <c r="C178" i="119"/>
  <c r="C177" i="119"/>
  <c r="C176" i="119"/>
  <c r="D34" i="34"/>
  <c r="C112" i="34"/>
  <c r="D112" i="34"/>
  <c r="D63" i="34"/>
  <c r="C113" i="34"/>
  <c r="D113" i="34"/>
  <c r="E113" i="34"/>
  <c r="C64" i="34"/>
  <c r="F98" i="34"/>
  <c r="X49" i="14"/>
  <c r="D35" i="34"/>
  <c r="D64" i="34"/>
  <c r="F38" i="35"/>
  <c r="F97" i="34"/>
  <c r="H35" i="24"/>
  <c r="C35" i="24"/>
  <c r="BR17" i="12"/>
  <c r="BS17" i="12" s="1"/>
  <c r="BT17" i="12" s="1"/>
  <c r="BU17" i="12" s="1"/>
  <c r="BR32" i="12"/>
  <c r="BS32" i="12" s="1"/>
  <c r="BT32" i="12" s="1"/>
  <c r="BU32" i="12" s="1"/>
  <c r="BV99" i="12"/>
  <c r="BW99" i="12" s="1"/>
  <c r="BX99" i="12" s="1"/>
  <c r="BY99" i="12" s="1"/>
  <c r="BZ99" i="12" s="1"/>
  <c r="CA99" i="12" s="1"/>
  <c r="CB99" i="12" s="1"/>
  <c r="CC99" i="12" s="1"/>
  <c r="CD99" i="12" s="1"/>
  <c r="CE99" i="12" s="1"/>
  <c r="CF99" i="12" s="1"/>
  <c r="CG99" i="12" s="1"/>
  <c r="CH99" i="12" s="1"/>
  <c r="CI99" i="12" s="1"/>
  <c r="CJ99" i="12" s="1"/>
  <c r="CK99" i="12" s="1"/>
  <c r="CL99" i="12" s="1"/>
  <c r="CM99" i="12" s="1"/>
  <c r="CN99" i="12" s="1"/>
  <c r="CO99" i="12" s="1"/>
  <c r="CP99" i="12" s="1"/>
  <c r="CQ99" i="12" s="1"/>
  <c r="CR99" i="12" s="1"/>
  <c r="CS99" i="12" s="1"/>
  <c r="CT99" i="12" s="1"/>
  <c r="CU99" i="12" s="1"/>
  <c r="CV99" i="12" s="1"/>
  <c r="CW99" i="12" s="1"/>
  <c r="CX99" i="12" s="1"/>
  <c r="CY99" i="12" s="1"/>
  <c r="CZ99" i="12" s="1"/>
  <c r="BC99" i="12"/>
  <c r="BD99" i="12" s="1"/>
  <c r="BE99" i="12" s="1"/>
  <c r="BF99" i="12" s="1"/>
  <c r="BG99" i="12" s="1"/>
  <c r="BH99" i="12" s="1"/>
  <c r="BI99" i="12" s="1"/>
  <c r="BJ99" i="12" s="1"/>
  <c r="BK99" i="12" s="1"/>
  <c r="BL99" i="12" s="1"/>
  <c r="BM99" i="12" s="1"/>
  <c r="BN99" i="12" s="1"/>
  <c r="BO99" i="12" s="1"/>
  <c r="BP99" i="12" s="1"/>
  <c r="BV7" i="12"/>
  <c r="BW7" i="12" s="1"/>
  <c r="BX7" i="12" s="1"/>
  <c r="BY7" i="12" s="1"/>
  <c r="BZ7" i="12" s="1"/>
  <c r="CA7" i="12" s="1"/>
  <c r="CB7" i="12" s="1"/>
  <c r="CC7" i="12" s="1"/>
  <c r="CD7" i="12" s="1"/>
  <c r="CE7" i="12" s="1"/>
  <c r="CF7" i="12" s="1"/>
  <c r="CG7" i="12" s="1"/>
  <c r="CH7" i="12" s="1"/>
  <c r="CI7" i="12" s="1"/>
  <c r="CJ7" i="12" s="1"/>
  <c r="CK7" i="12" s="1"/>
  <c r="CL7" i="12" s="1"/>
  <c r="CM7" i="12" s="1"/>
  <c r="CN7" i="12" s="1"/>
  <c r="CO7" i="12" s="1"/>
  <c r="CP7" i="12" s="1"/>
  <c r="CQ7" i="12" s="1"/>
  <c r="CR7" i="12" s="1"/>
  <c r="CS7" i="12" s="1"/>
  <c r="CT7" i="12" s="1"/>
  <c r="CU7" i="12" s="1"/>
  <c r="CV7" i="12" s="1"/>
  <c r="CW7" i="12" s="1"/>
  <c r="CX7" i="12" s="1"/>
  <c r="CY7" i="12" s="1"/>
  <c r="CZ7" i="12" s="1"/>
  <c r="BC7" i="12"/>
  <c r="BD7" i="12" s="1"/>
  <c r="BE7" i="12" s="1"/>
  <c r="BF7" i="12" s="1"/>
  <c r="BG7" i="12" s="1"/>
  <c r="BH7" i="12" s="1"/>
  <c r="BI7" i="12" s="1"/>
  <c r="BJ7" i="12" s="1"/>
  <c r="BK7" i="12" s="1"/>
  <c r="BL7" i="12" s="1"/>
  <c r="BM7" i="12" s="1"/>
  <c r="BN7" i="12" s="1"/>
  <c r="BO7" i="12" s="1"/>
  <c r="BP7" i="12" s="1"/>
  <c r="BR33" i="12"/>
  <c r="BS33" i="12" s="1"/>
  <c r="BT33" i="12" s="1"/>
  <c r="BU33" i="12" s="1"/>
  <c r="C68" i="15"/>
  <c r="BC28" i="12"/>
  <c r="BD28" i="12" s="1"/>
  <c r="BE28" i="12" s="1"/>
  <c r="BF28" i="12" s="1"/>
  <c r="BG28" i="12" s="1"/>
  <c r="BH28" i="12" s="1"/>
  <c r="BI28" i="12" s="1"/>
  <c r="BJ28" i="12" s="1"/>
  <c r="BK28" i="12" s="1"/>
  <c r="BL28" i="12" s="1"/>
  <c r="BM28" i="12" s="1"/>
  <c r="BN28" i="12" s="1"/>
  <c r="BO28" i="12" s="1"/>
  <c r="BP28" i="12" s="1"/>
  <c r="BV28" i="12"/>
  <c r="BW28" i="12" s="1"/>
  <c r="BX28" i="12" s="1"/>
  <c r="BY28" i="12" s="1"/>
  <c r="BZ28" i="12" s="1"/>
  <c r="CA28" i="12" s="1"/>
  <c r="CB28" i="12" s="1"/>
  <c r="CC28" i="12" s="1"/>
  <c r="CD28" i="12" s="1"/>
  <c r="CE28" i="12" s="1"/>
  <c r="CF28" i="12" s="1"/>
  <c r="CG28" i="12" s="1"/>
  <c r="CH28" i="12" s="1"/>
  <c r="CI28" i="12" s="1"/>
  <c r="CJ28" i="12" s="1"/>
  <c r="CK28" i="12" s="1"/>
  <c r="CL28" i="12" s="1"/>
  <c r="CM28" i="12" s="1"/>
  <c r="CN28" i="12" s="1"/>
  <c r="CO28" i="12" s="1"/>
  <c r="CP28" i="12" s="1"/>
  <c r="CQ28" i="12" s="1"/>
  <c r="CR28" i="12" s="1"/>
  <c r="CS28" i="12" s="1"/>
  <c r="CT28" i="12" s="1"/>
  <c r="CU28" i="12" s="1"/>
  <c r="CV28" i="12" s="1"/>
  <c r="CW28" i="12" s="1"/>
  <c r="CX28" i="12" s="1"/>
  <c r="CY28" i="12" s="1"/>
  <c r="CZ28" i="12" s="1"/>
  <c r="BV96" i="12"/>
  <c r="BW96" i="12" s="1"/>
  <c r="BX96" i="12" s="1"/>
  <c r="BY96" i="12" s="1"/>
  <c r="BZ96" i="12" s="1"/>
  <c r="CA96" i="12" s="1"/>
  <c r="CB96" i="12" s="1"/>
  <c r="CC96" i="12" s="1"/>
  <c r="CD96" i="12" s="1"/>
  <c r="CE96" i="12" s="1"/>
  <c r="CF96" i="12" s="1"/>
  <c r="CG96" i="12" s="1"/>
  <c r="CH96" i="12" s="1"/>
  <c r="CI96" i="12" s="1"/>
  <c r="CJ96" i="12" s="1"/>
  <c r="CK96" i="12" s="1"/>
  <c r="CL96" i="12" s="1"/>
  <c r="CM96" i="12" s="1"/>
  <c r="CN96" i="12" s="1"/>
  <c r="CO96" i="12" s="1"/>
  <c r="CP96" i="12" s="1"/>
  <c r="CQ96" i="12" s="1"/>
  <c r="CR96" i="12" s="1"/>
  <c r="CS96" i="12" s="1"/>
  <c r="CT96" i="12" s="1"/>
  <c r="CU96" i="12" s="1"/>
  <c r="CV96" i="12" s="1"/>
  <c r="CW96" i="12" s="1"/>
  <c r="CX96" i="12" s="1"/>
  <c r="CY96" i="12" s="1"/>
  <c r="CZ96" i="12" s="1"/>
  <c r="BC96" i="12"/>
  <c r="BD96" i="12" s="1"/>
  <c r="BE96" i="12" s="1"/>
  <c r="BF96" i="12" s="1"/>
  <c r="BG96" i="12" s="1"/>
  <c r="BH96" i="12" s="1"/>
  <c r="BI96" i="12" s="1"/>
  <c r="BJ96" i="12" s="1"/>
  <c r="BK96" i="12" s="1"/>
  <c r="BL96" i="12" s="1"/>
  <c r="BM96" i="12" s="1"/>
  <c r="BN96" i="12" s="1"/>
  <c r="BO96" i="12" s="1"/>
  <c r="BP96" i="12" s="1"/>
  <c r="BC65" i="12"/>
  <c r="BD65" i="12" s="1"/>
  <c r="BE65" i="12" s="1"/>
  <c r="BF65" i="12" s="1"/>
  <c r="BG65" i="12" s="1"/>
  <c r="BH65" i="12" s="1"/>
  <c r="BI65" i="12" s="1"/>
  <c r="BJ65" i="12" s="1"/>
  <c r="BK65" i="12" s="1"/>
  <c r="BL65" i="12" s="1"/>
  <c r="BM65" i="12" s="1"/>
  <c r="BN65" i="12" s="1"/>
  <c r="BO65" i="12" s="1"/>
  <c r="BP65" i="12" s="1"/>
  <c r="BV65" i="12"/>
  <c r="BW65" i="12" s="1"/>
  <c r="BX65" i="12" s="1"/>
  <c r="BY65" i="12" s="1"/>
  <c r="BZ65" i="12" s="1"/>
  <c r="CA65" i="12" s="1"/>
  <c r="CB65" i="12" s="1"/>
  <c r="CC65" i="12" s="1"/>
  <c r="CD65" i="12" s="1"/>
  <c r="CE65" i="12" s="1"/>
  <c r="CF65" i="12" s="1"/>
  <c r="CG65" i="12" s="1"/>
  <c r="CH65" i="12" s="1"/>
  <c r="CI65" i="12" s="1"/>
  <c r="CJ65" i="12" s="1"/>
  <c r="CK65" i="12" s="1"/>
  <c r="CL65" i="12" s="1"/>
  <c r="CM65" i="12" s="1"/>
  <c r="CN65" i="12" s="1"/>
  <c r="CO65" i="12" s="1"/>
  <c r="CP65" i="12" s="1"/>
  <c r="CQ65" i="12" s="1"/>
  <c r="CR65" i="12" s="1"/>
  <c r="CS65" i="12" s="1"/>
  <c r="CT65" i="12" s="1"/>
  <c r="CU65" i="12" s="1"/>
  <c r="CV65" i="12" s="1"/>
  <c r="CW65" i="12" s="1"/>
  <c r="CX65" i="12" s="1"/>
  <c r="CY65" i="12" s="1"/>
  <c r="CZ65" i="12" s="1"/>
  <c r="AF67" i="15"/>
  <c r="D67" i="15"/>
  <c r="M67" i="15" s="1"/>
  <c r="W67" i="15"/>
  <c r="K67" i="15"/>
  <c r="A51" i="14"/>
  <c r="A99" i="14"/>
  <c r="C99" i="14" s="1"/>
  <c r="L67" i="15"/>
  <c r="B69" i="15"/>
  <c r="A18" i="13" s="1"/>
  <c r="BV16" i="12"/>
  <c r="BW16" i="12" s="1"/>
  <c r="BX16" i="12" s="1"/>
  <c r="BY16" i="12" s="1"/>
  <c r="BZ16" i="12" s="1"/>
  <c r="CA16" i="12" s="1"/>
  <c r="CB16" i="12" s="1"/>
  <c r="CC16" i="12" s="1"/>
  <c r="CD16" i="12" s="1"/>
  <c r="CE16" i="12" s="1"/>
  <c r="CF16" i="12" s="1"/>
  <c r="CG16" i="12" s="1"/>
  <c r="CH16" i="12" s="1"/>
  <c r="CI16" i="12" s="1"/>
  <c r="CJ16" i="12" s="1"/>
  <c r="CK16" i="12" s="1"/>
  <c r="CL16" i="12" s="1"/>
  <c r="CM16" i="12" s="1"/>
  <c r="CN16" i="12" s="1"/>
  <c r="CO16" i="12" s="1"/>
  <c r="CP16" i="12" s="1"/>
  <c r="CQ16" i="12" s="1"/>
  <c r="CR16" i="12" s="1"/>
  <c r="CS16" i="12" s="1"/>
  <c r="CT16" i="12" s="1"/>
  <c r="CU16" i="12" s="1"/>
  <c r="CV16" i="12" s="1"/>
  <c r="CW16" i="12" s="1"/>
  <c r="CX16" i="12" s="1"/>
  <c r="CY16" i="12" s="1"/>
  <c r="CZ16" i="12" s="1"/>
  <c r="BC16" i="12"/>
  <c r="BD16" i="12" s="1"/>
  <c r="BE16" i="12" s="1"/>
  <c r="BF16" i="12" s="1"/>
  <c r="BG16" i="12" s="1"/>
  <c r="BH16" i="12" s="1"/>
  <c r="BI16" i="12" s="1"/>
  <c r="BJ16" i="12" s="1"/>
  <c r="BK16" i="12" s="1"/>
  <c r="BL16" i="12" s="1"/>
  <c r="BM16" i="12" s="1"/>
  <c r="BN16" i="12" s="1"/>
  <c r="BO16" i="12" s="1"/>
  <c r="BP16" i="12" s="1"/>
  <c r="BR35" i="12"/>
  <c r="BS35" i="12" s="1"/>
  <c r="BT35" i="12" s="1"/>
  <c r="BU35" i="12" s="1"/>
  <c r="BR68" i="12"/>
  <c r="BS68" i="12" s="1"/>
  <c r="BT68" i="12" s="1"/>
  <c r="BU68" i="12" s="1"/>
  <c r="BV100" i="12"/>
  <c r="BW100" i="12" s="1"/>
  <c r="BX100" i="12" s="1"/>
  <c r="BY100" i="12" s="1"/>
  <c r="BZ100" i="12" s="1"/>
  <c r="CA100" i="12" s="1"/>
  <c r="CB100" i="12" s="1"/>
  <c r="CC100" i="12" s="1"/>
  <c r="CD100" i="12" s="1"/>
  <c r="CE100" i="12" s="1"/>
  <c r="CF100" i="12" s="1"/>
  <c r="CG100" i="12" s="1"/>
  <c r="CH100" i="12" s="1"/>
  <c r="CI100" i="12" s="1"/>
  <c r="CJ100" i="12" s="1"/>
  <c r="CK100" i="12" s="1"/>
  <c r="CL100" i="12" s="1"/>
  <c r="CM100" i="12" s="1"/>
  <c r="CN100" i="12" s="1"/>
  <c r="CO100" i="12" s="1"/>
  <c r="CP100" i="12" s="1"/>
  <c r="CQ100" i="12" s="1"/>
  <c r="CR100" i="12" s="1"/>
  <c r="CS100" i="12" s="1"/>
  <c r="CT100" i="12" s="1"/>
  <c r="CU100" i="12" s="1"/>
  <c r="CV100" i="12" s="1"/>
  <c r="CW100" i="12" s="1"/>
  <c r="CX100" i="12" s="1"/>
  <c r="CY100" i="12" s="1"/>
  <c r="CZ100" i="12" s="1"/>
  <c r="BC100" i="12"/>
  <c r="BD100" i="12" s="1"/>
  <c r="BE100" i="12" s="1"/>
  <c r="BF100" i="12" s="1"/>
  <c r="BG100" i="12" s="1"/>
  <c r="BH100" i="12" s="1"/>
  <c r="BI100" i="12" s="1"/>
  <c r="BJ100" i="12" s="1"/>
  <c r="BK100" i="12" s="1"/>
  <c r="BL100" i="12" s="1"/>
  <c r="BM100" i="12" s="1"/>
  <c r="BN100" i="12" s="1"/>
  <c r="BO100" i="12" s="1"/>
  <c r="BP100" i="12" s="1"/>
  <c r="BC26" i="12"/>
  <c r="BD26" i="12" s="1"/>
  <c r="BE26" i="12" s="1"/>
  <c r="BF26" i="12" s="1"/>
  <c r="BG26" i="12" s="1"/>
  <c r="BH26" i="12" s="1"/>
  <c r="BI26" i="12" s="1"/>
  <c r="BJ26" i="12" s="1"/>
  <c r="BK26" i="12" s="1"/>
  <c r="BL26" i="12" s="1"/>
  <c r="BM26" i="12" s="1"/>
  <c r="BN26" i="12" s="1"/>
  <c r="BO26" i="12" s="1"/>
  <c r="BP26" i="12" s="1"/>
  <c r="BV26" i="12"/>
  <c r="BW26" i="12" s="1"/>
  <c r="BX26" i="12" s="1"/>
  <c r="BY26" i="12" s="1"/>
  <c r="BZ26" i="12" s="1"/>
  <c r="CA26" i="12" s="1"/>
  <c r="CB26" i="12" s="1"/>
  <c r="CC26" i="12" s="1"/>
  <c r="CD26" i="12" s="1"/>
  <c r="CE26" i="12" s="1"/>
  <c r="CF26" i="12" s="1"/>
  <c r="CG26" i="12" s="1"/>
  <c r="CH26" i="12" s="1"/>
  <c r="CI26" i="12" s="1"/>
  <c r="CJ26" i="12" s="1"/>
  <c r="CK26" i="12" s="1"/>
  <c r="CL26" i="12" s="1"/>
  <c r="CM26" i="12" s="1"/>
  <c r="CN26" i="12" s="1"/>
  <c r="CO26" i="12" s="1"/>
  <c r="CP26" i="12" s="1"/>
  <c r="CQ26" i="12" s="1"/>
  <c r="CR26" i="12" s="1"/>
  <c r="CS26" i="12" s="1"/>
  <c r="CT26" i="12" s="1"/>
  <c r="CU26" i="12" s="1"/>
  <c r="CV26" i="12" s="1"/>
  <c r="CW26" i="12" s="1"/>
  <c r="CX26" i="12" s="1"/>
  <c r="CY26" i="12" s="1"/>
  <c r="CZ26" i="12" s="1"/>
  <c r="BC15" i="12"/>
  <c r="BD15" i="12" s="1"/>
  <c r="BE15" i="12" s="1"/>
  <c r="BF15" i="12" s="1"/>
  <c r="BG15" i="12" s="1"/>
  <c r="BH15" i="12" s="1"/>
  <c r="BI15" i="12" s="1"/>
  <c r="BJ15" i="12" s="1"/>
  <c r="BK15" i="12" s="1"/>
  <c r="BL15" i="12" s="1"/>
  <c r="BM15" i="12" s="1"/>
  <c r="BN15" i="12" s="1"/>
  <c r="BO15" i="12" s="1"/>
  <c r="BP15" i="12" s="1"/>
  <c r="BV15" i="12"/>
  <c r="BW15" i="12" s="1"/>
  <c r="BX15" i="12" s="1"/>
  <c r="BY15" i="12" s="1"/>
  <c r="BZ15" i="12" s="1"/>
  <c r="CA15" i="12" s="1"/>
  <c r="CB15" i="12" s="1"/>
  <c r="CC15" i="12" s="1"/>
  <c r="CD15" i="12" s="1"/>
  <c r="CE15" i="12" s="1"/>
  <c r="CF15" i="12" s="1"/>
  <c r="CG15" i="12" s="1"/>
  <c r="CH15" i="12" s="1"/>
  <c r="CI15" i="12" s="1"/>
  <c r="CJ15" i="12" s="1"/>
  <c r="CK15" i="12" s="1"/>
  <c r="CL15" i="12" s="1"/>
  <c r="CM15" i="12" s="1"/>
  <c r="CN15" i="12" s="1"/>
  <c r="CO15" i="12" s="1"/>
  <c r="CP15" i="12" s="1"/>
  <c r="CQ15" i="12" s="1"/>
  <c r="CR15" i="12" s="1"/>
  <c r="CS15" i="12" s="1"/>
  <c r="CT15" i="12" s="1"/>
  <c r="CU15" i="12" s="1"/>
  <c r="CV15" i="12" s="1"/>
  <c r="CW15" i="12" s="1"/>
  <c r="CX15" i="12" s="1"/>
  <c r="CY15" i="12" s="1"/>
  <c r="CZ15" i="12" s="1"/>
  <c r="B24" i="17"/>
  <c r="C23" i="17"/>
  <c r="BR25" i="12"/>
  <c r="BS25" i="12" s="1"/>
  <c r="BT25" i="12" s="1"/>
  <c r="BU25" i="12" s="1"/>
  <c r="BR98" i="12"/>
  <c r="BS98" i="12" s="1"/>
  <c r="BT98" i="12" s="1"/>
  <c r="BU98" i="12" s="1"/>
  <c r="BV34" i="12"/>
  <c r="BW34" i="12" s="1"/>
  <c r="BX34" i="12" s="1"/>
  <c r="BY34" i="12" s="1"/>
  <c r="BZ34" i="12" s="1"/>
  <c r="CA34" i="12" s="1"/>
  <c r="CB34" i="12" s="1"/>
  <c r="CC34" i="12" s="1"/>
  <c r="CD34" i="12" s="1"/>
  <c r="CE34" i="12" s="1"/>
  <c r="CF34" i="12" s="1"/>
  <c r="CG34" i="12" s="1"/>
  <c r="CH34" i="12" s="1"/>
  <c r="CI34" i="12" s="1"/>
  <c r="CJ34" i="12" s="1"/>
  <c r="CK34" i="12" s="1"/>
  <c r="CL34" i="12" s="1"/>
  <c r="CM34" i="12" s="1"/>
  <c r="CN34" i="12" s="1"/>
  <c r="CO34" i="12" s="1"/>
  <c r="CP34" i="12" s="1"/>
  <c r="CQ34" i="12" s="1"/>
  <c r="CR34" i="12" s="1"/>
  <c r="CS34" i="12" s="1"/>
  <c r="CT34" i="12" s="1"/>
  <c r="CU34" i="12" s="1"/>
  <c r="CV34" i="12" s="1"/>
  <c r="CW34" i="12" s="1"/>
  <c r="CX34" i="12" s="1"/>
  <c r="CY34" i="12" s="1"/>
  <c r="CZ34" i="12" s="1"/>
  <c r="BC34" i="12"/>
  <c r="BD34" i="12" s="1"/>
  <c r="BE34" i="12" s="1"/>
  <c r="BF34" i="12" s="1"/>
  <c r="BG34" i="12" s="1"/>
  <c r="BH34" i="12" s="1"/>
  <c r="BI34" i="12" s="1"/>
  <c r="BJ34" i="12" s="1"/>
  <c r="BK34" i="12" s="1"/>
  <c r="BL34" i="12" s="1"/>
  <c r="BM34" i="12" s="1"/>
  <c r="BN34" i="12" s="1"/>
  <c r="BO34" i="12" s="1"/>
  <c r="BP34" i="12" s="1"/>
  <c r="BR66" i="12"/>
  <c r="BS66" i="12" s="1"/>
  <c r="BT66" i="12" s="1"/>
  <c r="BU66" i="12" s="1"/>
  <c r="BV91" i="12"/>
  <c r="BW91" i="12" s="1"/>
  <c r="BX91" i="12" s="1"/>
  <c r="BY91" i="12" s="1"/>
  <c r="BZ91" i="12" s="1"/>
  <c r="CA91" i="12" s="1"/>
  <c r="CB91" i="12" s="1"/>
  <c r="CC91" i="12" s="1"/>
  <c r="CD91" i="12" s="1"/>
  <c r="CE91" i="12" s="1"/>
  <c r="CF91" i="12" s="1"/>
  <c r="CG91" i="12" s="1"/>
  <c r="CH91" i="12" s="1"/>
  <c r="CI91" i="12" s="1"/>
  <c r="CJ91" i="12" s="1"/>
  <c r="CK91" i="12" s="1"/>
  <c r="CL91" i="12" s="1"/>
  <c r="CM91" i="12" s="1"/>
  <c r="CN91" i="12" s="1"/>
  <c r="CO91" i="12" s="1"/>
  <c r="CP91" i="12" s="1"/>
  <c r="CQ91" i="12" s="1"/>
  <c r="CR91" i="12" s="1"/>
  <c r="CS91" i="12" s="1"/>
  <c r="CT91" i="12" s="1"/>
  <c r="CU91" i="12" s="1"/>
  <c r="CV91" i="12" s="1"/>
  <c r="CW91" i="12" s="1"/>
  <c r="CX91" i="12" s="1"/>
  <c r="CY91" i="12" s="1"/>
  <c r="CZ91" i="12" s="1"/>
  <c r="BC91" i="12"/>
  <c r="BD91" i="12" s="1"/>
  <c r="BE91" i="12" s="1"/>
  <c r="BF91" i="12" s="1"/>
  <c r="BG91" i="12" s="1"/>
  <c r="BH91" i="12" s="1"/>
  <c r="BI91" i="12" s="1"/>
  <c r="BJ91" i="12" s="1"/>
  <c r="BK91" i="12" s="1"/>
  <c r="BL91" i="12" s="1"/>
  <c r="BM91" i="12" s="1"/>
  <c r="BN91" i="12" s="1"/>
  <c r="BO91" i="12" s="1"/>
  <c r="BP91" i="12" s="1"/>
  <c r="M140" i="15"/>
  <c r="Q140" i="15"/>
  <c r="U140" i="15"/>
  <c r="T140" i="15"/>
  <c r="P140" i="15"/>
  <c r="V140" i="15"/>
  <c r="N140" i="15"/>
  <c r="R140" i="15"/>
  <c r="H140" i="15"/>
  <c r="L140" i="15"/>
  <c r="I140" i="15"/>
  <c r="A141" i="15"/>
  <c r="A188" i="15" s="1"/>
  <c r="A20" i="17"/>
  <c r="A68" i="15"/>
  <c r="E67" i="15"/>
  <c r="H66" i="119"/>
  <c r="H70" i="119"/>
  <c r="H67" i="119"/>
  <c r="H68" i="119"/>
  <c r="F69" i="119"/>
  <c r="F68" i="119"/>
  <c r="F67" i="119"/>
  <c r="F66" i="119"/>
  <c r="F70" i="119"/>
  <c r="I102" i="119"/>
  <c r="C68" i="119"/>
  <c r="C70" i="119"/>
  <c r="C69" i="119"/>
  <c r="C67" i="119"/>
  <c r="C66" i="119"/>
  <c r="I68" i="119"/>
  <c r="I66" i="119"/>
  <c r="I67" i="119"/>
  <c r="I70" i="119"/>
  <c r="I69" i="119"/>
  <c r="G70" i="119"/>
  <c r="G69" i="119"/>
  <c r="G67" i="119"/>
  <c r="G66" i="119"/>
  <c r="G68" i="119"/>
  <c r="I106" i="119"/>
  <c r="H107" i="119"/>
  <c r="I101" i="119"/>
  <c r="H101" i="119"/>
  <c r="I105" i="119"/>
  <c r="H105" i="119"/>
  <c r="H103" i="119"/>
  <c r="I103" i="119"/>
  <c r="I104" i="119"/>
  <c r="E140" i="15"/>
  <c r="D140" i="15"/>
  <c r="D282" i="15"/>
  <c r="BC8" i="12" l="1"/>
  <c r="BD8" i="12" s="1"/>
  <c r="BE8" i="12" s="1"/>
  <c r="BF8" i="12" s="1"/>
  <c r="BG8" i="12" s="1"/>
  <c r="BH8" i="12" s="1"/>
  <c r="BI8" i="12" s="1"/>
  <c r="BJ8" i="12" s="1"/>
  <c r="BK8" i="12" s="1"/>
  <c r="BL8" i="12" s="1"/>
  <c r="BM8" i="12" s="1"/>
  <c r="BN8" i="12" s="1"/>
  <c r="BO8" i="12" s="1"/>
  <c r="BP8" i="12" s="1"/>
  <c r="BR27" i="12"/>
  <c r="BS27" i="12" s="1"/>
  <c r="BT27" i="12" s="1"/>
  <c r="BU27" i="12" s="1"/>
  <c r="F17" i="13"/>
  <c r="B18" i="13"/>
  <c r="BR61" i="12"/>
  <c r="BS61" i="12" s="1"/>
  <c r="BT61" i="12" s="1"/>
  <c r="BU61" i="12" s="1"/>
  <c r="BW61" i="12"/>
  <c r="BX61" i="12" s="1"/>
  <c r="BY61" i="12" s="1"/>
  <c r="BZ61" i="12" s="1"/>
  <c r="CA61" i="12" s="1"/>
  <c r="CB61" i="12" s="1"/>
  <c r="CC61" i="12" s="1"/>
  <c r="CD61" i="12" s="1"/>
  <c r="CE61" i="12" s="1"/>
  <c r="CF61" i="12" s="1"/>
  <c r="CG61" i="12" s="1"/>
  <c r="CH61" i="12" s="1"/>
  <c r="CI61" i="12" s="1"/>
  <c r="CJ61" i="12" s="1"/>
  <c r="CK61" i="12" s="1"/>
  <c r="CL61" i="12" s="1"/>
  <c r="CM61" i="12" s="1"/>
  <c r="CN61" i="12" s="1"/>
  <c r="CO61" i="12" s="1"/>
  <c r="CP61" i="12" s="1"/>
  <c r="CQ61" i="12" s="1"/>
  <c r="CR61" i="12" s="1"/>
  <c r="CS61" i="12" s="1"/>
  <c r="CT61" i="12" s="1"/>
  <c r="CU61" i="12" s="1"/>
  <c r="CV61" i="12" s="1"/>
  <c r="CW61" i="12" s="1"/>
  <c r="CX61" i="12" s="1"/>
  <c r="CY61" i="12" s="1"/>
  <c r="CZ61" i="12" s="1"/>
  <c r="BR97" i="12"/>
  <c r="BS97" i="12" s="1"/>
  <c r="BT97" i="12" s="1"/>
  <c r="BU97" i="12" s="1"/>
  <c r="BW97" i="12"/>
  <c r="BX97" i="12" s="1"/>
  <c r="BY97" i="12" s="1"/>
  <c r="BZ97" i="12" s="1"/>
  <c r="CA97" i="12" s="1"/>
  <c r="CB97" i="12" s="1"/>
  <c r="CC97" i="12" s="1"/>
  <c r="CD97" i="12" s="1"/>
  <c r="CE97" i="12" s="1"/>
  <c r="CF97" i="12" s="1"/>
  <c r="CG97" i="12" s="1"/>
  <c r="CH97" i="12" s="1"/>
  <c r="CI97" i="12" s="1"/>
  <c r="CJ97" i="12" s="1"/>
  <c r="CK97" i="12" s="1"/>
  <c r="CL97" i="12" s="1"/>
  <c r="CM97" i="12" s="1"/>
  <c r="CN97" i="12" s="1"/>
  <c r="CO97" i="12" s="1"/>
  <c r="CP97" i="12" s="1"/>
  <c r="CQ97" i="12" s="1"/>
  <c r="CR97" i="12" s="1"/>
  <c r="CS97" i="12" s="1"/>
  <c r="CT97" i="12" s="1"/>
  <c r="CU97" i="12" s="1"/>
  <c r="CV97" i="12" s="1"/>
  <c r="CW97" i="12" s="1"/>
  <c r="CX97" i="12" s="1"/>
  <c r="CY97" i="12" s="1"/>
  <c r="CZ97" i="12" s="1"/>
  <c r="BR89" i="12"/>
  <c r="BS89" i="12" s="1"/>
  <c r="BT89" i="12" s="1"/>
  <c r="BU89" i="12" s="1"/>
  <c r="BW89" i="12"/>
  <c r="BX89" i="12" s="1"/>
  <c r="BY89" i="12" s="1"/>
  <c r="BZ89" i="12" s="1"/>
  <c r="CA89" i="12" s="1"/>
  <c r="CB89" i="12" s="1"/>
  <c r="CC89" i="12" s="1"/>
  <c r="CD89" i="12" s="1"/>
  <c r="CE89" i="12" s="1"/>
  <c r="CF89" i="12" s="1"/>
  <c r="CG89" i="12" s="1"/>
  <c r="CH89" i="12" s="1"/>
  <c r="CI89" i="12" s="1"/>
  <c r="CJ89" i="12" s="1"/>
  <c r="CK89" i="12" s="1"/>
  <c r="CL89" i="12" s="1"/>
  <c r="CM89" i="12" s="1"/>
  <c r="CN89" i="12" s="1"/>
  <c r="CO89" i="12" s="1"/>
  <c r="CP89" i="12" s="1"/>
  <c r="CQ89" i="12" s="1"/>
  <c r="CR89" i="12" s="1"/>
  <c r="CS89" i="12" s="1"/>
  <c r="CT89" i="12" s="1"/>
  <c r="CU89" i="12" s="1"/>
  <c r="CV89" i="12" s="1"/>
  <c r="CW89" i="12" s="1"/>
  <c r="CX89" i="12" s="1"/>
  <c r="CY89" i="12" s="1"/>
  <c r="CZ89" i="12" s="1"/>
  <c r="E282" i="15"/>
  <c r="AY472" i="11"/>
  <c r="AZ472" i="11" s="1"/>
  <c r="BA472" i="11" s="1"/>
  <c r="BB472" i="11" s="1"/>
  <c r="BC472" i="11" s="1"/>
  <c r="BD472" i="11" s="1"/>
  <c r="BE472" i="11" s="1"/>
  <c r="BF472" i="11" s="1"/>
  <c r="BG472" i="11" s="1"/>
  <c r="BH472" i="11" s="1"/>
  <c r="BI472" i="11" s="1"/>
  <c r="BJ472" i="11" s="1"/>
  <c r="BK472" i="11" s="1"/>
  <c r="BL472" i="11" s="1"/>
  <c r="BR253" i="11"/>
  <c r="BN253" i="11" s="1"/>
  <c r="BO253" i="11" s="1"/>
  <c r="BP253" i="11" s="1"/>
  <c r="BQ253" i="11" s="1"/>
  <c r="AY471" i="11"/>
  <c r="AZ471" i="11" s="1"/>
  <c r="BA471" i="11" s="1"/>
  <c r="BB471" i="11" s="1"/>
  <c r="BC471" i="11" s="1"/>
  <c r="BD471" i="11" s="1"/>
  <c r="BE471" i="11" s="1"/>
  <c r="BF471" i="11" s="1"/>
  <c r="BG471" i="11" s="1"/>
  <c r="BH471" i="11" s="1"/>
  <c r="BI471" i="11" s="1"/>
  <c r="BJ471" i="11" s="1"/>
  <c r="BK471" i="11" s="1"/>
  <c r="BL471" i="11" s="1"/>
  <c r="BR369" i="11"/>
  <c r="BN369" i="11" s="1"/>
  <c r="BO369" i="11" s="1"/>
  <c r="BP369" i="11" s="1"/>
  <c r="BQ369" i="11" s="1"/>
  <c r="BR263" i="11"/>
  <c r="BN263" i="11" s="1"/>
  <c r="BO263" i="11" s="1"/>
  <c r="BP263" i="11" s="1"/>
  <c r="BQ263" i="11" s="1"/>
  <c r="AY483" i="11"/>
  <c r="AZ483" i="11" s="1"/>
  <c r="BA483" i="11" s="1"/>
  <c r="BB483" i="11" s="1"/>
  <c r="BC483" i="11" s="1"/>
  <c r="BD483" i="11" s="1"/>
  <c r="BE483" i="11" s="1"/>
  <c r="BF483" i="11" s="1"/>
  <c r="BG483" i="11" s="1"/>
  <c r="BH483" i="11" s="1"/>
  <c r="BI483" i="11" s="1"/>
  <c r="BJ483" i="11" s="1"/>
  <c r="BK483" i="11" s="1"/>
  <c r="BL483" i="11" s="1"/>
  <c r="BR483" i="11"/>
  <c r="BN483" i="11" s="1"/>
  <c r="BO483" i="11" s="1"/>
  <c r="BP483" i="11" s="1"/>
  <c r="BQ483" i="11" s="1"/>
  <c r="BV62" i="12"/>
  <c r="BV59" i="12"/>
  <c r="BC90" i="12"/>
  <c r="BD90" i="12" s="1"/>
  <c r="BE90" i="12" s="1"/>
  <c r="BF90" i="12" s="1"/>
  <c r="BG90" i="12" s="1"/>
  <c r="BH90" i="12" s="1"/>
  <c r="BI90" i="12" s="1"/>
  <c r="BJ90" i="12" s="1"/>
  <c r="BK90" i="12" s="1"/>
  <c r="BL90" i="12" s="1"/>
  <c r="BM90" i="12" s="1"/>
  <c r="BN90" i="12" s="1"/>
  <c r="BO90" i="12" s="1"/>
  <c r="BP90" i="12" s="1"/>
  <c r="BV90" i="12"/>
  <c r="BR376" i="11"/>
  <c r="BN376" i="11" s="1"/>
  <c r="BO376" i="11" s="1"/>
  <c r="BP376" i="11" s="1"/>
  <c r="BQ376" i="11" s="1"/>
  <c r="BC60" i="12"/>
  <c r="BD60" i="12" s="1"/>
  <c r="BE60" i="12" s="1"/>
  <c r="BF60" i="12" s="1"/>
  <c r="BG60" i="12" s="1"/>
  <c r="BH60" i="12" s="1"/>
  <c r="BI60" i="12" s="1"/>
  <c r="BJ60" i="12" s="1"/>
  <c r="BK60" i="12" s="1"/>
  <c r="BL60" i="12" s="1"/>
  <c r="BM60" i="12" s="1"/>
  <c r="BN60" i="12" s="1"/>
  <c r="BO60" i="12" s="1"/>
  <c r="BP60" i="12" s="1"/>
  <c r="BV60" i="12"/>
  <c r="BC10" i="12"/>
  <c r="BD10" i="12" s="1"/>
  <c r="BE10" i="12" s="1"/>
  <c r="BF10" i="12" s="1"/>
  <c r="BG10" i="12" s="1"/>
  <c r="BH10" i="12" s="1"/>
  <c r="BI10" i="12" s="1"/>
  <c r="BJ10" i="12" s="1"/>
  <c r="BK10" i="12" s="1"/>
  <c r="BL10" i="12" s="1"/>
  <c r="BM10" i="12" s="1"/>
  <c r="BN10" i="12" s="1"/>
  <c r="BO10" i="12" s="1"/>
  <c r="BP10" i="12" s="1"/>
  <c r="BV10" i="12"/>
  <c r="BR366" i="11"/>
  <c r="BN366" i="11" s="1"/>
  <c r="BO366" i="11" s="1"/>
  <c r="BP366" i="11" s="1"/>
  <c r="BQ366" i="11" s="1"/>
  <c r="BR506" i="11"/>
  <c r="BN506" i="11" s="1"/>
  <c r="BO506" i="11" s="1"/>
  <c r="BP506" i="11" s="1"/>
  <c r="BQ506" i="11" s="1"/>
  <c r="BR269" i="11"/>
  <c r="BN269" i="11" s="1"/>
  <c r="BO269" i="11" s="1"/>
  <c r="BP269" i="11" s="1"/>
  <c r="BQ269" i="11" s="1"/>
  <c r="BR374" i="11"/>
  <c r="BN374" i="11" s="1"/>
  <c r="BO374" i="11" s="1"/>
  <c r="BP374" i="11" s="1"/>
  <c r="BQ374" i="11" s="1"/>
  <c r="BR357" i="11"/>
  <c r="BN357" i="11" s="1"/>
  <c r="BO357" i="11" s="1"/>
  <c r="BP357" i="11" s="1"/>
  <c r="BQ357" i="11" s="1"/>
  <c r="BC9" i="12"/>
  <c r="BD9" i="12" s="1"/>
  <c r="BE9" i="12" s="1"/>
  <c r="BF9" i="12" s="1"/>
  <c r="BG9" i="12" s="1"/>
  <c r="BH9" i="12" s="1"/>
  <c r="BI9" i="12" s="1"/>
  <c r="BJ9" i="12" s="1"/>
  <c r="BK9" i="12" s="1"/>
  <c r="BL9" i="12" s="1"/>
  <c r="BM9" i="12" s="1"/>
  <c r="BN9" i="12" s="1"/>
  <c r="BO9" i="12" s="1"/>
  <c r="BP9" i="12" s="1"/>
  <c r="BV9" i="12"/>
  <c r="BW9" i="12" s="1"/>
  <c r="BX9" i="12" s="1"/>
  <c r="BY9" i="12" s="1"/>
  <c r="BZ9" i="12" s="1"/>
  <c r="CA9" i="12" s="1"/>
  <c r="CB9" i="12" s="1"/>
  <c r="CC9" i="12" s="1"/>
  <c r="CD9" i="12" s="1"/>
  <c r="CE9" i="12" s="1"/>
  <c r="CF9" i="12" s="1"/>
  <c r="CG9" i="12" s="1"/>
  <c r="CH9" i="12" s="1"/>
  <c r="CI9" i="12" s="1"/>
  <c r="CJ9" i="12" s="1"/>
  <c r="CK9" i="12" s="1"/>
  <c r="CL9" i="12" s="1"/>
  <c r="CM9" i="12" s="1"/>
  <c r="CN9" i="12" s="1"/>
  <c r="CO9" i="12" s="1"/>
  <c r="CP9" i="12" s="1"/>
  <c r="CQ9" i="12" s="1"/>
  <c r="CR9" i="12" s="1"/>
  <c r="CS9" i="12" s="1"/>
  <c r="CT9" i="12" s="1"/>
  <c r="CU9" i="12" s="1"/>
  <c r="CV9" i="12" s="1"/>
  <c r="CW9" i="12" s="1"/>
  <c r="CX9" i="12" s="1"/>
  <c r="CY9" i="12" s="1"/>
  <c r="CZ9" i="12" s="1"/>
  <c r="AY357" i="11"/>
  <c r="AZ357" i="11" s="1"/>
  <c r="BA357" i="11" s="1"/>
  <c r="BB357" i="11" s="1"/>
  <c r="BC357" i="11" s="1"/>
  <c r="BD357" i="11" s="1"/>
  <c r="BE357" i="11" s="1"/>
  <c r="BF357" i="11" s="1"/>
  <c r="BG357" i="11" s="1"/>
  <c r="BH357" i="11" s="1"/>
  <c r="BI357" i="11" s="1"/>
  <c r="BJ357" i="11" s="1"/>
  <c r="BK357" i="11" s="1"/>
  <c r="BL357" i="11" s="1"/>
  <c r="BR267" i="11"/>
  <c r="BN267" i="11" s="1"/>
  <c r="BO267" i="11" s="1"/>
  <c r="BP267" i="11" s="1"/>
  <c r="BQ267" i="11" s="1"/>
  <c r="AY376" i="11"/>
  <c r="AZ376" i="11" s="1"/>
  <c r="BA376" i="11" s="1"/>
  <c r="BB376" i="11" s="1"/>
  <c r="BC376" i="11" s="1"/>
  <c r="BD376" i="11" s="1"/>
  <c r="BE376" i="11" s="1"/>
  <c r="BF376" i="11" s="1"/>
  <c r="BG376" i="11" s="1"/>
  <c r="BH376" i="11" s="1"/>
  <c r="BI376" i="11" s="1"/>
  <c r="BJ376" i="11" s="1"/>
  <c r="BK376" i="11" s="1"/>
  <c r="BL376" i="11" s="1"/>
  <c r="BR490" i="11"/>
  <c r="BN490" i="11" s="1"/>
  <c r="BO490" i="11" s="1"/>
  <c r="BP490" i="11" s="1"/>
  <c r="BQ490" i="11" s="1"/>
  <c r="BR259" i="11"/>
  <c r="BN259" i="11" s="1"/>
  <c r="BO259" i="11" s="1"/>
  <c r="BP259" i="11" s="1"/>
  <c r="BQ259" i="11" s="1"/>
  <c r="AY267" i="11"/>
  <c r="AZ267" i="11" s="1"/>
  <c r="BA267" i="11" s="1"/>
  <c r="BB267" i="11" s="1"/>
  <c r="BC267" i="11" s="1"/>
  <c r="BD267" i="11" s="1"/>
  <c r="BE267" i="11" s="1"/>
  <c r="BF267" i="11" s="1"/>
  <c r="BG267" i="11" s="1"/>
  <c r="BH267" i="11" s="1"/>
  <c r="BI267" i="11" s="1"/>
  <c r="BJ267" i="11" s="1"/>
  <c r="BK267" i="11" s="1"/>
  <c r="BL267" i="11" s="1"/>
  <c r="F112" i="34"/>
  <c r="F113" i="34"/>
  <c r="BR8" i="12"/>
  <c r="BS8" i="12" s="1"/>
  <c r="BT8" i="12" s="1"/>
  <c r="BU8" i="12" s="1"/>
  <c r="BR15" i="12"/>
  <c r="BS15" i="12" s="1"/>
  <c r="BT15" i="12" s="1"/>
  <c r="BU15" i="12" s="1"/>
  <c r="BR16" i="12"/>
  <c r="BS16" i="12" s="1"/>
  <c r="BT16" i="12" s="1"/>
  <c r="BU16" i="12" s="1"/>
  <c r="BR7" i="12"/>
  <c r="BS7" i="12" s="1"/>
  <c r="BT7" i="12" s="1"/>
  <c r="BU7" i="12" s="1"/>
  <c r="BR91" i="12"/>
  <c r="BS91" i="12" s="1"/>
  <c r="BT91" i="12" s="1"/>
  <c r="BU91" i="12" s="1"/>
  <c r="BR96" i="12"/>
  <c r="BS96" i="12" s="1"/>
  <c r="BT96" i="12" s="1"/>
  <c r="BU96" i="12" s="1"/>
  <c r="BR100" i="12"/>
  <c r="BS100" i="12" s="1"/>
  <c r="BT100" i="12" s="1"/>
  <c r="BU100" i="12" s="1"/>
  <c r="B25" i="17"/>
  <c r="C24" i="17"/>
  <c r="BR34" i="12"/>
  <c r="BS34" i="12" s="1"/>
  <c r="BT34" i="12" s="1"/>
  <c r="BU34" i="12" s="1"/>
  <c r="BR26" i="12"/>
  <c r="BS26" i="12" s="1"/>
  <c r="BT26" i="12" s="1"/>
  <c r="BU26" i="12" s="1"/>
  <c r="C69" i="15"/>
  <c r="B70" i="15"/>
  <c r="A19" i="13" s="1"/>
  <c r="BR28" i="12"/>
  <c r="BS28" i="12" s="1"/>
  <c r="BT28" i="12" s="1"/>
  <c r="BU28" i="12" s="1"/>
  <c r="BR65" i="12"/>
  <c r="BS65" i="12" s="1"/>
  <c r="BT65" i="12" s="1"/>
  <c r="BU65" i="12" s="1"/>
  <c r="K68" i="15"/>
  <c r="W68" i="15"/>
  <c r="A100" i="14"/>
  <c r="C100" i="14" s="1"/>
  <c r="A52" i="14"/>
  <c r="AF68" i="15"/>
  <c r="D68" i="15"/>
  <c r="M68" i="15" s="1"/>
  <c r="L68" i="15"/>
  <c r="H68" i="15"/>
  <c r="BR99" i="12"/>
  <c r="BS99" i="12" s="1"/>
  <c r="BT99" i="12" s="1"/>
  <c r="BU99" i="12" s="1"/>
  <c r="A142" i="15"/>
  <c r="A189" i="15" s="1"/>
  <c r="A21" i="17"/>
  <c r="A69" i="15"/>
  <c r="E68" i="15"/>
  <c r="I141" i="15"/>
  <c r="M141" i="15"/>
  <c r="Q141" i="15"/>
  <c r="R141" i="15"/>
  <c r="P141" i="15"/>
  <c r="T141" i="15"/>
  <c r="N141" i="15"/>
  <c r="U141" i="15"/>
  <c r="V141" i="15"/>
  <c r="L141" i="15"/>
  <c r="H141" i="15"/>
  <c r="D141" i="15"/>
  <c r="E141" i="15"/>
  <c r="F18" i="13" l="1"/>
  <c r="B19" i="13"/>
  <c r="BR60" i="12"/>
  <c r="BS60" i="12" s="1"/>
  <c r="BT60" i="12" s="1"/>
  <c r="BU60" i="12" s="1"/>
  <c r="BW60" i="12"/>
  <c r="BX60" i="12" s="1"/>
  <c r="BY60" i="12" s="1"/>
  <c r="BZ60" i="12" s="1"/>
  <c r="CA60" i="12" s="1"/>
  <c r="CB60" i="12" s="1"/>
  <c r="CC60" i="12" s="1"/>
  <c r="CD60" i="12" s="1"/>
  <c r="CE60" i="12" s="1"/>
  <c r="CF60" i="12" s="1"/>
  <c r="CG60" i="12" s="1"/>
  <c r="CH60" i="12" s="1"/>
  <c r="CI60" i="12" s="1"/>
  <c r="CJ60" i="12" s="1"/>
  <c r="CK60" i="12" s="1"/>
  <c r="CL60" i="12" s="1"/>
  <c r="CM60" i="12" s="1"/>
  <c r="CN60" i="12" s="1"/>
  <c r="CO60" i="12" s="1"/>
  <c r="CP60" i="12" s="1"/>
  <c r="CQ60" i="12" s="1"/>
  <c r="CR60" i="12" s="1"/>
  <c r="CS60" i="12" s="1"/>
  <c r="CT60" i="12" s="1"/>
  <c r="CU60" i="12" s="1"/>
  <c r="CV60" i="12" s="1"/>
  <c r="CW60" i="12" s="1"/>
  <c r="CX60" i="12" s="1"/>
  <c r="CY60" i="12" s="1"/>
  <c r="CZ60" i="12" s="1"/>
  <c r="BR90" i="12"/>
  <c r="BS90" i="12" s="1"/>
  <c r="BT90" i="12" s="1"/>
  <c r="BU90" i="12" s="1"/>
  <c r="BW90" i="12"/>
  <c r="BX90" i="12" s="1"/>
  <c r="BY90" i="12" s="1"/>
  <c r="BZ90" i="12" s="1"/>
  <c r="CA90" i="12" s="1"/>
  <c r="CB90" i="12" s="1"/>
  <c r="CC90" i="12" s="1"/>
  <c r="CD90" i="12" s="1"/>
  <c r="CE90" i="12" s="1"/>
  <c r="CF90" i="12" s="1"/>
  <c r="CG90" i="12" s="1"/>
  <c r="CH90" i="12" s="1"/>
  <c r="CI90" i="12" s="1"/>
  <c r="CJ90" i="12" s="1"/>
  <c r="CK90" i="12" s="1"/>
  <c r="CL90" i="12" s="1"/>
  <c r="CM90" i="12" s="1"/>
  <c r="CN90" i="12" s="1"/>
  <c r="CO90" i="12" s="1"/>
  <c r="CP90" i="12" s="1"/>
  <c r="CQ90" i="12" s="1"/>
  <c r="CR90" i="12" s="1"/>
  <c r="CS90" i="12" s="1"/>
  <c r="CT90" i="12" s="1"/>
  <c r="CU90" i="12" s="1"/>
  <c r="CV90" i="12" s="1"/>
  <c r="CW90" i="12" s="1"/>
  <c r="CX90" i="12" s="1"/>
  <c r="CY90" i="12" s="1"/>
  <c r="CZ90" i="12" s="1"/>
  <c r="BR10" i="12"/>
  <c r="BS10" i="12" s="1"/>
  <c r="BT10" i="12" s="1"/>
  <c r="BU10" i="12" s="1"/>
  <c r="BW10" i="12"/>
  <c r="BX10" i="12" s="1"/>
  <c r="BY10" i="12" s="1"/>
  <c r="BZ10" i="12" s="1"/>
  <c r="CA10" i="12" s="1"/>
  <c r="CB10" i="12" s="1"/>
  <c r="CC10" i="12" s="1"/>
  <c r="CD10" i="12" s="1"/>
  <c r="CE10" i="12" s="1"/>
  <c r="CF10" i="12" s="1"/>
  <c r="CG10" i="12" s="1"/>
  <c r="CH10" i="12" s="1"/>
  <c r="CI10" i="12" s="1"/>
  <c r="CJ10" i="12" s="1"/>
  <c r="CK10" i="12" s="1"/>
  <c r="CL10" i="12" s="1"/>
  <c r="CM10" i="12" s="1"/>
  <c r="CN10" i="12" s="1"/>
  <c r="CO10" i="12" s="1"/>
  <c r="CP10" i="12" s="1"/>
  <c r="CQ10" i="12" s="1"/>
  <c r="CR10" i="12" s="1"/>
  <c r="CS10" i="12" s="1"/>
  <c r="CT10" i="12" s="1"/>
  <c r="CU10" i="12" s="1"/>
  <c r="CV10" i="12" s="1"/>
  <c r="CW10" i="12" s="1"/>
  <c r="CX10" i="12" s="1"/>
  <c r="CY10" i="12" s="1"/>
  <c r="CZ10" i="12" s="1"/>
  <c r="BR59" i="12"/>
  <c r="BS59" i="12" s="1"/>
  <c r="BT59" i="12" s="1"/>
  <c r="BU59" i="12" s="1"/>
  <c r="BW59" i="12"/>
  <c r="BX59" i="12" s="1"/>
  <c r="BY59" i="12" s="1"/>
  <c r="BZ59" i="12" s="1"/>
  <c r="CA59" i="12" s="1"/>
  <c r="CB59" i="12" s="1"/>
  <c r="CC59" i="12" s="1"/>
  <c r="CD59" i="12" s="1"/>
  <c r="CE59" i="12" s="1"/>
  <c r="CF59" i="12" s="1"/>
  <c r="CG59" i="12" s="1"/>
  <c r="CH59" i="12" s="1"/>
  <c r="CI59" i="12" s="1"/>
  <c r="CJ59" i="12" s="1"/>
  <c r="CK59" i="12" s="1"/>
  <c r="CL59" i="12" s="1"/>
  <c r="CM59" i="12" s="1"/>
  <c r="CN59" i="12" s="1"/>
  <c r="CO59" i="12" s="1"/>
  <c r="CP59" i="12" s="1"/>
  <c r="CQ59" i="12" s="1"/>
  <c r="CR59" i="12" s="1"/>
  <c r="CS59" i="12" s="1"/>
  <c r="CT59" i="12" s="1"/>
  <c r="CU59" i="12" s="1"/>
  <c r="CV59" i="12" s="1"/>
  <c r="CW59" i="12" s="1"/>
  <c r="CX59" i="12" s="1"/>
  <c r="CY59" i="12" s="1"/>
  <c r="CZ59" i="12" s="1"/>
  <c r="BR62" i="12"/>
  <c r="BS62" i="12" s="1"/>
  <c r="BT62" i="12" s="1"/>
  <c r="BU62" i="12" s="1"/>
  <c r="BW62" i="12"/>
  <c r="BX62" i="12" s="1"/>
  <c r="BY62" i="12" s="1"/>
  <c r="BZ62" i="12" s="1"/>
  <c r="CA62" i="12" s="1"/>
  <c r="CB62" i="12" s="1"/>
  <c r="CC62" i="12" s="1"/>
  <c r="CD62" i="12" s="1"/>
  <c r="CE62" i="12" s="1"/>
  <c r="CF62" i="12" s="1"/>
  <c r="CG62" i="12" s="1"/>
  <c r="CH62" i="12" s="1"/>
  <c r="CI62" i="12" s="1"/>
  <c r="CJ62" i="12" s="1"/>
  <c r="CK62" i="12" s="1"/>
  <c r="CL62" i="12" s="1"/>
  <c r="CM62" i="12" s="1"/>
  <c r="CN62" i="12" s="1"/>
  <c r="CO62" i="12" s="1"/>
  <c r="CP62" i="12" s="1"/>
  <c r="CQ62" i="12" s="1"/>
  <c r="CR62" i="12" s="1"/>
  <c r="CS62" i="12" s="1"/>
  <c r="CT62" i="12" s="1"/>
  <c r="CU62" i="12" s="1"/>
  <c r="CV62" i="12" s="1"/>
  <c r="CW62" i="12" s="1"/>
  <c r="CX62" i="12" s="1"/>
  <c r="CY62" i="12" s="1"/>
  <c r="CZ62" i="12" s="1"/>
  <c r="BR9" i="12"/>
  <c r="BS9" i="12" s="1"/>
  <c r="BT9" i="12" s="1"/>
  <c r="BU9" i="12" s="1"/>
  <c r="C70" i="15"/>
  <c r="B71" i="15"/>
  <c r="A20" i="13" s="1"/>
  <c r="C25" i="17"/>
  <c r="B26" i="17"/>
  <c r="W69" i="15"/>
  <c r="L69" i="15"/>
  <c r="H69" i="15"/>
  <c r="D69" i="15"/>
  <c r="M69" i="15" s="1"/>
  <c r="A101" i="14"/>
  <c r="C101" i="14" s="1"/>
  <c r="AF69" i="15"/>
  <c r="A53" i="14"/>
  <c r="K69" i="15"/>
  <c r="A22" i="17"/>
  <c r="A143" i="15"/>
  <c r="A190" i="15" s="1"/>
  <c r="A70" i="15"/>
  <c r="E69" i="15"/>
  <c r="P142" i="15"/>
  <c r="Q142" i="15"/>
  <c r="H142" i="15"/>
  <c r="N142" i="15"/>
  <c r="L142" i="15"/>
  <c r="T142" i="15"/>
  <c r="V142" i="15"/>
  <c r="U142" i="15"/>
  <c r="R142" i="15"/>
  <c r="M142" i="15"/>
  <c r="I142" i="15"/>
  <c r="E142" i="15"/>
  <c r="D142" i="15"/>
  <c r="F19" i="13" l="1"/>
  <c r="B20" i="13"/>
  <c r="C26" i="17"/>
  <c r="B27" i="17"/>
  <c r="B72" i="15"/>
  <c r="A21" i="13" s="1"/>
  <c r="C71" i="15"/>
  <c r="H70" i="15"/>
  <c r="A102" i="14"/>
  <c r="C102" i="14" s="1"/>
  <c r="L70" i="15"/>
  <c r="A54" i="14"/>
  <c r="AF70" i="15"/>
  <c r="D70" i="15"/>
  <c r="M70" i="15" s="1"/>
  <c r="W70" i="15"/>
  <c r="K70" i="15"/>
  <c r="Q143" i="15"/>
  <c r="R143" i="15"/>
  <c r="N143" i="15"/>
  <c r="M143" i="15"/>
  <c r="V143" i="15"/>
  <c r="U143" i="15"/>
  <c r="H143" i="15"/>
  <c r="T143" i="15"/>
  <c r="P143" i="15"/>
  <c r="L143" i="15"/>
  <c r="I143" i="15"/>
  <c r="A23" i="17"/>
  <c r="A144" i="15"/>
  <c r="A191" i="15" s="1"/>
  <c r="E70" i="15"/>
  <c r="A71" i="15"/>
  <c r="D143" i="15"/>
  <c r="E143" i="15"/>
  <c r="B21" i="13" l="1"/>
  <c r="F20" i="13"/>
  <c r="E105" i="6"/>
  <c r="B73" i="15"/>
  <c r="B28" i="17"/>
  <c r="C27" i="17"/>
  <c r="C72" i="15"/>
  <c r="D71" i="15"/>
  <c r="M71" i="15" s="1"/>
  <c r="AF71" i="15"/>
  <c r="W71" i="15"/>
  <c r="K71" i="15"/>
  <c r="L71" i="15"/>
  <c r="A103" i="14"/>
  <c r="C103" i="14" s="1"/>
  <c r="H71" i="15"/>
  <c r="A55" i="14"/>
  <c r="P144" i="15"/>
  <c r="N144" i="15"/>
  <c r="L144" i="15"/>
  <c r="T144" i="15"/>
  <c r="R144" i="15"/>
  <c r="I144" i="15"/>
  <c r="U144" i="15"/>
  <c r="H144" i="15"/>
  <c r="M144" i="15"/>
  <c r="V144" i="15"/>
  <c r="Q144" i="15"/>
  <c r="A24" i="17"/>
  <c r="A145" i="15"/>
  <c r="A192" i="15" s="1"/>
  <c r="A72" i="15"/>
  <c r="E71" i="15"/>
  <c r="D144" i="15"/>
  <c r="E144" i="15"/>
  <c r="B74" i="15" l="1"/>
  <c r="A23" i="13" s="1"/>
  <c r="A22" i="13"/>
  <c r="B22" i="13" s="1"/>
  <c r="F21" i="13"/>
  <c r="B29" i="17"/>
  <c r="C28" i="17"/>
  <c r="C73" i="15"/>
  <c r="D72" i="15"/>
  <c r="M72" i="15" s="1"/>
  <c r="L72" i="15"/>
  <c r="W72" i="15"/>
  <c r="H72" i="15"/>
  <c r="AF72" i="15"/>
  <c r="A56" i="14"/>
  <c r="K72" i="15"/>
  <c r="A104" i="14"/>
  <c r="C104" i="14" s="1"/>
  <c r="P145" i="15"/>
  <c r="I145" i="15"/>
  <c r="Q145" i="15"/>
  <c r="L145" i="15"/>
  <c r="H145" i="15"/>
  <c r="M145" i="15"/>
  <c r="R145" i="15"/>
  <c r="N145" i="15"/>
  <c r="T145" i="15"/>
  <c r="U145" i="15"/>
  <c r="V145" i="15"/>
  <c r="A146" i="15"/>
  <c r="A193" i="15" s="1"/>
  <c r="A25" i="17"/>
  <c r="E72" i="15"/>
  <c r="A73" i="15"/>
  <c r="D145" i="15"/>
  <c r="E145" i="15"/>
  <c r="C74" i="15" l="1"/>
  <c r="H74" i="15" s="1"/>
  <c r="B75" i="15"/>
  <c r="A24" i="13" s="1"/>
  <c r="B23" i="13"/>
  <c r="F22" i="13"/>
  <c r="C29" i="17"/>
  <c r="B30" i="17"/>
  <c r="AF73" i="15"/>
  <c r="A57" i="14"/>
  <c r="W73" i="15"/>
  <c r="D73" i="15"/>
  <c r="M73" i="15" s="1"/>
  <c r="K73" i="15"/>
  <c r="L73" i="15"/>
  <c r="H73" i="15"/>
  <c r="A105" i="14"/>
  <c r="C105" i="14" s="1"/>
  <c r="P146" i="15"/>
  <c r="R146" i="15"/>
  <c r="H146" i="15"/>
  <c r="V146" i="15"/>
  <c r="U146" i="15"/>
  <c r="L146" i="15"/>
  <c r="I146" i="15"/>
  <c r="M146" i="15"/>
  <c r="T146" i="15"/>
  <c r="N146" i="15"/>
  <c r="Q146" i="15"/>
  <c r="A26" i="17"/>
  <c r="A147" i="15"/>
  <c r="A194" i="15" s="1"/>
  <c r="A74" i="15"/>
  <c r="E73" i="15"/>
  <c r="E146" i="15"/>
  <c r="D146" i="15"/>
  <c r="A58" i="14" l="1"/>
  <c r="D74" i="15"/>
  <c r="M74" i="15" s="1"/>
  <c r="L74" i="15"/>
  <c r="W74" i="15"/>
  <c r="A106" i="14"/>
  <c r="C106" i="14" s="1"/>
  <c r="AF74" i="15"/>
  <c r="K74" i="15"/>
  <c r="C75" i="15"/>
  <c r="AF75" i="15" s="1"/>
  <c r="B76" i="15"/>
  <c r="F23" i="13"/>
  <c r="B24" i="13"/>
  <c r="C30" i="17"/>
  <c r="B31" i="17"/>
  <c r="A148" i="15"/>
  <c r="A195" i="15" s="1"/>
  <c r="A27" i="17"/>
  <c r="A75" i="15"/>
  <c r="E74" i="15"/>
  <c r="Q147" i="15"/>
  <c r="R147" i="15"/>
  <c r="V147" i="15"/>
  <c r="L147" i="15"/>
  <c r="T147" i="15"/>
  <c r="P147" i="15"/>
  <c r="M147" i="15"/>
  <c r="U147" i="15"/>
  <c r="I147" i="15"/>
  <c r="H147" i="15"/>
  <c r="N147" i="15"/>
  <c r="E147" i="15"/>
  <c r="D147" i="15"/>
  <c r="H75" i="15" l="1"/>
  <c r="A107" i="14"/>
  <c r="C107" i="14" s="1"/>
  <c r="C76" i="15"/>
  <c r="A108" i="14" s="1"/>
  <c r="C108" i="14" s="1"/>
  <c r="L75" i="15"/>
  <c r="K75" i="15"/>
  <c r="A59" i="14"/>
  <c r="W75" i="15"/>
  <c r="A25" i="13"/>
  <c r="B25" i="13" s="1"/>
  <c r="D75" i="15"/>
  <c r="M75" i="15" s="1"/>
  <c r="B77" i="15"/>
  <c r="A26" i="13" s="1"/>
  <c r="F24" i="13"/>
  <c r="C31" i="17"/>
  <c r="B32" i="17"/>
  <c r="P148" i="15"/>
  <c r="U148" i="15"/>
  <c r="L148" i="15"/>
  <c r="Q148" i="15"/>
  <c r="R148" i="15"/>
  <c r="M148" i="15"/>
  <c r="H148" i="15"/>
  <c r="N148" i="15"/>
  <c r="V148" i="15"/>
  <c r="T148" i="15"/>
  <c r="I148" i="15"/>
  <c r="A149" i="15"/>
  <c r="A196" i="15" s="1"/>
  <c r="A28" i="17"/>
  <c r="A76" i="15"/>
  <c r="E75" i="15"/>
  <c r="E148" i="15"/>
  <c r="D148" i="15"/>
  <c r="K76" i="15" l="1"/>
  <c r="W76" i="15"/>
  <c r="AF76" i="15"/>
  <c r="H76" i="15"/>
  <c r="L76" i="15"/>
  <c r="A60" i="14"/>
  <c r="D76" i="15"/>
  <c r="M76" i="15" s="1"/>
  <c r="B78" i="15"/>
  <c r="A27" i="13" s="1"/>
  <c r="C77" i="15"/>
  <c r="D77" i="15" s="1"/>
  <c r="M77" i="15" s="1"/>
  <c r="B26" i="13"/>
  <c r="F25" i="13"/>
  <c r="B33" i="17"/>
  <c r="C32" i="17"/>
  <c r="P149" i="15"/>
  <c r="Q149" i="15"/>
  <c r="H149" i="15"/>
  <c r="I149" i="15"/>
  <c r="N149" i="15"/>
  <c r="R149" i="15"/>
  <c r="V149" i="15"/>
  <c r="M149" i="15"/>
  <c r="L149" i="15"/>
  <c r="T149" i="15"/>
  <c r="U149" i="15"/>
  <c r="A29" i="17"/>
  <c r="A150" i="15"/>
  <c r="A197" i="15" s="1"/>
  <c r="A77" i="15"/>
  <c r="E76" i="15"/>
  <c r="D149" i="15"/>
  <c r="E149" i="15"/>
  <c r="AF77" i="15" l="1"/>
  <c r="W77" i="15"/>
  <c r="A61" i="14"/>
  <c r="L77" i="15"/>
  <c r="A109" i="14"/>
  <c r="C109" i="14" s="1"/>
  <c r="H77" i="15"/>
  <c r="B79" i="15"/>
  <c r="A28" i="13" s="1"/>
  <c r="K77" i="15"/>
  <c r="C78" i="15"/>
  <c r="B27" i="13"/>
  <c r="F26" i="13"/>
  <c r="C33" i="17"/>
  <c r="B34" i="17"/>
  <c r="A30" i="17"/>
  <c r="A151" i="15"/>
  <c r="A198" i="15" s="1"/>
  <c r="A78" i="15"/>
  <c r="E77" i="15"/>
  <c r="P150" i="15"/>
  <c r="U150" i="15"/>
  <c r="I150" i="15"/>
  <c r="R150" i="15"/>
  <c r="Q150" i="15"/>
  <c r="V150" i="15"/>
  <c r="L150" i="15"/>
  <c r="N150" i="15"/>
  <c r="T150" i="15"/>
  <c r="M150" i="15"/>
  <c r="H150" i="15"/>
  <c r="E150" i="15"/>
  <c r="D150" i="15"/>
  <c r="B80" i="15" l="1"/>
  <c r="A29" i="13" s="1"/>
  <c r="C79" i="15"/>
  <c r="A63" i="14" s="1"/>
  <c r="A110" i="14"/>
  <c r="C110" i="14" s="1"/>
  <c r="L78" i="15"/>
  <c r="K78" i="15"/>
  <c r="AF78" i="15"/>
  <c r="H78" i="15"/>
  <c r="A62" i="14"/>
  <c r="D78" i="15"/>
  <c r="M78" i="15" s="1"/>
  <c r="W78" i="15"/>
  <c r="B28" i="13"/>
  <c r="F27" i="13"/>
  <c r="B35" i="17"/>
  <c r="C34" i="17"/>
  <c r="A31" i="17"/>
  <c r="A152" i="15"/>
  <c r="A199" i="15" s="1"/>
  <c r="A79" i="15"/>
  <c r="E78" i="15"/>
  <c r="Q151" i="15"/>
  <c r="P151" i="15"/>
  <c r="T151" i="15"/>
  <c r="U151" i="15"/>
  <c r="I151" i="15"/>
  <c r="V151" i="15"/>
  <c r="L151" i="15"/>
  <c r="R151" i="15"/>
  <c r="N151" i="15"/>
  <c r="H151" i="15"/>
  <c r="M151" i="15"/>
  <c r="E151" i="15"/>
  <c r="D151" i="15"/>
  <c r="H79" i="15" l="1"/>
  <c r="D79" i="15"/>
  <c r="M79" i="15" s="1"/>
  <c r="L79" i="15"/>
  <c r="AF79" i="15"/>
  <c r="K79" i="15"/>
  <c r="W79" i="15"/>
  <c r="A111" i="14"/>
  <c r="C111" i="14" s="1"/>
  <c r="C80" i="15"/>
  <c r="B81" i="15"/>
  <c r="A30" i="13" s="1"/>
  <c r="B29" i="13"/>
  <c r="F28" i="13"/>
  <c r="B36" i="17"/>
  <c r="C35" i="17"/>
  <c r="A32" i="17"/>
  <c r="A153" i="15"/>
  <c r="A200" i="15" s="1"/>
  <c r="A80" i="15"/>
  <c r="E79" i="15"/>
  <c r="P152" i="15"/>
  <c r="Q152" i="15"/>
  <c r="R152" i="15"/>
  <c r="H152" i="15"/>
  <c r="N152" i="15"/>
  <c r="I152" i="15"/>
  <c r="U152" i="15"/>
  <c r="T152" i="15"/>
  <c r="M152" i="15"/>
  <c r="L152" i="15"/>
  <c r="V152" i="15"/>
  <c r="E152" i="15"/>
  <c r="D152" i="15"/>
  <c r="A64" i="14" l="1"/>
  <c r="D80" i="15"/>
  <c r="M80" i="15" s="1"/>
  <c r="K80" i="15"/>
  <c r="L80" i="15"/>
  <c r="AF80" i="15"/>
  <c r="W80" i="15"/>
  <c r="H80" i="15"/>
  <c r="A112" i="14"/>
  <c r="C112" i="14" s="1"/>
  <c r="C81" i="15"/>
  <c r="B82" i="15"/>
  <c r="A31" i="13" s="1"/>
  <c r="F29" i="13"/>
  <c r="B30" i="13"/>
  <c r="B37" i="17"/>
  <c r="C36" i="17"/>
  <c r="A33" i="17"/>
  <c r="A154" i="15"/>
  <c r="A201" i="15" s="1"/>
  <c r="A81" i="15"/>
  <c r="E80" i="15"/>
  <c r="M153" i="15"/>
  <c r="V153" i="15"/>
  <c r="P153" i="15"/>
  <c r="R153" i="15"/>
  <c r="L153" i="15"/>
  <c r="H153" i="15"/>
  <c r="Q153" i="15"/>
  <c r="N153" i="15"/>
  <c r="T153" i="15"/>
  <c r="I153" i="15"/>
  <c r="U153" i="15"/>
  <c r="D153" i="15"/>
  <c r="E153" i="15"/>
  <c r="B83" i="15" l="1"/>
  <c r="B84" i="15" s="1"/>
  <c r="C82" i="15"/>
  <c r="W81" i="15"/>
  <c r="AF81" i="15"/>
  <c r="L81" i="15"/>
  <c r="A113" i="14"/>
  <c r="C113" i="14" s="1"/>
  <c r="K81" i="15"/>
  <c r="A65" i="14"/>
  <c r="H81" i="15"/>
  <c r="D81" i="15"/>
  <c r="M81" i="15" s="1"/>
  <c r="B31" i="13"/>
  <c r="F30" i="13"/>
  <c r="B38" i="17"/>
  <c r="C37" i="17"/>
  <c r="P154" i="15"/>
  <c r="I154" i="15"/>
  <c r="R154" i="15"/>
  <c r="M154" i="15"/>
  <c r="H154" i="15"/>
  <c r="L154" i="15"/>
  <c r="N154" i="15"/>
  <c r="Q154" i="15"/>
  <c r="U154" i="15"/>
  <c r="V154" i="15"/>
  <c r="T154" i="15"/>
  <c r="A34" i="17"/>
  <c r="A155" i="15"/>
  <c r="A202" i="15" s="1"/>
  <c r="A82" i="15"/>
  <c r="E81" i="15"/>
  <c r="D154" i="15"/>
  <c r="E154" i="15"/>
  <c r="K82" i="15" l="1"/>
  <c r="A66" i="14"/>
  <c r="H82" i="15"/>
  <c r="AF82" i="15"/>
  <c r="L82" i="15"/>
  <c r="D82" i="15"/>
  <c r="M82" i="15" s="1"/>
  <c r="A114" i="14"/>
  <c r="C114" i="14" s="1"/>
  <c r="W82" i="15"/>
  <c r="A32" i="13"/>
  <c r="B32" i="13" s="1"/>
  <c r="C83" i="15"/>
  <c r="C84" i="15" s="1"/>
  <c r="A33" i="13"/>
  <c r="B85" i="15"/>
  <c r="F31" i="13"/>
  <c r="C38" i="17"/>
  <c r="B39" i="17"/>
  <c r="A156" i="15"/>
  <c r="A203" i="15" s="1"/>
  <c r="A35" i="17"/>
  <c r="A83" i="15"/>
  <c r="E82" i="15"/>
  <c r="Q155" i="15"/>
  <c r="P155" i="15"/>
  <c r="T155" i="15"/>
  <c r="M155" i="15"/>
  <c r="I155" i="15"/>
  <c r="V155" i="15"/>
  <c r="N155" i="15"/>
  <c r="L155" i="15"/>
  <c r="H155" i="15"/>
  <c r="U155" i="15"/>
  <c r="R155" i="15"/>
  <c r="E155" i="15"/>
  <c r="D155" i="15"/>
  <c r="L84" i="15" l="1"/>
  <c r="AF84" i="15"/>
  <c r="A68" i="14"/>
  <c r="D84" i="15"/>
  <c r="M84" i="15" s="1"/>
  <c r="K84" i="15"/>
  <c r="H84" i="15"/>
  <c r="A116" i="14"/>
  <c r="C116" i="14" s="1"/>
  <c r="D83" i="15"/>
  <c r="M83" i="15" s="1"/>
  <c r="W83" i="15"/>
  <c r="AF83" i="15"/>
  <c r="A67" i="14"/>
  <c r="K83" i="15"/>
  <c r="H83" i="15"/>
  <c r="A115" i="14"/>
  <c r="C115" i="14" s="1"/>
  <c r="L83" i="15"/>
  <c r="C85" i="15"/>
  <c r="K85" i="15" s="1"/>
  <c r="W84" i="15"/>
  <c r="A34" i="13"/>
  <c r="B86" i="15"/>
  <c r="A35" i="13" s="1"/>
  <c r="F32" i="13"/>
  <c r="B33" i="13"/>
  <c r="B40" i="17"/>
  <c r="C39" i="17"/>
  <c r="P156" i="15"/>
  <c r="V156" i="15"/>
  <c r="R156" i="15"/>
  <c r="Q156" i="15"/>
  <c r="H156" i="15"/>
  <c r="L156" i="15"/>
  <c r="N156" i="15"/>
  <c r="M156" i="15"/>
  <c r="U156" i="15"/>
  <c r="T156" i="15"/>
  <c r="I156" i="15"/>
  <c r="A36" i="17"/>
  <c r="A157" i="15"/>
  <c r="A204" i="15" s="1"/>
  <c r="A84" i="15"/>
  <c r="E83" i="15"/>
  <c r="D156" i="15"/>
  <c r="E156" i="15"/>
  <c r="D85" i="15" l="1"/>
  <c r="AF85" i="15"/>
  <c r="A69" i="14"/>
  <c r="H85" i="15"/>
  <c r="W85" i="15"/>
  <c r="A117" i="14"/>
  <c r="C117" i="14" s="1"/>
  <c r="C86" i="15"/>
  <c r="A118" i="14" s="1"/>
  <c r="B87" i="15"/>
  <c r="A36" i="13" s="1"/>
  <c r="F33" i="13"/>
  <c r="B34" i="13"/>
  <c r="C40" i="17"/>
  <c r="B41" i="17"/>
  <c r="A37" i="17"/>
  <c r="A158" i="15"/>
  <c r="A205" i="15" s="1"/>
  <c r="A85" i="15"/>
  <c r="E84" i="15"/>
  <c r="Q157" i="15"/>
  <c r="P157" i="15"/>
  <c r="U157" i="15"/>
  <c r="L157" i="15"/>
  <c r="V157" i="15"/>
  <c r="N157" i="15"/>
  <c r="R157" i="15"/>
  <c r="H157" i="15"/>
  <c r="T157" i="15"/>
  <c r="I157" i="15"/>
  <c r="M157" i="15"/>
  <c r="E157" i="15"/>
  <c r="D157" i="15"/>
  <c r="B88" i="15" l="1"/>
  <c r="A37" i="13" s="1"/>
  <c r="W86" i="15"/>
  <c r="C87" i="15"/>
  <c r="AF87" i="15" s="1"/>
  <c r="D86" i="15"/>
  <c r="M86" i="15" s="1"/>
  <c r="K86" i="15"/>
  <c r="AF86" i="15"/>
  <c r="L86" i="15"/>
  <c r="A70" i="14"/>
  <c r="H86" i="15"/>
  <c r="B35" i="13"/>
  <c r="B42" i="17"/>
  <c r="C41" i="17"/>
  <c r="A159" i="15"/>
  <c r="A206" i="15" s="1"/>
  <c r="A38" i="17"/>
  <c r="A86" i="15"/>
  <c r="E85" i="15"/>
  <c r="P158" i="15"/>
  <c r="Q158" i="15"/>
  <c r="I158" i="15"/>
  <c r="V158" i="15"/>
  <c r="L158" i="15"/>
  <c r="H158" i="15"/>
  <c r="U158" i="15"/>
  <c r="M158" i="15"/>
  <c r="T158" i="15"/>
  <c r="N158" i="15"/>
  <c r="R158" i="15"/>
  <c r="E158" i="15"/>
  <c r="D158" i="15"/>
  <c r="A71" i="14" l="1"/>
  <c r="C88" i="15"/>
  <c r="B89" i="15"/>
  <c r="A38" i="13" s="1"/>
  <c r="D87" i="15"/>
  <c r="W87" i="15"/>
  <c r="A119" i="14"/>
  <c r="K87" i="15"/>
  <c r="H87" i="15"/>
  <c r="B36" i="13"/>
  <c r="F35" i="13"/>
  <c r="C42" i="17"/>
  <c r="B43" i="17"/>
  <c r="A160" i="15"/>
  <c r="A207" i="15" s="1"/>
  <c r="A39" i="17"/>
  <c r="A87" i="15"/>
  <c r="E86" i="15"/>
  <c r="Q159" i="15"/>
  <c r="P159" i="15"/>
  <c r="U159" i="15"/>
  <c r="I159" i="15"/>
  <c r="N159" i="15"/>
  <c r="H159" i="15"/>
  <c r="T159" i="15"/>
  <c r="R159" i="15"/>
  <c r="V159" i="15"/>
  <c r="L159" i="15"/>
  <c r="M159" i="15"/>
  <c r="E159" i="15"/>
  <c r="D159" i="15"/>
  <c r="D88" i="15" l="1"/>
  <c r="M88" i="15" s="1"/>
  <c r="AF88" i="15"/>
  <c r="A120" i="14"/>
  <c r="B90" i="15"/>
  <c r="B91" i="15" s="1"/>
  <c r="A40" i="13" s="1"/>
  <c r="H88" i="15"/>
  <c r="W88" i="15"/>
  <c r="A72" i="14"/>
  <c r="L88" i="15"/>
  <c r="C89" i="15"/>
  <c r="D89" i="15" s="1"/>
  <c r="M89" i="15" s="1"/>
  <c r="K88" i="15"/>
  <c r="B37" i="13"/>
  <c r="F36" i="13"/>
  <c r="C43" i="17"/>
  <c r="B44" i="17"/>
  <c r="A40" i="17"/>
  <c r="A161" i="15"/>
  <c r="A208" i="15" s="1"/>
  <c r="A88" i="15"/>
  <c r="E87" i="15"/>
  <c r="P160" i="15"/>
  <c r="L160" i="15"/>
  <c r="M160" i="15"/>
  <c r="N160" i="15"/>
  <c r="U160" i="15"/>
  <c r="V160" i="15"/>
  <c r="Q160" i="15"/>
  <c r="T160" i="15"/>
  <c r="I160" i="15"/>
  <c r="R160" i="15"/>
  <c r="H160" i="15"/>
  <c r="D160" i="15"/>
  <c r="E160" i="15"/>
  <c r="A39" i="13" l="1"/>
  <c r="W89" i="15"/>
  <c r="A121" i="14"/>
  <c r="K89" i="15"/>
  <c r="C90" i="15"/>
  <c r="L90" i="15" s="1"/>
  <c r="H89" i="15"/>
  <c r="A73" i="14"/>
  <c r="AF89" i="15"/>
  <c r="B92" i="15"/>
  <c r="B93" i="15" s="1"/>
  <c r="A42" i="13" s="1"/>
  <c r="L89" i="15"/>
  <c r="B38" i="13"/>
  <c r="F37" i="13"/>
  <c r="C44" i="17"/>
  <c r="B45" i="17"/>
  <c r="A162" i="15"/>
  <c r="A209" i="15" s="1"/>
  <c r="A41" i="17"/>
  <c r="A89" i="15"/>
  <c r="E88" i="15"/>
  <c r="Q161" i="15"/>
  <c r="L161" i="15"/>
  <c r="H161" i="15"/>
  <c r="R161" i="15"/>
  <c r="N161" i="15"/>
  <c r="I161" i="15"/>
  <c r="U161" i="15"/>
  <c r="T161" i="15"/>
  <c r="M161" i="15"/>
  <c r="P161" i="15"/>
  <c r="V161" i="15"/>
  <c r="D161" i="15"/>
  <c r="E161" i="15"/>
  <c r="K90" i="15" l="1"/>
  <c r="A122" i="14"/>
  <c r="A74" i="14"/>
  <c r="W90" i="15"/>
  <c r="H90" i="15"/>
  <c r="D90" i="15"/>
  <c r="M90" i="15" s="1"/>
  <c r="A41" i="13"/>
  <c r="C91" i="15"/>
  <c r="D91" i="15" s="1"/>
  <c r="M91" i="15" s="1"/>
  <c r="AF90" i="15"/>
  <c r="B94" i="15"/>
  <c r="B95" i="15" s="1"/>
  <c r="A44" i="13" s="1"/>
  <c r="B39" i="13"/>
  <c r="F38" i="13"/>
  <c r="C45" i="17"/>
  <c r="B46" i="17"/>
  <c r="A163" i="15"/>
  <c r="A210" i="15" s="1"/>
  <c r="A42" i="17"/>
  <c r="A90" i="15"/>
  <c r="E89" i="15"/>
  <c r="P162" i="15"/>
  <c r="Q162" i="15"/>
  <c r="T162" i="15"/>
  <c r="M162" i="15"/>
  <c r="H162" i="15"/>
  <c r="R162" i="15"/>
  <c r="N162" i="15"/>
  <c r="I162" i="15"/>
  <c r="U162" i="15"/>
  <c r="V162" i="15"/>
  <c r="L162" i="15"/>
  <c r="E162" i="15"/>
  <c r="D162" i="15"/>
  <c r="A75" i="14" l="1"/>
  <c r="K91" i="15"/>
  <c r="AF91" i="15"/>
  <c r="A123" i="14"/>
  <c r="C92" i="15"/>
  <c r="L91" i="15"/>
  <c r="W91" i="15"/>
  <c r="H91" i="15"/>
  <c r="A43" i="13"/>
  <c r="B96" i="15"/>
  <c r="A45" i="13" s="1"/>
  <c r="B40" i="13"/>
  <c r="F39" i="13"/>
  <c r="C46" i="17"/>
  <c r="B47" i="17"/>
  <c r="A164" i="15"/>
  <c r="A211" i="15" s="1"/>
  <c r="A43" i="17"/>
  <c r="A91" i="15"/>
  <c r="E90" i="15"/>
  <c r="Q163" i="15"/>
  <c r="T163" i="15"/>
  <c r="R163" i="15"/>
  <c r="V163" i="15"/>
  <c r="N163" i="15"/>
  <c r="P163" i="15"/>
  <c r="U163" i="15"/>
  <c r="H163" i="15"/>
  <c r="I163" i="15"/>
  <c r="M163" i="15"/>
  <c r="L163" i="15"/>
  <c r="E163" i="15"/>
  <c r="D163" i="15"/>
  <c r="A124" i="14" l="1"/>
  <c r="D92" i="15"/>
  <c r="M92" i="15" s="1"/>
  <c r="A76" i="14"/>
  <c r="W92" i="15"/>
  <c r="L92" i="15"/>
  <c r="K92" i="15"/>
  <c r="AF92" i="15"/>
  <c r="C93" i="15"/>
  <c r="H92" i="15"/>
  <c r="B97" i="15"/>
  <c r="B41" i="13"/>
  <c r="F40" i="13"/>
  <c r="C47" i="17"/>
  <c r="B48" i="17"/>
  <c r="P164" i="15"/>
  <c r="Q164" i="15"/>
  <c r="R164" i="15"/>
  <c r="N164" i="15"/>
  <c r="L164" i="15"/>
  <c r="T164" i="15"/>
  <c r="H164" i="15"/>
  <c r="U164" i="15"/>
  <c r="V164" i="15"/>
  <c r="M164" i="15"/>
  <c r="I164" i="15"/>
  <c r="A44" i="17"/>
  <c r="A165" i="15"/>
  <c r="A212" i="15" s="1"/>
  <c r="A92" i="15"/>
  <c r="E91" i="15"/>
  <c r="E164" i="15"/>
  <c r="D164" i="15"/>
  <c r="A77" i="14" l="1"/>
  <c r="W93" i="15"/>
  <c r="K93" i="15"/>
  <c r="L93" i="15"/>
  <c r="A125" i="14"/>
  <c r="AF93" i="15"/>
  <c r="D93" i="15"/>
  <c r="M93" i="15" s="1"/>
  <c r="C94" i="15"/>
  <c r="H93" i="15"/>
  <c r="B98" i="15"/>
  <c r="B99" i="15" s="1"/>
  <c r="A46" i="13"/>
  <c r="B42" i="13"/>
  <c r="F41" i="13"/>
  <c r="C48" i="17"/>
  <c r="B49" i="17"/>
  <c r="A45" i="17"/>
  <c r="A166" i="15"/>
  <c r="A213" i="15" s="1"/>
  <c r="A93" i="15"/>
  <c r="E92" i="15"/>
  <c r="P165" i="15"/>
  <c r="Q165" i="15"/>
  <c r="I165" i="15"/>
  <c r="M165" i="15"/>
  <c r="H165" i="15"/>
  <c r="L165" i="15"/>
  <c r="N165" i="15"/>
  <c r="R165" i="15"/>
  <c r="U165" i="15"/>
  <c r="V165" i="15"/>
  <c r="T165" i="15"/>
  <c r="E165" i="15"/>
  <c r="D165" i="15"/>
  <c r="D94" i="15" l="1"/>
  <c r="M94" i="15" s="1"/>
  <c r="K94" i="15"/>
  <c r="AF94" i="15"/>
  <c r="W94" i="15"/>
  <c r="L94" i="15"/>
  <c r="H94" i="15"/>
  <c r="A126" i="14"/>
  <c r="C95" i="15"/>
  <c r="A78" i="14"/>
  <c r="A48" i="13"/>
  <c r="A47" i="13"/>
  <c r="B100" i="15"/>
  <c r="A49" i="13" s="1"/>
  <c r="F42" i="13"/>
  <c r="B43" i="13"/>
  <c r="C49" i="17"/>
  <c r="B50" i="17"/>
  <c r="A46" i="17"/>
  <c r="A167" i="15"/>
  <c r="A214" i="15" s="1"/>
  <c r="A94" i="15"/>
  <c r="E93" i="15"/>
  <c r="P166" i="15"/>
  <c r="R166" i="15"/>
  <c r="V166" i="15"/>
  <c r="Q166" i="15"/>
  <c r="I166" i="15"/>
  <c r="L166" i="15"/>
  <c r="T166" i="15"/>
  <c r="H166" i="15"/>
  <c r="M166" i="15"/>
  <c r="U166" i="15"/>
  <c r="N166" i="15"/>
  <c r="D166" i="15"/>
  <c r="E166" i="15"/>
  <c r="W95" i="15" l="1"/>
  <c r="L95" i="15"/>
  <c r="H95" i="15"/>
  <c r="C96" i="15"/>
  <c r="A127" i="14"/>
  <c r="K95" i="15"/>
  <c r="A79" i="14"/>
  <c r="AF95" i="15"/>
  <c r="D95" i="15"/>
  <c r="M95" i="15" s="1"/>
  <c r="B101" i="15"/>
  <c r="A50" i="13" s="1"/>
  <c r="B44" i="13"/>
  <c r="F43" i="13"/>
  <c r="B51" i="17"/>
  <c r="C50" i="17"/>
  <c r="A168" i="15"/>
  <c r="A215" i="15" s="1"/>
  <c r="A47" i="17"/>
  <c r="A95" i="15"/>
  <c r="E94" i="15"/>
  <c r="Q167" i="15"/>
  <c r="P167" i="15"/>
  <c r="M167" i="15"/>
  <c r="U167" i="15"/>
  <c r="I167" i="15"/>
  <c r="V167" i="15"/>
  <c r="T167" i="15"/>
  <c r="R167" i="15"/>
  <c r="L167" i="15"/>
  <c r="N167" i="15"/>
  <c r="H167" i="15"/>
  <c r="D167" i="15"/>
  <c r="E167" i="15"/>
  <c r="A128" i="14" l="1"/>
  <c r="W96" i="15"/>
  <c r="L96" i="15"/>
  <c r="K96" i="15"/>
  <c r="A80" i="14"/>
  <c r="D96" i="15"/>
  <c r="M96" i="15" s="1"/>
  <c r="C97" i="15"/>
  <c r="AF96" i="15"/>
  <c r="H96" i="15"/>
  <c r="B102" i="15"/>
  <c r="B45" i="13"/>
  <c r="F44" i="13"/>
  <c r="B52" i="17"/>
  <c r="C51" i="17"/>
  <c r="A169" i="15"/>
  <c r="A216" i="15" s="1"/>
  <c r="A48" i="17"/>
  <c r="A96" i="15"/>
  <c r="E95" i="15"/>
  <c r="P168" i="15"/>
  <c r="Q168" i="15"/>
  <c r="I168" i="15"/>
  <c r="V168" i="15"/>
  <c r="N168" i="15"/>
  <c r="M168" i="15"/>
  <c r="T168" i="15"/>
  <c r="L168" i="15"/>
  <c r="H168" i="15"/>
  <c r="U168" i="15"/>
  <c r="R168" i="15"/>
  <c r="E168" i="15"/>
  <c r="D168" i="15"/>
  <c r="A81" i="14" l="1"/>
  <c r="K97" i="15"/>
  <c r="H97" i="15"/>
  <c r="W97" i="15"/>
  <c r="AF97" i="15"/>
  <c r="A129" i="14"/>
  <c r="D97" i="15"/>
  <c r="M97" i="15" s="1"/>
  <c r="L97" i="15"/>
  <c r="C98" i="15"/>
  <c r="A51" i="13"/>
  <c r="B103" i="15"/>
  <c r="B46" i="13"/>
  <c r="F45" i="13"/>
  <c r="B53" i="17"/>
  <c r="C52" i="17"/>
  <c r="A49" i="17"/>
  <c r="A170" i="15"/>
  <c r="A217" i="15" s="1"/>
  <c r="A97" i="15"/>
  <c r="E96" i="15"/>
  <c r="P169" i="15"/>
  <c r="M169" i="15"/>
  <c r="L169" i="15"/>
  <c r="Q169" i="15"/>
  <c r="N169" i="15"/>
  <c r="I169" i="15"/>
  <c r="V169" i="15"/>
  <c r="H169" i="15"/>
  <c r="R169" i="15"/>
  <c r="T169" i="15"/>
  <c r="U169" i="15"/>
  <c r="E169" i="15"/>
  <c r="D169" i="15"/>
  <c r="D98" i="15" l="1"/>
  <c r="M98" i="15" s="1"/>
  <c r="A82" i="14"/>
  <c r="A130" i="14"/>
  <c r="AF98" i="15"/>
  <c r="K98" i="15"/>
  <c r="H98" i="15"/>
  <c r="W98" i="15"/>
  <c r="L98" i="15"/>
  <c r="C99" i="15"/>
  <c r="A52" i="13"/>
  <c r="B104" i="15"/>
  <c r="B47" i="13"/>
  <c r="F46" i="13"/>
  <c r="C53" i="17"/>
  <c r="B54" i="17"/>
  <c r="A171" i="15"/>
  <c r="A218" i="15" s="1"/>
  <c r="A50" i="17"/>
  <c r="A98" i="15"/>
  <c r="E97" i="15"/>
  <c r="P170" i="15"/>
  <c r="Q170" i="15"/>
  <c r="L170" i="15"/>
  <c r="N170" i="15"/>
  <c r="R170" i="15"/>
  <c r="I170" i="15"/>
  <c r="T170" i="15"/>
  <c r="V170" i="15"/>
  <c r="U170" i="15"/>
  <c r="M170" i="15"/>
  <c r="H170" i="15"/>
  <c r="E170" i="15"/>
  <c r="D170" i="15"/>
  <c r="K99" i="15" l="1"/>
  <c r="A83" i="14"/>
  <c r="A131" i="14"/>
  <c r="H99" i="15"/>
  <c r="W99" i="15"/>
  <c r="C100" i="15"/>
  <c r="D99" i="15"/>
  <c r="M99" i="15" s="1"/>
  <c r="L99" i="15"/>
  <c r="AF99" i="15"/>
  <c r="A53" i="13"/>
  <c r="B105" i="15"/>
  <c r="B48" i="13"/>
  <c r="F47" i="13"/>
  <c r="C54" i="17"/>
  <c r="B55" i="17"/>
  <c r="A51" i="17"/>
  <c r="A172" i="15"/>
  <c r="A219" i="15" s="1"/>
  <c r="A99" i="15"/>
  <c r="E98" i="15"/>
  <c r="Q171" i="15"/>
  <c r="P171" i="15"/>
  <c r="L171" i="15"/>
  <c r="H171" i="15"/>
  <c r="V171" i="15"/>
  <c r="T171" i="15"/>
  <c r="M171" i="15"/>
  <c r="U171" i="15"/>
  <c r="I171" i="15"/>
  <c r="N171" i="15"/>
  <c r="R171" i="15"/>
  <c r="E171" i="15"/>
  <c r="D171" i="15"/>
  <c r="K100" i="15" l="1"/>
  <c r="A84" i="14"/>
  <c r="D100" i="15"/>
  <c r="M100" i="15" s="1"/>
  <c r="AF100" i="15"/>
  <c r="C101" i="15"/>
  <c r="H100" i="15"/>
  <c r="L100" i="15"/>
  <c r="A132" i="14"/>
  <c r="W100" i="15"/>
  <c r="A54" i="13"/>
  <c r="B106" i="15"/>
  <c r="B49" i="13"/>
  <c r="F48" i="13"/>
  <c r="B56" i="17"/>
  <c r="C55" i="17"/>
  <c r="A52" i="17"/>
  <c r="A173" i="15"/>
  <c r="A220" i="15" s="1"/>
  <c r="A100" i="15"/>
  <c r="E99" i="15"/>
  <c r="P172" i="15"/>
  <c r="L172" i="15"/>
  <c r="V172" i="15"/>
  <c r="U172" i="15"/>
  <c r="M172" i="15"/>
  <c r="N172" i="15"/>
  <c r="Q172" i="15"/>
  <c r="I172" i="15"/>
  <c r="H172" i="15"/>
  <c r="T172" i="15"/>
  <c r="R172" i="15"/>
  <c r="D172" i="15"/>
  <c r="E172" i="15"/>
  <c r="D101" i="15" l="1"/>
  <c r="M101" i="15" s="1"/>
  <c r="A133" i="14"/>
  <c r="W101" i="15"/>
  <c r="AF101" i="15"/>
  <c r="A85" i="14"/>
  <c r="K101" i="15"/>
  <c r="L101" i="15"/>
  <c r="C102" i="15"/>
  <c r="H101" i="15"/>
  <c r="A55" i="13"/>
  <c r="B107" i="15"/>
  <c r="B50" i="13"/>
  <c r="F49" i="13"/>
  <c r="C56" i="17"/>
  <c r="B57" i="17"/>
  <c r="A53" i="17"/>
  <c r="A174" i="15"/>
  <c r="A221" i="15" s="1"/>
  <c r="A101" i="15"/>
  <c r="E100" i="15"/>
  <c r="P173" i="15"/>
  <c r="Q173" i="15"/>
  <c r="V173" i="15"/>
  <c r="U173" i="15"/>
  <c r="M173" i="15"/>
  <c r="I173" i="15"/>
  <c r="L173" i="15"/>
  <c r="N173" i="15"/>
  <c r="H173" i="15"/>
  <c r="R173" i="15"/>
  <c r="T173" i="15"/>
  <c r="E173" i="15"/>
  <c r="D173" i="15"/>
  <c r="A86" i="14" l="1"/>
  <c r="D102" i="15"/>
  <c r="H102" i="15"/>
  <c r="A134" i="14"/>
  <c r="C103" i="15"/>
  <c r="AF102" i="15"/>
  <c r="K102" i="15"/>
  <c r="W102" i="15"/>
  <c r="A56" i="13"/>
  <c r="B108" i="15"/>
  <c r="B51" i="13"/>
  <c r="F50" i="13"/>
  <c r="C57" i="17"/>
  <c r="A175" i="15"/>
  <c r="A222" i="15" s="1"/>
  <c r="A54" i="17"/>
  <c r="A102" i="15"/>
  <c r="E101" i="15"/>
  <c r="P174" i="15"/>
  <c r="Q174" i="15"/>
  <c r="N174" i="15"/>
  <c r="T174" i="15"/>
  <c r="U174" i="15"/>
  <c r="I174" i="15"/>
  <c r="L174" i="15"/>
  <c r="H174" i="15"/>
  <c r="R174" i="15"/>
  <c r="V174" i="15"/>
  <c r="M174" i="15"/>
  <c r="E174" i="15"/>
  <c r="D174" i="15"/>
  <c r="W103" i="15" l="1"/>
  <c r="C104" i="15"/>
  <c r="L103" i="15"/>
  <c r="H103" i="15"/>
  <c r="K103" i="15"/>
  <c r="A135" i="14"/>
  <c r="A87" i="14"/>
  <c r="D103" i="15"/>
  <c r="M103" i="15" s="1"/>
  <c r="AF103" i="15"/>
  <c r="A57" i="13"/>
  <c r="S108" i="15"/>
  <c r="B109" i="15"/>
  <c r="B52" i="13"/>
  <c r="F51" i="13"/>
  <c r="A176" i="15"/>
  <c r="A223" i="15" s="1"/>
  <c r="A55" i="17"/>
  <c r="A103" i="15"/>
  <c r="E102" i="15"/>
  <c r="Q175" i="15"/>
  <c r="N175" i="15"/>
  <c r="H175" i="15"/>
  <c r="L175" i="15"/>
  <c r="P175" i="15"/>
  <c r="R175" i="15"/>
  <c r="I175" i="15"/>
  <c r="U175" i="15"/>
  <c r="V175" i="15"/>
  <c r="T175" i="15"/>
  <c r="M175" i="15"/>
  <c r="E175" i="15"/>
  <c r="D175" i="15"/>
  <c r="A136" i="14" l="1"/>
  <c r="L104" i="15"/>
  <c r="K104" i="15"/>
  <c r="AF104" i="15"/>
  <c r="H104" i="15"/>
  <c r="D104" i="15"/>
  <c r="M104" i="15" s="1"/>
  <c r="C105" i="15"/>
  <c r="A88" i="14"/>
  <c r="W104" i="15"/>
  <c r="B110" i="15"/>
  <c r="S109" i="15"/>
  <c r="B53" i="13"/>
  <c r="F52" i="13"/>
  <c r="L102" i="15"/>
  <c r="M102" i="15"/>
  <c r="P176" i="15"/>
  <c r="Q176" i="15"/>
  <c r="T176" i="15"/>
  <c r="H176" i="15"/>
  <c r="L176" i="15"/>
  <c r="I176" i="15"/>
  <c r="V176" i="15"/>
  <c r="N176" i="15"/>
  <c r="R176" i="15"/>
  <c r="U176" i="15"/>
  <c r="M176" i="15"/>
  <c r="A56" i="17"/>
  <c r="A177" i="15"/>
  <c r="A224" i="15" s="1"/>
  <c r="A104" i="15"/>
  <c r="E103" i="15"/>
  <c r="D176" i="15"/>
  <c r="E176" i="15"/>
  <c r="A137" i="14" l="1"/>
  <c r="A89" i="14"/>
  <c r="K105" i="15"/>
  <c r="W105" i="15"/>
  <c r="H105" i="15"/>
  <c r="AF105" i="15"/>
  <c r="D105" i="15"/>
  <c r="C106" i="15"/>
  <c r="B111" i="15"/>
  <c r="S110" i="15"/>
  <c r="B54" i="13"/>
  <c r="F53" i="13"/>
  <c r="C109" i="15"/>
  <c r="Q109" i="15" s="1"/>
  <c r="P177" i="15"/>
  <c r="Q177" i="15"/>
  <c r="V177" i="15"/>
  <c r="L177" i="15"/>
  <c r="U177" i="15"/>
  <c r="N177" i="15"/>
  <c r="R177" i="15"/>
  <c r="T177" i="15"/>
  <c r="M177" i="15"/>
  <c r="I177" i="15"/>
  <c r="H177" i="15"/>
  <c r="A178" i="15"/>
  <c r="A225" i="15" s="1"/>
  <c r="A57" i="17"/>
  <c r="A105" i="15"/>
  <c r="E104" i="15"/>
  <c r="E177" i="15"/>
  <c r="D177" i="15"/>
  <c r="H106" i="15" l="1"/>
  <c r="W106" i="15"/>
  <c r="A138" i="14"/>
  <c r="C107" i="15"/>
  <c r="D106" i="15"/>
  <c r="M106" i="15" s="1"/>
  <c r="A90" i="14"/>
  <c r="AF106" i="15"/>
  <c r="K106" i="15"/>
  <c r="L106" i="15"/>
  <c r="S111" i="15"/>
  <c r="B112" i="15"/>
  <c r="B55" i="13"/>
  <c r="Z109" i="15"/>
  <c r="W109" i="15"/>
  <c r="K109" i="15"/>
  <c r="A143" i="14"/>
  <c r="L109" i="15"/>
  <c r="AF109" i="15"/>
  <c r="C110" i="15"/>
  <c r="Q110" i="15" s="1"/>
  <c r="AE109" i="15"/>
  <c r="H109" i="15"/>
  <c r="D109" i="15"/>
  <c r="M109" i="15" s="1"/>
  <c r="P178" i="15"/>
  <c r="Q178" i="15"/>
  <c r="N178" i="15"/>
  <c r="R178" i="15"/>
  <c r="U178" i="15"/>
  <c r="I178" i="15"/>
  <c r="M178" i="15"/>
  <c r="V178" i="15"/>
  <c r="L178" i="15"/>
  <c r="H178" i="15"/>
  <c r="T178" i="15"/>
  <c r="A179" i="15"/>
  <c r="A226" i="15" s="1"/>
  <c r="A106" i="15"/>
  <c r="E105" i="15"/>
  <c r="D178" i="15"/>
  <c r="E178" i="15"/>
  <c r="C108" i="15" l="1"/>
  <c r="D107" i="15"/>
  <c r="H107" i="15"/>
  <c r="K107" i="15"/>
  <c r="A91" i="14"/>
  <c r="AF107" i="15"/>
  <c r="W107" i="15"/>
  <c r="A139" i="14"/>
  <c r="S112" i="15"/>
  <c r="B113" i="15"/>
  <c r="S113" i="15" s="1"/>
  <c r="B56" i="13"/>
  <c r="B57" i="13" s="1"/>
  <c r="F55" i="13"/>
  <c r="AF110" i="15"/>
  <c r="K110" i="15"/>
  <c r="D110" i="15"/>
  <c r="M110" i="15" s="1"/>
  <c r="H110" i="15"/>
  <c r="W110" i="15"/>
  <c r="C111" i="15"/>
  <c r="Q111" i="15" s="1"/>
  <c r="Z110" i="15"/>
  <c r="AE110" i="15"/>
  <c r="L110" i="15"/>
  <c r="A180" i="15"/>
  <c r="A227" i="15" s="1"/>
  <c r="A107" i="15"/>
  <c r="A108" i="15" s="1"/>
  <c r="E106" i="15"/>
  <c r="Q179" i="15"/>
  <c r="P179" i="15"/>
  <c r="I179" i="15"/>
  <c r="N179" i="15"/>
  <c r="R179" i="15"/>
  <c r="H179" i="15"/>
  <c r="M179" i="15"/>
  <c r="L179" i="15"/>
  <c r="U179" i="15"/>
  <c r="T179" i="15"/>
  <c r="V179" i="15"/>
  <c r="D179" i="15"/>
  <c r="E179" i="15"/>
  <c r="D108" i="15" l="1"/>
  <c r="M108" i="15" s="1"/>
  <c r="Q108" i="15"/>
  <c r="W108" i="15"/>
  <c r="Z108" i="15"/>
  <c r="L108" i="15"/>
  <c r="AE108" i="15"/>
  <c r="A140" i="14"/>
  <c r="H108" i="15"/>
  <c r="A92" i="14"/>
  <c r="AF108" i="15"/>
  <c r="K108" i="15"/>
  <c r="F57" i="13"/>
  <c r="C57" i="13"/>
  <c r="E57" i="13"/>
  <c r="G57" i="13"/>
  <c r="W111" i="15"/>
  <c r="D111" i="15"/>
  <c r="M111" i="15" s="1"/>
  <c r="K111" i="15"/>
  <c r="C112" i="15"/>
  <c r="Q112" i="15" s="1"/>
  <c r="L111" i="15"/>
  <c r="Z111" i="15"/>
  <c r="AE111" i="15"/>
  <c r="H111" i="15"/>
  <c r="AF111" i="15"/>
  <c r="A182" i="15"/>
  <c r="A109" i="15"/>
  <c r="E108" i="15"/>
  <c r="P180" i="15"/>
  <c r="I180" i="15"/>
  <c r="Q180" i="15"/>
  <c r="R180" i="15"/>
  <c r="H180" i="15"/>
  <c r="M180" i="15"/>
  <c r="L180" i="15"/>
  <c r="V180" i="15"/>
  <c r="N180" i="15"/>
  <c r="T180" i="15"/>
  <c r="U180" i="15"/>
  <c r="A181" i="15"/>
  <c r="A228" i="15" s="1"/>
  <c r="E107" i="15"/>
  <c r="D180" i="15"/>
  <c r="E180" i="15"/>
  <c r="D57" i="13" l="1"/>
  <c r="I108" i="15"/>
  <c r="P108" i="15"/>
  <c r="N108" i="15"/>
  <c r="A110" i="15"/>
  <c r="E109" i="15"/>
  <c r="A229" i="15"/>
  <c r="T182" i="15"/>
  <c r="C182" i="15"/>
  <c r="C229" i="15" s="1"/>
  <c r="K182" i="15"/>
  <c r="D182" i="15"/>
  <c r="D229" i="15" s="1"/>
  <c r="H182" i="15"/>
  <c r="H229" i="15" s="1"/>
  <c r="E182" i="15"/>
  <c r="E229" i="15" s="1"/>
  <c r="L182" i="15"/>
  <c r="L229" i="15" s="1"/>
  <c r="P182" i="15"/>
  <c r="I182" i="15"/>
  <c r="I229" i="15" s="1"/>
  <c r="R182" i="15"/>
  <c r="Q182" i="15"/>
  <c r="N182" i="15"/>
  <c r="N229" i="15" s="1"/>
  <c r="U182" i="15"/>
  <c r="V182" i="15"/>
  <c r="M182" i="15"/>
  <c r="M229" i="15" s="1"/>
  <c r="G182" i="15"/>
  <c r="G229" i="15" s="1"/>
  <c r="C113" i="15"/>
  <c r="Q113" i="15" s="1"/>
  <c r="H112" i="15"/>
  <c r="AE112" i="15"/>
  <c r="K112" i="15"/>
  <c r="D112" i="15"/>
  <c r="M112" i="15" s="1"/>
  <c r="L112" i="15"/>
  <c r="AF112" i="15"/>
  <c r="Z112" i="15"/>
  <c r="W112" i="15"/>
  <c r="P181" i="15"/>
  <c r="T181" i="15"/>
  <c r="V181" i="15"/>
  <c r="R181" i="15"/>
  <c r="M181" i="15"/>
  <c r="Q181" i="15"/>
  <c r="L181" i="15"/>
  <c r="I181" i="15"/>
  <c r="U181" i="15"/>
  <c r="N181" i="15"/>
  <c r="H181" i="15"/>
  <c r="E181" i="15"/>
  <c r="D181" i="15"/>
  <c r="B182" i="15"/>
  <c r="J182" i="15"/>
  <c r="F182" i="15"/>
  <c r="F229" i="15" l="1"/>
  <c r="R108" i="15"/>
  <c r="J229" i="15"/>
  <c r="O108" i="15"/>
  <c r="B229" i="15"/>
  <c r="I109" i="15"/>
  <c r="N109" i="15"/>
  <c r="R109" i="15"/>
  <c r="P109" i="15"/>
  <c r="O109" i="15"/>
  <c r="A111" i="15"/>
  <c r="E110" i="15"/>
  <c r="Z113" i="15"/>
  <c r="L113" i="15"/>
  <c r="W113" i="15"/>
  <c r="W114" i="15" s="1"/>
  <c r="K113" i="15"/>
  <c r="AF113" i="15"/>
  <c r="AE113" i="15"/>
  <c r="H113" i="15"/>
  <c r="D113" i="15"/>
  <c r="M113" i="15" s="1"/>
  <c r="K229" i="15"/>
  <c r="AA108" i="15"/>
  <c r="B92" i="14"/>
  <c r="AC108" i="15"/>
  <c r="J108" i="15" l="1"/>
  <c r="O110" i="15"/>
  <c r="I110" i="15"/>
  <c r="N110" i="15"/>
  <c r="P110" i="15"/>
  <c r="R110" i="15"/>
  <c r="J109" i="15"/>
  <c r="A112" i="15"/>
  <c r="E111" i="15"/>
  <c r="AC109" i="15"/>
  <c r="AA109" i="15"/>
  <c r="E92" i="14"/>
  <c r="V92" i="14"/>
  <c r="C92" i="14"/>
  <c r="W92" i="14"/>
  <c r="B165" i="14" s="1"/>
  <c r="G92" i="14"/>
  <c r="K92" i="14"/>
  <c r="P92" i="14"/>
  <c r="U92" i="14"/>
  <c r="F92" i="14"/>
  <c r="M92" i="14"/>
  <c r="N92" i="14"/>
  <c r="S92" i="14"/>
  <c r="H92" i="14"/>
  <c r="L92" i="14"/>
  <c r="Q92" i="14"/>
  <c r="R92" i="14"/>
  <c r="T92" i="14"/>
  <c r="O92" i="14"/>
  <c r="J92" i="14"/>
  <c r="I92" i="14"/>
  <c r="D92" i="14"/>
  <c r="X92" i="14" l="1"/>
  <c r="A113" i="15"/>
  <c r="E113" i="15" s="1"/>
  <c r="E112" i="15"/>
  <c r="J110" i="15"/>
  <c r="AA110" i="15"/>
  <c r="AC110" i="15"/>
  <c r="U108" i="15"/>
  <c r="U109" i="15"/>
  <c r="U110" i="15"/>
  <c r="U111" i="15"/>
  <c r="U112" i="15"/>
  <c r="U113" i="15"/>
  <c r="R111" i="15"/>
  <c r="I111" i="15"/>
  <c r="P111" i="15"/>
  <c r="O111" i="15"/>
  <c r="N111" i="15"/>
  <c r="AC111" i="15" l="1"/>
  <c r="AA111" i="15"/>
  <c r="P112" i="15"/>
  <c r="I112" i="15"/>
  <c r="N112" i="15"/>
  <c r="R112" i="15"/>
  <c r="O112" i="15"/>
  <c r="P113" i="15"/>
  <c r="R113" i="15"/>
  <c r="N113" i="15"/>
  <c r="O113" i="15"/>
  <c r="I113" i="15"/>
  <c r="J111" i="15"/>
  <c r="AA113" i="15" l="1"/>
  <c r="AC113" i="15"/>
  <c r="J112" i="15"/>
  <c r="J113" i="15"/>
  <c r="AC112" i="15"/>
  <c r="AA112" i="15"/>
  <c r="F108" i="15" l="1"/>
  <c r="T108" i="15" s="1"/>
  <c r="F109" i="15"/>
  <c r="T109" i="15" s="1"/>
  <c r="F110" i="15"/>
  <c r="T110" i="15" s="1"/>
  <c r="F111" i="15"/>
  <c r="T111" i="15" s="1"/>
  <c r="F112" i="15"/>
  <c r="T112" i="15" s="1"/>
  <c r="F113" i="15"/>
  <c r="T113" i="15" s="1"/>
  <c r="V113" i="15" l="1"/>
  <c r="X113" i="15" s="1"/>
  <c r="Y113" i="15"/>
  <c r="Y112" i="15"/>
  <c r="V112" i="15"/>
  <c r="X112" i="15" s="1"/>
  <c r="Y111" i="15"/>
  <c r="V111" i="15"/>
  <c r="X111" i="15" s="1"/>
  <c r="V110" i="15"/>
  <c r="X110" i="15" s="1"/>
  <c r="Y110" i="15"/>
  <c r="Y109" i="15"/>
  <c r="V109" i="15"/>
  <c r="X109" i="15" s="1"/>
  <c r="V108" i="15"/>
  <c r="X108" i="15" s="1"/>
  <c r="Y108" i="15"/>
  <c r="AB108" i="15" l="1"/>
  <c r="AB109" i="15"/>
  <c r="AB110" i="15"/>
  <c r="AB111" i="15"/>
  <c r="AB112" i="15"/>
  <c r="AB113" i="15"/>
  <c r="E233" i="15"/>
  <c r="I35" i="34" s="1"/>
  <c r="D233" i="15"/>
  <c r="I34" i="34" s="1"/>
  <c r="L87" i="15"/>
  <c r="M87" i="15"/>
  <c r="I48" i="119"/>
  <c r="H48" i="119"/>
  <c r="G48" i="119"/>
  <c r="E48" i="119"/>
  <c r="C52" i="6" s="1"/>
  <c r="D48" i="119"/>
  <c r="C26" i="6" s="1"/>
  <c r="C48" i="119"/>
  <c r="C25" i="6" s="1"/>
  <c r="F48" i="119"/>
  <c r="C58" i="35" l="1"/>
  <c r="B22" i="15"/>
  <c r="C3" i="119"/>
  <c r="C199" i="119" s="1"/>
  <c r="B180" i="15"/>
  <c r="B181" i="15"/>
  <c r="B166" i="15"/>
  <c r="B173" i="15"/>
  <c r="B161" i="15"/>
  <c r="B165" i="15"/>
  <c r="B178" i="15"/>
  <c r="B172" i="15"/>
  <c r="B167" i="15"/>
  <c r="B169" i="15"/>
  <c r="B164" i="15"/>
  <c r="B168" i="15"/>
  <c r="B162" i="15"/>
  <c r="B163" i="15"/>
  <c r="B176" i="15"/>
  <c r="B179" i="15"/>
  <c r="B159" i="15"/>
  <c r="B156" i="15"/>
  <c r="B150" i="15"/>
  <c r="B153" i="15"/>
  <c r="B146" i="15"/>
  <c r="B143" i="15"/>
  <c r="B142" i="15"/>
  <c r="B139" i="15"/>
  <c r="B144" i="15"/>
  <c r="B147" i="15"/>
  <c r="B141" i="15"/>
  <c r="B149" i="15"/>
  <c r="B151" i="15"/>
  <c r="C60" i="35" l="1"/>
  <c r="C61" i="35"/>
  <c r="X59" i="15"/>
  <c r="AF116" i="15" s="1"/>
  <c r="AB55" i="15" s="1"/>
  <c r="AB57" i="15" s="1"/>
  <c r="E22" i="15"/>
  <c r="F36" i="14"/>
  <c r="D36" i="14"/>
  <c r="G36" i="14"/>
  <c r="C36" i="14"/>
  <c r="E36" i="14"/>
  <c r="B26" i="15"/>
  <c r="B27" i="15" s="1"/>
  <c r="E23" i="15" s="1"/>
  <c r="C5" i="119"/>
  <c r="E199" i="119" s="1"/>
  <c r="H36" i="14"/>
  <c r="F38" i="34"/>
  <c r="F37" i="34"/>
  <c r="B136" i="15"/>
  <c r="F32" i="34"/>
  <c r="C32" i="34" s="1"/>
  <c r="C197" i="119"/>
  <c r="C202" i="119" s="1"/>
  <c r="D202" i="119" s="1"/>
  <c r="C78" i="119"/>
  <c r="D78" i="119" s="1"/>
  <c r="H3" i="119"/>
  <c r="I3" i="119"/>
  <c r="C79" i="119" s="1"/>
  <c r="D79" i="119" s="1"/>
  <c r="G177" i="15"/>
  <c r="G167" i="15"/>
  <c r="G164" i="15"/>
  <c r="G170" i="15"/>
  <c r="G153" i="15"/>
  <c r="G178" i="15"/>
  <c r="G166" i="15"/>
  <c r="G145" i="15"/>
  <c r="G172" i="15"/>
  <c r="G165" i="15"/>
  <c r="G180" i="15"/>
  <c r="G149" i="15"/>
  <c r="G179" i="15"/>
  <c r="G157" i="15"/>
  <c r="G174" i="15"/>
  <c r="G162" i="15"/>
  <c r="G159" i="15"/>
  <c r="G176" i="15"/>
  <c r="G146" i="15"/>
  <c r="G155" i="15"/>
  <c r="G173" i="15"/>
  <c r="G148" i="15"/>
  <c r="G169" i="15"/>
  <c r="G160" i="15"/>
  <c r="G168" i="15"/>
  <c r="G142" i="15"/>
  <c r="G150" i="15"/>
  <c r="G147" i="15"/>
  <c r="G151" i="15"/>
  <c r="G171" i="15"/>
  <c r="G154" i="15"/>
  <c r="G175" i="15"/>
  <c r="G140" i="15"/>
  <c r="G181" i="15"/>
  <c r="G156" i="15"/>
  <c r="G152" i="15"/>
  <c r="G144" i="15"/>
  <c r="G141" i="15"/>
  <c r="G139" i="15"/>
  <c r="G143" i="15"/>
  <c r="G158" i="15"/>
  <c r="G163" i="15"/>
  <c r="G161" i="15"/>
  <c r="B174" i="15"/>
  <c r="B171" i="15"/>
  <c r="B160" i="15"/>
  <c r="B177" i="15"/>
  <c r="B175" i="15"/>
  <c r="B170" i="15"/>
  <c r="B158" i="15"/>
  <c r="B155" i="15"/>
  <c r="B145" i="15"/>
  <c r="B140" i="15"/>
  <c r="B157" i="15"/>
  <c r="B152" i="15"/>
  <c r="B148" i="15"/>
  <c r="B154" i="15"/>
  <c r="C33" i="33" l="1"/>
  <c r="W116" i="15"/>
  <c r="D37" i="14"/>
  <c r="G37" i="14"/>
  <c r="E37" i="14"/>
  <c r="W115" i="15"/>
  <c r="F37" i="14"/>
  <c r="C37" i="14"/>
  <c r="H37" i="14"/>
  <c r="H5" i="119"/>
  <c r="C83" i="119" s="1"/>
  <c r="D83" i="119" s="1"/>
  <c r="C84" i="119"/>
  <c r="D84" i="119" s="1"/>
  <c r="I5" i="119"/>
  <c r="C85" i="119" s="1"/>
  <c r="D85" i="119" s="1"/>
  <c r="E24" i="15"/>
  <c r="G136" i="15"/>
  <c r="F83" i="6"/>
  <c r="F136" i="15"/>
  <c r="E100" i="34"/>
  <c r="C100" i="34"/>
  <c r="C37" i="34"/>
  <c r="D100" i="34"/>
  <c r="C38" i="34"/>
  <c r="E101" i="34"/>
  <c r="D101" i="34"/>
  <c r="C101" i="34"/>
  <c r="C95" i="34"/>
  <c r="E95" i="34"/>
  <c r="D95" i="34"/>
  <c r="B203" i="119"/>
  <c r="L101" i="119"/>
  <c r="C77" i="119"/>
  <c r="D77" i="119" s="1"/>
  <c r="D61" i="34"/>
  <c r="C61" i="34"/>
  <c r="D32" i="34"/>
  <c r="E61" i="34"/>
  <c r="E110" i="34"/>
  <c r="D110" i="34"/>
  <c r="C110" i="34"/>
  <c r="F178" i="15"/>
  <c r="F147" i="15"/>
  <c r="F154" i="15"/>
  <c r="F177" i="15"/>
  <c r="F144" i="15"/>
  <c r="F155" i="15"/>
  <c r="F150" i="15"/>
  <c r="F171" i="15"/>
  <c r="F158" i="15"/>
  <c r="F166" i="15"/>
  <c r="F169" i="15"/>
  <c r="F145" i="15"/>
  <c r="F156" i="15"/>
  <c r="F142" i="15"/>
  <c r="F139" i="15"/>
  <c r="F161" i="15"/>
  <c r="F157" i="15"/>
  <c r="F153" i="15"/>
  <c r="F162" i="15"/>
  <c r="F141" i="15"/>
  <c r="F151" i="15"/>
  <c r="F146" i="15"/>
  <c r="F181" i="15"/>
  <c r="F174" i="15"/>
  <c r="F173" i="15"/>
  <c r="F179" i="15"/>
  <c r="F163" i="15"/>
  <c r="F152" i="15"/>
  <c r="F148" i="15"/>
  <c r="F180" i="15"/>
  <c r="F164" i="15"/>
  <c r="F143" i="15"/>
  <c r="F140" i="15"/>
  <c r="F149" i="15"/>
  <c r="F167" i="15"/>
  <c r="F165" i="15"/>
  <c r="F176" i="15"/>
  <c r="F175" i="15"/>
  <c r="F168" i="15"/>
  <c r="F172" i="15"/>
  <c r="F159" i="15"/>
  <c r="F160" i="15"/>
  <c r="F170" i="15"/>
  <c r="E25" i="15" l="1"/>
  <c r="L103" i="119"/>
  <c r="F100" i="34"/>
  <c r="F101" i="34"/>
  <c r="D38" i="34"/>
  <c r="D116" i="34"/>
  <c r="D67" i="34"/>
  <c r="C116" i="34"/>
  <c r="C67" i="34"/>
  <c r="E67" i="34"/>
  <c r="E116" i="34"/>
  <c r="E66" i="34"/>
  <c r="D66" i="34"/>
  <c r="E115" i="34"/>
  <c r="C115" i="34"/>
  <c r="D37" i="34"/>
  <c r="D115" i="34"/>
  <c r="C66" i="34"/>
  <c r="C54" i="34"/>
  <c r="F95" i="34"/>
  <c r="C203" i="119"/>
  <c r="D203" i="119" s="1"/>
  <c r="F110" i="34"/>
  <c r="F116" i="34" l="1"/>
  <c r="F115" i="34"/>
  <c r="B204" i="119"/>
  <c r="C204" i="119" s="1"/>
  <c r="B205" i="119" s="1"/>
  <c r="D204" i="119" l="1"/>
  <c r="C205" i="119"/>
  <c r="D205" i="119" s="1"/>
  <c r="B206" i="119" l="1"/>
  <c r="F47" i="34" l="1"/>
  <c r="C47" i="34" s="1"/>
  <c r="K139" i="15"/>
  <c r="K140" i="15"/>
  <c r="K141" i="15"/>
  <c r="K142" i="15"/>
  <c r="K143" i="15"/>
  <c r="K144" i="15"/>
  <c r="K145" i="15"/>
  <c r="K146" i="15"/>
  <c r="K147" i="15"/>
  <c r="K148" i="15"/>
  <c r="K149" i="15"/>
  <c r="K150" i="15"/>
  <c r="K151" i="15"/>
  <c r="K152" i="15"/>
  <c r="K153" i="15"/>
  <c r="K154" i="15"/>
  <c r="K155" i="15"/>
  <c r="K156" i="15"/>
  <c r="K157" i="15"/>
  <c r="K158" i="15"/>
  <c r="K159" i="15"/>
  <c r="K160" i="15"/>
  <c r="K161" i="15"/>
  <c r="K162" i="15"/>
  <c r="K163" i="15"/>
  <c r="K164" i="15"/>
  <c r="K165" i="15"/>
  <c r="K166" i="15"/>
  <c r="K167" i="15"/>
  <c r="K168" i="15"/>
  <c r="K169" i="15"/>
  <c r="K170" i="15"/>
  <c r="K171" i="15"/>
  <c r="K172" i="15"/>
  <c r="K173" i="15"/>
  <c r="K174" i="15"/>
  <c r="K175" i="15"/>
  <c r="K176" i="15"/>
  <c r="K177" i="15"/>
  <c r="K178" i="15"/>
  <c r="K179" i="15"/>
  <c r="K180" i="15"/>
  <c r="K181" i="15"/>
  <c r="C206" i="119"/>
  <c r="D206" i="119" s="1"/>
  <c r="D47" i="34" l="1"/>
  <c r="C57" i="34"/>
  <c r="B207" i="119"/>
  <c r="C207" i="119" l="1"/>
  <c r="D207" i="119" s="1"/>
  <c r="B208" i="119" l="1"/>
  <c r="C208" i="119" l="1"/>
  <c r="D208" i="119" s="1"/>
  <c r="B209" i="119" l="1"/>
  <c r="C209" i="119" l="1"/>
  <c r="D209" i="119" s="1"/>
  <c r="B210" i="119" l="1"/>
  <c r="C210" i="119" l="1"/>
  <c r="D210" i="119" s="1"/>
  <c r="D145" i="119" l="1"/>
  <c r="B211" i="119"/>
  <c r="C211" i="119" l="1"/>
  <c r="D211" i="119" s="1"/>
  <c r="Z65" i="15" l="1"/>
  <c r="B212" i="119"/>
  <c r="C212" i="119" l="1"/>
  <c r="D212" i="119" s="1"/>
  <c r="B213" i="119" l="1"/>
  <c r="Z66" i="15" l="1"/>
  <c r="C213" i="119"/>
  <c r="D213" i="119" s="1"/>
  <c r="B214" i="119" l="1"/>
  <c r="C214" i="119" l="1"/>
  <c r="D214" i="119" s="1"/>
  <c r="Z67" i="15" l="1"/>
  <c r="B215" i="119"/>
  <c r="C215" i="119" l="1"/>
  <c r="D215" i="119" s="1"/>
  <c r="B216" i="119" l="1"/>
  <c r="C216" i="119" l="1"/>
  <c r="D216" i="119" s="1"/>
  <c r="Z68" i="15" l="1"/>
  <c r="B217" i="119"/>
  <c r="C217" i="119" l="1"/>
  <c r="D217" i="119" s="1"/>
  <c r="B218" i="119" l="1"/>
  <c r="C218" i="119" l="1"/>
  <c r="D218" i="119" s="1"/>
  <c r="Z69" i="15" l="1"/>
  <c r="B219" i="119"/>
  <c r="C219" i="119" l="1"/>
  <c r="D219" i="119" s="1"/>
  <c r="B220" i="119" l="1"/>
  <c r="C220" i="119" l="1"/>
  <c r="D220" i="119" s="1"/>
  <c r="Z70" i="15" l="1"/>
  <c r="B221" i="119"/>
  <c r="C221" i="119" l="1"/>
  <c r="D221" i="119" s="1"/>
  <c r="D223" i="119" l="1"/>
  <c r="H220" i="119" s="1"/>
  <c r="Z71" i="15" l="1"/>
  <c r="H221" i="119"/>
  <c r="H202" i="119"/>
  <c r="I202" i="119" s="1"/>
  <c r="H203" i="119"/>
  <c r="H204" i="119"/>
  <c r="H205" i="119"/>
  <c r="H206" i="119"/>
  <c r="H207" i="119"/>
  <c r="H208" i="119"/>
  <c r="H209" i="119"/>
  <c r="H210" i="119"/>
  <c r="H211" i="119"/>
  <c r="H212" i="119"/>
  <c r="H213" i="119"/>
  <c r="H214" i="119"/>
  <c r="H215" i="119"/>
  <c r="H216" i="119"/>
  <c r="H217" i="119"/>
  <c r="H218" i="119"/>
  <c r="H219" i="119"/>
  <c r="I203" i="119" l="1"/>
  <c r="I204" i="119" s="1"/>
  <c r="I205" i="119" s="1"/>
  <c r="I206" i="119" s="1"/>
  <c r="I207" i="119" s="1"/>
  <c r="I208" i="119" s="1"/>
  <c r="I209" i="119" s="1"/>
  <c r="I210" i="119" s="1"/>
  <c r="I211" i="119" s="1"/>
  <c r="I212" i="119" s="1"/>
  <c r="I213" i="119" s="1"/>
  <c r="I214" i="119" s="1"/>
  <c r="I215" i="119" s="1"/>
  <c r="I216" i="119" s="1"/>
  <c r="I217" i="119" s="1"/>
  <c r="I218" i="119" s="1"/>
  <c r="I219" i="119" s="1"/>
  <c r="I220" i="119" s="1"/>
  <c r="I221" i="119" s="1"/>
  <c r="Z72" i="15" l="1"/>
  <c r="Z73" i="15" l="1"/>
  <c r="Z74" i="15" l="1"/>
  <c r="Z75" i="15" l="1"/>
  <c r="Z76" i="15" l="1"/>
  <c r="Z77" i="15" l="1"/>
  <c r="Z78" i="15" l="1"/>
  <c r="Z79" i="15" l="1"/>
  <c r="Z80" i="15" l="1"/>
  <c r="Z81" i="15" l="1"/>
  <c r="Z82" i="15" l="1"/>
  <c r="Z83" i="15" l="1"/>
  <c r="Z84" i="15" l="1"/>
  <c r="Z86" i="15" l="1"/>
  <c r="Z87" i="15" l="1"/>
  <c r="Z88" i="15" l="1"/>
  <c r="Z89" i="15" l="1"/>
  <c r="Z90" i="15" l="1"/>
  <c r="Z91" i="15" l="1"/>
  <c r="Z92" i="15" l="1"/>
  <c r="Z93" i="15" l="1"/>
  <c r="Z94" i="15" l="1"/>
  <c r="Z95" i="15" l="1"/>
  <c r="Z96" i="15" l="1"/>
  <c r="Z97" i="15" l="1"/>
  <c r="Z98" i="15" l="1"/>
  <c r="Z99" i="15" l="1"/>
  <c r="Z100" i="15" l="1"/>
  <c r="Z101" i="15" l="1"/>
  <c r="Z102" i="15" l="1"/>
  <c r="Z103" i="15" l="1"/>
  <c r="Z104" i="15" l="1"/>
  <c r="Z106" i="15" l="1"/>
  <c r="C134" i="6" l="1"/>
  <c r="C27" i="6"/>
  <c r="C28" i="6" s="1"/>
  <c r="B20" i="15"/>
  <c r="B21" i="15" s="1"/>
  <c r="C4" i="119"/>
  <c r="C69" i="6"/>
  <c r="C4" i="24"/>
  <c r="F75" i="6" l="1"/>
  <c r="F77" i="6"/>
  <c r="E138" i="6"/>
  <c r="C141" i="6" s="1"/>
  <c r="C145" i="6" s="1"/>
  <c r="E27" i="24"/>
  <c r="G27" i="24" s="1"/>
  <c r="E24" i="24"/>
  <c r="G24" i="24" s="1"/>
  <c r="E31" i="24"/>
  <c r="G31" i="24" s="1"/>
  <c r="E25" i="24"/>
  <c r="G25" i="24" s="1"/>
  <c r="E30" i="24"/>
  <c r="G30" i="24" s="1"/>
  <c r="E28" i="24"/>
  <c r="G28" i="24" s="1"/>
  <c r="E32" i="24"/>
  <c r="G32" i="24" s="1"/>
  <c r="E26" i="24"/>
  <c r="G26" i="24" s="1"/>
  <c r="E33" i="24"/>
  <c r="G33" i="24" s="1"/>
  <c r="E29" i="24"/>
  <c r="G29" i="24" s="1"/>
  <c r="AE66" i="15"/>
  <c r="AE67" i="15"/>
  <c r="L187" i="15"/>
  <c r="M187" i="15"/>
  <c r="H187" i="15"/>
  <c r="N187" i="15"/>
  <c r="D187" i="15"/>
  <c r="I187" i="15"/>
  <c r="E187" i="15"/>
  <c r="M188" i="15"/>
  <c r="I188" i="15"/>
  <c r="L188" i="15"/>
  <c r="N188" i="15"/>
  <c r="D188" i="15"/>
  <c r="E188" i="15"/>
  <c r="H188" i="15"/>
  <c r="B188" i="15"/>
  <c r="B187" i="15"/>
  <c r="G187" i="15"/>
  <c r="G188" i="15"/>
  <c r="F188" i="15"/>
  <c r="F187" i="15"/>
  <c r="Q67" i="15"/>
  <c r="Q66" i="15"/>
  <c r="K187" i="15"/>
  <c r="K188" i="15"/>
  <c r="E34" i="24"/>
  <c r="G34" i="24" s="1"/>
  <c r="E16" i="24"/>
  <c r="G16" i="24" s="1"/>
  <c r="D154" i="6"/>
  <c r="E17" i="24"/>
  <c r="G17" i="24" s="1"/>
  <c r="E21" i="24"/>
  <c r="G21" i="24" s="1"/>
  <c r="D153" i="6"/>
  <c r="D148" i="6"/>
  <c r="E148" i="6" s="1"/>
  <c r="D155" i="6"/>
  <c r="E15" i="24"/>
  <c r="G15" i="24" s="1"/>
  <c r="E22" i="24"/>
  <c r="G22" i="24" s="1"/>
  <c r="D151" i="6"/>
  <c r="E151" i="6" s="1"/>
  <c r="E14" i="24"/>
  <c r="G14" i="24" s="1"/>
  <c r="D149" i="6"/>
  <c r="E149" i="6" s="1"/>
  <c r="B57" i="15" s="1"/>
  <c r="D150" i="6"/>
  <c r="E150" i="6" s="1"/>
  <c r="D111" i="6"/>
  <c r="E111" i="6" s="1"/>
  <c r="E113" i="6" s="1"/>
  <c r="E115" i="6" s="1"/>
  <c r="D122" i="6"/>
  <c r="E122" i="6" s="1"/>
  <c r="E13" i="24"/>
  <c r="E23" i="24"/>
  <c r="G23" i="24" s="1"/>
  <c r="E19" i="24"/>
  <c r="G19" i="24" s="1"/>
  <c r="E18" i="24"/>
  <c r="G18" i="24" s="1"/>
  <c r="E20" i="24"/>
  <c r="G20" i="24" s="1"/>
  <c r="D199" i="119"/>
  <c r="H4" i="119"/>
  <c r="I4" i="119"/>
  <c r="C82" i="119" s="1"/>
  <c r="D82" i="119" s="1"/>
  <c r="C81" i="119"/>
  <c r="D81" i="119" s="1"/>
  <c r="L199" i="15"/>
  <c r="N191" i="15"/>
  <c r="M223" i="15"/>
  <c r="M212" i="15"/>
  <c r="M197" i="15"/>
  <c r="N223" i="15"/>
  <c r="L222" i="15"/>
  <c r="L216" i="15"/>
  <c r="I207" i="15"/>
  <c r="I213" i="15"/>
  <c r="H210" i="15"/>
  <c r="E211" i="15"/>
  <c r="D203" i="15"/>
  <c r="I189" i="15"/>
  <c r="I197" i="15"/>
  <c r="D193" i="15"/>
  <c r="AE72" i="15"/>
  <c r="H199" i="15"/>
  <c r="M225" i="15"/>
  <c r="AE98" i="15"/>
  <c r="E205" i="15"/>
  <c r="N203" i="15"/>
  <c r="D218" i="15"/>
  <c r="H197" i="15"/>
  <c r="H211" i="15"/>
  <c r="E195" i="15"/>
  <c r="B193" i="15"/>
  <c r="AE106" i="15"/>
  <c r="D194" i="15"/>
  <c r="H226" i="15"/>
  <c r="L217" i="15"/>
  <c r="M222" i="15"/>
  <c r="D213" i="15"/>
  <c r="H220" i="15"/>
  <c r="N198" i="15"/>
  <c r="I228" i="15"/>
  <c r="E200" i="15"/>
  <c r="I193" i="15"/>
  <c r="L196" i="15"/>
  <c r="AE93" i="15"/>
  <c r="N192" i="15"/>
  <c r="H228" i="15"/>
  <c r="I206" i="15"/>
  <c r="H192" i="15"/>
  <c r="H205" i="15"/>
  <c r="L207" i="15"/>
  <c r="AE68" i="15"/>
  <c r="AE101" i="15"/>
  <c r="N199" i="15"/>
  <c r="B228" i="15"/>
  <c r="E222" i="15"/>
  <c r="D216" i="15"/>
  <c r="M221" i="15"/>
  <c r="D220" i="15"/>
  <c r="AE70" i="15"/>
  <c r="I226" i="15"/>
  <c r="AE100" i="15"/>
  <c r="L219" i="15"/>
  <c r="I191" i="15"/>
  <c r="I192" i="15"/>
  <c r="L227" i="15"/>
  <c r="E191" i="15"/>
  <c r="L193" i="15"/>
  <c r="AE85" i="15"/>
  <c r="H216" i="15"/>
  <c r="N221" i="15"/>
  <c r="H207" i="15"/>
  <c r="E228" i="15"/>
  <c r="M191" i="15"/>
  <c r="H224" i="15"/>
  <c r="M194" i="15"/>
  <c r="M208" i="15"/>
  <c r="E226" i="15"/>
  <c r="L220" i="15"/>
  <c r="AE87" i="15"/>
  <c r="B211" i="15"/>
  <c r="B206" i="15"/>
  <c r="B198" i="15"/>
  <c r="I203" i="15"/>
  <c r="M189" i="15"/>
  <c r="N225" i="15"/>
  <c r="D215" i="15"/>
  <c r="N210" i="15"/>
  <c r="I208" i="15"/>
  <c r="N226" i="15"/>
  <c r="E193" i="15"/>
  <c r="AE75" i="15"/>
  <c r="E212" i="15"/>
  <c r="D225" i="15"/>
  <c r="D199" i="15"/>
  <c r="D207" i="15"/>
  <c r="D192" i="15"/>
  <c r="H217" i="15"/>
  <c r="L189" i="15"/>
  <c r="E198" i="15"/>
  <c r="D190" i="15"/>
  <c r="H209" i="15"/>
  <c r="E190" i="15"/>
  <c r="L213" i="15"/>
  <c r="I209" i="15"/>
  <c r="N193" i="15"/>
  <c r="L215" i="15"/>
  <c r="B212" i="15"/>
  <c r="E197" i="15"/>
  <c r="E217" i="15"/>
  <c r="AE73" i="15"/>
  <c r="H218" i="15"/>
  <c r="I223" i="15"/>
  <c r="I214" i="15"/>
  <c r="D212" i="15"/>
  <c r="D202" i="15"/>
  <c r="M195" i="15"/>
  <c r="I205" i="15"/>
  <c r="AE95" i="15"/>
  <c r="L214" i="15"/>
  <c r="AE83" i="15"/>
  <c r="L195" i="15"/>
  <c r="H198" i="15"/>
  <c r="D211" i="15"/>
  <c r="E201" i="15"/>
  <c r="I190" i="15"/>
  <c r="H214" i="15"/>
  <c r="H219" i="15"/>
  <c r="E206" i="15"/>
  <c r="D198" i="15"/>
  <c r="H202" i="15"/>
  <c r="H204" i="15"/>
  <c r="M218" i="15"/>
  <c r="E221" i="15"/>
  <c r="B191" i="15"/>
  <c r="AE89" i="15"/>
  <c r="N206" i="15"/>
  <c r="B210" i="15"/>
  <c r="N209" i="15"/>
  <c r="L224" i="15"/>
  <c r="N222" i="15"/>
  <c r="L226" i="15"/>
  <c r="N211" i="15"/>
  <c r="E219" i="15"/>
  <c r="I200" i="15"/>
  <c r="D196" i="15"/>
  <c r="D197" i="15"/>
  <c r="M227" i="15"/>
  <c r="D206" i="15"/>
  <c r="AE78" i="15"/>
  <c r="L228" i="15"/>
  <c r="E209" i="15"/>
  <c r="H189" i="15"/>
  <c r="M204" i="15"/>
  <c r="D189" i="15"/>
  <c r="L225" i="15"/>
  <c r="M206" i="15"/>
  <c r="I225" i="15"/>
  <c r="N218" i="15"/>
  <c r="B200" i="15"/>
  <c r="M196" i="15"/>
  <c r="H196" i="15"/>
  <c r="N204" i="15"/>
  <c r="AE69" i="15"/>
  <c r="M209" i="15"/>
  <c r="H221" i="15"/>
  <c r="H213" i="15"/>
  <c r="I217" i="15"/>
  <c r="M216" i="15"/>
  <c r="N197" i="15"/>
  <c r="L209" i="15"/>
  <c r="L190" i="15"/>
  <c r="M200" i="15"/>
  <c r="N227" i="15"/>
  <c r="M205" i="15"/>
  <c r="N208" i="15"/>
  <c r="N219" i="15"/>
  <c r="L192" i="15"/>
  <c r="B17" i="15"/>
  <c r="B219" i="15"/>
  <c r="B226" i="15"/>
  <c r="B196" i="15"/>
  <c r="H206" i="15"/>
  <c r="H212" i="15"/>
  <c r="AE79" i="15"/>
  <c r="AE94" i="15"/>
  <c r="M217" i="15"/>
  <c r="I220" i="15"/>
  <c r="N216" i="15"/>
  <c r="E203" i="15"/>
  <c r="AE74" i="15"/>
  <c r="AE84" i="15"/>
  <c r="H203" i="15"/>
  <c r="M199" i="15"/>
  <c r="AE71" i="15"/>
  <c r="L210" i="15"/>
  <c r="E216" i="15"/>
  <c r="AE99" i="15"/>
  <c r="AE104" i="15"/>
  <c r="I210" i="15"/>
  <c r="E194" i="15"/>
  <c r="E215" i="15"/>
  <c r="E220" i="15"/>
  <c r="AE82" i="15"/>
  <c r="B189" i="15"/>
  <c r="B220" i="15"/>
  <c r="B215" i="15"/>
  <c r="B214" i="15"/>
  <c r="B208" i="15"/>
  <c r="AE96" i="15"/>
  <c r="L203" i="15"/>
  <c r="D210" i="15"/>
  <c r="I202" i="15"/>
  <c r="L202" i="15"/>
  <c r="E189" i="15"/>
  <c r="N205" i="15"/>
  <c r="L204" i="15"/>
  <c r="I211" i="15"/>
  <c r="AE81" i="15"/>
  <c r="N220" i="15"/>
  <c r="D223" i="15"/>
  <c r="N215" i="15"/>
  <c r="H208" i="15"/>
  <c r="E224" i="15"/>
  <c r="AE92" i="15"/>
  <c r="M201" i="15"/>
  <c r="D227" i="15"/>
  <c r="AE97" i="15"/>
  <c r="L205" i="15"/>
  <c r="M203" i="15"/>
  <c r="AE91" i="15"/>
  <c r="L200" i="15"/>
  <c r="M190" i="15"/>
  <c r="B216" i="15"/>
  <c r="B194" i="15"/>
  <c r="AE90" i="15"/>
  <c r="H201" i="15"/>
  <c r="D217" i="15"/>
  <c r="H225" i="15"/>
  <c r="D205" i="15"/>
  <c r="L211" i="15"/>
  <c r="D201" i="15"/>
  <c r="M207" i="15"/>
  <c r="M224" i="15"/>
  <c r="E199" i="15"/>
  <c r="D226" i="15"/>
  <c r="L218" i="15"/>
  <c r="N201" i="15"/>
  <c r="L206" i="15"/>
  <c r="M213" i="15"/>
  <c r="D214" i="15"/>
  <c r="AE103" i="15"/>
  <c r="B203" i="15"/>
  <c r="B190" i="15"/>
  <c r="E196" i="15"/>
  <c r="E210" i="15"/>
  <c r="B225" i="15"/>
  <c r="H222" i="15"/>
  <c r="D204" i="15"/>
  <c r="D224" i="15"/>
  <c r="AE105" i="15"/>
  <c r="M193" i="15"/>
  <c r="H190" i="15"/>
  <c r="I212" i="15"/>
  <c r="I218" i="15"/>
  <c r="L198" i="15"/>
  <c r="E227" i="15"/>
  <c r="E202" i="15"/>
  <c r="N212" i="15"/>
  <c r="N224" i="15"/>
  <c r="AE86" i="15"/>
  <c r="N194" i="15"/>
  <c r="M226" i="15"/>
  <c r="I196" i="15"/>
  <c r="H193" i="15"/>
  <c r="I216" i="15"/>
  <c r="B213" i="15"/>
  <c r="I227" i="15"/>
  <c r="D209" i="15"/>
  <c r="H195" i="15"/>
  <c r="I199" i="15"/>
  <c r="L201" i="15"/>
  <c r="I201" i="15"/>
  <c r="N200" i="15"/>
  <c r="E218" i="15"/>
  <c r="AE102" i="15"/>
  <c r="N207" i="15"/>
  <c r="M228" i="15"/>
  <c r="N213" i="15"/>
  <c r="D195" i="15"/>
  <c r="I219" i="15"/>
  <c r="I195" i="15"/>
  <c r="E207" i="15"/>
  <c r="D221" i="15"/>
  <c r="N195" i="15"/>
  <c r="N217" i="15"/>
  <c r="M211" i="15"/>
  <c r="I221" i="15"/>
  <c r="M202" i="15"/>
  <c r="D228" i="15"/>
  <c r="M198" i="15"/>
  <c r="B209" i="15"/>
  <c r="AE80" i="15"/>
  <c r="E223" i="15"/>
  <c r="AE88" i="15"/>
  <c r="M219" i="15"/>
  <c r="M215" i="15"/>
  <c r="I198" i="15"/>
  <c r="H200" i="15"/>
  <c r="L194" i="15"/>
  <c r="E214" i="15"/>
  <c r="D208" i="15"/>
  <c r="L197" i="15"/>
  <c r="H194" i="15"/>
  <c r="N214" i="15"/>
  <c r="AE76" i="15"/>
  <c r="AE107" i="15"/>
  <c r="L223" i="15"/>
  <c r="M192" i="15"/>
  <c r="N202" i="15"/>
  <c r="H215" i="15"/>
  <c r="D222" i="15"/>
  <c r="H227" i="15"/>
  <c r="H223" i="15"/>
  <c r="B227" i="15"/>
  <c r="L212" i="15"/>
  <c r="M220" i="15"/>
  <c r="B197" i="15"/>
  <c r="E213" i="15"/>
  <c r="D200" i="15"/>
  <c r="E208" i="15"/>
  <c r="M210" i="15"/>
  <c r="L208" i="15"/>
  <c r="I222" i="15"/>
  <c r="N196" i="15"/>
  <c r="E192" i="15"/>
  <c r="L191" i="15"/>
  <c r="H191" i="15"/>
  <c r="E204" i="15"/>
  <c r="D219" i="15"/>
  <c r="L221" i="15"/>
  <c r="N189" i="15"/>
  <c r="D191" i="15"/>
  <c r="N228" i="15"/>
  <c r="AE77" i="15"/>
  <c r="I215" i="15"/>
  <c r="I204" i="15"/>
  <c r="I224" i="15"/>
  <c r="I194" i="15"/>
  <c r="B223" i="15"/>
  <c r="M214" i="15"/>
  <c r="E225" i="15"/>
  <c r="N190" i="15"/>
  <c r="B195" i="15"/>
  <c r="G221" i="15"/>
  <c r="G192" i="15"/>
  <c r="G217" i="15"/>
  <c r="G211" i="15"/>
  <c r="G210" i="15"/>
  <c r="B204" i="15"/>
  <c r="G203" i="15"/>
  <c r="G205" i="15"/>
  <c r="B201" i="15"/>
  <c r="B217" i="15"/>
  <c r="G201" i="15"/>
  <c r="G207" i="15"/>
  <c r="G208" i="15"/>
  <c r="G206" i="15"/>
  <c r="G200" i="15"/>
  <c r="G190" i="15"/>
  <c r="G220" i="15"/>
  <c r="B207" i="15"/>
  <c r="B202" i="15"/>
  <c r="G194" i="15"/>
  <c r="G216" i="15"/>
  <c r="B218" i="15"/>
  <c r="G225" i="15"/>
  <c r="G219" i="15"/>
  <c r="B192" i="15"/>
  <c r="G198" i="15"/>
  <c r="G193" i="15"/>
  <c r="G189" i="15"/>
  <c r="G214" i="15"/>
  <c r="B205" i="15"/>
  <c r="G215" i="15"/>
  <c r="G218" i="15"/>
  <c r="G223" i="15"/>
  <c r="B221" i="15"/>
  <c r="G209" i="15"/>
  <c r="G222" i="15"/>
  <c r="G199" i="15"/>
  <c r="B199" i="15"/>
  <c r="B222" i="15"/>
  <c r="G202" i="15"/>
  <c r="G213" i="15"/>
  <c r="G196" i="15"/>
  <c r="B224" i="15"/>
  <c r="G197" i="15"/>
  <c r="G226" i="15"/>
  <c r="G228" i="15"/>
  <c r="G224" i="15"/>
  <c r="G191" i="15"/>
  <c r="G212" i="15"/>
  <c r="G195" i="15"/>
  <c r="G227" i="15"/>
  <c r="G204" i="15"/>
  <c r="F213" i="15"/>
  <c r="F193" i="15"/>
  <c r="F200" i="15"/>
  <c r="F224" i="15"/>
  <c r="F225" i="15"/>
  <c r="F217" i="15"/>
  <c r="F220" i="15"/>
  <c r="F201" i="15"/>
  <c r="F206" i="15"/>
  <c r="F216" i="15"/>
  <c r="F203" i="15"/>
  <c r="F228" i="15"/>
  <c r="F192" i="15"/>
  <c r="F198" i="15"/>
  <c r="F189" i="15"/>
  <c r="F211" i="15"/>
  <c r="F194" i="15"/>
  <c r="F195" i="15"/>
  <c r="F209" i="15"/>
  <c r="F219" i="15"/>
  <c r="F222" i="15"/>
  <c r="F204" i="15"/>
  <c r="F221" i="15"/>
  <c r="F227" i="15"/>
  <c r="F210" i="15"/>
  <c r="F205" i="15"/>
  <c r="F190" i="15"/>
  <c r="F196" i="15"/>
  <c r="F215" i="15"/>
  <c r="F199" i="15"/>
  <c r="F197" i="15"/>
  <c r="F226" i="15"/>
  <c r="F207" i="15"/>
  <c r="F223" i="15"/>
  <c r="F191" i="15"/>
  <c r="F202" i="15"/>
  <c r="F212" i="15"/>
  <c r="F218" i="15"/>
  <c r="F208" i="15"/>
  <c r="F214" i="15"/>
  <c r="Q76" i="15"/>
  <c r="Q69" i="15"/>
  <c r="Q77" i="15"/>
  <c r="K208" i="15"/>
  <c r="K197" i="15"/>
  <c r="K194" i="15"/>
  <c r="Q75" i="15"/>
  <c r="Q105" i="15"/>
  <c r="Q87" i="15"/>
  <c r="K200" i="15"/>
  <c r="K189" i="15"/>
  <c r="K225" i="15"/>
  <c r="Q90" i="15"/>
  <c r="Q100" i="15"/>
  <c r="Q95" i="15"/>
  <c r="K192" i="15"/>
  <c r="K228" i="15"/>
  <c r="K217" i="15"/>
  <c r="Q74" i="15"/>
  <c r="Q84" i="15"/>
  <c r="Q79" i="15"/>
  <c r="K223" i="15"/>
  <c r="K220" i="15"/>
  <c r="K209" i="15"/>
  <c r="Q93" i="15"/>
  <c r="Q68" i="15"/>
  <c r="Q107" i="15"/>
  <c r="K215" i="15"/>
  <c r="K212" i="15"/>
  <c r="K201" i="15"/>
  <c r="Q89" i="15"/>
  <c r="Q106" i="15"/>
  <c r="Q102" i="15"/>
  <c r="K207" i="15"/>
  <c r="K204" i="15"/>
  <c r="K193" i="15"/>
  <c r="K216" i="15"/>
  <c r="Q73" i="15"/>
  <c r="Q99" i="15"/>
  <c r="Q94" i="15"/>
  <c r="K199" i="15"/>
  <c r="K196" i="15"/>
  <c r="K202" i="15"/>
  <c r="Q88" i="15"/>
  <c r="Q83" i="15"/>
  <c r="Q78" i="15"/>
  <c r="K191" i="15"/>
  <c r="K227" i="15"/>
  <c r="Q72" i="15"/>
  <c r="Q98" i="15"/>
  <c r="K222" i="15"/>
  <c r="K219" i="15"/>
  <c r="K205" i="15"/>
  <c r="Q71" i="15"/>
  <c r="Q82" i="15"/>
  <c r="K214" i="15"/>
  <c r="K211" i="15"/>
  <c r="Q80" i="15"/>
  <c r="Q92" i="15"/>
  <c r="Q91" i="15"/>
  <c r="K206" i="15"/>
  <c r="K203" i="15"/>
  <c r="Q86" i="15"/>
  <c r="Q97" i="15"/>
  <c r="K198" i="15"/>
  <c r="K195" i="15"/>
  <c r="Q70" i="15"/>
  <c r="Q81" i="15"/>
  <c r="K190" i="15"/>
  <c r="K226" i="15"/>
  <c r="Q104" i="15"/>
  <c r="Q103" i="15"/>
  <c r="K221" i="15"/>
  <c r="K218" i="15"/>
  <c r="Q85" i="15"/>
  <c r="Q101" i="15"/>
  <c r="Q96" i="15"/>
  <c r="K224" i="15"/>
  <c r="K213" i="15"/>
  <c r="K210" i="15"/>
  <c r="P66" i="15" l="1"/>
  <c r="P67" i="15"/>
  <c r="G231" i="15"/>
  <c r="M231" i="15"/>
  <c r="N231" i="15"/>
  <c r="H231" i="15"/>
  <c r="L231" i="15"/>
  <c r="P93" i="15"/>
  <c r="P85" i="15"/>
  <c r="P77" i="15"/>
  <c r="P99" i="15"/>
  <c r="P102" i="15"/>
  <c r="P86" i="15"/>
  <c r="P70" i="15"/>
  <c r="P91" i="15"/>
  <c r="P101" i="15"/>
  <c r="P71" i="15"/>
  <c r="P74" i="15"/>
  <c r="P72" i="15"/>
  <c r="P88" i="15"/>
  <c r="P104" i="15"/>
  <c r="P100" i="15"/>
  <c r="P106" i="15"/>
  <c r="P92" i="15"/>
  <c r="P79" i="15"/>
  <c r="P68" i="15"/>
  <c r="P95" i="15"/>
  <c r="P69" i="15"/>
  <c r="P107" i="15"/>
  <c r="P75" i="15"/>
  <c r="P89" i="15"/>
  <c r="P96" i="15"/>
  <c r="P94" i="15"/>
  <c r="P73" i="15"/>
  <c r="P90" i="15"/>
  <c r="P97" i="15"/>
  <c r="P98" i="15"/>
  <c r="P76" i="15"/>
  <c r="P83" i="15"/>
  <c r="P105" i="15"/>
  <c r="P82" i="15"/>
  <c r="P81" i="15"/>
  <c r="P78" i="15"/>
  <c r="P84" i="15"/>
  <c r="P80" i="15"/>
  <c r="P103" i="15"/>
  <c r="P87" i="15"/>
  <c r="E231" i="15"/>
  <c r="F231" i="15"/>
  <c r="I231" i="15"/>
  <c r="L102" i="119"/>
  <c r="C80" i="119"/>
  <c r="D80" i="119" s="1"/>
  <c r="B18" i="15"/>
  <c r="B19" i="15"/>
  <c r="K231" i="15"/>
  <c r="Q114" i="15"/>
  <c r="Q115" i="15"/>
  <c r="B124" i="15" s="1"/>
  <c r="Q116" i="15"/>
  <c r="B231" i="15"/>
  <c r="AE116" i="15"/>
  <c r="AC55" i="15" s="1"/>
  <c r="AC57" i="15" s="1"/>
  <c r="E35" i="24"/>
  <c r="G13" i="24"/>
  <c r="G35" i="24" s="1"/>
  <c r="D231" i="15"/>
  <c r="Q118" i="15" l="1"/>
  <c r="L48" i="119" s="1"/>
  <c r="E156" i="119" s="1"/>
  <c r="F232" i="15"/>
  <c r="F233" i="15" s="1"/>
  <c r="I37" i="34" s="1"/>
  <c r="E232" i="15"/>
  <c r="K232" i="15"/>
  <c r="K233" i="15" s="1"/>
  <c r="I47" i="34" s="1"/>
  <c r="P116" i="15"/>
  <c r="P117" i="15" s="1"/>
  <c r="U48" i="119" s="1"/>
  <c r="E166" i="119" s="1"/>
  <c r="P115" i="15"/>
  <c r="B123" i="15" s="1"/>
  <c r="P114" i="15"/>
  <c r="D232" i="15"/>
  <c r="L232" i="15"/>
  <c r="C5" i="24"/>
  <c r="C88" i="6"/>
  <c r="H232" i="15"/>
  <c r="N232" i="15"/>
  <c r="M232" i="15"/>
  <c r="B232" i="15"/>
  <c r="B233" i="15" s="1"/>
  <c r="I32" i="34" s="1"/>
  <c r="I232" i="15"/>
  <c r="G232" i="15"/>
  <c r="G233" i="15" s="1"/>
  <c r="I38" i="34" s="1"/>
  <c r="E57" i="17" l="1"/>
  <c r="E56" i="17"/>
  <c r="E40" i="17"/>
  <c r="E24" i="17"/>
  <c r="E50" i="17"/>
  <c r="E47" i="17"/>
  <c r="E27" i="17"/>
  <c r="E55" i="17"/>
  <c r="E39" i="17"/>
  <c r="E23" i="17"/>
  <c r="E19" i="17"/>
  <c r="E33" i="17"/>
  <c r="E32" i="17"/>
  <c r="E44" i="17"/>
  <c r="E54" i="17"/>
  <c r="E38" i="17"/>
  <c r="E22" i="17"/>
  <c r="E49" i="17"/>
  <c r="E30" i="17"/>
  <c r="E29" i="17"/>
  <c r="E42" i="17"/>
  <c r="E53" i="17"/>
  <c r="E37" i="17"/>
  <c r="E21" i="17"/>
  <c r="E35" i="17"/>
  <c r="E46" i="17"/>
  <c r="E28" i="17"/>
  <c r="E26" i="17"/>
  <c r="E52" i="17"/>
  <c r="E36" i="17"/>
  <c r="E20" i="17"/>
  <c r="E34" i="17"/>
  <c r="E48" i="17"/>
  <c r="E43" i="17"/>
  <c r="E41" i="17"/>
  <c r="E51" i="17"/>
  <c r="E45" i="17"/>
  <c r="E25" i="17"/>
  <c r="E31" i="17"/>
  <c r="C121" i="6"/>
  <c r="E18" i="17"/>
  <c r="C92" i="6"/>
  <c r="C95" i="6"/>
  <c r="D120" i="6"/>
  <c r="E120" i="6" s="1"/>
  <c r="D119" i="6"/>
  <c r="E119" i="6" s="1"/>
  <c r="D121" i="6"/>
  <c r="E121" i="6" s="1"/>
  <c r="D103" i="6"/>
  <c r="E103" i="6" s="1"/>
  <c r="E104" i="6" s="1"/>
  <c r="E106" i="6" s="1"/>
  <c r="B52" i="15" s="1"/>
  <c r="K65" i="15" s="1"/>
  <c r="D116" i="6"/>
  <c r="E116" i="6" s="1"/>
  <c r="D123" i="6"/>
  <c r="E123" i="6" s="1"/>
  <c r="K114" i="15" l="1"/>
  <c r="K115" i="15"/>
  <c r="K116" i="15"/>
  <c r="K117" i="15" s="1"/>
  <c r="Q48" i="119" s="1"/>
  <c r="E162" i="119" s="1"/>
  <c r="F18" i="17" l="1"/>
  <c r="D147" i="119" l="1"/>
  <c r="D107" i="119" l="1"/>
  <c r="C198" i="119" l="1"/>
  <c r="E208" i="119" s="1"/>
  <c r="W22" i="119" l="1"/>
  <c r="W16" i="119"/>
  <c r="W29" i="119"/>
  <c r="W27" i="119"/>
  <c r="W23" i="119"/>
  <c r="W21" i="119"/>
  <c r="W32" i="119"/>
  <c r="W20" i="119"/>
  <c r="W24" i="119"/>
  <c r="W18" i="119"/>
  <c r="W25" i="119"/>
  <c r="W33" i="119"/>
  <c r="W26" i="119"/>
  <c r="W28" i="119"/>
  <c r="W30" i="119"/>
  <c r="W15" i="119"/>
  <c r="W31" i="119"/>
  <c r="W19" i="119"/>
  <c r="W17" i="119"/>
  <c r="E218" i="119"/>
  <c r="W14" i="119"/>
  <c r="W34" i="119"/>
  <c r="E209" i="119"/>
  <c r="E219" i="119"/>
  <c r="F205" i="119"/>
  <c r="E205" i="119"/>
  <c r="F213" i="119"/>
  <c r="E213" i="119"/>
  <c r="F203" i="119"/>
  <c r="E203" i="119"/>
  <c r="E211" i="119"/>
  <c r="F212" i="119"/>
  <c r="F211" i="119"/>
  <c r="F219" i="119"/>
  <c r="E212" i="119"/>
  <c r="F206" i="119"/>
  <c r="E206" i="119"/>
  <c r="F202" i="119"/>
  <c r="F215" i="119"/>
  <c r="E217" i="119"/>
  <c r="F218" i="119"/>
  <c r="E215" i="119"/>
  <c r="F220" i="119"/>
  <c r="E220" i="119"/>
  <c r="F216" i="119"/>
  <c r="E216" i="119"/>
  <c r="F221" i="119"/>
  <c r="E221" i="119"/>
  <c r="F209" i="119"/>
  <c r="E202" i="119"/>
  <c r="F207" i="119"/>
  <c r="F204" i="119"/>
  <c r="E207" i="119"/>
  <c r="F210" i="119"/>
  <c r="E210" i="119"/>
  <c r="F222" i="119"/>
  <c r="G222" i="119" s="1"/>
  <c r="F214" i="119"/>
  <c r="E204" i="119"/>
  <c r="E214" i="119"/>
  <c r="F208" i="119"/>
  <c r="G208" i="119" s="1"/>
  <c r="F217" i="119"/>
  <c r="F82" i="6"/>
  <c r="C144" i="6" s="1"/>
  <c r="F33" i="34"/>
  <c r="C181" i="15"/>
  <c r="C180" i="15"/>
  <c r="C165" i="15"/>
  <c r="C170" i="15"/>
  <c r="C179" i="15"/>
  <c r="C164" i="15"/>
  <c r="C169" i="15"/>
  <c r="C175" i="15"/>
  <c r="C167" i="15"/>
  <c r="C174" i="15"/>
  <c r="C177" i="15"/>
  <c r="C161" i="15"/>
  <c r="C172" i="15"/>
  <c r="C168" i="15"/>
  <c r="C171" i="15"/>
  <c r="C173" i="15"/>
  <c r="C178" i="15"/>
  <c r="C163" i="15"/>
  <c r="C176" i="15"/>
  <c r="C162" i="15"/>
  <c r="C166" i="15"/>
  <c r="C160" i="15"/>
  <c r="C148" i="15"/>
  <c r="C151" i="15"/>
  <c r="C159" i="15"/>
  <c r="C158" i="15"/>
  <c r="C140" i="15"/>
  <c r="C146" i="15"/>
  <c r="C142" i="15"/>
  <c r="C143" i="15"/>
  <c r="C152" i="15"/>
  <c r="C141" i="15"/>
  <c r="C149" i="15"/>
  <c r="C150" i="15"/>
  <c r="C145" i="15"/>
  <c r="C153" i="15"/>
  <c r="C156" i="15"/>
  <c r="C154" i="15"/>
  <c r="C144" i="15"/>
  <c r="C147" i="15"/>
  <c r="C139" i="15"/>
  <c r="C155" i="15"/>
  <c r="C157" i="15"/>
  <c r="C188" i="15" l="1"/>
  <c r="O67" i="15"/>
  <c r="C187" i="15"/>
  <c r="O66" i="15"/>
  <c r="G218" i="119"/>
  <c r="G207" i="119"/>
  <c r="G211" i="119"/>
  <c r="G219" i="119"/>
  <c r="G205" i="119"/>
  <c r="G206" i="119"/>
  <c r="G213" i="119"/>
  <c r="G209" i="119"/>
  <c r="G210" i="119"/>
  <c r="G203" i="119"/>
  <c r="G216" i="119"/>
  <c r="G221" i="119"/>
  <c r="G215" i="119"/>
  <c r="G220" i="119"/>
  <c r="G212" i="119"/>
  <c r="G217" i="119"/>
  <c r="G202" i="119"/>
  <c r="G214" i="119"/>
  <c r="G204" i="119"/>
  <c r="C204" i="15"/>
  <c r="O83" i="15"/>
  <c r="C208" i="15"/>
  <c r="O87" i="15"/>
  <c r="O76" i="15"/>
  <c r="C197" i="15"/>
  <c r="O100" i="15"/>
  <c r="C221" i="15"/>
  <c r="C200" i="15"/>
  <c r="O79" i="15"/>
  <c r="O82" i="15"/>
  <c r="C203" i="15"/>
  <c r="C216" i="15"/>
  <c r="O95" i="15"/>
  <c r="C210" i="15"/>
  <c r="O89" i="15"/>
  <c r="C209" i="15"/>
  <c r="O88" i="15"/>
  <c r="O99" i="15"/>
  <c r="C220" i="15"/>
  <c r="O84" i="15"/>
  <c r="C205" i="15"/>
  <c r="C226" i="15"/>
  <c r="O105" i="15"/>
  <c r="C196" i="15"/>
  <c r="O75" i="15"/>
  <c r="C211" i="15"/>
  <c r="O90" i="15"/>
  <c r="C191" i="15"/>
  <c r="O70" i="15"/>
  <c r="C214" i="15"/>
  <c r="O93" i="15"/>
  <c r="C201" i="15"/>
  <c r="O80" i="15"/>
  <c r="C192" i="15"/>
  <c r="O71" i="15"/>
  <c r="O96" i="15"/>
  <c r="C217" i="15"/>
  <c r="O94" i="15"/>
  <c r="C215" i="15"/>
  <c r="C212" i="15"/>
  <c r="O91" i="15"/>
  <c r="C206" i="15"/>
  <c r="O85" i="15"/>
  <c r="O107" i="15"/>
  <c r="C228" i="15"/>
  <c r="O103" i="15"/>
  <c r="C224" i="15"/>
  <c r="C222" i="15"/>
  <c r="O101" i="15"/>
  <c r="O104" i="15"/>
  <c r="C225" i="15"/>
  <c r="C195" i="15"/>
  <c r="O74" i="15"/>
  <c r="O106" i="15"/>
  <c r="C227" i="15"/>
  <c r="O102" i="15"/>
  <c r="C223" i="15"/>
  <c r="O78" i="15"/>
  <c r="C199" i="15"/>
  <c r="C194" i="15"/>
  <c r="O73" i="15"/>
  <c r="O69" i="15"/>
  <c r="C190" i="15"/>
  <c r="C219" i="15"/>
  <c r="O98" i="15"/>
  <c r="O92" i="15"/>
  <c r="C213" i="15"/>
  <c r="C193" i="15"/>
  <c r="O72" i="15"/>
  <c r="O97" i="15"/>
  <c r="C218" i="15"/>
  <c r="O77" i="15"/>
  <c r="C198" i="15"/>
  <c r="C207" i="15"/>
  <c r="O86" i="15"/>
  <c r="O81" i="15"/>
  <c r="C202" i="15"/>
  <c r="C189" i="15"/>
  <c r="O68" i="15"/>
  <c r="C136" i="15"/>
  <c r="D96" i="34"/>
  <c r="E96" i="34"/>
  <c r="C33" i="34"/>
  <c r="C96" i="34"/>
  <c r="E85" i="34" l="1"/>
  <c r="E86" i="34" s="1"/>
  <c r="O114" i="15"/>
  <c r="O115" i="15"/>
  <c r="B122" i="15" s="1"/>
  <c r="O116" i="15"/>
  <c r="O117" i="15" s="1"/>
  <c r="T48" i="119" s="1"/>
  <c r="E165" i="119" s="1"/>
  <c r="C231" i="15"/>
  <c r="C232" i="15" s="1"/>
  <c r="C233" i="15" s="1"/>
  <c r="I33" i="34" s="1"/>
  <c r="F96" i="34"/>
  <c r="D85" i="34"/>
  <c r="D62" i="34"/>
  <c r="E62" i="34"/>
  <c r="C62" i="34"/>
  <c r="D33" i="34"/>
  <c r="D111" i="34"/>
  <c r="E111" i="34"/>
  <c r="C53" i="34"/>
  <c r="C111" i="34"/>
  <c r="F85" i="34"/>
  <c r="F86" i="34" s="1"/>
  <c r="C22" i="33" l="1"/>
  <c r="D86" i="34"/>
  <c r="G85" i="34"/>
  <c r="G86" i="34" s="1"/>
  <c r="F111" i="34"/>
  <c r="J35" i="33" l="1"/>
  <c r="C23" i="33"/>
  <c r="C21" i="33"/>
  <c r="C55" i="33" s="1"/>
  <c r="C24" i="33" l="1"/>
  <c r="E270" i="33" l="1"/>
  <c r="F270" i="33"/>
  <c r="C270" i="33"/>
  <c r="C275" i="33" s="1"/>
  <c r="C43" i="33" s="1"/>
  <c r="D270" i="33"/>
  <c r="D275" i="33" s="1"/>
  <c r="C44" i="33" s="1"/>
  <c r="AB97" i="33"/>
  <c r="AB145" i="33"/>
  <c r="C42" i="33" s="1"/>
  <c r="AB193" i="33"/>
  <c r="C39" i="33" s="1"/>
  <c r="AB217" i="33"/>
  <c r="C64" i="33" s="1"/>
  <c r="AB72" i="33"/>
  <c r="AB121" i="33"/>
  <c r="AB73" i="33"/>
  <c r="AB169" i="33"/>
  <c r="C57" i="33" s="1"/>
  <c r="C59" i="33" s="1"/>
  <c r="C38" i="33" l="1"/>
  <c r="D38" i="33" s="1"/>
  <c r="C37" i="33"/>
  <c r="D37" i="33" s="1"/>
  <c r="C36" i="33"/>
  <c r="D36" i="33" s="1"/>
  <c r="D39" i="33"/>
  <c r="J24" i="33" s="1"/>
  <c r="D42" i="33"/>
  <c r="J23" i="33" s="1"/>
  <c r="C58" i="33"/>
  <c r="C26" i="33" s="1"/>
  <c r="J31" i="33"/>
  <c r="J32" i="33" s="1"/>
  <c r="K43" i="33" s="1"/>
  <c r="D44" i="33"/>
  <c r="J27" i="33" s="1"/>
  <c r="J38" i="33" s="1"/>
  <c r="D43" i="33"/>
  <c r="J26" i="33" s="1"/>
  <c r="J37" i="33" s="1"/>
  <c r="J36" i="33"/>
  <c r="F50" i="17"/>
  <c r="F26" i="17"/>
  <c r="F47" i="17"/>
  <c r="F51" i="17"/>
  <c r="F22" i="17"/>
  <c r="F49" i="17"/>
  <c r="F24" i="17"/>
  <c r="F41" i="17"/>
  <c r="F31" i="17"/>
  <c r="F37" i="17"/>
  <c r="F40" i="17"/>
  <c r="F28" i="17"/>
  <c r="F23" i="17"/>
  <c r="F48" i="17"/>
  <c r="F54" i="17"/>
  <c r="F52" i="17"/>
  <c r="F57" i="17"/>
  <c r="F36" i="17"/>
  <c r="F55" i="17"/>
  <c r="F19" i="17"/>
  <c r="F21" i="17"/>
  <c r="F43" i="17"/>
  <c r="F53" i="17"/>
  <c r="F20" i="17"/>
  <c r="F38" i="17"/>
  <c r="F39" i="17"/>
  <c r="F44" i="17"/>
  <c r="F35" i="17"/>
  <c r="F27" i="17"/>
  <c r="F56" i="17"/>
  <c r="F46" i="17"/>
  <c r="F30" i="17"/>
  <c r="F34" i="17"/>
  <c r="F32" i="17"/>
  <c r="F33" i="17"/>
  <c r="F45" i="17"/>
  <c r="F25" i="17"/>
  <c r="F29" i="17"/>
  <c r="F42" i="17"/>
  <c r="C45" i="33" l="1"/>
  <c r="J39" i="33"/>
  <c r="J22" i="33"/>
  <c r="J28" i="33" s="1"/>
  <c r="G19" i="34" s="1"/>
  <c r="G20" i="34" l="1"/>
  <c r="K45" i="33"/>
  <c r="J41" i="33"/>
  <c r="J131" i="15"/>
  <c r="J132" i="15" s="1"/>
  <c r="J136" i="15" s="1"/>
  <c r="F42" i="34"/>
  <c r="D87" i="34"/>
  <c r="D88" i="34" s="1"/>
  <c r="D45" i="33"/>
  <c r="B58" i="15"/>
  <c r="G21" i="34"/>
  <c r="E92" i="6" l="1"/>
  <c r="E93" i="6"/>
  <c r="H19" i="34"/>
  <c r="G22" i="34"/>
  <c r="D46" i="33"/>
  <c r="D47" i="33" s="1"/>
  <c r="E98" i="6"/>
  <c r="E94" i="6"/>
  <c r="J135" i="15"/>
  <c r="B42" i="34"/>
  <c r="B71" i="34" s="1"/>
  <c r="J185" i="15"/>
  <c r="K44" i="33"/>
  <c r="H20" i="34" s="1"/>
  <c r="J134" i="15"/>
  <c r="J137" i="15"/>
  <c r="H21" i="34"/>
  <c r="J148" i="15"/>
  <c r="D48" i="33" l="1"/>
  <c r="E95" i="6"/>
  <c r="E99" i="6" s="1"/>
  <c r="G56" i="17" s="1"/>
  <c r="H56" i="17" s="1"/>
  <c r="I106" i="15" s="1"/>
  <c r="B90" i="14" s="1"/>
  <c r="B120" i="34"/>
  <c r="B105" i="34"/>
  <c r="G42" i="34"/>
  <c r="H42" i="34"/>
  <c r="E42" i="34"/>
  <c r="K46" i="33"/>
  <c r="R74" i="15"/>
  <c r="J195" i="15"/>
  <c r="H22" i="34"/>
  <c r="J172" i="15"/>
  <c r="J166" i="15"/>
  <c r="J140" i="15"/>
  <c r="J164" i="15"/>
  <c r="J180" i="15"/>
  <c r="J156" i="15"/>
  <c r="J150" i="15"/>
  <c r="J170" i="15"/>
  <c r="J158" i="15"/>
  <c r="J157" i="15"/>
  <c r="J143" i="15"/>
  <c r="J171" i="15"/>
  <c r="J181" i="15"/>
  <c r="J144" i="15"/>
  <c r="J176" i="15"/>
  <c r="J162" i="15"/>
  <c r="J149" i="15"/>
  <c r="J147" i="15"/>
  <c r="J163" i="15"/>
  <c r="J168" i="15"/>
  <c r="J145" i="15"/>
  <c r="J159" i="15"/>
  <c r="J139" i="15"/>
  <c r="J142" i="15"/>
  <c r="J161" i="15"/>
  <c r="J154" i="15"/>
  <c r="J155" i="15"/>
  <c r="J178" i="15"/>
  <c r="J173" i="15"/>
  <c r="J177" i="15"/>
  <c r="J179" i="15"/>
  <c r="J141" i="15"/>
  <c r="J169" i="15"/>
  <c r="J167" i="15"/>
  <c r="J146" i="15"/>
  <c r="J151" i="15"/>
  <c r="J153" i="15"/>
  <c r="J165" i="15"/>
  <c r="J175" i="15"/>
  <c r="J174" i="15"/>
  <c r="J152" i="15"/>
  <c r="J160" i="15"/>
  <c r="J188" i="15" l="1"/>
  <c r="R67" i="15"/>
  <c r="J187" i="15"/>
  <c r="R66" i="15"/>
  <c r="R88" i="15"/>
  <c r="J209" i="15"/>
  <c r="R79" i="15"/>
  <c r="J200" i="15"/>
  <c r="J197" i="15"/>
  <c r="R76" i="15"/>
  <c r="J192" i="15"/>
  <c r="R71" i="15"/>
  <c r="R87" i="15"/>
  <c r="J208" i="15"/>
  <c r="J205" i="15"/>
  <c r="R84" i="15"/>
  <c r="J189" i="15"/>
  <c r="R68" i="15"/>
  <c r="R89" i="15"/>
  <c r="J210" i="15"/>
  <c r="R96" i="15"/>
  <c r="J217" i="15"/>
  <c r="R101" i="15"/>
  <c r="J222" i="15"/>
  <c r="R98" i="15"/>
  <c r="J219" i="15"/>
  <c r="R82" i="15"/>
  <c r="J203" i="15"/>
  <c r="R99" i="15"/>
  <c r="J220" i="15"/>
  <c r="R83" i="15"/>
  <c r="J204" i="15"/>
  <c r="G23" i="17"/>
  <c r="H23" i="17" s="1"/>
  <c r="G34" i="17"/>
  <c r="H34" i="17" s="1"/>
  <c r="G50" i="17"/>
  <c r="H50" i="17" s="1"/>
  <c r="G51" i="17"/>
  <c r="H51" i="17" s="1"/>
  <c r="G46" i="17"/>
  <c r="H46" i="17" s="1"/>
  <c r="G33" i="17"/>
  <c r="H33" i="17" s="1"/>
  <c r="G20" i="17"/>
  <c r="H20" i="17" s="1"/>
  <c r="G21" i="17"/>
  <c r="H21" i="17" s="1"/>
  <c r="G44" i="17"/>
  <c r="H44" i="17" s="1"/>
  <c r="I94" i="15" s="1"/>
  <c r="B78" i="14" s="1"/>
  <c r="G78" i="14" s="1"/>
  <c r="G19" i="17"/>
  <c r="H19" i="17" s="1"/>
  <c r="G18" i="17"/>
  <c r="H18" i="17" s="1"/>
  <c r="G52" i="17"/>
  <c r="H52" i="17" s="1"/>
  <c r="G31" i="17"/>
  <c r="H31" i="17" s="1"/>
  <c r="G38" i="17"/>
  <c r="H38" i="17" s="1"/>
  <c r="G54" i="17"/>
  <c r="H54" i="17" s="1"/>
  <c r="I104" i="15" s="1"/>
  <c r="B88" i="14" s="1"/>
  <c r="D88" i="14" s="1"/>
  <c r="G37" i="17"/>
  <c r="H37" i="17" s="1"/>
  <c r="G32" i="17"/>
  <c r="H32" i="17" s="1"/>
  <c r="G27" i="17"/>
  <c r="H27" i="17" s="1"/>
  <c r="G29" i="17"/>
  <c r="H29" i="17" s="1"/>
  <c r="G57" i="17"/>
  <c r="H57" i="17" s="1"/>
  <c r="I107" i="15" s="1"/>
  <c r="B91" i="14" s="1"/>
  <c r="D91" i="14" s="1"/>
  <c r="R105" i="15"/>
  <c r="J226" i="15"/>
  <c r="R92" i="15"/>
  <c r="J213" i="15"/>
  <c r="J212" i="15"/>
  <c r="R91" i="15"/>
  <c r="J214" i="15"/>
  <c r="R93" i="15"/>
  <c r="J193" i="15"/>
  <c r="R72" i="15"/>
  <c r="J215" i="15"/>
  <c r="R94" i="15"/>
  <c r="R73" i="15"/>
  <c r="J194" i="15"/>
  <c r="R103" i="15"/>
  <c r="J224" i="15"/>
  <c r="R69" i="15"/>
  <c r="J190" i="15"/>
  <c r="J221" i="15"/>
  <c r="R100" i="15"/>
  <c r="R102" i="15"/>
  <c r="J223" i="15"/>
  <c r="G49" i="17"/>
  <c r="H49" i="17" s="1"/>
  <c r="I99" i="15" s="1"/>
  <c r="B83" i="14" s="1"/>
  <c r="G83" i="14" s="1"/>
  <c r="J218" i="15"/>
  <c r="R97" i="15"/>
  <c r="G36" i="17"/>
  <c r="H36" i="17" s="1"/>
  <c r="I86" i="15" s="1"/>
  <c r="B70" i="14" s="1"/>
  <c r="V70" i="14" s="1"/>
  <c r="G45" i="17"/>
  <c r="H45" i="17" s="1"/>
  <c r="I95" i="15" s="1"/>
  <c r="B79" i="14" s="1"/>
  <c r="W79" i="14" s="1"/>
  <c r="G30" i="17"/>
  <c r="H30" i="17" s="1"/>
  <c r="I80" i="15" s="1"/>
  <c r="B64" i="14" s="1"/>
  <c r="T64" i="14" s="1"/>
  <c r="R80" i="15"/>
  <c r="J201" i="15"/>
  <c r="J216" i="15"/>
  <c r="R95" i="15"/>
  <c r="R86" i="15"/>
  <c r="J207" i="15"/>
  <c r="R70" i="15"/>
  <c r="J191" i="15"/>
  <c r="R85" i="15"/>
  <c r="J206" i="15"/>
  <c r="R78" i="15"/>
  <c r="J199" i="15"/>
  <c r="R106" i="15"/>
  <c r="J227" i="15"/>
  <c r="R77" i="15"/>
  <c r="J198" i="15"/>
  <c r="R104" i="15"/>
  <c r="J225" i="15"/>
  <c r="R75" i="15"/>
  <c r="J196" i="15"/>
  <c r="J202" i="15"/>
  <c r="R81" i="15"/>
  <c r="J211" i="15"/>
  <c r="R90" i="15"/>
  <c r="R107" i="15"/>
  <c r="J228" i="15"/>
  <c r="G22" i="17"/>
  <c r="H22" i="17" s="1"/>
  <c r="G53" i="17"/>
  <c r="H53" i="17" s="1"/>
  <c r="G48" i="17"/>
  <c r="H48" i="17" s="1"/>
  <c r="I98" i="15" s="1"/>
  <c r="B82" i="14" s="1"/>
  <c r="L82" i="14" s="1"/>
  <c r="G39" i="17"/>
  <c r="H39" i="17" s="1"/>
  <c r="G41" i="17"/>
  <c r="H41" i="17" s="1"/>
  <c r="I91" i="15" s="1"/>
  <c r="B75" i="14" s="1"/>
  <c r="R75" i="14" s="1"/>
  <c r="G42" i="17"/>
  <c r="H42" i="17" s="1"/>
  <c r="I92" i="15" s="1"/>
  <c r="B76" i="14" s="1"/>
  <c r="M76" i="14" s="1"/>
  <c r="G55" i="17"/>
  <c r="H55" i="17" s="1"/>
  <c r="I105" i="15" s="1"/>
  <c r="B89" i="14" s="1"/>
  <c r="D89" i="14" s="1"/>
  <c r="G43" i="17"/>
  <c r="H43" i="17" s="1"/>
  <c r="G24" i="17"/>
  <c r="H24" i="17" s="1"/>
  <c r="G35" i="17"/>
  <c r="H35" i="17" s="1"/>
  <c r="G28" i="17"/>
  <c r="H28" i="17" s="1"/>
  <c r="G47" i="17"/>
  <c r="H47" i="17" s="1"/>
  <c r="C108" i="6"/>
  <c r="E118" i="6" s="1"/>
  <c r="E124" i="6" s="1"/>
  <c r="C9" i="119" s="1"/>
  <c r="G40" i="17"/>
  <c r="H40" i="17" s="1"/>
  <c r="G26" i="17"/>
  <c r="H26" i="17" s="1"/>
  <c r="G25" i="17"/>
  <c r="H25" i="17" s="1"/>
  <c r="D105" i="34"/>
  <c r="E83" i="34" s="1"/>
  <c r="E84" i="34" s="1"/>
  <c r="C105" i="34"/>
  <c r="D83" i="34" s="1"/>
  <c r="E105" i="34"/>
  <c r="F83" i="34" s="1"/>
  <c r="F84" i="34" s="1"/>
  <c r="C42" i="34"/>
  <c r="C55" i="34" s="1"/>
  <c r="D52" i="34" s="1"/>
  <c r="S90" i="14"/>
  <c r="G90" i="14"/>
  <c r="V90" i="14"/>
  <c r="M90" i="14"/>
  <c r="I90" i="14"/>
  <c r="N90" i="14"/>
  <c r="W90" i="14"/>
  <c r="O90" i="14"/>
  <c r="P90" i="14"/>
  <c r="Q90" i="14"/>
  <c r="F90" i="14"/>
  <c r="C90" i="14"/>
  <c r="U90" i="14"/>
  <c r="H90" i="14"/>
  <c r="E90" i="14"/>
  <c r="L90" i="14"/>
  <c r="J90" i="14"/>
  <c r="K90" i="14"/>
  <c r="T90" i="14"/>
  <c r="D90" i="14"/>
  <c r="R90" i="14"/>
  <c r="I76" i="15" l="1"/>
  <c r="B60" i="14" s="1"/>
  <c r="L60" i="14" s="1"/>
  <c r="I81" i="15"/>
  <c r="B65" i="14" s="1"/>
  <c r="R65" i="14" s="1"/>
  <c r="I75" i="15"/>
  <c r="B59" i="14" s="1"/>
  <c r="D59" i="14" s="1"/>
  <c r="I82" i="15"/>
  <c r="B66" i="14" s="1"/>
  <c r="K66" i="14" s="1"/>
  <c r="I71" i="15"/>
  <c r="B55" i="14" s="1"/>
  <c r="J55" i="14" s="1"/>
  <c r="I77" i="15"/>
  <c r="B61" i="14" s="1"/>
  <c r="F61" i="14" s="1"/>
  <c r="I97" i="15"/>
  <c r="B81" i="14" s="1"/>
  <c r="D81" i="14" s="1"/>
  <c r="I90" i="15"/>
  <c r="B74" i="14" s="1"/>
  <c r="O74" i="14" s="1"/>
  <c r="I78" i="15"/>
  <c r="B62" i="14" s="1"/>
  <c r="G62" i="14" s="1"/>
  <c r="I85" i="15"/>
  <c r="B69" i="14" s="1"/>
  <c r="I69" i="14" s="1"/>
  <c r="I70" i="15"/>
  <c r="B54" i="14" s="1"/>
  <c r="Q54" i="14" s="1"/>
  <c r="I79" i="15"/>
  <c r="B63" i="14" s="1"/>
  <c r="K63" i="14" s="1"/>
  <c r="I87" i="15"/>
  <c r="B71" i="14" s="1"/>
  <c r="U71" i="14" s="1"/>
  <c r="I89" i="15"/>
  <c r="B73" i="14" s="1"/>
  <c r="L73" i="14" s="1"/>
  <c r="I88" i="15"/>
  <c r="B72" i="14" s="1"/>
  <c r="Q72" i="14" s="1"/>
  <c r="I83" i="15"/>
  <c r="B67" i="14" s="1"/>
  <c r="C67" i="14" s="1"/>
  <c r="I96" i="15"/>
  <c r="B80" i="14" s="1"/>
  <c r="N80" i="14" s="1"/>
  <c r="I103" i="15"/>
  <c r="B87" i="14" s="1"/>
  <c r="D87" i="14" s="1"/>
  <c r="I102" i="15"/>
  <c r="B86" i="14" s="1"/>
  <c r="H86" i="14" s="1"/>
  <c r="I101" i="15"/>
  <c r="B85" i="14" s="1"/>
  <c r="L85" i="14" s="1"/>
  <c r="I74" i="15"/>
  <c r="B58" i="14" s="1"/>
  <c r="E58" i="14" s="1"/>
  <c r="I72" i="15"/>
  <c r="B56" i="14" s="1"/>
  <c r="K56" i="14" s="1"/>
  <c r="I68" i="15"/>
  <c r="I66" i="15"/>
  <c r="I100" i="15"/>
  <c r="B84" i="14" s="1"/>
  <c r="G84" i="14" s="1"/>
  <c r="I93" i="15"/>
  <c r="B77" i="14" s="1"/>
  <c r="F77" i="14" s="1"/>
  <c r="I69" i="15"/>
  <c r="B53" i="14" s="1"/>
  <c r="C53" i="14" s="1"/>
  <c r="I67" i="15"/>
  <c r="B51" i="14" s="1"/>
  <c r="I84" i="15"/>
  <c r="B68" i="14" s="1"/>
  <c r="J68" i="14" s="1"/>
  <c r="I73" i="15"/>
  <c r="B57" i="14" s="1"/>
  <c r="S57" i="14" s="1"/>
  <c r="M91" i="14"/>
  <c r="G80" i="14"/>
  <c r="C80" i="14"/>
  <c r="F91" i="14"/>
  <c r="Q91" i="14"/>
  <c r="U91" i="14"/>
  <c r="T91" i="14"/>
  <c r="W91" i="14"/>
  <c r="B164" i="14" s="1"/>
  <c r="J91" i="14"/>
  <c r="E91" i="14"/>
  <c r="O91" i="14"/>
  <c r="C91" i="14"/>
  <c r="H91" i="14"/>
  <c r="N91" i="14"/>
  <c r="V91" i="14"/>
  <c r="B163" i="14" s="1"/>
  <c r="S91" i="14"/>
  <c r="L78" i="14"/>
  <c r="I78" i="14"/>
  <c r="T78" i="14"/>
  <c r="C78" i="14"/>
  <c r="I91" i="14"/>
  <c r="R91" i="14"/>
  <c r="P91" i="14"/>
  <c r="K91" i="14"/>
  <c r="L91" i="14"/>
  <c r="G91" i="14"/>
  <c r="S78" i="14"/>
  <c r="U82" i="14"/>
  <c r="K82" i="14"/>
  <c r="H78" i="14"/>
  <c r="J78" i="14"/>
  <c r="M78" i="14"/>
  <c r="K78" i="14"/>
  <c r="E78" i="14"/>
  <c r="S88" i="14"/>
  <c r="O78" i="14"/>
  <c r="N78" i="14"/>
  <c r="V78" i="14"/>
  <c r="F78" i="14"/>
  <c r="U78" i="14"/>
  <c r="D78" i="14"/>
  <c r="R78" i="14"/>
  <c r="W78" i="14"/>
  <c r="U79" i="14"/>
  <c r="R88" i="14"/>
  <c r="P79" i="14"/>
  <c r="M79" i="14"/>
  <c r="L72" i="14"/>
  <c r="P88" i="14"/>
  <c r="Q88" i="14"/>
  <c r="K79" i="14"/>
  <c r="K88" i="14"/>
  <c r="L88" i="14"/>
  <c r="O88" i="14"/>
  <c r="G88" i="14"/>
  <c r="W88" i="14"/>
  <c r="T88" i="14"/>
  <c r="V88" i="14"/>
  <c r="K72" i="14"/>
  <c r="F88" i="14"/>
  <c r="E71" i="14"/>
  <c r="S79" i="14"/>
  <c r="I88" i="14"/>
  <c r="J88" i="14"/>
  <c r="F79" i="14"/>
  <c r="N88" i="14"/>
  <c r="M88" i="14"/>
  <c r="I79" i="14"/>
  <c r="C88" i="14"/>
  <c r="L79" i="14"/>
  <c r="U88" i="14"/>
  <c r="R79" i="14"/>
  <c r="E88" i="14"/>
  <c r="D79" i="14"/>
  <c r="H79" i="14"/>
  <c r="V79" i="14"/>
  <c r="Q79" i="14"/>
  <c r="G79" i="14"/>
  <c r="K71" i="14"/>
  <c r="V71" i="14"/>
  <c r="T71" i="14"/>
  <c r="I71" i="14"/>
  <c r="W71" i="14"/>
  <c r="Q71" i="14"/>
  <c r="H71" i="14"/>
  <c r="D71" i="14"/>
  <c r="O71" i="14"/>
  <c r="N71" i="14"/>
  <c r="J71" i="14"/>
  <c r="S71" i="14"/>
  <c r="R71" i="14"/>
  <c r="P71" i="14"/>
  <c r="G71" i="14"/>
  <c r="C79" i="14"/>
  <c r="P78" i="14"/>
  <c r="Q78" i="14"/>
  <c r="H88" i="14"/>
  <c r="T79" i="14"/>
  <c r="G86" i="14"/>
  <c r="L86" i="14"/>
  <c r="O79" i="14"/>
  <c r="N79" i="14"/>
  <c r="E79" i="14"/>
  <c r="J79" i="14"/>
  <c r="S70" i="14"/>
  <c r="U70" i="14"/>
  <c r="P70" i="14"/>
  <c r="W70" i="14"/>
  <c r="L70" i="14"/>
  <c r="D70" i="14"/>
  <c r="Q70" i="14"/>
  <c r="C70" i="14"/>
  <c r="F70" i="14"/>
  <c r="E70" i="14"/>
  <c r="K70" i="14"/>
  <c r="O70" i="14"/>
  <c r="H70" i="14"/>
  <c r="M70" i="14"/>
  <c r="G70" i="14"/>
  <c r="I70" i="14"/>
  <c r="C64" i="14"/>
  <c r="L64" i="14"/>
  <c r="W64" i="14"/>
  <c r="C83" i="14"/>
  <c r="V83" i="14"/>
  <c r="R83" i="14"/>
  <c r="O83" i="14"/>
  <c r="P83" i="14"/>
  <c r="I83" i="14"/>
  <c r="R64" i="14"/>
  <c r="J83" i="14"/>
  <c r="F83" i="14"/>
  <c r="Q83" i="14"/>
  <c r="E83" i="14"/>
  <c r="T83" i="14"/>
  <c r="U83" i="14"/>
  <c r="D83" i="14"/>
  <c r="S83" i="14"/>
  <c r="K83" i="14"/>
  <c r="H83" i="14"/>
  <c r="L83" i="14"/>
  <c r="N83" i="14"/>
  <c r="W83" i="14"/>
  <c r="M83" i="14"/>
  <c r="G64" i="14"/>
  <c r="R70" i="14"/>
  <c r="Q64" i="14"/>
  <c r="P64" i="14"/>
  <c r="V64" i="14"/>
  <c r="M64" i="14"/>
  <c r="J64" i="14"/>
  <c r="U64" i="14"/>
  <c r="F64" i="14"/>
  <c r="G77" i="14"/>
  <c r="D64" i="14"/>
  <c r="S64" i="14"/>
  <c r="I64" i="14"/>
  <c r="O64" i="14"/>
  <c r="E77" i="14"/>
  <c r="N64" i="14"/>
  <c r="E64" i="14"/>
  <c r="K64" i="14"/>
  <c r="H64" i="14"/>
  <c r="N89" i="14"/>
  <c r="P89" i="14"/>
  <c r="U89" i="14"/>
  <c r="O77" i="14"/>
  <c r="P77" i="14"/>
  <c r="T77" i="14"/>
  <c r="K89" i="14"/>
  <c r="D77" i="14"/>
  <c r="R77" i="14"/>
  <c r="C77" i="14"/>
  <c r="W77" i="14"/>
  <c r="S89" i="14"/>
  <c r="S77" i="14"/>
  <c r="I89" i="14"/>
  <c r="L77" i="14"/>
  <c r="H77" i="14"/>
  <c r="L89" i="14"/>
  <c r="R89" i="14"/>
  <c r="F89" i="14"/>
  <c r="E89" i="14"/>
  <c r="O89" i="14"/>
  <c r="G89" i="14"/>
  <c r="M89" i="14"/>
  <c r="J89" i="14"/>
  <c r="Q74" i="14"/>
  <c r="E74" i="14"/>
  <c r="V74" i="14"/>
  <c r="K74" i="14"/>
  <c r="P74" i="14"/>
  <c r="N70" i="14"/>
  <c r="H74" i="14"/>
  <c r="Q77" i="14"/>
  <c r="H89" i="14"/>
  <c r="C89" i="14"/>
  <c r="U81" i="14"/>
  <c r="G81" i="14"/>
  <c r="N74" i="14"/>
  <c r="T89" i="14"/>
  <c r="C81" i="14"/>
  <c r="T70" i="14"/>
  <c r="N77" i="14"/>
  <c r="W89" i="14"/>
  <c r="V77" i="14"/>
  <c r="V81" i="14"/>
  <c r="J70" i="14"/>
  <c r="I77" i="14"/>
  <c r="M77" i="14"/>
  <c r="Q89" i="14"/>
  <c r="N87" i="14"/>
  <c r="J77" i="14"/>
  <c r="K77" i="14"/>
  <c r="U77" i="14"/>
  <c r="V89" i="14"/>
  <c r="M87" i="14"/>
  <c r="C87" i="14"/>
  <c r="Q87" i="14"/>
  <c r="I87" i="14"/>
  <c r="V87" i="14"/>
  <c r="J87" i="14"/>
  <c r="P87" i="14"/>
  <c r="E87" i="14"/>
  <c r="U87" i="14"/>
  <c r="F87" i="14"/>
  <c r="K87" i="14"/>
  <c r="R87" i="14"/>
  <c r="L87" i="14"/>
  <c r="T87" i="14"/>
  <c r="S87" i="14"/>
  <c r="G87" i="14"/>
  <c r="H87" i="14"/>
  <c r="O87" i="14"/>
  <c r="W87" i="14"/>
  <c r="S73" i="14"/>
  <c r="P82" i="14"/>
  <c r="M73" i="14"/>
  <c r="C82" i="14"/>
  <c r="Q73" i="14"/>
  <c r="I73" i="14"/>
  <c r="I82" i="14"/>
  <c r="F73" i="14"/>
  <c r="N73" i="14"/>
  <c r="E82" i="14"/>
  <c r="R73" i="14"/>
  <c r="O73" i="14"/>
  <c r="W82" i="14"/>
  <c r="H73" i="14"/>
  <c r="P73" i="14"/>
  <c r="T82" i="14"/>
  <c r="U73" i="14"/>
  <c r="Q82" i="14"/>
  <c r="T73" i="14"/>
  <c r="S82" i="14"/>
  <c r="D82" i="14"/>
  <c r="K73" i="14"/>
  <c r="V82" i="14"/>
  <c r="O82" i="14"/>
  <c r="W73" i="14"/>
  <c r="C73" i="14"/>
  <c r="F82" i="14"/>
  <c r="M82" i="14"/>
  <c r="D73" i="14"/>
  <c r="R82" i="14"/>
  <c r="G82" i="14"/>
  <c r="J73" i="14"/>
  <c r="H82" i="14"/>
  <c r="J82" i="14"/>
  <c r="G73" i="14"/>
  <c r="E73" i="14"/>
  <c r="N82" i="14"/>
  <c r="V73" i="14"/>
  <c r="J231" i="15"/>
  <c r="J232" i="15" s="1"/>
  <c r="J233" i="15" s="1"/>
  <c r="R114" i="15"/>
  <c r="W75" i="14"/>
  <c r="U75" i="14"/>
  <c r="G75" i="14"/>
  <c r="R116" i="15"/>
  <c r="R117" i="15" s="1"/>
  <c r="V48" i="119" s="1"/>
  <c r="E167" i="119" s="1"/>
  <c r="C75" i="14"/>
  <c r="N75" i="14"/>
  <c r="L76" i="14"/>
  <c r="F75" i="14"/>
  <c r="O75" i="14"/>
  <c r="I76" i="14"/>
  <c r="K75" i="14"/>
  <c r="V75" i="14"/>
  <c r="O76" i="14"/>
  <c r="S75" i="14"/>
  <c r="D75" i="14"/>
  <c r="V76" i="14"/>
  <c r="J75" i="14"/>
  <c r="J76" i="14"/>
  <c r="W76" i="14"/>
  <c r="H75" i="14"/>
  <c r="Q76" i="14"/>
  <c r="G76" i="14"/>
  <c r="I75" i="14"/>
  <c r="P76" i="14"/>
  <c r="C76" i="14"/>
  <c r="E76" i="14"/>
  <c r="P75" i="14"/>
  <c r="U76" i="14"/>
  <c r="D76" i="14"/>
  <c r="S76" i="14"/>
  <c r="T75" i="14"/>
  <c r="H76" i="14"/>
  <c r="R76" i="14"/>
  <c r="Q75" i="14"/>
  <c r="N76" i="14"/>
  <c r="L75" i="14"/>
  <c r="F76" i="14"/>
  <c r="E75" i="14"/>
  <c r="K76" i="14"/>
  <c r="M75" i="14"/>
  <c r="T76" i="14"/>
  <c r="R115" i="15"/>
  <c r="B125" i="15" s="1"/>
  <c r="G74" i="14"/>
  <c r="I74" i="14"/>
  <c r="R74" i="14"/>
  <c r="T74" i="14"/>
  <c r="J74" i="14"/>
  <c r="L74" i="14"/>
  <c r="W74" i="14"/>
  <c r="C74" i="14"/>
  <c r="D74" i="14"/>
  <c r="M74" i="14"/>
  <c r="F74" i="14"/>
  <c r="U74" i="14"/>
  <c r="S74" i="14"/>
  <c r="F81" i="14"/>
  <c r="L81" i="14"/>
  <c r="O81" i="14"/>
  <c r="E81" i="14"/>
  <c r="K81" i="14"/>
  <c r="J81" i="14"/>
  <c r="I81" i="14"/>
  <c r="H81" i="14"/>
  <c r="R81" i="14"/>
  <c r="T81" i="14"/>
  <c r="P81" i="14"/>
  <c r="W81" i="14"/>
  <c r="M81" i="14"/>
  <c r="N81" i="14"/>
  <c r="S81" i="14"/>
  <c r="Q81" i="14"/>
  <c r="E120" i="34"/>
  <c r="E121" i="34" s="1"/>
  <c r="F77" i="34" s="1"/>
  <c r="D42" i="34"/>
  <c r="D71" i="34"/>
  <c r="J60" i="14"/>
  <c r="E89" i="34"/>
  <c r="E90" i="34" s="1"/>
  <c r="C8" i="119"/>
  <c r="H199" i="119" s="1"/>
  <c r="D120" i="34"/>
  <c r="D121" i="34" s="1"/>
  <c r="E77" i="34" s="1"/>
  <c r="C120" i="34"/>
  <c r="C121" i="34" s="1"/>
  <c r="D77" i="34" s="1"/>
  <c r="C15" i="34"/>
  <c r="B51" i="15"/>
  <c r="H66" i="15" s="1"/>
  <c r="E71" i="34"/>
  <c r="F89" i="34"/>
  <c r="F90" i="34" s="1"/>
  <c r="F105" i="34"/>
  <c r="G83" i="34" s="1"/>
  <c r="G84" i="34" s="1"/>
  <c r="C71" i="34"/>
  <c r="B56" i="15"/>
  <c r="D84" i="34"/>
  <c r="E158" i="6" s="1"/>
  <c r="D89" i="34"/>
  <c r="I9" i="119"/>
  <c r="C97" i="119" s="1"/>
  <c r="D97" i="119" s="1"/>
  <c r="C96" i="119"/>
  <c r="D96" i="119" s="1"/>
  <c r="I199" i="119"/>
  <c r="H9" i="119"/>
  <c r="X90" i="14"/>
  <c r="F71" i="14" l="1"/>
  <c r="L71" i="14"/>
  <c r="C71" i="14"/>
  <c r="M71" i="14"/>
  <c r="F84" i="14"/>
  <c r="D84" i="14"/>
  <c r="Q84" i="14"/>
  <c r="J84" i="14"/>
  <c r="L84" i="14"/>
  <c r="H84" i="14"/>
  <c r="E84" i="14"/>
  <c r="E60" i="14"/>
  <c r="W60" i="14"/>
  <c r="G60" i="14"/>
  <c r="V60" i="14"/>
  <c r="H60" i="14"/>
  <c r="P60" i="14"/>
  <c r="D60" i="14"/>
  <c r="K60" i="14"/>
  <c r="Q60" i="14"/>
  <c r="O60" i="14"/>
  <c r="S60" i="14"/>
  <c r="T60" i="14"/>
  <c r="N60" i="14"/>
  <c r="U60" i="14"/>
  <c r="I60" i="14"/>
  <c r="M60" i="14"/>
  <c r="R60" i="14"/>
  <c r="C60" i="14"/>
  <c r="F60" i="14"/>
  <c r="K59" i="14"/>
  <c r="E59" i="14"/>
  <c r="S59" i="14"/>
  <c r="J59" i="14"/>
  <c r="W59" i="14"/>
  <c r="F59" i="14"/>
  <c r="O59" i="14"/>
  <c r="G59" i="14"/>
  <c r="Q59" i="14"/>
  <c r="N59" i="14"/>
  <c r="L59" i="14"/>
  <c r="R59" i="14"/>
  <c r="H59" i="14"/>
  <c r="T59" i="14"/>
  <c r="V59" i="14"/>
  <c r="J65" i="14"/>
  <c r="P65" i="14"/>
  <c r="S65" i="14"/>
  <c r="C65" i="14"/>
  <c r="E65" i="14"/>
  <c r="O65" i="14"/>
  <c r="T65" i="14"/>
  <c r="N65" i="14"/>
  <c r="H65" i="14"/>
  <c r="D65" i="14"/>
  <c r="I65" i="14"/>
  <c r="K65" i="14"/>
  <c r="U65" i="14"/>
  <c r="W65" i="14"/>
  <c r="Q65" i="14"/>
  <c r="L65" i="14"/>
  <c r="V65" i="14"/>
  <c r="T66" i="14"/>
  <c r="D66" i="14"/>
  <c r="P59" i="14"/>
  <c r="G66" i="14"/>
  <c r="I59" i="14"/>
  <c r="U59" i="14"/>
  <c r="M59" i="14"/>
  <c r="M65" i="14"/>
  <c r="F65" i="14"/>
  <c r="G65" i="14"/>
  <c r="C59" i="14"/>
  <c r="M66" i="14"/>
  <c r="K69" i="14"/>
  <c r="Q69" i="14"/>
  <c r="R69" i="14"/>
  <c r="J66" i="14"/>
  <c r="I66" i="14"/>
  <c r="O66" i="14"/>
  <c r="W66" i="14"/>
  <c r="H66" i="14"/>
  <c r="L66" i="14"/>
  <c r="S66" i="14"/>
  <c r="U66" i="14"/>
  <c r="E66" i="14"/>
  <c r="F66" i="14"/>
  <c r="C66" i="14"/>
  <c r="W62" i="14"/>
  <c r="N62" i="14"/>
  <c r="O62" i="14"/>
  <c r="O69" i="14"/>
  <c r="L69" i="14"/>
  <c r="H69" i="14"/>
  <c r="D69" i="14"/>
  <c r="T69" i="14"/>
  <c r="N69" i="14"/>
  <c r="P69" i="14"/>
  <c r="C69" i="14"/>
  <c r="S69" i="14"/>
  <c r="V66" i="14"/>
  <c r="Q66" i="14"/>
  <c r="R66" i="14"/>
  <c r="P66" i="14"/>
  <c r="N66" i="14"/>
  <c r="E62" i="14"/>
  <c r="F62" i="14"/>
  <c r="J62" i="14"/>
  <c r="T62" i="14"/>
  <c r="K62" i="14"/>
  <c r="P62" i="14"/>
  <c r="Q62" i="14"/>
  <c r="L62" i="14"/>
  <c r="M62" i="14"/>
  <c r="O68" i="14"/>
  <c r="N68" i="14"/>
  <c r="L68" i="14"/>
  <c r="U63" i="14"/>
  <c r="W63" i="14"/>
  <c r="F63" i="14"/>
  <c r="W61" i="14"/>
  <c r="N61" i="14"/>
  <c r="T55" i="14"/>
  <c r="T61" i="14"/>
  <c r="U55" i="14"/>
  <c r="L55" i="14"/>
  <c r="O61" i="14"/>
  <c r="Q61" i="14"/>
  <c r="O55" i="14"/>
  <c r="U61" i="14"/>
  <c r="I55" i="14"/>
  <c r="N55" i="14"/>
  <c r="M61" i="14"/>
  <c r="Q55" i="14"/>
  <c r="C55" i="14"/>
  <c r="P61" i="14"/>
  <c r="K55" i="14"/>
  <c r="D61" i="14"/>
  <c r="S55" i="14"/>
  <c r="S61" i="14"/>
  <c r="P55" i="14"/>
  <c r="E55" i="14"/>
  <c r="H61" i="14"/>
  <c r="F55" i="14"/>
  <c r="D55" i="14"/>
  <c r="C61" i="14"/>
  <c r="I61" i="14"/>
  <c r="G55" i="14"/>
  <c r="J61" i="14"/>
  <c r="V55" i="14"/>
  <c r="L61" i="14"/>
  <c r="H55" i="14"/>
  <c r="M55" i="14"/>
  <c r="G61" i="14"/>
  <c r="V68" i="14"/>
  <c r="U68" i="14"/>
  <c r="R68" i="14"/>
  <c r="P68" i="14"/>
  <c r="S68" i="14"/>
  <c r="D68" i="14"/>
  <c r="W68" i="14"/>
  <c r="T68" i="14"/>
  <c r="H68" i="14"/>
  <c r="M68" i="14"/>
  <c r="F68" i="14"/>
  <c r="Q68" i="14"/>
  <c r="G68" i="14"/>
  <c r="M63" i="14"/>
  <c r="S62" i="14"/>
  <c r="D62" i="14"/>
  <c r="V61" i="14"/>
  <c r="G69" i="14"/>
  <c r="I62" i="14"/>
  <c r="E61" i="14"/>
  <c r="U62" i="14"/>
  <c r="C62" i="14"/>
  <c r="M69" i="14"/>
  <c r="R62" i="14"/>
  <c r="V62" i="14"/>
  <c r="K61" i="14"/>
  <c r="H62" i="14"/>
  <c r="R61" i="14"/>
  <c r="M54" i="14"/>
  <c r="J54" i="14"/>
  <c r="E54" i="14"/>
  <c r="P54" i="14"/>
  <c r="R55" i="14"/>
  <c r="W55" i="14"/>
  <c r="K84" i="14"/>
  <c r="W84" i="14"/>
  <c r="D85" i="14"/>
  <c r="F67" i="14"/>
  <c r="H67" i="14"/>
  <c r="W67" i="14"/>
  <c r="D67" i="14"/>
  <c r="J63" i="14"/>
  <c r="T67" i="14"/>
  <c r="P63" i="14"/>
  <c r="I63" i="14"/>
  <c r="G63" i="14"/>
  <c r="S63" i="14"/>
  <c r="E63" i="14"/>
  <c r="R67" i="14"/>
  <c r="J67" i="14"/>
  <c r="U85" i="14"/>
  <c r="K67" i="14"/>
  <c r="G67" i="14"/>
  <c r="H54" i="14"/>
  <c r="Q63" i="14"/>
  <c r="U54" i="14"/>
  <c r="V54" i="14"/>
  <c r="C54" i="14"/>
  <c r="U67" i="14"/>
  <c r="C63" i="14"/>
  <c r="F69" i="14"/>
  <c r="E69" i="14"/>
  <c r="T54" i="14"/>
  <c r="F54" i="14"/>
  <c r="D54" i="14"/>
  <c r="E68" i="14"/>
  <c r="J69" i="14"/>
  <c r="H63" i="14"/>
  <c r="C68" i="14"/>
  <c r="U69" i="14"/>
  <c r="V69" i="14"/>
  <c r="D63" i="14"/>
  <c r="K68" i="14"/>
  <c r="I68" i="14"/>
  <c r="W69" i="14"/>
  <c r="T63" i="14"/>
  <c r="N54" i="14"/>
  <c r="K54" i="14"/>
  <c r="N63" i="14"/>
  <c r="S54" i="14"/>
  <c r="O54" i="14"/>
  <c r="W80" i="14"/>
  <c r="R80" i="14"/>
  <c r="L63" i="14"/>
  <c r="O80" i="14"/>
  <c r="R84" i="14"/>
  <c r="W54" i="14"/>
  <c r="M84" i="14"/>
  <c r="M80" i="14"/>
  <c r="U80" i="14"/>
  <c r="P84" i="14"/>
  <c r="L67" i="14"/>
  <c r="V67" i="14"/>
  <c r="P67" i="14"/>
  <c r="R63" i="14"/>
  <c r="R54" i="14"/>
  <c r="E67" i="14"/>
  <c r="Q67" i="14"/>
  <c r="I54" i="14"/>
  <c r="N67" i="14"/>
  <c r="G54" i="14"/>
  <c r="Q57" i="14"/>
  <c r="M57" i="14"/>
  <c r="C57" i="14"/>
  <c r="C84" i="14"/>
  <c r="O67" i="14"/>
  <c r="O84" i="14"/>
  <c r="T80" i="14"/>
  <c r="O63" i="14"/>
  <c r="V63" i="14"/>
  <c r="S67" i="14"/>
  <c r="M67" i="14"/>
  <c r="S84" i="14"/>
  <c r="U84" i="14"/>
  <c r="M53" i="14"/>
  <c r="I67" i="14"/>
  <c r="F58" i="14"/>
  <c r="L54" i="14"/>
  <c r="T58" i="14"/>
  <c r="V84" i="14"/>
  <c r="T57" i="14"/>
  <c r="N58" i="14"/>
  <c r="M72" i="14"/>
  <c r="P85" i="14"/>
  <c r="U72" i="14"/>
  <c r="H58" i="14"/>
  <c r="G58" i="14"/>
  <c r="L58" i="14"/>
  <c r="R85" i="14"/>
  <c r="P72" i="14"/>
  <c r="H85" i="14"/>
  <c r="E72" i="14"/>
  <c r="S58" i="14"/>
  <c r="S85" i="14"/>
  <c r="N72" i="14"/>
  <c r="R72" i="14"/>
  <c r="W72" i="14"/>
  <c r="D72" i="14"/>
  <c r="G85" i="14"/>
  <c r="F85" i="14"/>
  <c r="O72" i="14"/>
  <c r="T72" i="14"/>
  <c r="J85" i="14"/>
  <c r="E85" i="14"/>
  <c r="Q85" i="14"/>
  <c r="U58" i="14"/>
  <c r="C85" i="14"/>
  <c r="O85" i="14"/>
  <c r="K58" i="14"/>
  <c r="M58" i="14"/>
  <c r="V85" i="14"/>
  <c r="F72" i="14"/>
  <c r="I72" i="14"/>
  <c r="N85" i="14"/>
  <c r="I58" i="14"/>
  <c r="J72" i="14"/>
  <c r="W58" i="14"/>
  <c r="V58" i="14"/>
  <c r="V72" i="14"/>
  <c r="C72" i="14"/>
  <c r="J58" i="14"/>
  <c r="C58" i="14"/>
  <c r="T85" i="14"/>
  <c r="I85" i="14"/>
  <c r="S72" i="14"/>
  <c r="G72" i="14"/>
  <c r="S56" i="14"/>
  <c r="O58" i="14"/>
  <c r="D58" i="14"/>
  <c r="Q58" i="14"/>
  <c r="P58" i="14"/>
  <c r="W85" i="14"/>
  <c r="H72" i="14"/>
  <c r="K85" i="14"/>
  <c r="R58" i="14"/>
  <c r="M85" i="14"/>
  <c r="F57" i="14"/>
  <c r="D57" i="14"/>
  <c r="L57" i="14"/>
  <c r="G57" i="14"/>
  <c r="T56" i="14"/>
  <c r="N57" i="14"/>
  <c r="S80" i="14"/>
  <c r="H56" i="14"/>
  <c r="F80" i="14"/>
  <c r="Q80" i="14"/>
  <c r="L80" i="14"/>
  <c r="V80" i="14"/>
  <c r="I114" i="15"/>
  <c r="O57" i="14"/>
  <c r="U57" i="14"/>
  <c r="I57" i="14"/>
  <c r="D80" i="14"/>
  <c r="J80" i="14"/>
  <c r="V57" i="14"/>
  <c r="K80" i="14"/>
  <c r="H80" i="14"/>
  <c r="E80" i="14"/>
  <c r="M56" i="14"/>
  <c r="R56" i="14"/>
  <c r="D56" i="14"/>
  <c r="O56" i="14"/>
  <c r="E56" i="14"/>
  <c r="V56" i="14"/>
  <c r="U56" i="14"/>
  <c r="N56" i="14"/>
  <c r="L56" i="14"/>
  <c r="Q56" i="14"/>
  <c r="W56" i="14"/>
  <c r="P56" i="14"/>
  <c r="C56" i="14"/>
  <c r="P57" i="14"/>
  <c r="G56" i="14"/>
  <c r="F56" i="14"/>
  <c r="J56" i="14"/>
  <c r="I56" i="14"/>
  <c r="P80" i="14"/>
  <c r="I80" i="14"/>
  <c r="K57" i="14"/>
  <c r="N84" i="14"/>
  <c r="H57" i="14"/>
  <c r="J57" i="14"/>
  <c r="R57" i="14"/>
  <c r="I84" i="14"/>
  <c r="U86" i="14"/>
  <c r="C86" i="14"/>
  <c r="I86" i="14"/>
  <c r="S86" i="14"/>
  <c r="N86" i="14"/>
  <c r="K86" i="14"/>
  <c r="O86" i="14"/>
  <c r="B151" i="14" s="1"/>
  <c r="I115" i="15"/>
  <c r="P86" i="14"/>
  <c r="M86" i="14"/>
  <c r="E57" i="14"/>
  <c r="W57" i="14"/>
  <c r="W86" i="14"/>
  <c r="B159" i="14" s="1"/>
  <c r="Q53" i="14"/>
  <c r="I116" i="15"/>
  <c r="I117" i="15" s="1"/>
  <c r="O48" i="119" s="1"/>
  <c r="E160" i="119" s="1"/>
  <c r="Q86" i="14"/>
  <c r="S53" i="14"/>
  <c r="R86" i="14"/>
  <c r="F86" i="14"/>
  <c r="I53" i="14"/>
  <c r="R53" i="14"/>
  <c r="M51" i="14"/>
  <c r="L51" i="14"/>
  <c r="C51" i="14"/>
  <c r="T51" i="14"/>
  <c r="J51" i="14"/>
  <c r="R51" i="14"/>
  <c r="W51" i="14"/>
  <c r="Q51" i="14"/>
  <c r="V51" i="14"/>
  <c r="I51" i="14"/>
  <c r="E51" i="14"/>
  <c r="N51" i="14"/>
  <c r="D51" i="14"/>
  <c r="O51" i="14"/>
  <c r="P51" i="14"/>
  <c r="S51" i="14"/>
  <c r="U51" i="14"/>
  <c r="H51" i="14"/>
  <c r="G51" i="14"/>
  <c r="F51" i="14"/>
  <c r="K51" i="14"/>
  <c r="J86" i="14"/>
  <c r="E53" i="14"/>
  <c r="J53" i="14"/>
  <c r="H53" i="14"/>
  <c r="T86" i="14"/>
  <c r="B156" i="14" s="1"/>
  <c r="K53" i="14"/>
  <c r="G53" i="14"/>
  <c r="V86" i="14"/>
  <c r="N95" i="15"/>
  <c r="N66" i="15"/>
  <c r="J66" i="15" s="1"/>
  <c r="N67" i="15"/>
  <c r="E86" i="14"/>
  <c r="D86" i="14"/>
  <c r="D53" i="14"/>
  <c r="W53" i="14"/>
  <c r="N53" i="14"/>
  <c r="T84" i="14"/>
  <c r="F53" i="14"/>
  <c r="V53" i="14"/>
  <c r="U53" i="14"/>
  <c r="P53" i="14"/>
  <c r="L53" i="14"/>
  <c r="T53" i="14"/>
  <c r="O53" i="14"/>
  <c r="D142" i="119"/>
  <c r="B162" i="14"/>
  <c r="X91" i="14"/>
  <c r="B161" i="14"/>
  <c r="X88" i="14"/>
  <c r="X78" i="14"/>
  <c r="X71" i="14"/>
  <c r="X79" i="14"/>
  <c r="X83" i="14"/>
  <c r="X64" i="14"/>
  <c r="B160" i="14"/>
  <c r="X89" i="14"/>
  <c r="X77" i="14"/>
  <c r="X70" i="14"/>
  <c r="X87" i="14"/>
  <c r="X82" i="14"/>
  <c r="X73" i="14"/>
  <c r="X76" i="14"/>
  <c r="X74" i="14"/>
  <c r="X75" i="14"/>
  <c r="X81" i="14"/>
  <c r="F78" i="34"/>
  <c r="F80" i="34" s="1"/>
  <c r="N70" i="15"/>
  <c r="E78" i="34"/>
  <c r="E80" i="34" s="1"/>
  <c r="F120" i="34"/>
  <c r="F121" i="34" s="1"/>
  <c r="G77" i="34" s="1"/>
  <c r="H8" i="119"/>
  <c r="C92" i="119" s="1"/>
  <c r="D92" i="119" s="1"/>
  <c r="G65" i="15"/>
  <c r="H65" i="15"/>
  <c r="C93" i="119"/>
  <c r="D93" i="119" s="1"/>
  <c r="I8" i="119"/>
  <c r="H67" i="15"/>
  <c r="B53" i="15"/>
  <c r="B55" i="15" s="1"/>
  <c r="L85" i="15" s="1"/>
  <c r="B54" i="15"/>
  <c r="M85" i="15" s="1"/>
  <c r="N68" i="15"/>
  <c r="N83" i="15"/>
  <c r="N99" i="15"/>
  <c r="N91" i="15"/>
  <c r="N72" i="15"/>
  <c r="N80" i="15"/>
  <c r="N88" i="15"/>
  <c r="N79" i="15"/>
  <c r="N90" i="15"/>
  <c r="N103" i="15"/>
  <c r="N87" i="15"/>
  <c r="N94" i="15"/>
  <c r="J95" i="15" s="1"/>
  <c r="N105" i="15"/>
  <c r="N101" i="15"/>
  <c r="N86" i="15"/>
  <c r="N107" i="15"/>
  <c r="N82" i="15"/>
  <c r="N71" i="15"/>
  <c r="N84" i="15"/>
  <c r="N93" i="15"/>
  <c r="N102" i="15"/>
  <c r="N75" i="15"/>
  <c r="N92" i="15"/>
  <c r="N76" i="15"/>
  <c r="N85" i="15"/>
  <c r="N89" i="15"/>
  <c r="N69" i="15"/>
  <c r="N96" i="15"/>
  <c r="N100" i="15"/>
  <c r="N98" i="15"/>
  <c r="N74" i="15"/>
  <c r="N97" i="15"/>
  <c r="N81" i="15"/>
  <c r="N77" i="15"/>
  <c r="N73" i="15"/>
  <c r="N106" i="15"/>
  <c r="N78" i="15"/>
  <c r="N104" i="15"/>
  <c r="G89" i="34"/>
  <c r="D90" i="34"/>
  <c r="D78" i="34"/>
  <c r="D80" i="34" s="1"/>
  <c r="L107" i="119"/>
  <c r="C95" i="119"/>
  <c r="D95" i="119" s="1"/>
  <c r="X60" i="14" l="1"/>
  <c r="X59" i="14"/>
  <c r="X65" i="14"/>
  <c r="X66" i="14"/>
  <c r="G116" i="15"/>
  <c r="B132" i="14"/>
  <c r="C132" i="14" s="1"/>
  <c r="X61" i="14"/>
  <c r="X62" i="14"/>
  <c r="X55" i="14"/>
  <c r="B128" i="14"/>
  <c r="C128" i="14" s="1"/>
  <c r="E160" i="6"/>
  <c r="E161" i="6" s="1"/>
  <c r="B129" i="14"/>
  <c r="C129" i="14" s="1"/>
  <c r="X68" i="14"/>
  <c r="B127" i="14"/>
  <c r="C127" i="14" s="1"/>
  <c r="X69" i="14"/>
  <c r="B139" i="14"/>
  <c r="C139" i="14" s="1"/>
  <c r="X54" i="14"/>
  <c r="X63" i="14"/>
  <c r="B147" i="14"/>
  <c r="B158" i="14"/>
  <c r="X67" i="14"/>
  <c r="B125" i="14"/>
  <c r="C125" i="14" s="1"/>
  <c r="B130" i="14"/>
  <c r="C130" i="14" s="1"/>
  <c r="B122" i="14"/>
  <c r="C122" i="14" s="1"/>
  <c r="U98" i="15"/>
  <c r="U100" i="15"/>
  <c r="B157" i="14"/>
  <c r="U97" i="15"/>
  <c r="U96" i="15"/>
  <c r="U93" i="15"/>
  <c r="U90" i="15"/>
  <c r="B121" i="14"/>
  <c r="U95" i="15"/>
  <c r="B137" i="14"/>
  <c r="C137" i="14" s="1"/>
  <c r="B148" i="14"/>
  <c r="B153" i="14"/>
  <c r="X84" i="14"/>
  <c r="B152" i="14"/>
  <c r="B134" i="14"/>
  <c r="B138" i="14"/>
  <c r="C138" i="14" s="1"/>
  <c r="B155" i="14"/>
  <c r="B150" i="14"/>
  <c r="B149" i="14"/>
  <c r="B126" i="14"/>
  <c r="X72" i="14"/>
  <c r="B131" i="14"/>
  <c r="X58" i="14"/>
  <c r="B133" i="14"/>
  <c r="X85" i="14"/>
  <c r="B140" i="14"/>
  <c r="C140" i="14" s="1"/>
  <c r="B123" i="14"/>
  <c r="B146" i="14"/>
  <c r="X57" i="14"/>
  <c r="X80" i="14"/>
  <c r="B136" i="14"/>
  <c r="B124" i="14"/>
  <c r="B154" i="14"/>
  <c r="X56" i="14"/>
  <c r="J68" i="15"/>
  <c r="X86" i="14"/>
  <c r="B135" i="14"/>
  <c r="X53" i="14"/>
  <c r="M107" i="15"/>
  <c r="M105" i="15"/>
  <c r="M115" i="15" s="1"/>
  <c r="B120" i="15" s="1"/>
  <c r="L107" i="15"/>
  <c r="L105" i="15"/>
  <c r="X51" i="14"/>
  <c r="J67" i="15"/>
  <c r="U106" i="15"/>
  <c r="D120" i="119"/>
  <c r="D115" i="119"/>
  <c r="D135" i="119"/>
  <c r="D140" i="119"/>
  <c r="D106" i="119"/>
  <c r="D125" i="119"/>
  <c r="D130" i="119"/>
  <c r="J82" i="15"/>
  <c r="C14" i="13"/>
  <c r="E14" i="13" s="1"/>
  <c r="S65" i="15" s="1"/>
  <c r="G115" i="15"/>
  <c r="H114" i="15"/>
  <c r="G114" i="15"/>
  <c r="J99" i="15"/>
  <c r="J80" i="15"/>
  <c r="J101" i="15"/>
  <c r="H115" i="15"/>
  <c r="H116" i="15"/>
  <c r="H117" i="15" s="1"/>
  <c r="N48" i="119" s="1"/>
  <c r="E159" i="119" s="1"/>
  <c r="B44" i="14"/>
  <c r="J83" i="15"/>
  <c r="J100" i="15"/>
  <c r="J92" i="15"/>
  <c r="C94" i="119"/>
  <c r="D94" i="119" s="1"/>
  <c r="D117" i="119" s="1"/>
  <c r="L106" i="119"/>
  <c r="J91" i="15"/>
  <c r="J69" i="15"/>
  <c r="J89" i="15"/>
  <c r="J88" i="15"/>
  <c r="J87" i="15"/>
  <c r="J73" i="15"/>
  <c r="J72" i="15"/>
  <c r="J106" i="15"/>
  <c r="J94" i="15"/>
  <c r="J84" i="15"/>
  <c r="J79" i="15"/>
  <c r="J102" i="15"/>
  <c r="J93" i="15"/>
  <c r="J75" i="15"/>
  <c r="J76" i="15"/>
  <c r="J98" i="15"/>
  <c r="J86" i="15"/>
  <c r="J77" i="15"/>
  <c r="J103" i="15"/>
  <c r="J74" i="15"/>
  <c r="J71" i="15"/>
  <c r="J97" i="15"/>
  <c r="N116" i="15"/>
  <c r="N117" i="15" s="1"/>
  <c r="S48" i="119" s="1"/>
  <c r="E164" i="119" s="1"/>
  <c r="J90" i="15"/>
  <c r="N115" i="15"/>
  <c r="B121" i="15" s="1"/>
  <c r="N114" i="15"/>
  <c r="J70" i="15"/>
  <c r="J81" i="15"/>
  <c r="J96" i="15"/>
  <c r="J104" i="15"/>
  <c r="J78" i="15"/>
  <c r="G90" i="34"/>
  <c r="G78" i="34"/>
  <c r="G80" i="34" s="1"/>
  <c r="J85" i="15" l="1"/>
  <c r="U101" i="15"/>
  <c r="C133" i="14"/>
  <c r="U89" i="15"/>
  <c r="C121" i="14"/>
  <c r="U99" i="15"/>
  <c r="C131" i="14"/>
  <c r="U103" i="15"/>
  <c r="C135" i="14"/>
  <c r="U94" i="15"/>
  <c r="C126" i="14"/>
  <c r="U92" i="15"/>
  <c r="C124" i="14"/>
  <c r="U104" i="15"/>
  <c r="C136" i="14"/>
  <c r="U102" i="15"/>
  <c r="C134" i="14"/>
  <c r="U91" i="15"/>
  <c r="C123" i="14"/>
  <c r="L115" i="15"/>
  <c r="M114" i="15"/>
  <c r="B166" i="14"/>
  <c r="U107" i="15" s="1"/>
  <c r="M116" i="15"/>
  <c r="M117" i="15" s="1"/>
  <c r="R48" i="119" s="1"/>
  <c r="E163" i="119" s="1"/>
  <c r="L116" i="15"/>
  <c r="L118" i="15" s="1"/>
  <c r="M48" i="119" s="1"/>
  <c r="E157" i="119" s="1"/>
  <c r="J105" i="15"/>
  <c r="U105" i="15"/>
  <c r="B52" i="14"/>
  <c r="D52" i="14" s="1"/>
  <c r="B50" i="14"/>
  <c r="L114" i="15"/>
  <c r="D102" i="119"/>
  <c r="D101" i="119"/>
  <c r="D14" i="13"/>
  <c r="D132" i="119"/>
  <c r="D137" i="119"/>
  <c r="D105" i="119"/>
  <c r="D104" i="119"/>
  <c r="D122" i="119"/>
  <c r="D127" i="119"/>
  <c r="D103" i="119"/>
  <c r="G14" i="13"/>
  <c r="C15" i="13" s="1"/>
  <c r="J107" i="15"/>
  <c r="T65" i="15"/>
  <c r="J115" i="15" l="1"/>
  <c r="K52" i="14"/>
  <c r="Q52" i="14"/>
  <c r="G52" i="14"/>
  <c r="T52" i="14"/>
  <c r="E52" i="14"/>
  <c r="P52" i="14"/>
  <c r="W52" i="14"/>
  <c r="B120" i="14" s="1"/>
  <c r="C52" i="14"/>
  <c r="I52" i="14"/>
  <c r="U52" i="14"/>
  <c r="N52" i="14"/>
  <c r="S52" i="14"/>
  <c r="V52" i="14"/>
  <c r="B119" i="14" s="1"/>
  <c r="L52" i="14"/>
  <c r="R52" i="14"/>
  <c r="H52" i="14"/>
  <c r="O52" i="14"/>
  <c r="M52" i="14"/>
  <c r="F52" i="14"/>
  <c r="J52" i="14"/>
  <c r="Q50" i="14"/>
  <c r="T50" i="14"/>
  <c r="M50" i="14"/>
  <c r="O50" i="14"/>
  <c r="N50" i="14"/>
  <c r="E50" i="14"/>
  <c r="F50" i="14"/>
  <c r="B101" i="14" s="1"/>
  <c r="U69" i="15" s="1"/>
  <c r="L50" i="14"/>
  <c r="S50" i="14"/>
  <c r="W50" i="14"/>
  <c r="I50" i="14"/>
  <c r="R50" i="14"/>
  <c r="G50" i="14"/>
  <c r="C50" i="14"/>
  <c r="D50" i="14"/>
  <c r="B99" i="14" s="1"/>
  <c r="U67" i="15" s="1"/>
  <c r="K50" i="14"/>
  <c r="P50" i="14"/>
  <c r="V50" i="14"/>
  <c r="H50" i="14"/>
  <c r="J50" i="14"/>
  <c r="U50" i="14"/>
  <c r="G15" i="13"/>
  <c r="C16" i="13" s="1"/>
  <c r="E15" i="13"/>
  <c r="J114" i="15"/>
  <c r="J116" i="15"/>
  <c r="J117" i="15" s="1"/>
  <c r="P48" i="119" s="1"/>
  <c r="E161" i="119" s="1"/>
  <c r="V65" i="15"/>
  <c r="AC65" i="15"/>
  <c r="B104" i="14" l="1"/>
  <c r="U72" i="15" s="1"/>
  <c r="B117" i="14"/>
  <c r="B103" i="14"/>
  <c r="U71" i="15" s="1"/>
  <c r="B108" i="14"/>
  <c r="U76" i="15" s="1"/>
  <c r="B114" i="14"/>
  <c r="U82" i="15" s="1"/>
  <c r="B100" i="14"/>
  <c r="U68" i="15" s="1"/>
  <c r="B118" i="14"/>
  <c r="C118" i="14" s="1"/>
  <c r="U87" i="15"/>
  <c r="C119" i="14"/>
  <c r="U88" i="15"/>
  <c r="C120" i="14"/>
  <c r="U86" i="15"/>
  <c r="B113" i="14"/>
  <c r="U81" i="15" s="1"/>
  <c r="B116" i="14"/>
  <c r="U84" i="15" s="1"/>
  <c r="B102" i="14"/>
  <c r="U70" i="15" s="1"/>
  <c r="B111" i="14"/>
  <c r="U79" i="15" s="1"/>
  <c r="B106" i="14"/>
  <c r="U74" i="15" s="1"/>
  <c r="B112" i="14"/>
  <c r="U80" i="15" s="1"/>
  <c r="B105" i="14"/>
  <c r="U73" i="15" s="1"/>
  <c r="B110" i="14"/>
  <c r="U78" i="15" s="1"/>
  <c r="B115" i="14"/>
  <c r="U83" i="15" s="1"/>
  <c r="X52" i="14"/>
  <c r="B109" i="14"/>
  <c r="U77" i="15" s="1"/>
  <c r="B107" i="14"/>
  <c r="U75" i="15" s="1"/>
  <c r="X50" i="14"/>
  <c r="B98" i="14"/>
  <c r="U66" i="15" s="1"/>
  <c r="D15" i="13"/>
  <c r="S66" i="15"/>
  <c r="G16" i="13"/>
  <c r="C17" i="13" s="1"/>
  <c r="E16" i="13"/>
  <c r="X55" i="15"/>
  <c r="X57" i="15" s="1"/>
  <c r="X65" i="15"/>
  <c r="C141" i="14" l="1"/>
  <c r="U85" i="15" s="1"/>
  <c r="U115" i="15" s="1"/>
  <c r="B141" i="14"/>
  <c r="D16" i="13"/>
  <c r="S67" i="15"/>
  <c r="G17" i="13"/>
  <c r="C18" i="13" s="1"/>
  <c r="E17" i="13"/>
  <c r="AA65" i="15"/>
  <c r="Y65" i="15"/>
  <c r="U116" i="15" l="1"/>
  <c r="Y55" i="15" s="1"/>
  <c r="Y57" i="15" s="1"/>
  <c r="U114" i="15"/>
  <c r="D17" i="13"/>
  <c r="S68" i="15"/>
  <c r="G18" i="13"/>
  <c r="C19" i="13" s="1"/>
  <c r="E18" i="13"/>
  <c r="AB65" i="15"/>
  <c r="S69" i="15" l="1"/>
  <c r="D18" i="13"/>
  <c r="E19" i="13"/>
  <c r="G19" i="13"/>
  <c r="C20" i="13" s="1"/>
  <c r="E20" i="13" l="1"/>
  <c r="G20" i="13"/>
  <c r="C21" i="13" s="1"/>
  <c r="D19" i="13"/>
  <c r="S70" i="15"/>
  <c r="E21" i="13" l="1"/>
  <c r="G21" i="13"/>
  <c r="C22" i="13" s="1"/>
  <c r="S71" i="15"/>
  <c r="D20" i="13"/>
  <c r="G22" i="13" l="1"/>
  <c r="C23" i="13" s="1"/>
  <c r="E22" i="13"/>
  <c r="D21" i="13"/>
  <c r="S72" i="15"/>
  <c r="D22" i="13" l="1"/>
  <c r="S73" i="15"/>
  <c r="G23" i="13"/>
  <c r="C24" i="13" s="1"/>
  <c r="E23" i="13"/>
  <c r="E24" i="13" l="1"/>
  <c r="G24" i="13"/>
  <c r="C25" i="13" s="1"/>
  <c r="D23" i="13"/>
  <c r="S74" i="15"/>
  <c r="G25" i="13" l="1"/>
  <c r="C26" i="13" s="1"/>
  <c r="E25" i="13"/>
  <c r="S75" i="15"/>
  <c r="D24" i="13"/>
  <c r="S76" i="15" l="1"/>
  <c r="D25" i="13"/>
  <c r="E26" i="13"/>
  <c r="G26" i="13"/>
  <c r="C27" i="13" s="1"/>
  <c r="G27" i="13" l="1"/>
  <c r="C28" i="13" s="1"/>
  <c r="E27" i="13"/>
  <c r="S77" i="15"/>
  <c r="D26" i="13"/>
  <c r="D27" i="13" l="1"/>
  <c r="S78" i="15"/>
  <c r="G28" i="13"/>
  <c r="C29" i="13" s="1"/>
  <c r="E28" i="13"/>
  <c r="S79" i="15" l="1"/>
  <c r="D28" i="13"/>
  <c r="E29" i="13"/>
  <c r="G29" i="13"/>
  <c r="C30" i="13" s="1"/>
  <c r="D29" i="13" l="1"/>
  <c r="S80" i="15"/>
  <c r="E30" i="13"/>
  <c r="G30" i="13"/>
  <c r="C31" i="13" s="1"/>
  <c r="E31" i="13" l="1"/>
  <c r="G31" i="13"/>
  <c r="C32" i="13" s="1"/>
  <c r="S81" i="15"/>
  <c r="D30" i="13"/>
  <c r="E32" i="13" l="1"/>
  <c r="G32" i="13"/>
  <c r="C33" i="13" s="1"/>
  <c r="D31" i="13"/>
  <c r="S82" i="15"/>
  <c r="G33" i="13" l="1"/>
  <c r="C34" i="13" s="1"/>
  <c r="F34" i="13" s="1"/>
  <c r="Z85" i="15" s="1"/>
  <c r="E33" i="13"/>
  <c r="S83" i="15"/>
  <c r="D32" i="13"/>
  <c r="D33" i="13" l="1"/>
  <c r="S84" i="15"/>
  <c r="E34" i="13"/>
  <c r="G34" i="13"/>
  <c r="C35" i="13" s="1"/>
  <c r="D34" i="13" l="1"/>
  <c r="S85" i="15"/>
  <c r="G35" i="13"/>
  <c r="C36" i="13" s="1"/>
  <c r="E35" i="13"/>
  <c r="G36" i="13" l="1"/>
  <c r="C37" i="13" s="1"/>
  <c r="E36" i="13"/>
  <c r="D35" i="13"/>
  <c r="S86" i="15"/>
  <c r="D36" i="13" l="1"/>
  <c r="S87" i="15"/>
  <c r="E37" i="13"/>
  <c r="G37" i="13"/>
  <c r="C38" i="13" s="1"/>
  <c r="E38" i="13" l="1"/>
  <c r="G38" i="13"/>
  <c r="C39" i="13" s="1"/>
  <c r="D37" i="13"/>
  <c r="S88" i="15"/>
  <c r="E39" i="13" l="1"/>
  <c r="G39" i="13"/>
  <c r="C40" i="13" s="1"/>
  <c r="D38" i="13"/>
  <c r="S89" i="15"/>
  <c r="E40" i="13" l="1"/>
  <c r="G40" i="13"/>
  <c r="C41" i="13" s="1"/>
  <c r="D39" i="13"/>
  <c r="S90" i="15"/>
  <c r="G41" i="13" l="1"/>
  <c r="C42" i="13" s="1"/>
  <c r="E41" i="13"/>
  <c r="D40" i="13"/>
  <c r="S91" i="15"/>
  <c r="D41" i="13" l="1"/>
  <c r="S92" i="15"/>
  <c r="E42" i="13"/>
  <c r="G42" i="13"/>
  <c r="C43" i="13" s="1"/>
  <c r="D42" i="13" l="1"/>
  <c r="S93" i="15"/>
  <c r="E43" i="13"/>
  <c r="G43" i="13"/>
  <c r="C44" i="13" s="1"/>
  <c r="E44" i="13" l="1"/>
  <c r="G44" i="13"/>
  <c r="C45" i="13" s="1"/>
  <c r="S94" i="15"/>
  <c r="D43" i="13"/>
  <c r="G45" i="13" l="1"/>
  <c r="C46" i="13" s="1"/>
  <c r="E45" i="13"/>
  <c r="S95" i="15"/>
  <c r="D44" i="13"/>
  <c r="D45" i="13" l="1"/>
  <c r="S96" i="15"/>
  <c r="G46" i="13"/>
  <c r="C47" i="13" s="1"/>
  <c r="E46" i="13"/>
  <c r="S97" i="15" l="1"/>
  <c r="D46" i="13"/>
  <c r="E47" i="13"/>
  <c r="G47" i="13"/>
  <c r="C48" i="13" s="1"/>
  <c r="E48" i="13" l="1"/>
  <c r="G48" i="13"/>
  <c r="C49" i="13" s="1"/>
  <c r="S98" i="15"/>
  <c r="D47" i="13"/>
  <c r="E49" i="13" l="1"/>
  <c r="G49" i="13"/>
  <c r="C50" i="13" s="1"/>
  <c r="D48" i="13"/>
  <c r="S99" i="15"/>
  <c r="E50" i="13" l="1"/>
  <c r="G50" i="13"/>
  <c r="C51" i="13" s="1"/>
  <c r="D49" i="13"/>
  <c r="S100" i="15"/>
  <c r="G51" i="13" l="1"/>
  <c r="C52" i="13" s="1"/>
  <c r="E51" i="13"/>
  <c r="D50" i="13"/>
  <c r="S101" i="15"/>
  <c r="S102" i="15" l="1"/>
  <c r="D51" i="13"/>
  <c r="G52" i="13"/>
  <c r="C53" i="13" s="1"/>
  <c r="E52" i="13"/>
  <c r="E53" i="13" l="1"/>
  <c r="G53" i="13"/>
  <c r="C54" i="13" s="1"/>
  <c r="F54" i="13" s="1"/>
  <c r="Z105" i="15" s="1"/>
  <c r="S103" i="15"/>
  <c r="D52" i="13"/>
  <c r="E54" i="13" l="1"/>
  <c r="G54" i="13"/>
  <c r="C55" i="13" s="1"/>
  <c r="D53" i="13"/>
  <c r="S104" i="15"/>
  <c r="E55" i="13" l="1"/>
  <c r="G55" i="13"/>
  <c r="C56" i="13" s="1"/>
  <c r="S105" i="15"/>
  <c r="D54" i="13"/>
  <c r="E56" i="13" l="1"/>
  <c r="F56" i="13"/>
  <c r="Z107" i="15" s="1"/>
  <c r="D55" i="13"/>
  <c r="S106" i="15"/>
  <c r="Z116" i="15" l="1"/>
  <c r="Z114" i="15"/>
  <c r="Z115" i="15"/>
  <c r="G56" i="13"/>
  <c r="D56" i="13"/>
  <c r="S107" i="15"/>
  <c r="S114" i="15" l="1"/>
  <c r="S116" i="15"/>
  <c r="S115" i="15"/>
  <c r="B119" i="15" s="1"/>
  <c r="Z117" i="15"/>
  <c r="Y48" i="119" s="1"/>
  <c r="E170" i="119" s="1"/>
  <c r="Z55" i="15"/>
  <c r="Z57" i="15" s="1"/>
  <c r="C122" i="15" l="1"/>
  <c r="D22" i="34" s="1"/>
  <c r="C121" i="15"/>
  <c r="D21" i="34" s="1"/>
  <c r="C125" i="15"/>
  <c r="D25" i="34" s="1"/>
  <c r="C124" i="15"/>
  <c r="D24" i="34" s="1"/>
  <c r="C123" i="15"/>
  <c r="D23" i="34" s="1"/>
  <c r="C119" i="15"/>
  <c r="D19" i="34" s="1"/>
  <c r="C120" i="15"/>
  <c r="D20" i="34" s="1"/>
  <c r="S117" i="15"/>
  <c r="W48" i="119" s="1"/>
  <c r="E168" i="119" s="1"/>
  <c r="AA55" i="15"/>
  <c r="AA57" i="15" s="1"/>
  <c r="X60" i="15" s="1"/>
  <c r="E17" i="15" l="1"/>
  <c r="F66" i="15" l="1"/>
  <c r="T66" i="15" s="1"/>
  <c r="F67" i="15"/>
  <c r="T67" i="15" s="1"/>
  <c r="F87" i="15"/>
  <c r="T87" i="15" s="1"/>
  <c r="F75" i="15"/>
  <c r="T75" i="15" s="1"/>
  <c r="F76" i="15"/>
  <c r="T76" i="15" s="1"/>
  <c r="F107" i="15"/>
  <c r="T107" i="15" s="1"/>
  <c r="F103" i="15"/>
  <c r="T103" i="15" s="1"/>
  <c r="F101" i="15"/>
  <c r="T101" i="15" s="1"/>
  <c r="F92" i="15"/>
  <c r="T92" i="15" s="1"/>
  <c r="F73" i="15"/>
  <c r="T73" i="15" s="1"/>
  <c r="F105" i="15"/>
  <c r="T105" i="15" s="1"/>
  <c r="F80" i="15"/>
  <c r="T80" i="15" s="1"/>
  <c r="F89" i="15"/>
  <c r="T89" i="15" s="1"/>
  <c r="F78" i="15"/>
  <c r="T78" i="15" s="1"/>
  <c r="F93" i="15"/>
  <c r="T93" i="15" s="1"/>
  <c r="F74" i="15"/>
  <c r="T74" i="15" s="1"/>
  <c r="F102" i="15"/>
  <c r="T102" i="15" s="1"/>
  <c r="F79" i="15"/>
  <c r="T79" i="15" s="1"/>
  <c r="F83" i="15"/>
  <c r="T83" i="15" s="1"/>
  <c r="F95" i="15"/>
  <c r="T95" i="15" s="1"/>
  <c r="F71" i="15"/>
  <c r="T71" i="15" s="1"/>
  <c r="F90" i="15"/>
  <c r="T90" i="15" s="1"/>
  <c r="F69" i="15"/>
  <c r="T69" i="15" s="1"/>
  <c r="F91" i="15"/>
  <c r="T91" i="15" s="1"/>
  <c r="F70" i="15"/>
  <c r="T70" i="15" s="1"/>
  <c r="F97" i="15"/>
  <c r="T97" i="15" s="1"/>
  <c r="F94" i="15"/>
  <c r="T94" i="15" s="1"/>
  <c r="E16" i="15"/>
  <c r="F85" i="15"/>
  <c r="T85" i="15" s="1"/>
  <c r="F72" i="15"/>
  <c r="T72" i="15" s="1"/>
  <c r="F68" i="15"/>
  <c r="F98" i="15"/>
  <c r="T98" i="15" s="1"/>
  <c r="F104" i="15"/>
  <c r="T104" i="15" s="1"/>
  <c r="F82" i="15"/>
  <c r="T82" i="15" s="1"/>
  <c r="F88" i="15"/>
  <c r="T88" i="15" s="1"/>
  <c r="F96" i="15"/>
  <c r="T96" i="15" s="1"/>
  <c r="F106" i="15"/>
  <c r="T106" i="15" s="1"/>
  <c r="F84" i="15"/>
  <c r="T84" i="15" s="1"/>
  <c r="F99" i="15"/>
  <c r="T99" i="15" s="1"/>
  <c r="F81" i="15"/>
  <c r="T81" i="15" s="1"/>
  <c r="F86" i="15"/>
  <c r="T86" i="15" s="1"/>
  <c r="F100" i="15"/>
  <c r="T100" i="15" s="1"/>
  <c r="F77" i="15"/>
  <c r="T77" i="15" s="1"/>
  <c r="AC67" i="15" l="1"/>
  <c r="V67" i="15"/>
  <c r="X67" i="15" s="1"/>
  <c r="Y67" i="15" s="1"/>
  <c r="V66" i="15"/>
  <c r="X66" i="15" s="1"/>
  <c r="AA66" i="15" s="1"/>
  <c r="AB66" i="15" s="1"/>
  <c r="AC66" i="15"/>
  <c r="AC79" i="15"/>
  <c r="V79" i="15"/>
  <c r="X79" i="15" s="1"/>
  <c r="AA79" i="15" s="1"/>
  <c r="T68" i="15"/>
  <c r="F116" i="15"/>
  <c r="F118" i="15" s="1"/>
  <c r="F114" i="15"/>
  <c r="F115" i="15"/>
  <c r="AC89" i="15"/>
  <c r="V89" i="15"/>
  <c r="X89" i="15" s="1"/>
  <c r="Y89" i="15" s="1"/>
  <c r="V74" i="15"/>
  <c r="X74" i="15" s="1"/>
  <c r="AA74" i="15" s="1"/>
  <c r="AC74" i="15"/>
  <c r="D120" i="15"/>
  <c r="C20" i="34" s="1"/>
  <c r="D122" i="15"/>
  <c r="C22" i="34" s="1"/>
  <c r="D124" i="15"/>
  <c r="C24" i="34" s="1"/>
  <c r="D121" i="15"/>
  <c r="C21" i="34" s="1"/>
  <c r="D125" i="15"/>
  <c r="C25" i="34" s="1"/>
  <c r="D123" i="15"/>
  <c r="C23" i="34" s="1"/>
  <c r="D119" i="15"/>
  <c r="C19" i="34" s="1"/>
  <c r="AC80" i="15"/>
  <c r="V80" i="15"/>
  <c r="X80" i="15" s="1"/>
  <c r="Y80" i="15" s="1"/>
  <c r="V78" i="15"/>
  <c r="X78" i="15" s="1"/>
  <c r="Y78" i="15" s="1"/>
  <c r="AC78" i="15"/>
  <c r="V105" i="15"/>
  <c r="X105" i="15" s="1"/>
  <c r="Y105" i="15" s="1"/>
  <c r="AC105" i="15"/>
  <c r="V82" i="15"/>
  <c r="X82" i="15" s="1"/>
  <c r="Y82" i="15" s="1"/>
  <c r="AC82" i="15"/>
  <c r="V73" i="15"/>
  <c r="X73" i="15" s="1"/>
  <c r="Y73" i="15" s="1"/>
  <c r="AC73" i="15"/>
  <c r="AC77" i="15"/>
  <c r="V77" i="15"/>
  <c r="X77" i="15" s="1"/>
  <c r="Y77" i="15" s="1"/>
  <c r="V70" i="15"/>
  <c r="X70" i="15" s="1"/>
  <c r="Y70" i="15" s="1"/>
  <c r="AC70" i="15"/>
  <c r="V92" i="15"/>
  <c r="X92" i="15" s="1"/>
  <c r="AA92" i="15" s="1"/>
  <c r="AC92" i="15"/>
  <c r="AC102" i="15"/>
  <c r="V102" i="15"/>
  <c r="X102" i="15" s="1"/>
  <c r="Y102" i="15" s="1"/>
  <c r="AC100" i="15"/>
  <c r="V100" i="15"/>
  <c r="X100" i="15" s="1"/>
  <c r="Y100" i="15" s="1"/>
  <c r="AC91" i="15"/>
  <c r="V91" i="15"/>
  <c r="X91" i="15" s="1"/>
  <c r="Y91" i="15" s="1"/>
  <c r="AC101" i="15"/>
  <c r="V101" i="15"/>
  <c r="X101" i="15" s="1"/>
  <c r="Y101" i="15" s="1"/>
  <c r="V72" i="15"/>
  <c r="X72" i="15" s="1"/>
  <c r="Y72" i="15" s="1"/>
  <c r="AC72" i="15"/>
  <c r="V86" i="15"/>
  <c r="X86" i="15" s="1"/>
  <c r="AA86" i="15" s="1"/>
  <c r="AC86" i="15"/>
  <c r="AC69" i="15"/>
  <c r="V69" i="15"/>
  <c r="X69" i="15" s="1"/>
  <c r="Y69" i="15" s="1"/>
  <c r="V103" i="15"/>
  <c r="X103" i="15" s="1"/>
  <c r="Y103" i="15" s="1"/>
  <c r="AC103" i="15"/>
  <c r="AC93" i="15"/>
  <c r="V93" i="15"/>
  <c r="X93" i="15" s="1"/>
  <c r="Y93" i="15" s="1"/>
  <c r="V97" i="15"/>
  <c r="X97" i="15" s="1"/>
  <c r="Y97" i="15" s="1"/>
  <c r="AC97" i="15"/>
  <c r="AC84" i="15"/>
  <c r="V84" i="15"/>
  <c r="X84" i="15" s="1"/>
  <c r="Y84" i="15" s="1"/>
  <c r="V90" i="15"/>
  <c r="X90" i="15" s="1"/>
  <c r="Y90" i="15" s="1"/>
  <c r="AC90" i="15"/>
  <c r="V107" i="15"/>
  <c r="X107" i="15" s="1"/>
  <c r="Y107" i="15" s="1"/>
  <c r="AC107" i="15"/>
  <c r="V94" i="15"/>
  <c r="X94" i="15" s="1"/>
  <c r="Y94" i="15" s="1"/>
  <c r="AC94" i="15"/>
  <c r="V81" i="15"/>
  <c r="X81" i="15" s="1"/>
  <c r="Y81" i="15" s="1"/>
  <c r="AC81" i="15"/>
  <c r="V106" i="15"/>
  <c r="X106" i="15" s="1"/>
  <c r="Y106" i="15" s="1"/>
  <c r="AC106" i="15"/>
  <c r="V71" i="15"/>
  <c r="X71" i="15" s="1"/>
  <c r="Y71" i="15" s="1"/>
  <c r="AC71" i="15"/>
  <c r="V76" i="15"/>
  <c r="X76" i="15" s="1"/>
  <c r="Y76" i="15" s="1"/>
  <c r="AC76" i="15"/>
  <c r="V104" i="15"/>
  <c r="X104" i="15" s="1"/>
  <c r="Y104" i="15" s="1"/>
  <c r="AC104" i="15"/>
  <c r="AC85" i="15"/>
  <c r="V85" i="15"/>
  <c r="X85" i="15" s="1"/>
  <c r="Y85" i="15" s="1"/>
  <c r="V99" i="15"/>
  <c r="X99" i="15" s="1"/>
  <c r="Y99" i="15" s="1"/>
  <c r="AC99" i="15"/>
  <c r="V96" i="15"/>
  <c r="X96" i="15" s="1"/>
  <c r="Y96" i="15" s="1"/>
  <c r="AC96" i="15"/>
  <c r="AC95" i="15"/>
  <c r="V95" i="15"/>
  <c r="X95" i="15" s="1"/>
  <c r="Y95" i="15" s="1"/>
  <c r="AC75" i="15"/>
  <c r="V75" i="15"/>
  <c r="X75" i="15" s="1"/>
  <c r="Y75" i="15" s="1"/>
  <c r="AC98" i="15"/>
  <c r="V98" i="15"/>
  <c r="X98" i="15" s="1"/>
  <c r="Y98" i="15" s="1"/>
  <c r="AC88" i="15"/>
  <c r="V88" i="15"/>
  <c r="X88" i="15" s="1"/>
  <c r="Y88" i="15" s="1"/>
  <c r="AC83" i="15"/>
  <c r="V83" i="15"/>
  <c r="X83" i="15" s="1"/>
  <c r="Y83" i="15" s="1"/>
  <c r="AC87" i="15"/>
  <c r="V87" i="15"/>
  <c r="X87" i="15" s="1"/>
  <c r="Y87" i="15" s="1"/>
  <c r="Y66" i="15" l="1"/>
  <c r="AA67" i="15"/>
  <c r="AB67" i="15" s="1"/>
  <c r="AA91" i="15"/>
  <c r="AA103" i="15"/>
  <c r="AA106" i="15"/>
  <c r="AA78" i="15"/>
  <c r="AA90" i="15"/>
  <c r="AA94" i="15"/>
  <c r="AA72" i="15"/>
  <c r="AA82" i="15"/>
  <c r="AA70" i="15"/>
  <c r="AA93" i="15"/>
  <c r="Y74" i="15"/>
  <c r="AA69" i="15"/>
  <c r="AA105" i="15"/>
  <c r="AA102" i="15"/>
  <c r="AA95" i="15"/>
  <c r="AA71" i="15"/>
  <c r="Y86" i="15"/>
  <c r="AA84" i="15"/>
  <c r="AA104" i="15"/>
  <c r="AA96" i="15"/>
  <c r="AA97" i="15"/>
  <c r="AA75" i="15"/>
  <c r="AA83" i="15"/>
  <c r="AA99" i="15"/>
  <c r="AA81" i="15"/>
  <c r="AA101" i="15"/>
  <c r="AA87" i="15"/>
  <c r="Y92" i="15"/>
  <c r="AA89" i="15"/>
  <c r="AA85" i="15"/>
  <c r="AA80" i="15"/>
  <c r="AA77" i="15"/>
  <c r="K48" i="119"/>
  <c r="E155" i="119" s="1"/>
  <c r="AG118" i="15"/>
  <c r="AA88" i="15"/>
  <c r="C26" i="34"/>
  <c r="V68" i="15"/>
  <c r="T114" i="15"/>
  <c r="T115" i="15"/>
  <c r="T116" i="15"/>
  <c r="AC68" i="15"/>
  <c r="AA107" i="15"/>
  <c r="AA73" i="15"/>
  <c r="Y79" i="15"/>
  <c r="AA98" i="15"/>
  <c r="AA76" i="15"/>
  <c r="AA100" i="15"/>
  <c r="AC116" i="15" l="1"/>
  <c r="E21" i="15"/>
  <c r="E19" i="15" s="1"/>
  <c r="AC115" i="15"/>
  <c r="AC114" i="15"/>
  <c r="V114" i="15"/>
  <c r="V116" i="15"/>
  <c r="X68" i="15"/>
  <c r="V115" i="15"/>
  <c r="F155" i="119"/>
  <c r="F157" i="119"/>
  <c r="F156" i="119"/>
  <c r="H155" i="119" l="1"/>
  <c r="K155" i="119" s="1"/>
  <c r="I155" i="119"/>
  <c r="L155" i="119" s="1"/>
  <c r="H157" i="119"/>
  <c r="K157" i="119" s="1"/>
  <c r="H156" i="119"/>
  <c r="K156" i="119" s="1"/>
  <c r="I157" i="119"/>
  <c r="L157" i="119" s="1"/>
  <c r="N157" i="119" s="1"/>
  <c r="I156" i="119"/>
  <c r="L156" i="119" s="1"/>
  <c r="X114" i="15"/>
  <c r="X115" i="15"/>
  <c r="X116" i="15"/>
  <c r="X117" i="15" s="1"/>
  <c r="AA68" i="15"/>
  <c r="Y68" i="15"/>
  <c r="Y114" i="15" l="1"/>
  <c r="Y115" i="15"/>
  <c r="Y116" i="15"/>
  <c r="AB68" i="15"/>
  <c r="AA116" i="15"/>
  <c r="AA115" i="15"/>
  <c r="AA114" i="15"/>
  <c r="E26" i="15"/>
  <c r="H17" i="6" s="1"/>
  <c r="E20" i="15"/>
  <c r="E18" i="15" s="1"/>
  <c r="AG117" i="15"/>
  <c r="X48" i="119"/>
  <c r="E169" i="119" s="1"/>
  <c r="N156" i="119"/>
  <c r="L171" i="119"/>
  <c r="N155" i="119"/>
  <c r="AB69" i="15" l="1"/>
  <c r="AB70" i="15" s="1"/>
  <c r="AB71" i="15" s="1"/>
  <c r="AB72" i="15" s="1"/>
  <c r="AB73" i="15" s="1"/>
  <c r="AB74" i="15" s="1"/>
  <c r="AB75" i="15" s="1"/>
  <c r="AB76" i="15" s="1"/>
  <c r="AB77" i="15" s="1"/>
  <c r="AB78" i="15" s="1"/>
  <c r="AB79" i="15" s="1"/>
  <c r="AB80" i="15" s="1"/>
  <c r="AB81" i="15" s="1"/>
  <c r="AB82" i="15" s="1"/>
  <c r="AB83" i="15" s="1"/>
  <c r="AB84" i="15" s="1"/>
  <c r="AB85" i="15" s="1"/>
  <c r="AB86" i="15" s="1"/>
  <c r="AB87" i="15" s="1"/>
  <c r="AB88" i="15" s="1"/>
  <c r="AB89" i="15" s="1"/>
  <c r="AB90" i="15" s="1"/>
  <c r="AB91" i="15" s="1"/>
  <c r="AB92" i="15" s="1"/>
  <c r="AB93" i="15" s="1"/>
  <c r="AB94" i="15" s="1"/>
  <c r="AB95" i="15" s="1"/>
  <c r="AB96" i="15" s="1"/>
  <c r="AB97" i="15" s="1"/>
  <c r="AB98" i="15" s="1"/>
  <c r="AB99" i="15" s="1"/>
  <c r="AB100" i="15" s="1"/>
  <c r="AB101" i="15" s="1"/>
  <c r="AB102" i="15" s="1"/>
  <c r="AB103" i="15" s="1"/>
  <c r="AB104" i="15" s="1"/>
  <c r="AB105" i="15" s="1"/>
  <c r="AB106" i="15" s="1"/>
  <c r="AB107" i="15" s="1"/>
  <c r="F164" i="119"/>
  <c r="F170" i="119"/>
  <c r="F167" i="119"/>
  <c r="F163" i="119"/>
  <c r="F166" i="119"/>
  <c r="F161" i="119"/>
  <c r="F162" i="119"/>
  <c r="F160" i="119"/>
  <c r="F159" i="119"/>
  <c r="F168" i="119"/>
  <c r="F169" i="119"/>
  <c r="F165" i="119"/>
  <c r="H168" i="119" l="1"/>
  <c r="K168" i="119" s="1"/>
  <c r="I166" i="119"/>
  <c r="M166" i="119" s="1"/>
  <c r="I169" i="119"/>
  <c r="M169" i="119" s="1"/>
  <c r="H170" i="119"/>
  <c r="K170" i="119" s="1"/>
  <c r="H164" i="119"/>
  <c r="K164" i="119" s="1"/>
  <c r="I165" i="119"/>
  <c r="M165" i="119" s="1"/>
  <c r="H165" i="119"/>
  <c r="K165" i="119" s="1"/>
  <c r="I168" i="119"/>
  <c r="M168" i="119" s="1"/>
  <c r="H162" i="119"/>
  <c r="K162" i="119" s="1"/>
  <c r="I161" i="119"/>
  <c r="M161" i="119" s="1"/>
  <c r="I163" i="119"/>
  <c r="M163" i="119" s="1"/>
  <c r="I162" i="119"/>
  <c r="M162" i="119" s="1"/>
  <c r="H166" i="119"/>
  <c r="K166" i="119" s="1"/>
  <c r="H159" i="119"/>
  <c r="K159" i="119" s="1"/>
  <c r="H167" i="119"/>
  <c r="K167" i="119" s="1"/>
  <c r="H160" i="119"/>
  <c r="K160" i="119" s="1"/>
  <c r="I159" i="119"/>
  <c r="M159" i="119" s="1"/>
  <c r="I160" i="119"/>
  <c r="M160" i="119" s="1"/>
  <c r="H169" i="119"/>
  <c r="K169" i="119" s="1"/>
  <c r="I164" i="119"/>
  <c r="M164" i="119" s="1"/>
  <c r="I167" i="119"/>
  <c r="M167" i="119" s="1"/>
  <c r="H161" i="119"/>
  <c r="K161" i="119" s="1"/>
  <c r="I170" i="119"/>
  <c r="M170" i="119" s="1"/>
  <c r="H163" i="119"/>
  <c r="K163" i="119" s="1"/>
  <c r="AB115" i="15"/>
  <c r="AB116" i="15"/>
  <c r="AB114" i="15"/>
  <c r="N168" i="119" l="1"/>
  <c r="N170" i="119"/>
  <c r="N163" i="119"/>
  <c r="N164" i="119"/>
  <c r="N161" i="119"/>
  <c r="N165" i="119"/>
  <c r="N167" i="119"/>
  <c r="N169" i="119"/>
  <c r="N160" i="119"/>
  <c r="N166" i="119"/>
  <c r="N162" i="119"/>
  <c r="M171" i="119"/>
  <c r="N171" i="119" s="1"/>
  <c r="N159" i="1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NREL</author>
  </authors>
  <commentList>
    <comment ref="D18" authorId="0" shapeId="0" xr:uid="{00000000-0006-0000-0400-000001000000}">
      <text>
        <r>
          <rPr>
            <b/>
            <sz val="9"/>
            <color indexed="81"/>
            <rFont val="Tahoma"/>
            <family val="2"/>
          </rPr>
          <t>NREL:</t>
        </r>
        <r>
          <rPr>
            <sz val="9"/>
            <color indexed="81"/>
            <rFont val="Tahoma"/>
            <family val="2"/>
          </rPr>
          <t xml:space="preserve">
Convert from reference year dollars to 2005 dollars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Windows User</author>
    <author>Penev, Michael (Misho)</author>
  </authors>
  <commentList>
    <comment ref="J32" authorId="0" shapeId="0" xr:uid="{00000000-0006-0000-0700-000001000000}">
      <text>
        <r>
          <rPr>
            <b/>
            <sz val="8"/>
            <color indexed="81"/>
            <rFont val="Tahoma"/>
            <family val="2"/>
          </rPr>
          <t>Windows User:</t>
        </r>
        <r>
          <rPr>
            <sz val="8"/>
            <color indexed="81"/>
            <rFont val="Tahoma"/>
            <family val="2"/>
          </rPr>
          <t xml:space="preserve">
Not used in calculation.  Instead, electricity usage is added to production site electricity consumption (kWh/kg), input sheet
</t>
        </r>
      </text>
    </comment>
    <comment ref="C246" authorId="1" shapeId="0" xr:uid="{EF9718A4-02C0-43CE-B71E-859E7609ADCD}">
      <text>
        <r>
          <rPr>
            <b/>
            <sz val="9"/>
            <color indexed="81"/>
            <rFont val="Tahoma"/>
            <family val="2"/>
          </rPr>
          <t>Penev, Michael (Misho):</t>
        </r>
        <r>
          <rPr>
            <sz val="9"/>
            <color indexed="81"/>
            <rFont val="Tahoma"/>
            <family val="2"/>
          </rPr>
          <t xml:space="preserve">
NPV of CapEx throughout injection and post-closure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Grasshopper</author>
  </authors>
  <commentList>
    <comment ref="B19" authorId="0" shapeId="0" xr:uid="{00000000-0006-0000-0800-000001000000}">
      <text>
        <r>
          <rPr>
            <b/>
            <sz val="9"/>
            <color indexed="81"/>
            <rFont val="Tahoma"/>
            <family val="2"/>
          </rPr>
          <t xml:space="preserve">Includes: 
</t>
        </r>
        <r>
          <rPr>
            <sz val="9"/>
            <color indexed="81"/>
            <rFont val="Tahoma"/>
            <family val="2"/>
          </rPr>
          <t xml:space="preserve">• Initial Equity Depreciable Capital
• Yearly Replacement Costs
• Cash from Working Capital Reserve
• Other Non-Depreciable Capital Costs
• Salvage Value
• Debt Interest
• Depreciation Charge
• Principal payment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mpenev</author>
  </authors>
  <commentList>
    <comment ref="D2" authorId="0" shapeId="0" xr:uid="{00000000-0006-0000-0900-000001000000}">
      <text>
        <r>
          <rPr>
            <b/>
            <sz val="9"/>
            <color indexed="81"/>
            <rFont val="Tahoma"/>
            <family val="2"/>
          </rPr>
          <t>All waterfall chart values trigger from this column.  Enter negative % to decrease a parameters' value in a waterfall chart.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dsteward</author>
    <author>Rachel Gelman</author>
    <author>Yongling</author>
  </authors>
  <commentList>
    <comment ref="A11" authorId="0" shapeId="0" xr:uid="{00000000-0006-0000-0B00-000001000000}">
      <text>
        <r>
          <rPr>
            <b/>
            <sz val="8"/>
            <color indexed="81"/>
            <rFont val="Tahoma"/>
            <family val="2"/>
          </rPr>
          <t>dsteward:</t>
        </r>
        <r>
          <rPr>
            <sz val="8"/>
            <color indexed="81"/>
            <rFont val="Tahoma"/>
            <family val="2"/>
          </rPr>
          <t xml:space="preserve">
values are assumed to be $2007/mmBtu LHV
</t>
        </r>
      </text>
    </comment>
    <comment ref="D11" authorId="0" shapeId="0" xr:uid="{00000000-0006-0000-0B00-000002000000}">
      <text>
        <r>
          <rPr>
            <b/>
            <sz val="8"/>
            <color indexed="81"/>
            <rFont val="Tahoma"/>
            <family val="2"/>
          </rPr>
          <t>dsteward:</t>
        </r>
        <r>
          <rPr>
            <sz val="8"/>
            <color indexed="81"/>
            <rFont val="Tahoma"/>
            <family val="2"/>
          </rPr>
          <t xml:space="preserve">
values are assumed to be $2007/mmBtu LHV
</t>
        </r>
      </text>
    </comment>
    <comment ref="A12" authorId="0" shapeId="0" xr:uid="{00000000-0006-0000-0B00-000003000000}">
      <text>
        <r>
          <rPr>
            <sz val="8"/>
            <color indexed="81"/>
            <rFont val="Tahoma"/>
            <family val="2"/>
          </rPr>
          <t xml:space="preserve">Data from HyARC - see AEO tab
copied values are in $2005/GJ LHV
</t>
        </r>
      </text>
    </comment>
    <comment ref="D12" authorId="0" shapeId="0" xr:uid="{00000000-0006-0000-0B00-000004000000}">
      <text>
        <r>
          <rPr>
            <sz val="8"/>
            <color indexed="81"/>
            <rFont val="Tahoma"/>
            <family val="2"/>
          </rPr>
          <t xml:space="preserve">Data from HyARC - see AEO tab
copied values are in $2005/GJ LHV
</t>
        </r>
      </text>
    </comment>
    <comment ref="A13" authorId="0" shapeId="0" xr:uid="{00000000-0006-0000-0B00-000005000000}">
      <text>
        <r>
          <rPr>
            <b/>
            <sz val="8"/>
            <color indexed="81"/>
            <rFont val="Tahoma"/>
            <family val="2"/>
          </rPr>
          <t>Values from unpublished B2A model (v1_3_072110) based on Biomass Program 2009 MYPP
copied values are in $2007/GJ LHV</t>
        </r>
      </text>
    </comment>
    <comment ref="D13" authorId="0" shapeId="0" xr:uid="{00000000-0006-0000-0B00-000006000000}">
      <text>
        <r>
          <rPr>
            <b/>
            <sz val="8"/>
            <color indexed="81"/>
            <rFont val="Tahoma"/>
            <family val="2"/>
          </rPr>
          <t>Values from unpublished B2A model (v1_3_072110) based on Biomass Program 2009 MYPP
copied values are in $2007/GJ LHV</t>
        </r>
      </text>
    </comment>
    <comment ref="A15" authorId="0" shapeId="0" xr:uid="{00000000-0006-0000-0B00-000007000000}">
      <text>
        <r>
          <rPr>
            <sz val="8"/>
            <color indexed="81"/>
            <rFont val="Tahoma"/>
            <family val="2"/>
          </rPr>
          <t>AEO data for steam coal to 2030 Mini-CAM projections thereafter (see AEO Data Tab), HHV and LHV, GREET assumptions for electric power</t>
        </r>
      </text>
    </comment>
    <comment ref="D15" authorId="0" shapeId="0" xr:uid="{00000000-0006-0000-0B00-000008000000}">
      <text>
        <r>
          <rPr>
            <sz val="8"/>
            <color indexed="81"/>
            <rFont val="Tahoma"/>
            <family val="2"/>
          </rPr>
          <t>AEO data for steam coal to 2030 Mini-CAM projections thereafter (see AEO Data Tab), HHV and LHV, GREET assumptions for electric power</t>
        </r>
      </text>
    </comment>
    <comment ref="H23" authorId="1" shapeId="0" xr:uid="{00000000-0006-0000-0B00-000009000000}">
      <text>
        <r>
          <rPr>
            <b/>
            <sz val="8"/>
            <color indexed="81"/>
            <rFont val="Tahoma"/>
            <family val="2"/>
          </rPr>
          <t>Rachel Gelman:</t>
        </r>
        <r>
          <rPr>
            <sz val="8"/>
            <color indexed="81"/>
            <rFont val="Tahoma"/>
            <family val="2"/>
          </rPr>
          <t xml:space="preserve">
Based on 2009 AEO Reference Case</t>
        </r>
      </text>
    </comment>
    <comment ref="I23" authorId="1" shapeId="0" xr:uid="{00000000-0006-0000-0B00-00000A000000}">
      <text>
        <r>
          <rPr>
            <b/>
            <sz val="8"/>
            <color indexed="81"/>
            <rFont val="Tahoma"/>
            <family val="2"/>
          </rPr>
          <t>Rachel Gelman:</t>
        </r>
        <r>
          <rPr>
            <sz val="8"/>
            <color indexed="81"/>
            <rFont val="Tahoma"/>
            <family val="2"/>
          </rPr>
          <t xml:space="preserve">
Based on 2009 AEO Reference Case</t>
        </r>
      </text>
    </comment>
    <comment ref="J23" authorId="1" shapeId="0" xr:uid="{00000000-0006-0000-0B00-00000B000000}">
      <text>
        <r>
          <rPr>
            <b/>
            <sz val="8"/>
            <color indexed="81"/>
            <rFont val="Tahoma"/>
            <family val="2"/>
          </rPr>
          <t>Rachel Gelman:</t>
        </r>
        <r>
          <rPr>
            <sz val="8"/>
            <color indexed="81"/>
            <rFont val="Tahoma"/>
            <family val="2"/>
          </rPr>
          <t xml:space="preserve">
Based on 2009 AEO Reference Case</t>
        </r>
      </text>
    </comment>
    <comment ref="K23" authorId="1" shapeId="0" xr:uid="{00000000-0006-0000-0B00-00000C000000}">
      <text>
        <r>
          <rPr>
            <b/>
            <sz val="8"/>
            <color indexed="81"/>
            <rFont val="Tahoma"/>
            <family val="2"/>
          </rPr>
          <t>Rachel Gelman:</t>
        </r>
        <r>
          <rPr>
            <sz val="8"/>
            <color indexed="81"/>
            <rFont val="Tahoma"/>
            <family val="2"/>
          </rPr>
          <t xml:space="preserve">
Based on 2009 AEO Reference Case</t>
        </r>
      </text>
    </comment>
    <comment ref="L23" authorId="1" shapeId="0" xr:uid="{00000000-0006-0000-0B00-00000D000000}">
      <text>
        <r>
          <rPr>
            <b/>
            <sz val="8"/>
            <color indexed="81"/>
            <rFont val="Tahoma"/>
            <family val="2"/>
          </rPr>
          <t>Rachel Gelman:</t>
        </r>
        <r>
          <rPr>
            <sz val="8"/>
            <color indexed="81"/>
            <rFont val="Tahoma"/>
            <family val="2"/>
          </rPr>
          <t xml:space="preserve">
Based on 2009 AEO Reference Case</t>
        </r>
      </text>
    </comment>
    <comment ref="M23" authorId="1" shapeId="0" xr:uid="{00000000-0006-0000-0B00-00000E000000}">
      <text>
        <r>
          <rPr>
            <b/>
            <sz val="8"/>
            <color indexed="81"/>
            <rFont val="Tahoma"/>
            <family val="2"/>
          </rPr>
          <t>Rachel Gelman:</t>
        </r>
        <r>
          <rPr>
            <sz val="8"/>
            <color indexed="81"/>
            <rFont val="Tahoma"/>
            <family val="2"/>
          </rPr>
          <t xml:space="preserve">
Based on 2009 AEO Reference Case</t>
        </r>
      </text>
    </comment>
    <comment ref="A29" authorId="0" shapeId="0" xr:uid="{00000000-0006-0000-0B00-00000F000000}">
      <text>
        <r>
          <rPr>
            <b/>
            <sz val="8"/>
            <color indexed="81"/>
            <rFont val="Tahoma"/>
            <family val="2"/>
          </rPr>
          <t>dsteward:</t>
        </r>
        <r>
          <rPr>
            <sz val="8"/>
            <color indexed="81"/>
            <rFont val="Tahoma"/>
            <family val="2"/>
          </rPr>
          <t xml:space="preserve">
values are assumed to be $2007/mmBtu LHV
</t>
        </r>
      </text>
    </comment>
    <comment ref="D29" authorId="0" shapeId="0" xr:uid="{00000000-0006-0000-0B00-000010000000}">
      <text>
        <r>
          <rPr>
            <b/>
            <sz val="8"/>
            <color indexed="81"/>
            <rFont val="Tahoma"/>
            <family val="2"/>
          </rPr>
          <t>dsteward:</t>
        </r>
        <r>
          <rPr>
            <sz val="8"/>
            <color indexed="81"/>
            <rFont val="Tahoma"/>
            <family val="2"/>
          </rPr>
          <t xml:space="preserve">
values are assumed to be $2007/mmBtu LHV
</t>
        </r>
      </text>
    </comment>
    <comment ref="A30" authorId="0" shapeId="0" xr:uid="{00000000-0006-0000-0B00-000011000000}">
      <text>
        <r>
          <rPr>
            <sz val="8"/>
            <color indexed="81"/>
            <rFont val="Tahoma"/>
            <family val="2"/>
          </rPr>
          <t xml:space="preserve">Data from HyARC - see AEO tab
copied values are in $2005/GJ LHV
</t>
        </r>
      </text>
    </comment>
    <comment ref="D30" authorId="0" shapeId="0" xr:uid="{00000000-0006-0000-0B00-000012000000}">
      <text>
        <r>
          <rPr>
            <sz val="8"/>
            <color indexed="81"/>
            <rFont val="Tahoma"/>
            <family val="2"/>
          </rPr>
          <t xml:space="preserve">Data from HyARC - see AEO tab
copied values are in $2005/GJ LHV
</t>
        </r>
      </text>
    </comment>
    <comment ref="A32" authorId="0" shapeId="0" xr:uid="{00000000-0006-0000-0B00-000013000000}">
      <text>
        <r>
          <rPr>
            <sz val="8"/>
            <color indexed="81"/>
            <rFont val="Tahoma"/>
            <family val="2"/>
          </rPr>
          <t>AEO data for steam coal to 2030 Mini-CAM projections thereafter (see AEO Data Tab), HHV and LHV, GREET assumptions for electric power</t>
        </r>
      </text>
    </comment>
    <comment ref="D32" authorId="0" shapeId="0" xr:uid="{00000000-0006-0000-0B00-000014000000}">
      <text>
        <r>
          <rPr>
            <sz val="8"/>
            <color indexed="81"/>
            <rFont val="Tahoma"/>
            <family val="2"/>
          </rPr>
          <t>AEO data for steam coal to 2030 Mini-CAM projections thereafter (see AEO Data Tab), HHV and LHV, GREET assumptions for electric power</t>
        </r>
      </text>
    </comment>
    <comment ref="H57" authorId="1" shapeId="0" xr:uid="{00000000-0006-0000-0B00-000015000000}">
      <text>
        <r>
          <rPr>
            <b/>
            <sz val="8"/>
            <color indexed="81"/>
            <rFont val="Tahoma"/>
            <family val="2"/>
          </rPr>
          <t>Rachel Gelman:</t>
        </r>
        <r>
          <rPr>
            <sz val="8"/>
            <color indexed="81"/>
            <rFont val="Tahoma"/>
            <family val="2"/>
          </rPr>
          <t xml:space="preserve">
Based on 2009 AEO Reference Case</t>
        </r>
      </text>
    </comment>
    <comment ref="I57" authorId="1" shapeId="0" xr:uid="{00000000-0006-0000-0B00-000016000000}">
      <text>
        <r>
          <rPr>
            <b/>
            <sz val="8"/>
            <color indexed="81"/>
            <rFont val="Tahoma"/>
            <family val="2"/>
          </rPr>
          <t>Rachel Gelman:</t>
        </r>
        <r>
          <rPr>
            <sz val="8"/>
            <color indexed="81"/>
            <rFont val="Tahoma"/>
            <family val="2"/>
          </rPr>
          <t xml:space="preserve">
Based on 2009 AEO Reference Case</t>
        </r>
      </text>
    </comment>
    <comment ref="J57" authorId="1" shapeId="0" xr:uid="{00000000-0006-0000-0B00-000017000000}">
      <text>
        <r>
          <rPr>
            <b/>
            <sz val="8"/>
            <color indexed="81"/>
            <rFont val="Tahoma"/>
            <family val="2"/>
          </rPr>
          <t>Rachel Gelman:</t>
        </r>
        <r>
          <rPr>
            <sz val="8"/>
            <color indexed="81"/>
            <rFont val="Tahoma"/>
            <family val="2"/>
          </rPr>
          <t xml:space="preserve">
Based on 2009 AEO Reference Case</t>
        </r>
      </text>
    </comment>
    <comment ref="K57" authorId="1" shapeId="0" xr:uid="{00000000-0006-0000-0B00-000018000000}">
      <text>
        <r>
          <rPr>
            <b/>
            <sz val="8"/>
            <color indexed="81"/>
            <rFont val="Tahoma"/>
            <family val="2"/>
          </rPr>
          <t>Rachel Gelman:</t>
        </r>
        <r>
          <rPr>
            <sz val="8"/>
            <color indexed="81"/>
            <rFont val="Tahoma"/>
            <family val="2"/>
          </rPr>
          <t xml:space="preserve">
Based on 2009 AEO Reference Case</t>
        </r>
      </text>
    </comment>
    <comment ref="L57" authorId="1" shapeId="0" xr:uid="{00000000-0006-0000-0B00-000019000000}">
      <text>
        <r>
          <rPr>
            <b/>
            <sz val="8"/>
            <color indexed="81"/>
            <rFont val="Tahoma"/>
            <family val="2"/>
          </rPr>
          <t>Rachel Gelman:</t>
        </r>
        <r>
          <rPr>
            <sz val="8"/>
            <color indexed="81"/>
            <rFont val="Tahoma"/>
            <family val="2"/>
          </rPr>
          <t xml:space="preserve">
Based on 2009 AEO Reference Case</t>
        </r>
      </text>
    </comment>
    <comment ref="M57" authorId="1" shapeId="0" xr:uid="{00000000-0006-0000-0B00-00001A000000}">
      <text>
        <r>
          <rPr>
            <b/>
            <sz val="8"/>
            <color indexed="81"/>
            <rFont val="Tahoma"/>
            <family val="2"/>
          </rPr>
          <t>Rachel Gelman:</t>
        </r>
        <r>
          <rPr>
            <sz val="8"/>
            <color indexed="81"/>
            <rFont val="Tahoma"/>
            <family val="2"/>
          </rPr>
          <t xml:space="preserve">
Based on 2009 AEO Reference Case</t>
        </r>
      </text>
    </comment>
    <comment ref="A63" authorId="0" shapeId="0" xr:uid="{00000000-0006-0000-0B00-00001B000000}">
      <text>
        <r>
          <rPr>
            <b/>
            <sz val="8"/>
            <color indexed="81"/>
            <rFont val="Tahoma"/>
            <family val="2"/>
          </rPr>
          <t>dsteward:</t>
        </r>
        <r>
          <rPr>
            <sz val="8"/>
            <color indexed="81"/>
            <rFont val="Tahoma"/>
            <family val="2"/>
          </rPr>
          <t xml:space="preserve">
values are assumed $/mmBtu LHV
</t>
        </r>
      </text>
    </comment>
    <comment ref="D63" authorId="0" shapeId="0" xr:uid="{00000000-0006-0000-0B00-00001C000000}">
      <text>
        <r>
          <rPr>
            <b/>
            <sz val="8"/>
            <color indexed="81"/>
            <rFont val="Tahoma"/>
            <family val="2"/>
          </rPr>
          <t>dsteward:</t>
        </r>
        <r>
          <rPr>
            <sz val="8"/>
            <color indexed="81"/>
            <rFont val="Tahoma"/>
            <family val="2"/>
          </rPr>
          <t xml:space="preserve">
values are assumed $/mmBtu LHV
</t>
        </r>
      </text>
    </comment>
    <comment ref="A64" authorId="0" shapeId="0" xr:uid="{00000000-0006-0000-0B00-00001D000000}">
      <text>
        <r>
          <rPr>
            <sz val="8"/>
            <color indexed="81"/>
            <rFont val="Tahoma"/>
            <family val="2"/>
          </rPr>
          <t xml:space="preserve">Data from HyARC - see AEO tab
</t>
        </r>
      </text>
    </comment>
    <comment ref="D64" authorId="0" shapeId="0" xr:uid="{00000000-0006-0000-0B00-00001E000000}">
      <text>
        <r>
          <rPr>
            <sz val="8"/>
            <color indexed="81"/>
            <rFont val="Tahoma"/>
            <family val="2"/>
          </rPr>
          <t xml:space="preserve">Data from HyARC - see AEO tab
copied values are in $2005/GJ LHV
</t>
        </r>
      </text>
    </comment>
    <comment ref="D65" authorId="0" shapeId="0" xr:uid="{00000000-0006-0000-0B00-00001F000000}">
      <text>
        <r>
          <rPr>
            <sz val="8"/>
            <color indexed="81"/>
            <rFont val="Tahoma"/>
            <family val="2"/>
          </rPr>
          <t>AEO data for steam coal to 2030 Mini-CAM projections thereafter (see AEO Data Tab), HHV and LHV, GREET assumptions for electric power</t>
        </r>
      </text>
    </comment>
    <comment ref="A94" authorId="0" shapeId="0" xr:uid="{00000000-0006-0000-0B00-000020000000}">
      <text>
        <r>
          <rPr>
            <sz val="8"/>
            <color indexed="81"/>
            <rFont val="Tahoma"/>
            <family val="2"/>
          </rPr>
          <t xml:space="preserve">Data from HyARC - see AEO tab
Data from 2005 was assumed to be in $/GJ LHV
</t>
        </r>
      </text>
    </comment>
    <comment ref="D94" authorId="0" shapeId="0" xr:uid="{00000000-0006-0000-0B00-000021000000}">
      <text>
        <r>
          <rPr>
            <sz val="8"/>
            <color indexed="81"/>
            <rFont val="Tahoma"/>
            <family val="2"/>
          </rPr>
          <t xml:space="preserve">Data from HyARC - see AEO tab
copied values are in $2005/GJ LHV
</t>
        </r>
      </text>
    </comment>
    <comment ref="D97" authorId="0" shapeId="0" xr:uid="{00000000-0006-0000-0B00-000022000000}">
      <text>
        <r>
          <rPr>
            <sz val="8"/>
            <color indexed="81"/>
            <rFont val="Tahoma"/>
            <family val="2"/>
          </rPr>
          <t>AEO data for steam coal to 2030 Mini-CAM projections thereafter (see AEO Data Tab), HHV and LHV, GREET assumptions for electric power</t>
        </r>
      </text>
    </comment>
    <comment ref="A111" authorId="2" shapeId="0" xr:uid="{00000000-0006-0000-0B00-000023000000}">
      <text>
        <r>
          <rPr>
            <b/>
            <sz val="9"/>
            <color indexed="81"/>
            <rFont val="Tahoma"/>
            <family val="2"/>
          </rPr>
          <t>Yongling:</t>
        </r>
        <r>
          <rPr>
            <sz val="9"/>
            <color indexed="81"/>
            <rFont val="Tahoma"/>
            <family val="2"/>
          </rPr>
          <t xml:space="preserve">
Industrial</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dsteward</author>
    <author>Rachel Gelman</author>
  </authors>
  <commentList>
    <comment ref="B70" authorId="0" shapeId="0" xr:uid="{00000000-0006-0000-0E00-000001000000}">
      <text>
        <r>
          <rPr>
            <b/>
            <sz val="8"/>
            <color indexed="81"/>
            <rFont val="Tahoma"/>
            <family val="2"/>
          </rPr>
          <t>dsteward:</t>
        </r>
        <r>
          <rPr>
            <sz val="8"/>
            <color indexed="81"/>
            <rFont val="Tahoma"/>
            <family val="2"/>
          </rPr>
          <t xml:space="preserve">
Source for original price data</t>
        </r>
      </text>
    </comment>
    <comment ref="E70" authorId="0" shapeId="0" xr:uid="{00000000-0006-0000-0E00-000002000000}">
      <text>
        <r>
          <rPr>
            <b/>
            <sz val="8"/>
            <color indexed="81"/>
            <rFont val="Tahoma"/>
            <family val="2"/>
          </rPr>
          <t>dsteward:</t>
        </r>
        <r>
          <rPr>
            <sz val="8"/>
            <color indexed="81"/>
            <rFont val="Tahoma"/>
            <family val="2"/>
          </rPr>
          <t xml:space="preserve">
Enter as $(reference year)/GJ</t>
        </r>
      </text>
    </comment>
    <comment ref="G70" authorId="0" shapeId="0" xr:uid="{00000000-0006-0000-0E00-000003000000}">
      <text>
        <r>
          <rPr>
            <b/>
            <sz val="8"/>
            <color indexed="81"/>
            <rFont val="Tahoma"/>
            <family val="2"/>
          </rPr>
          <t>dsteward:</t>
        </r>
        <r>
          <rPr>
            <sz val="8"/>
            <color indexed="81"/>
            <rFont val="Tahoma"/>
            <family val="2"/>
          </rPr>
          <t xml:space="preserve">
If original price data is given in LHV units, set the value in this column to 1.</t>
        </r>
      </text>
    </comment>
    <comment ref="I70" authorId="0" shapeId="0" xr:uid="{00000000-0006-0000-0E00-000004000000}">
      <text>
        <r>
          <rPr>
            <b/>
            <sz val="8"/>
            <color indexed="81"/>
            <rFont val="Tahoma"/>
            <family val="2"/>
          </rPr>
          <t>dsteward:</t>
        </r>
        <r>
          <rPr>
            <sz val="8"/>
            <color indexed="81"/>
            <rFont val="Tahoma"/>
            <family val="2"/>
          </rPr>
          <t xml:space="preserve">
For example, enter the LHV of natural gas in GJ/Nm3 if usage is to be entered in Nm3.</t>
        </r>
      </text>
    </comment>
    <comment ref="K70" authorId="0" shapeId="0" xr:uid="{00000000-0006-0000-0E00-000005000000}">
      <text>
        <r>
          <rPr>
            <b/>
            <sz val="8"/>
            <color indexed="81"/>
            <rFont val="Tahoma"/>
            <family val="2"/>
          </rPr>
          <t>dsteward:</t>
        </r>
        <r>
          <rPr>
            <sz val="8"/>
            <color indexed="81"/>
            <rFont val="Tahoma"/>
            <family val="2"/>
          </rPr>
          <t xml:space="preserve">
Total CO2 produced from complete carbon conversion during the hydrogen production process</t>
        </r>
      </text>
    </comment>
    <comment ref="B155" authorId="1" shapeId="0" xr:uid="{00000000-0006-0000-0E00-000006000000}">
      <text>
        <r>
          <rPr>
            <b/>
            <sz val="8"/>
            <color indexed="81"/>
            <rFont val="Tahoma"/>
            <family val="2"/>
          </rPr>
          <t>Rachel Gelman:</t>
        </r>
        <r>
          <rPr>
            <sz val="8"/>
            <color indexed="81"/>
            <rFont val="Tahoma"/>
            <family val="2"/>
          </rPr>
          <t xml:space="preserve">
NG values include NG recovery, processing and transportation to plant gate but do not include the combustion of NG. The generation of steam from NG includes all of the above plus the actual combustion of NG to provide heat of evaporation. </t>
        </r>
      </text>
    </comment>
  </commentList>
</comments>
</file>

<file path=xl/sharedStrings.xml><?xml version="1.0" encoding="utf-8"?>
<sst xmlns="http://schemas.openxmlformats.org/spreadsheetml/2006/main" count="9583" uniqueCount="3270">
  <si>
    <t>Approx Capital Charge Rate</t>
  </si>
  <si>
    <t>Cost Contribution ($/ kg H2)</t>
  </si>
  <si>
    <t>Cost Contribution ($/ tonne CO2 Sequestered)</t>
  </si>
  <si>
    <t>O&amp;M Cost</t>
  </si>
  <si>
    <t>Energy Cost</t>
  </si>
  <si>
    <t>*Carbon sequestration costs presented in this table do not include carbon capture capital and operating costs.</t>
  </si>
  <si>
    <t>anal_period</t>
  </si>
  <si>
    <t>cap_factor</t>
  </si>
  <si>
    <t>CO2_seq</t>
  </si>
  <si>
    <t>construct</t>
  </si>
  <si>
    <t>Sensitivity_Variables</t>
  </si>
  <si>
    <t>Total Direct Capital Cost</t>
  </si>
  <si>
    <t>debt_interest</t>
  </si>
  <si>
    <t>debt_period</t>
  </si>
  <si>
    <t>START_TOP</t>
  </si>
  <si>
    <t>Delete_As_List</t>
  </si>
  <si>
    <t>All</t>
  </si>
  <si>
    <t>decom_percent</t>
  </si>
  <si>
    <t xml:space="preserve"> % Equity Financing</t>
  </si>
  <si>
    <t>Plant Output (kg/year)</t>
  </si>
  <si>
    <t>Total Tax Rate (%)</t>
  </si>
  <si>
    <t>Yes_No</t>
  </si>
  <si>
    <t>Yes</t>
  </si>
  <si>
    <t>depr_length</t>
  </si>
  <si>
    <t>depr_type</t>
  </si>
  <si>
    <t>design_cap</t>
  </si>
  <si>
    <t>Engin</t>
  </si>
  <si>
    <t>fed_tax_rate</t>
  </si>
  <si>
    <t>Fees</t>
  </si>
  <si>
    <t>inflation_rate</t>
  </si>
  <si>
    <t>licensing</t>
  </si>
  <si>
    <t>Debt Financing Calculations</t>
  </si>
  <si>
    <t>DO NOT ENTER ANYTHING ON THIS PAGE.  THE VALUES CALCULATED</t>
  </si>
  <si>
    <t>ON THIS PAGE ARE USED IN THE CASH FLOW ANALYSIS TAB.</t>
  </si>
  <si>
    <t>= Calculated Cells (do not change formulas)</t>
  </si>
  <si>
    <t>= Input Required</t>
  </si>
  <si>
    <t>= Optional Input; To Provide Additional Information Only</t>
  </si>
  <si>
    <t>= H2A Guidelines/Information Cells</t>
  </si>
  <si>
    <t>ANNUAL LOAN CALCULATION (if debt financing is assumed)</t>
  </si>
  <si>
    <t>Analysis Year</t>
  </si>
  <si>
    <t>Loan Year</t>
  </si>
  <si>
    <t>Principal Owed</t>
  </si>
  <si>
    <t>Annual Payment</t>
  </si>
  <si>
    <t>Interest</t>
  </si>
  <si>
    <t>Principal Payment</t>
  </si>
  <si>
    <t>New Principal</t>
  </si>
  <si>
    <t>Depreciation</t>
  </si>
  <si>
    <t>MACRS Depreciation Table (Half-Year Convention)</t>
  </si>
  <si>
    <t>Recovery Period</t>
  </si>
  <si>
    <t>NPV - Real IRR</t>
  </si>
  <si>
    <t>NPV - Nominal IRR</t>
  </si>
  <si>
    <t>Inputs from Cash-Input Sheet</t>
  </si>
  <si>
    <t>Depreciation Period (yrs)</t>
  </si>
  <si>
    <t>Total Initial Depreciable Capital</t>
  </si>
  <si>
    <t>DEPRECIATION CALCULATION TABLE</t>
  </si>
  <si>
    <t>Operation Year</t>
  </si>
  <si>
    <t>Annual Depreciable Capital</t>
  </si>
  <si>
    <t>Total</t>
  </si>
  <si>
    <t>DEPRECIATION CHARGES TO CASH FLOW TAB</t>
  </si>
  <si>
    <t>Depreciation Charge</t>
  </si>
  <si>
    <t>Post Analysis Depreciation</t>
  </si>
  <si>
    <t>Totals</t>
  </si>
  <si>
    <t xml:space="preserve">Remaining Book Value Calculation for Greater than 40-year Plant Life </t>
  </si>
  <si>
    <t>Year after 40</t>
  </si>
  <si>
    <t>DCF CALCULATION OUTPUTS:</t>
  </si>
  <si>
    <t>After Tax Real Capital Recovery Factor</t>
  </si>
  <si>
    <t>Energy Feedstocks</t>
  </si>
  <si>
    <t>Energy Utilities</t>
  </si>
  <si>
    <t>Energy Byproducts</t>
  </si>
  <si>
    <t>Other Material Inputs</t>
  </si>
  <si>
    <t>Type</t>
  </si>
  <si>
    <t>Cost (/usage unit)</t>
  </si>
  <si>
    <t>Other Material Byproducts</t>
  </si>
  <si>
    <t>Price (/usage unit)</t>
  </si>
  <si>
    <t>Import_Variable_List</t>
  </si>
  <si>
    <t>After Tax Nominal Capital Recovery Factor</t>
  </si>
  <si>
    <t>Total Real Fixed Charge Rate</t>
  </si>
  <si>
    <t>Total Nominal Fixed Charge Rate</t>
  </si>
  <si>
    <t>Specific Item Cost Calculation</t>
  </si>
  <si>
    <t>Cost Component</t>
  </si>
  <si>
    <t>Cost Contribution ($/kg)</t>
  </si>
  <si>
    <t>Percentage of H2 Cost</t>
  </si>
  <si>
    <t>Capital Costs</t>
  </si>
  <si>
    <t>Decommissioning Costs</t>
  </si>
  <si>
    <t>Fixed O&amp;M</t>
  </si>
  <si>
    <t>Other Raw Material Costs</t>
  </si>
  <si>
    <t>Byproduct Credits</t>
  </si>
  <si>
    <t>Other Variable Costs (including utilities)</t>
  </si>
  <si>
    <t>DCF CALCULATION INPUTS:</t>
  </si>
  <si>
    <t>Process</t>
  </si>
  <si>
    <t>Actual Hydrogen Produced (kg/yr)</t>
  </si>
  <si>
    <t>Actual Hydrogen Energy Produced (MMBtu(LHV)/yr)</t>
  </si>
  <si>
    <t>Actual Hydrogen Energy Produced (MJ(LHV)/yr)</t>
  </si>
  <si>
    <t>Design Capacity (kg/day)</t>
  </si>
  <si>
    <t>Design Capacity (kg/yr)</t>
  </si>
  <si>
    <t>Capacity Factor</t>
  </si>
  <si>
    <t>Financial</t>
  </si>
  <si>
    <t>Start-up Year</t>
  </si>
  <si>
    <t>After-Tax Real IRR</t>
  </si>
  <si>
    <t>Analysis Period (yrs)</t>
  </si>
  <si>
    <t>Plant Life (yrs)</t>
  </si>
  <si>
    <t>Inflation Rate</t>
  </si>
  <si>
    <t>Debt Financing</t>
  </si>
  <si>
    <t>Equity Financing</t>
  </si>
  <si>
    <t>Total Tax Rate</t>
  </si>
  <si>
    <t>Cost of Debt Financing</t>
  </si>
  <si>
    <t>Debt Financing Period (yrs)</t>
  </si>
  <si>
    <t>Interest Rate on Debt</t>
  </si>
  <si>
    <t>Construction/Start Up Information</t>
  </si>
  <si>
    <t>Construction Period (yrs)</t>
  </si>
  <si>
    <t>Start-up Period (yrs)</t>
  </si>
  <si>
    <t>% Revenue During Start-up</t>
  </si>
  <si>
    <t>% Variable Costs During Start-up</t>
  </si>
  <si>
    <t>% Fixed Costs During Start-up</t>
  </si>
  <si>
    <t>Depreciation Parameters</t>
  </si>
  <si>
    <t>Plant Costs (Inflated to Start-up Year $)</t>
  </si>
  <si>
    <t>Total Capital Investment</t>
  </si>
  <si>
    <t>CASH FLOW ANALYSIS</t>
  </si>
  <si>
    <t>Plant Life</t>
  </si>
  <si>
    <t>Inflation Price Increase Factor</t>
  </si>
  <si>
    <t>Portion of Initial Depreciable Capital Investment Financed with Debt (value ONLY used in debt financing calculations)</t>
  </si>
  <si>
    <t>Initial Equity Depreciable Capital</t>
  </si>
  <si>
    <t>Yearly Replacement Costs</t>
  </si>
  <si>
    <t>Energy: J/MJ</t>
  </si>
  <si>
    <t>Greenhouse Gas Emissions: grams/MJ</t>
  </si>
  <si>
    <t>Total Greenhouse Gas Emissions: grams/MJ</t>
  </si>
  <si>
    <t>Feedstock/Fuel</t>
  </si>
  <si>
    <t>Description</t>
  </si>
  <si>
    <t xml:space="preserve">Total Energy </t>
  </si>
  <si>
    <t>GHGs</t>
  </si>
  <si>
    <t>North American sources -- at plant gate</t>
  </si>
  <si>
    <t>U.S. Average - at Wall Outlet</t>
  </si>
  <si>
    <t>at Plant Gate</t>
  </si>
  <si>
    <t>at Forecourt</t>
  </si>
  <si>
    <t>Other Non-Depreciable Capital Costs</t>
  </si>
  <si>
    <t>Fixed Operating Cost</t>
  </si>
  <si>
    <t>Other Raw Material Cost</t>
  </si>
  <si>
    <t>Other Variable Operating Costs</t>
  </si>
  <si>
    <t>Debt Interest</t>
  </si>
  <si>
    <t>Pre-Depreciation Income</t>
  </si>
  <si>
    <t>Taxable Income</t>
  </si>
  <si>
    <t>Tax Rate</t>
  </si>
  <si>
    <t>Energy Feedstocks, Utilities and Byproducts</t>
  </si>
  <si>
    <t>Total Taxes</t>
  </si>
  <si>
    <t>After-Tax Income</t>
  </si>
  <si>
    <t>After-Tax Post-Depreciation Cash Flow</t>
  </si>
  <si>
    <t>Cumulative Cash Flow</t>
  </si>
  <si>
    <t>Pre-Tax Cash Flow</t>
  </si>
  <si>
    <t>Cumulative Total</t>
  </si>
  <si>
    <t>PV of Cash Flow</t>
  </si>
  <si>
    <t>After Tax Present Value</t>
  </si>
  <si>
    <t>% of Total</t>
  </si>
  <si>
    <t>$/kg of H2</t>
  </si>
  <si>
    <t>Capital-Related Costs</t>
  </si>
  <si>
    <t>Feedstock, Utility and Byproduct Cost Information (Start-Up Year $)</t>
  </si>
  <si>
    <t>operator_profit</t>
  </si>
  <si>
    <t>other_fees</t>
  </si>
  <si>
    <t>other_fixed</t>
  </si>
  <si>
    <t>Other_indirect</t>
  </si>
  <si>
    <t>overhead_rate</t>
  </si>
  <si>
    <t>percent_cap1</t>
  </si>
  <si>
    <t>percent_cap2</t>
  </si>
  <si>
    <t>percent_cap3</t>
  </si>
  <si>
    <t>percent_cap4</t>
  </si>
  <si>
    <t>percnt_fixed</t>
  </si>
  <si>
    <t>Temp_var_location</t>
  </si>
  <si>
    <t>percnt_revs</t>
  </si>
  <si>
    <t>percnt_var</t>
  </si>
  <si>
    <t>Permitting</t>
  </si>
  <si>
    <t>plant_life</t>
  </si>
  <si>
    <t>Process_cont</t>
  </si>
  <si>
    <t>prod_maint</t>
  </si>
  <si>
    <t>Project_cont</t>
  </si>
  <si>
    <t>real_irr</t>
  </si>
  <si>
    <t>rent</t>
  </si>
  <si>
    <t>replace_factor</t>
  </si>
  <si>
    <t>royalties</t>
  </si>
  <si>
    <t>salvage_perct</t>
  </si>
  <si>
    <t>Site_prep</t>
  </si>
  <si>
    <t>solidwaste_treat</t>
  </si>
  <si>
    <t>start_time</t>
  </si>
  <si>
    <t>startup_year</t>
  </si>
  <si>
    <t>Total Unplanned Replacement Capital Cost Factor (% of total depreciable capital costs/year)</t>
  </si>
  <si>
    <t>state_tax_rate</t>
  </si>
  <si>
    <t>tax_credit</t>
  </si>
  <si>
    <t>tax_ins_rate</t>
  </si>
  <si>
    <t>var_misc</t>
  </si>
  <si>
    <t>waste_treat</t>
  </si>
  <si>
    <t>WorkingCap</t>
  </si>
  <si>
    <t>Units for Feedstock Price Table</t>
  </si>
  <si>
    <t>Energy Feedstock</t>
  </si>
  <si>
    <t>Energy Utility</t>
  </si>
  <si>
    <t>Lookup Electricity Prices in Startup Year</t>
  </si>
  <si>
    <t>Price Table Start Year Column (relative)</t>
  </si>
  <si>
    <t>Raw Price ($/GJ)</t>
  </si>
  <si>
    <t>Price in Usage Units</t>
  </si>
  <si>
    <t>Use H2A default values</t>
  </si>
  <si>
    <t>H2A cell color coding</t>
  </si>
  <si>
    <t>ColorList</t>
  </si>
  <si>
    <t>Input</t>
  </si>
  <si>
    <t>Calculated</t>
  </si>
  <si>
    <t>UserInfo</t>
  </si>
  <si>
    <t>View and edit project information</t>
  </si>
  <si>
    <t>Process Flow Diagram</t>
  </si>
  <si>
    <t>Stream Summaries</t>
  </si>
  <si>
    <t>Purpose:</t>
  </si>
  <si>
    <t>System Description:</t>
  </si>
  <si>
    <t>Analysis Methodology Summary:</t>
  </si>
  <si>
    <t>Plant Ownership and Entity Type Assumptions:</t>
  </si>
  <si>
    <t>References:</t>
  </si>
  <si>
    <t>Title:</t>
  </si>
  <si>
    <t>Authors:</t>
  </si>
  <si>
    <t>Contact:</t>
  </si>
  <si>
    <t>Contact phone:</t>
  </si>
  <si>
    <t>Contact e-mail:</t>
  </si>
  <si>
    <t>Organization:</t>
  </si>
  <si>
    <t>Date:</t>
  </si>
  <si>
    <t>Web Site:</t>
  </si>
  <si>
    <t>Plant Design Capacity (kg/day):</t>
  </si>
  <si>
    <t>Start-up Year:</t>
  </si>
  <si>
    <t>Primary Product Feedstock Source:</t>
  </si>
  <si>
    <t>Secondary Feedstock Source:</t>
  </si>
  <si>
    <t>Process Energy Source:</t>
  </si>
  <si>
    <t>Conversion Technology:</t>
  </si>
  <si>
    <t>Primary By-Product:</t>
  </si>
  <si>
    <t>Secondary By-Product:</t>
  </si>
  <si>
    <t>Based on Number of Plants Installed per Year (per manufacturer):</t>
  </si>
  <si>
    <t>H2 Onsite Storage Type</t>
  </si>
  <si>
    <t>Assumed plant location:</t>
  </si>
  <si>
    <t>Reporting Spreadsheet Change History:</t>
  </si>
  <si>
    <t>Date spreadsheet created / modified</t>
  </si>
  <si>
    <t>Name</t>
  </si>
  <si>
    <t>Color Key</t>
  </si>
  <si>
    <t>Use default values (checkboxes)</t>
  </si>
  <si>
    <t>Total Process Pollutants Produced (kg /kg H2)</t>
  </si>
  <si>
    <t>Total Process Pollutants Produced (metric tons/year)</t>
  </si>
  <si>
    <t>Total Feedstock Pollutants Produced (kg /kg H2)</t>
  </si>
  <si>
    <t>Total Feedstock Pollutants Produced (metric tons /year)</t>
  </si>
  <si>
    <t>Total Process Emissions (kg/kg H2)</t>
  </si>
  <si>
    <t>CO2 Captured (kg/kg H2)*</t>
  </si>
  <si>
    <t>CO2 Captured (metric tons/year)*</t>
  </si>
  <si>
    <t>*Carbon sequestration values are only calculated if the detailed Carbon Sequestration sheet is used.</t>
  </si>
  <si>
    <t>Energy Byproduct</t>
  </si>
  <si>
    <t>Other Feed</t>
  </si>
  <si>
    <t>Other Byproduct</t>
  </si>
  <si>
    <t>direct_cap</t>
  </si>
  <si>
    <t>equity</t>
  </si>
  <si>
    <t>Feedstock</t>
  </si>
  <si>
    <t>NPV</t>
  </si>
  <si>
    <t>Stotal_feedstock</t>
  </si>
  <si>
    <t>Total_Energy_Feed_Cost</t>
  </si>
  <si>
    <t>Total_Energy_Utilities_Cost</t>
  </si>
  <si>
    <t>Total Feedstock Costs ($/year)</t>
  </si>
  <si>
    <t>Total Utility Costs ($/year)</t>
  </si>
  <si>
    <t>Total Byproduct Credits ($/year)</t>
  </si>
  <si>
    <t>Total_Energy_Byproduct_Credit</t>
  </si>
  <si>
    <t>total_non_energy_byproduct_credit</t>
  </si>
  <si>
    <t>Total Variable Operating Costs ($/year)</t>
  </si>
  <si>
    <t>total_byproducts</t>
  </si>
  <si>
    <t>Stotal_var</t>
  </si>
  <si>
    <t xml:space="preserve">INFLATION FACTOR (1 + inflation rate)^(startup year - reference year) = </t>
  </si>
  <si>
    <t>Lookup Prices</t>
  </si>
  <si>
    <t>Feedstock Name</t>
  </si>
  <si>
    <t>Usage (/kg H2)</t>
  </si>
  <si>
    <t>Price ($/ usage unit)</t>
  </si>
  <si>
    <t>Lookup Price?</t>
  </si>
  <si>
    <t>H2A Usage Input Unit/ kg H2</t>
  </si>
  <si>
    <t>kg</t>
  </si>
  <si>
    <t>L</t>
  </si>
  <si>
    <t>Add_As_List</t>
  </si>
  <si>
    <t>Utility</t>
  </si>
  <si>
    <t>Byproduct</t>
  </si>
  <si>
    <t>START_UTILITY</t>
  </si>
  <si>
    <t>START_BYPROD</t>
  </si>
  <si>
    <t>Select the Price Table to Use</t>
  </si>
  <si>
    <t>Total Energy Byproduct Credit ($/year)</t>
  </si>
  <si>
    <t>Total Energy Feedstock Cost ($/year)</t>
  </si>
  <si>
    <t>Total Energy Utilities Cost ($/year)</t>
  </si>
  <si>
    <t>Total Non Energy Byproduct Credits ($/year)</t>
  </si>
  <si>
    <t>total_other_raw</t>
  </si>
  <si>
    <t>total_utilities</t>
  </si>
  <si>
    <t>No</t>
  </si>
  <si>
    <t>Industrial Natural Gas</t>
  </si>
  <si>
    <t>To Convert From</t>
  </si>
  <si>
    <t>To</t>
  </si>
  <si>
    <t>Multiply by:</t>
  </si>
  <si>
    <t>General</t>
  </si>
  <si>
    <t>miles</t>
  </si>
  <si>
    <t>km</t>
  </si>
  <si>
    <t>gallons</t>
  </si>
  <si>
    <t>liters</t>
  </si>
  <si>
    <t>MPG</t>
  </si>
  <si>
    <t>kWh/km</t>
  </si>
  <si>
    <t>Energy</t>
  </si>
  <si>
    <t>MJ</t>
  </si>
  <si>
    <t>kWh</t>
  </si>
  <si>
    <t>gallon of gasoline eq (GGE) -conventional gasoline</t>
  </si>
  <si>
    <t>kg H2 (LHV)</t>
  </si>
  <si>
    <t>GGE</t>
  </si>
  <si>
    <t xml:space="preserve">btu </t>
  </si>
  <si>
    <t>HyARC Energy Constants and Assumptions</t>
  </si>
  <si>
    <t>Fuels</t>
  </si>
  <si>
    <t>Lower Heating Value (LHV) [1]</t>
  </si>
  <si>
    <t>Higher Heating Value (HHV) [1]</t>
  </si>
  <si>
    <t>Density</t>
  </si>
  <si>
    <t>Btu/lb [3]</t>
  </si>
  <si>
    <t>MJ/kg [4]</t>
  </si>
  <si>
    <t>Liquid Fuels</t>
  </si>
  <si>
    <t>Btu/gal [2]</t>
  </si>
  <si>
    <t>grams/gal</t>
  </si>
  <si>
    <t>Methanol</t>
  </si>
  <si>
    <t>Ethanol</t>
  </si>
  <si>
    <t>Propane</t>
  </si>
  <si>
    <t>Solid Fuels</t>
  </si>
  <si>
    <t>Btu/ton [2]</t>
  </si>
  <si>
    <t>Btu/lb [5]</t>
  </si>
  <si>
    <t>Notes:</t>
  </si>
  <si>
    <t>[4] The heating values in units of MJ/kg, are converted from the heating values in units of Btu/lb.</t>
  </si>
  <si>
    <t>[5] For solid fuels, the heating values in units of Btu/lb are converted from the heating values in units of Btu/ton.</t>
  </si>
  <si>
    <t>Source:</t>
  </si>
  <si>
    <t>leave this sheet as is for scaled costs</t>
  </si>
  <si>
    <t>Technical Operating Parameters and Specifications</t>
  </si>
  <si>
    <t>% of Capital Spent in 4th Year of Construction</t>
  </si>
  <si>
    <t>Operating Capacity Factor (fraction)</t>
  </si>
  <si>
    <t>Decommissioning costs (fraction of depreciable capital investment)</t>
  </si>
  <si>
    <t>Salvage value (fraction of total capital investment)</t>
  </si>
  <si>
    <t>Inflation rate (fraction)</t>
  </si>
  <si>
    <t>After-tax Real IRR (fraction)</t>
  </si>
  <si>
    <t>State Taxes (fraction)</t>
  </si>
  <si>
    <t>Federal Taxes (fraction)</t>
  </si>
  <si>
    <t>WORKING CAPITAL (fraction of yearly change in operating costs)</t>
  </si>
  <si>
    <t>G&amp;A rate (fraction of labor cost)</t>
  </si>
  <si>
    <t>Property tax and insurance rate (fraction of total capital investment)</t>
  </si>
  <si>
    <t>Operating Capacity Factor (%)</t>
  </si>
  <si>
    <t>Plant Design Capacity (kg of H2/day)</t>
  </si>
  <si>
    <t>H2A Total Direct Capital Cost</t>
  </si>
  <si>
    <t>Indirect Depreciable Capital Costs</t>
  </si>
  <si>
    <t>Engineering &amp; design ($)</t>
  </si>
  <si>
    <t>CO2_Capture_Efficiency</t>
  </si>
  <si>
    <t>CO2_MaintFactor</t>
  </si>
  <si>
    <t>CO2_PipeFactor</t>
  </si>
  <si>
    <t>CO2_SiteCap</t>
  </si>
  <si>
    <t>CO2_WellDepth</t>
  </si>
  <si>
    <t>CO2_TerrainType</t>
  </si>
  <si>
    <t>CO2_PipeLength</t>
  </si>
  <si>
    <t>CO2_Value_Defaults</t>
  </si>
  <si>
    <t>One-time Licensing Fees ($)</t>
  </si>
  <si>
    <t>Other (Depreciable) capital ($)</t>
  </si>
  <si>
    <t>Non-Depreciable Capital Costs</t>
  </si>
  <si>
    <t>Cost of land ($/acre)</t>
  </si>
  <si>
    <t>Land required (acres)</t>
  </si>
  <si>
    <t>Fixed Operating Costs</t>
  </si>
  <si>
    <t>Total plant staff (number of FTEs employed by plant)</t>
  </si>
  <si>
    <t>Burdened labor cost, including overhead ($/man-hr)</t>
  </si>
  <si>
    <t>G&amp;A rate (% of labor cost)</t>
  </si>
  <si>
    <t>Licensing, Permits and Fees ($/year)</t>
  </si>
  <si>
    <t>Rent ($/year)</t>
  </si>
  <si>
    <t>Material costs for maintenance and repairs ($/year)</t>
  </si>
  <si>
    <t>Production Maintenance and Repairs ($/year)</t>
  </si>
  <si>
    <t>Other Fees ($/year)</t>
  </si>
  <si>
    <t>Other Fixed O&amp;M Costs ($/year)</t>
  </si>
  <si>
    <t>Other variable operating costs (e.g. environmental surcharges) ($/year)</t>
  </si>
  <si>
    <t>Waste treatment costs ($/year)</t>
  </si>
  <si>
    <t>Solid waste disposal costs ($/year)</t>
  </si>
  <si>
    <t>Total Unplanned Replacement Capital Cost Factor (% of total direct depreciable costs/year)</t>
  </si>
  <si>
    <t>Royalties ($/year)</t>
  </si>
  <si>
    <t xml:space="preserve">Operator Profit ($/year) </t>
  </si>
  <si>
    <t>Subsidies, Tax Incentives ($/year)</t>
  </si>
  <si>
    <t>WORKING CAPITAL (% of yearly change in operating costs)</t>
  </si>
  <si>
    <t>Financial Input Values</t>
  </si>
  <si>
    <t>Assumed start-up year</t>
  </si>
  <si>
    <t>Length of Construction Period (years)</t>
  </si>
  <si>
    <t>% of Capital Spent in 2nd Year of Construction</t>
  </si>
  <si>
    <t>% of Capital Spent in 3rd Year of Construction</t>
  </si>
  <si>
    <t>MPa</t>
  </si>
  <si>
    <t>Start-up Time (years)</t>
  </si>
  <si>
    <t>Plant life (years)</t>
  </si>
  <si>
    <t>Analysis period (years)</t>
  </si>
  <si>
    <t>Depreciation Schedule Length (years)</t>
  </si>
  <si>
    <t>Debt period (years)</t>
  </si>
  <si>
    <t>% of Fixed Operating Costs During Start-up (%)</t>
  </si>
  <si>
    <t>% of Revenues During Start-up (%)</t>
  </si>
  <si>
    <t>% of Variable Operating Costs During Start-up (%)</t>
  </si>
  <si>
    <t>Decommissioning costs (% of depreciable capital investment)</t>
  </si>
  <si>
    <t>Salvage value (% of total capital investment)</t>
  </si>
  <si>
    <t>Interest rate on debt, if applicable (%)</t>
  </si>
  <si>
    <t>Depreciation Type</t>
  </si>
  <si>
    <t>Carbon Sequestration Calculation Information</t>
  </si>
  <si>
    <t>H2a Analysis Results</t>
  </si>
  <si>
    <t>COST RESULTS</t>
  </si>
  <si>
    <t>ENERGY</t>
  </si>
  <si>
    <t>Production Process Energy Efficiency</t>
  </si>
  <si>
    <t>Carbon sequestration energy input (GJ/kg H2)</t>
  </si>
  <si>
    <t>Upstream Energy Usage (GJ/kg H2)</t>
  </si>
  <si>
    <t>Total Energy</t>
  </si>
  <si>
    <t>Fossil Fuels</t>
  </si>
  <si>
    <t>Petroleum</t>
  </si>
  <si>
    <t>Carbon Sequestration</t>
  </si>
  <si>
    <t>EMISSIONS</t>
  </si>
  <si>
    <t>Emissions Summary</t>
  </si>
  <si>
    <t>CO2</t>
  </si>
  <si>
    <t>CH4</t>
  </si>
  <si>
    <t>N2O</t>
  </si>
  <si>
    <t>Total GHG (CO2 eq)</t>
  </si>
  <si>
    <t>Central Hydrogen Production - Project Information</t>
  </si>
  <si>
    <t>Central Hydrogen Production - Description</t>
  </si>
  <si>
    <t>Central Hydrogen Production - Process Flow Diagram</t>
  </si>
  <si>
    <t>Carbon Sequestration Information</t>
  </si>
  <si>
    <t>Carbon Sequestration Input Values</t>
  </si>
  <si>
    <t>CO2 emissions are based on the carbon content of the feed.  See the Physical Properties Table for specific values</t>
  </si>
  <si>
    <t>psi</t>
  </si>
  <si>
    <t>cultivated land</t>
  </si>
  <si>
    <t>grassland</t>
  </si>
  <si>
    <t>wooded</t>
  </si>
  <si>
    <t>jungle</t>
  </si>
  <si>
    <t>&lt;20% Mountainous</t>
  </si>
  <si>
    <t>stony desert</t>
  </si>
  <si>
    <t>&gt;50% Mountainous</t>
  </si>
  <si>
    <t>UK</t>
  </si>
  <si>
    <t>Summary of Output Values</t>
  </si>
  <si>
    <t>Plant Output (kg/day)</t>
  </si>
  <si>
    <t>Electricity Cost ($/kWh)</t>
  </si>
  <si>
    <t>Price for industrial electricity in the startup year</t>
  </si>
  <si>
    <t>Carbon Sequestration Calculations</t>
  </si>
  <si>
    <t>CO2_Location</t>
  </si>
  <si>
    <t>USA, Canada, Europe, Japan, Australia</t>
  </si>
  <si>
    <t>CO2_Terrain</t>
  </si>
  <si>
    <t>* Biomass prices shown for years 2001 through 2009 are the same as the EIA value for 2010.  For the post-2025 biomass prices:  The value for 2035 was chosen based on a review of the literature, which indicated a price of $2.50/MMBtu delivered dry English ton (in 2000$) was a reasonable mid-range projection.  Values for the 2026 through 2034 were interpolated from the 2025 and 2035 values.  The value of $5.00/MMBtu delivered dry English ton in 2065 was based on judgment.  An EIA paper by Zia Haq entitled, “Biomass for Electricity Generation” (available from EIA’s website) indicates that about 7 quads of biomass per year  would be available if the price rose to  $5/MMBtu.</t>
  </si>
  <si>
    <t>MACRS</t>
  </si>
  <si>
    <t>Input_Value_Defaults</t>
  </si>
  <si>
    <t/>
  </si>
  <si>
    <t>Notes</t>
  </si>
  <si>
    <t>Raw EIA Price Data</t>
  </si>
  <si>
    <t>AEO 2005 Reference Case</t>
  </si>
  <si>
    <t>Energy Prices</t>
  </si>
  <si>
    <t>Name of file: aeotab_3.xls</t>
  </si>
  <si>
    <t>http://www.eia.doe.gov/oiaf/aeo/index.html</t>
  </si>
  <si>
    <t xml:space="preserve"> Table   3.  Energy Prices by Sector and Source</t>
  </si>
  <si>
    <t xml:space="preserve">                      (2003 Dollars per Million Btu, Unless Otherwise Noted)</t>
  </si>
  <si>
    <t>2002</t>
  </si>
  <si>
    <t>2003</t>
  </si>
  <si>
    <t>2004</t>
  </si>
  <si>
    <t>2005</t>
  </si>
  <si>
    <t>2006</t>
  </si>
  <si>
    <t>2007</t>
  </si>
  <si>
    <t>2008</t>
  </si>
  <si>
    <t>2009</t>
  </si>
  <si>
    <t>2010</t>
  </si>
  <si>
    <t>2011</t>
  </si>
  <si>
    <t>2012</t>
  </si>
  <si>
    <t>2013</t>
  </si>
  <si>
    <t>2014</t>
  </si>
  <si>
    <t>2015</t>
  </si>
  <si>
    <t>2016</t>
  </si>
  <si>
    <t>2017</t>
  </si>
  <si>
    <t>2018</t>
  </si>
  <si>
    <t>2019</t>
  </si>
  <si>
    <t>2020</t>
  </si>
  <si>
    <t>2021</t>
  </si>
  <si>
    <t>2022</t>
  </si>
  <si>
    <t>2023</t>
  </si>
  <si>
    <t>2024</t>
  </si>
  <si>
    <t>2025</t>
  </si>
  <si>
    <t xml:space="preserve"> Residential</t>
  </si>
  <si>
    <t xml:space="preserve">   Primary Energy 1/</t>
  </si>
  <si>
    <t xml:space="preserve">     Petroleum Products 2/</t>
  </si>
  <si>
    <t xml:space="preserve">       Distillate Fuel</t>
  </si>
  <si>
    <t xml:space="preserve">       Liquefied Petroleum Gas</t>
  </si>
  <si>
    <t xml:space="preserve">     Natural Gas</t>
  </si>
  <si>
    <t xml:space="preserve">   Electricity</t>
  </si>
  <si>
    <t xml:space="preserve"> Commercial</t>
  </si>
  <si>
    <t xml:space="preserve">       Residual Fuel</t>
  </si>
  <si>
    <t xml:space="preserve"> Industrial 3/</t>
  </si>
  <si>
    <t xml:space="preserve">   Primary Energy</t>
  </si>
  <si>
    <t xml:space="preserve">     Natural Gas 4/</t>
  </si>
  <si>
    <t xml:space="preserve">     Metallurgical Coal</t>
  </si>
  <si>
    <t xml:space="preserve">     Steam Coal</t>
  </si>
  <si>
    <t xml:space="preserve"> Transportation</t>
  </si>
  <si>
    <t xml:space="preserve">       Distillate Fuel 5/</t>
  </si>
  <si>
    <t xml:space="preserve">       Jet Fuel 6/</t>
  </si>
  <si>
    <t xml:space="preserve">       Motor Gasoline 7/</t>
  </si>
  <si>
    <t xml:space="preserve">       Liquefied Petroleum Gas8/</t>
  </si>
  <si>
    <t xml:space="preserve">     Natural Gas 9/</t>
  </si>
  <si>
    <t>TABLE OF CONTENTS</t>
  </si>
  <si>
    <t>DCF Calculations</t>
  </si>
  <si>
    <t>Yearly Cash Flow Calculations</t>
  </si>
  <si>
    <t>Feedstock, Utility, and Byproduct Cost Information</t>
  </si>
  <si>
    <t xml:space="preserve">     Ethanol (E85) 10/</t>
  </si>
  <si>
    <t xml:space="preserve"> Average End-Use Energy</t>
  </si>
  <si>
    <t xml:space="preserve"> Electric Power 11/</t>
  </si>
  <si>
    <t xml:space="preserve">   Fossil Fuel Average</t>
  </si>
  <si>
    <t>Error</t>
  </si>
  <si>
    <t xml:space="preserve">     Petroleum Products</t>
  </si>
  <si>
    <t xml:space="preserve"> Average Price to All Users 12/</t>
  </si>
  <si>
    <t xml:space="preserve">   Petroleum Products 2/</t>
  </si>
  <si>
    <t xml:space="preserve">     Distillate Fuel</t>
  </si>
  <si>
    <t xml:space="preserve">     Jet Fuel</t>
  </si>
  <si>
    <t xml:space="preserve">     Liquefied Petroleum Gas</t>
  </si>
  <si>
    <t xml:space="preserve">     Motor Gasoline 7/</t>
  </si>
  <si>
    <t xml:space="preserve">     Residual Fuel</t>
  </si>
  <si>
    <t xml:space="preserve">   Natural Gas</t>
  </si>
  <si>
    <t xml:space="preserve">   Coal</t>
  </si>
  <si>
    <t xml:space="preserve">   Ethanol (E85) 10/</t>
  </si>
  <si>
    <t>Non-Renewable Energy Expenditures by Sector</t>
  </si>
  <si>
    <t>(billion 2003 dollars)</t>
  </si>
  <si>
    <t xml:space="preserve"> Industrial</t>
  </si>
  <si>
    <t xml:space="preserve">   Total Non-Renewable Expenditures</t>
  </si>
  <si>
    <t xml:space="preserve">   Transportation Renewable Expenditures</t>
  </si>
  <si>
    <t xml:space="preserve">   Total Expenditures</t>
  </si>
  <si>
    <t xml:space="preserve">   1/ Weighted average price includes fuels below as well as coal.</t>
  </si>
  <si>
    <t xml:space="preserve">   2/ This quantity is the weighted average for all petroleum products, not just those listed below.</t>
  </si>
  <si>
    <t xml:space="preserve">   3/ Includes energy for combined heat and power plants, except those whose primary business is to sell electricity, or electricity and heat, to the public.</t>
  </si>
  <si>
    <t xml:space="preserve">   4/ Excludes use for lease and plant fuel.</t>
  </si>
  <si>
    <t xml:space="preserve">   5/ Diesel fuel containing 500 parts per million (ppm) or 15 ppm sulfur.  Price includes Federal and State taxes while excluding county and local taxes.</t>
  </si>
  <si>
    <t xml:space="preserve">   6/ Kerosene-type jet fuel.  Price includes Federal and State taxes while excluding county and local taxes.</t>
  </si>
  <si>
    <t xml:space="preserve">   7/ Sales weighted-average price for all grades. Includes Federal, State, and local taxes.</t>
  </si>
  <si>
    <t xml:space="preserve">   8/ Includes Federal and State taxes while excluding county and local taxes.</t>
  </si>
  <si>
    <t xml:space="preserve">   9/ Compressed natural gas used as a vehicle fuel.  Price includes estimated motor vehicle fuel taxes.</t>
  </si>
  <si>
    <t>Low-sulfur diesel</t>
  </si>
  <si>
    <t>Natural gas</t>
  </si>
  <si>
    <t>CO2 Emissions (kg CO2/kg H2)</t>
  </si>
  <si>
    <t>Click to enter details on the Cost Detail Sheet</t>
  </si>
  <si>
    <t xml:space="preserve">   10/ E85 refers to a blend of 85 percent ethanol (renewable) and 15 percent motor gasoline (nonrenewable).  To address cold starting issues, the percentage of ethanol actually</t>
  </si>
  <si>
    <t>CH4 Emissions Factor (kg CH4 produced/GJ or mmBtu feed)</t>
  </si>
  <si>
    <t>N2O Emissions Factor (kg N2O produced/GJ or mmBtu feed)</t>
  </si>
  <si>
    <t>Production Process GHG Emissions Summary</t>
  </si>
  <si>
    <t>Production Process GHG Emissions (/kg H2)</t>
  </si>
  <si>
    <t>Greenhouse Gas Emissions Factors</t>
  </si>
  <si>
    <t>Total process emissions (kg/kg H2)</t>
  </si>
  <si>
    <t xml:space="preserve">Total upstream emissions (kg/kg H2) </t>
  </si>
  <si>
    <t>Total well to pump emissions (kg/kg H2)</t>
  </si>
  <si>
    <t>TOTAL</t>
  </si>
  <si>
    <t>varies seasonally.  The annual average ethanol content of 74 percent is used for this forecast.</t>
  </si>
  <si>
    <t xml:space="preserve">   11/ Includes electricity-only and combined heat and power plants whose primary business is to sell electricity, or electricity and heat, to the public.</t>
  </si>
  <si>
    <t xml:space="preserve">   12/ Weighted averages of end-use fuel prices are derived from the prices shown in each sector and the corresponding sectoral consumption.</t>
  </si>
  <si>
    <t xml:space="preserve">   Btu = British thermal unit.</t>
  </si>
  <si>
    <t xml:space="preserve">   Note:  Data for 2002 and 2003 are model results and may differ slightly from official EIA data reports.</t>
  </si>
  <si>
    <t xml:space="preserve">   Sources:  2002 and 2003 prices for motor gasoline, distillate, and jet fuel are based on prices in the Energy Information Administration (EIA), Petroleum Marketing Annual</t>
  </si>
  <si>
    <t>2003, DOE/EIA-0487(2003) (Washington, DC, August 2004).  2002 residential and commercial natural gas delivered prices:  EIA, Natural Gas Annual 2002, DOE/EIA-0131(2002)</t>
  </si>
  <si>
    <t>CO2_Pin_psia</t>
  </si>
  <si>
    <t>psi/MPa</t>
  </si>
  <si>
    <t>(Washington, DC, January 2004).  2003 residential and commercial natural gas delivered prices:  EIA, Natural Gas Monthly, DOE/EIA-0130(2004/07) (Washington, DC, July 2004).</t>
  </si>
  <si>
    <t>2002 and 2003 electric power sector natural gas prices:  EIA, Electric Power Monthly, DOE/EIA-0226, May 2003 through April 2004, Table 4.11.A.  2002 and 2003 industrial natural</t>
  </si>
  <si>
    <t>gas delivered prices are estimated based on:  EIA, Manufacturing Energy Consumption Survey 1994 and industrial and wellhead prices from the Natural Gas Annual 2002,</t>
  </si>
  <si>
    <t>DOE/EIA-0131(2002) (Washington, DC, January 2004) and the Natural Gas Monthly, DOE/EIA-0130(2004/07) (Washington, DC, July 2004).  2002 transportation sector natural</t>
  </si>
  <si>
    <t>gas delivered prices are based on:  EIA, Natural Gas Annual 2002, DOE/EIA-0131(2002) (Washington, DC, January 2004) and estimated state and federal taxes.  2003</t>
  </si>
  <si>
    <t>transportation sector natural gas delivered prices are model results.  2002 and 2003 coal prices based on:  EIA, Quarterly Coal Report, October-December 2003,</t>
  </si>
  <si>
    <t>DOE/EIA-0121(2003/4Q) (Washington, DC, March 2004) and EIA, AEO2005 National Energy Modeling System run aeo2005.d102004a.  2002 and 2003 electricity prices:</t>
  </si>
  <si>
    <t>Annual Energy Review 2003, DOE/EIA-0384(2003) (Washington, DC, September 2004).  2002 and 2003 ethanol prices derived from weekly spot prices in the Oxy Fuel</t>
  </si>
  <si>
    <t>News.  Projections:  EIA, AEO2005 National Energy Modeling System run aeo2005.d102004a.</t>
  </si>
  <si>
    <t>Energy Prices in High A Case File</t>
  </si>
  <si>
    <t>AEO 2005 Appendix C, Table 3</t>
  </si>
  <si>
    <t>Name of file: aeo_hw-3.xls</t>
  </si>
  <si>
    <t>News.  Projections:  EIA, AEO2005 National Energy Modeling System run hw2005.d102004a.</t>
  </si>
  <si>
    <t>Table E.  Price Ratios from PNNL Mini-CAM Model</t>
  </si>
  <si>
    <t xml:space="preserve"> Ratio 2050 to 2035 Price</t>
  </si>
  <si>
    <t xml:space="preserve"> Ratio 2065 to 2050 Price</t>
  </si>
  <si>
    <t>Extrapolated Ratio 2070 to 2065 Price</t>
  </si>
  <si>
    <t>Coal Delivered to Utilities</t>
  </si>
  <si>
    <t>Wellhead Gas</t>
  </si>
  <si>
    <t>Gas Delivered to Utilities</t>
  </si>
  <si>
    <t>Crude Oil Price</t>
  </si>
  <si>
    <t>Delivered Diesel</t>
  </si>
  <si>
    <t>Average Electricity</t>
  </si>
  <si>
    <t>Dry Biomass at Farmgate</t>
  </si>
  <si>
    <t>From MiniCAM</t>
  </si>
  <si>
    <t>In Units Consistent with EIA AEO</t>
  </si>
  <si>
    <t>From AEO</t>
  </si>
  <si>
    <t>$/English ton</t>
  </si>
  <si>
    <t>$/mcf</t>
  </si>
  <si>
    <t>$/bbl</t>
  </si>
  <si>
    <t>$/gallon</t>
  </si>
  <si>
    <t>c/kWh</t>
  </si>
  <si>
    <t>$/mmBtu</t>
  </si>
  <si>
    <t>Biomass delivered (assuming $10/English ton average delivery price)</t>
  </si>
  <si>
    <t>MMBtu/English ton</t>
  </si>
  <si>
    <t>CO2_capture_efficiency</t>
  </si>
  <si>
    <t>CO2_Nwells</t>
  </si>
  <si>
    <t>CO2_location_factor</t>
  </si>
  <si>
    <t>Ratio 2035 to 2020 Price</t>
  </si>
  <si>
    <t>Extrapolated values (DMS 8/14/07 based on PNNL Mini-CAM Model</t>
  </si>
  <si>
    <t>Biomass and Methanol data added from h2a_central_biomass_gasification_current_final.xls</t>
  </si>
  <si>
    <t>See High A Case</t>
  </si>
  <si>
    <t>Steam $(2005)/GJ</t>
  </si>
  <si>
    <t>Steam $(2005)/mmBTU</t>
  </si>
  <si>
    <t>Values for steam were copied from the H2A model version 1.  Biomass values were taken from the note at the bottom of this section.</t>
  </si>
  <si>
    <t>Feedstock energy input (GJ)/kg H2</t>
  </si>
  <si>
    <t>Utility energy input (GJ/kg H2)</t>
  </si>
  <si>
    <t>Hydrogen energy output (GJ/kg)</t>
  </si>
  <si>
    <t>Byproduct energy output (GJ/kg H2)</t>
  </si>
  <si>
    <t>Release date full report: February 2007</t>
  </si>
  <si>
    <t>Next release date full report: February 2008</t>
  </si>
  <si>
    <t xml:space="preserve">                     (2005 dollars per million Btu, unless otherwise noted)</t>
  </si>
  <si>
    <t>2026</t>
  </si>
  <si>
    <t>2027</t>
  </si>
  <si>
    <t>2028</t>
  </si>
  <si>
    <t>2029</t>
  </si>
  <si>
    <t>2030</t>
  </si>
  <si>
    <t xml:space="preserve">   Liquefied Petroleum Gases</t>
  </si>
  <si>
    <t xml:space="preserve">   Distillate Fuel Oil</t>
  </si>
  <si>
    <t xml:space="preserve">   Residual Fuel Oil</t>
  </si>
  <si>
    <t xml:space="preserve"> Industrial 1/</t>
  </si>
  <si>
    <t xml:space="preserve">   Natural Gas 2/</t>
  </si>
  <si>
    <t xml:space="preserve">   Metallurgical Coal</t>
  </si>
  <si>
    <t xml:space="preserve">   Other Industrial Coal</t>
  </si>
  <si>
    <t xml:space="preserve">   Coal to Liquids</t>
  </si>
  <si>
    <t xml:space="preserve">   Liquefied Petroleum Gases 3/</t>
  </si>
  <si>
    <t xml:space="preserve">   E85 4/</t>
  </si>
  <si>
    <t xml:space="preserve">   Motor Gasoline 5/</t>
  </si>
  <si>
    <t xml:space="preserve">   Jet Fuel 6/</t>
  </si>
  <si>
    <t xml:space="preserve">   Distillate Fuel Oil 7/</t>
  </si>
  <si>
    <t xml:space="preserve">   Natural Gas 8/</t>
  </si>
  <si>
    <t xml:space="preserve"> Electric Power 9/</t>
  </si>
  <si>
    <t xml:space="preserve">   Steam Coal</t>
  </si>
  <si>
    <t xml:space="preserve"> Average Price to All Users 10/</t>
  </si>
  <si>
    <t xml:space="preserve">   Jet Fuel</t>
  </si>
  <si>
    <t xml:space="preserve">   Other Coal</t>
  </si>
  <si>
    <t>(billion 2005 dollars)</t>
  </si>
  <si>
    <t xml:space="preserve"> Transportation Renewable Expenditures</t>
  </si>
  <si>
    <t xml:space="preserve">   1/ Includes energy for combined heat and power plants, except those whose primary business is to sell electricity, or electricity and heat, to the public.</t>
  </si>
  <si>
    <t xml:space="preserve">   2/ Excludes use for lease and plant fuel.</t>
  </si>
  <si>
    <t xml:space="preserve">   3/ Includes Federal and State taxes while excluding county and local taxes.</t>
  </si>
  <si>
    <t>HHV/LHV Ratios for Price Tables (HHV values from EIA, LHV values from GREET)</t>
  </si>
  <si>
    <t>Total Fixed Operating Cost</t>
  </si>
  <si>
    <t>fixed</t>
  </si>
  <si>
    <t>HHV</t>
  </si>
  <si>
    <t>LHV</t>
  </si>
  <si>
    <t>Btu/scf</t>
  </si>
  <si>
    <t>Btu/short ton</t>
  </si>
  <si>
    <t>Btu/gallon</t>
  </si>
  <si>
    <t>GJ/kg</t>
  </si>
  <si>
    <t>km/mile</t>
  </si>
  <si>
    <t>L/gal</t>
  </si>
  <si>
    <t>(kWh/km)/MPG</t>
  </si>
  <si>
    <t>Nm3/scf</t>
  </si>
  <si>
    <t>kg/lb</t>
  </si>
  <si>
    <t>Nm3/ncf</t>
  </si>
  <si>
    <t xml:space="preserve">   4/ E85 refers to a blend of 85 percent ethanol (renewable) and 15 percent motor gasoline (nonrenewable).  To address cold starting issues, the percentage of ethanol actually</t>
  </si>
  <si>
    <t xml:space="preserve">   5/ Sales weighted-average price for all grades.  Includes Federal, State, and local taxes.</t>
  </si>
  <si>
    <t xml:space="preserve">   6/ Kerosene-type jet fuel.  Includes Federal and State taxes while excluding county and local taxes.</t>
  </si>
  <si>
    <t xml:space="preserve">   7/ Diesel fuel for on-road use.  Includes Federal and State taxes while excluding county and local taxes.</t>
  </si>
  <si>
    <t xml:space="preserve">   8/ Compressed natural gas used as a vehicle fuel.  Includes estimated motor vehicle fuel taxes and estimated dispensing costs or charges.</t>
  </si>
  <si>
    <t xml:space="preserve">   9/ Includes electricity-only and combined heat and power plants whose primary business is to sell electricity, or electricity and heat, to the public.</t>
  </si>
  <si>
    <t xml:space="preserve">   10/ Weighted averages of end-use fuel prices are derived from the prices shown in each sector and the corresponding sectoral consumption.</t>
  </si>
  <si>
    <t xml:space="preserve">   N/A = Not applicable.</t>
  </si>
  <si>
    <t xml:space="preserve">   Note:  Data for 2004 and 2005 are model results and may differ slightly from official EIA data reports.</t>
  </si>
  <si>
    <t xml:space="preserve">   Sources:  2004 and 2005 prices for motor gasoline, distillate fuel oil, and jet fuel are based on prices in the Energy Information Administration (EIA), Petroleum Marketing Annual 2005,</t>
  </si>
  <si>
    <t>DOE/EIA-0487(2005) (Washington, DC, August 2006).  2004 residential and commercial natural gas delivered prices:  EIA, Natural Gas Annual 2004, DOE/EIA-0131(2004)</t>
  </si>
  <si>
    <t>(Washington, DC, December 2005).  2005 residential and commercial natural gas delivered prices:  EIA, Natural Gas Monthly, DOE/EIA-0130(2006/04) (Washington, DC, April 2006).</t>
  </si>
  <si>
    <t>2004 and 2005 industrial natural gas delivered prices are estimated based on:  EIA, Manufacturing Energy Consumption Survey 1994 and industrial and wellhead prices from the</t>
  </si>
  <si>
    <t>Natural Gas Annual 2004, DOE/EIA-0131(2004) (Washington, DC, December 2005) and the Natural Gas Monthly, DOE/EIA-0130(2006/04) (Washington, DC, April 2006).  2004</t>
  </si>
  <si>
    <t>Labor Requirement (FTE)</t>
  </si>
  <si>
    <t>transportation sector natural gas delivered prices are based on:  EIA, Natural Gas Annual 2004, DOE/EIA-0131(2004) (Washington, DC, December 2005) and estimated state taxes,</t>
  </si>
  <si>
    <t>Stotal_utilities</t>
  </si>
  <si>
    <t>Stotal_byproducts</t>
  </si>
  <si>
    <t>Export_Variable_List</t>
  </si>
  <si>
    <t>Major pieces/systems of equipment</t>
  </si>
  <si>
    <t>Installation Cost Factor</t>
  </si>
  <si>
    <t>Scaling Factor Exponent</t>
  </si>
  <si>
    <t>Data Source</t>
  </si>
  <si>
    <t>Scale Ratio</t>
  </si>
  <si>
    <t>TOTALS (including scaling)</t>
  </si>
  <si>
    <t>Baseline Design Capacity (kg H2/day)</t>
  </si>
  <si>
    <t>Sulfuric Acid</t>
  </si>
  <si>
    <t>Baseline Uninstalled Costs</t>
  </si>
  <si>
    <t>Scaled Uninstalled Costs</t>
  </si>
  <si>
    <t>Ratio of new design capacity (enter on Input Sheet) to the Baseline Design Capacity.  Used for linear scaling</t>
  </si>
  <si>
    <t>Source Data Year</t>
  </si>
  <si>
    <t>Reference year Conversion</t>
  </si>
  <si>
    <t>LHV (MJ/kg)</t>
  </si>
  <si>
    <t>Residential Natural Gas</t>
  </si>
  <si>
    <t>Bio Methane</t>
  </si>
  <si>
    <t>Commercial Electricity</t>
  </si>
  <si>
    <t>Residential Electricity</t>
  </si>
  <si>
    <t>TABLE B2 - Plant Cost Index</t>
  </si>
  <si>
    <t>TABLE B3 - Labor Index</t>
  </si>
  <si>
    <t>From Chemical Engineering Magazine                                              Averaged Annual Index</t>
  </si>
  <si>
    <t>TABLE B4 - SRI Chemical Price Index</t>
  </si>
  <si>
    <t xml:space="preserve">SRI Inorganic Price Index  (Index, 1982=100),                                                     Current Index at http://www.sriconsulting.com/CEH/ </t>
  </si>
  <si>
    <t>Display Units</t>
  </si>
  <si>
    <t>Use Category</t>
  </si>
  <si>
    <t>HHV (MJ/kg)</t>
  </si>
  <si>
    <t>Price_Table_in_Use</t>
  </si>
  <si>
    <t>Energy_Feed_List</t>
  </si>
  <si>
    <t>Energy_Feed_Years</t>
  </si>
  <si>
    <t>Select the Use</t>
  </si>
  <si>
    <t>Select the Feed Type</t>
  </si>
  <si>
    <t>Industrial Electricity</t>
  </si>
  <si>
    <t>see Energy Feed Tab</t>
  </si>
  <si>
    <t>$(2007)/GJ LHV</t>
  </si>
  <si>
    <t>$(2007)/GJ</t>
  </si>
  <si>
    <t>CO2 Emissions Factor (kg CO2 produced/GJ feed)</t>
  </si>
  <si>
    <t>H2A LHV (GJ/ H2A usage input unit)</t>
  </si>
  <si>
    <t>Energy Feedstock Conversions</t>
  </si>
  <si>
    <t>Usage unit</t>
  </si>
  <si>
    <t>Conversion from $/GJ</t>
  </si>
  <si>
    <t>gal</t>
  </si>
  <si>
    <t>LHV (GJ/usage unit)</t>
  </si>
  <si>
    <t>60 degrees F, 1 atm</t>
  </si>
  <si>
    <t>0 degrees C (32 F), 1 atm</t>
  </si>
  <si>
    <t>yes</t>
  </si>
  <si>
    <t>Site Preparation ($) (may change to construction costs)</t>
  </si>
  <si>
    <t>Up-Front Permitting Costs ($) (legal and contractors fees included here)</t>
  </si>
  <si>
    <t>To use a new feedstock, utility or byproduct, select the price table and product from the dropdown lists and enter the usage (or byproduct) amount. Click the "Add" button to add the product to the "In Use" list. Important; only materials on the "In Use" list will be used in H2A calculations. To delete materials from the list, click the "Delete" button below</t>
  </si>
  <si>
    <t xml:space="preserve">Energy feedstocks, utilities, and byproducts currently in use </t>
  </si>
  <si>
    <t>Metallurgical Coal</t>
  </si>
  <si>
    <t>Other Industrial Coal</t>
  </si>
  <si>
    <t>Scenario:</t>
  </si>
  <si>
    <t>stimulus</t>
  </si>
  <si>
    <t>d041409a</t>
  </si>
  <si>
    <t>with American Recovery and Reinvestment Act</t>
  </si>
  <si>
    <t xml:space="preserve">                      (2007 dollars per million Btu, unless otherwise noted)</t>
  </si>
  <si>
    <t xml:space="preserve">   Residual Fuel</t>
  </si>
  <si>
    <t xml:space="preserve">   Diesel Fuel (distillate fuel oil) 7/</t>
  </si>
  <si>
    <t>(billion 2007 dollars)</t>
  </si>
  <si>
    <t>Prices in Nominal Dollars</t>
  </si>
  <si>
    <t>(billion nominal dollars)</t>
  </si>
  <si>
    <t xml:space="preserve">   4/ E85 refers to a blend of 85 percent ethanol (renewable) and 15 percent motor gasoline (nonrenewable).  To address cold starting issues, the percentage of ethanol varies</t>
  </si>
  <si>
    <t>seasonally.  The annual average ethanol content of 74 percent is used for this forecast.</t>
  </si>
  <si>
    <t xml:space="preserve">   - - = Not applicable.</t>
  </si>
  <si>
    <t xml:space="preserve">   Note:  Data for 2006 and 2007 are model results and may differ slightly from official EIA data reports.</t>
  </si>
  <si>
    <t xml:space="preserve">   Sources:  2006 and 2007 prices for motor gasoline, distillate fuel oil, and jet fuel are based on prices in the Energy Information Administration (EIA), Petroleum Marketing Annual</t>
  </si>
  <si>
    <t>2007, DOE/EIA-0487(2007) (Washington, DC, August 2008).  2006 residential and commercial natural gas delivered prices:  EIA, Natural Gas Annual 2006, DOE/EIA-0131(2006)</t>
  </si>
  <si>
    <t>(Washington, DC, October, 2007).  2007 residential and commercial natural gas delivered prices:  EIA, Natural Gas Monthly, DOE/EIA-0130(2008/04) (Washington, DC, April 2008).</t>
  </si>
  <si>
    <t>2006 and 2007 industrial natural gas delivered prices are estimated based on:  EIA, Manufacturing Energy Consumption Survey 1994 and industrial and wellhead prices from the</t>
  </si>
  <si>
    <t>Natural Gas Annual 2006, DOE/EIA-0131(2006) (Washington, DC, October, 2007) and the Natural Gas Monthly, DOE/EIA-0130(2008/04) (Washington, DC, April 2008).  2006</t>
  </si>
  <si>
    <t>transportation sector natural gas delivered prices are based on:  EIA, Natural Gas Annual 2006, DOE/EIA-0131(2006) (Washington, DC, October, 2007) and estimated State taxes,</t>
  </si>
  <si>
    <t>Federal taxes, and dispensing costs or charges.  2007 transportation sector natural gas delivered prices are model results.  2006 and 2007 electric power sector natural gas prices:</t>
  </si>
  <si>
    <t>EIA, Electric Power Monthly, April 2007 and April 2008, Table 4.13.B.  2006 and 2007 coal prices based on:  EIA, Quarterly Coal Report, October-December 2007,</t>
  </si>
  <si>
    <t>DOE/EIA-0121(2007/4Q) (Washington, DC, March 2008) and EIA, AEO2009 National Energy Modeling System run nostimls.d041409a.  2006 and 2007 electricity prices:  EIA, Annual</t>
  </si>
  <si>
    <t>Energy Review 2007, DOE/EIA-0384(2007) (Washington, DC, June 2008).  2006 and 2007 E85 prices derived from monthly prices in the Clean Cities Alternative Fuel Price Report.</t>
  </si>
  <si>
    <t>Projections:  EIA, AEO2009 National Energy Modeling System run stimulus.d041409a.</t>
  </si>
  <si>
    <r>
      <t xml:space="preserve">Hydrogen Analysis Resource Center:  </t>
    </r>
    <r>
      <rPr>
        <b/>
        <i/>
        <sz val="12"/>
        <rFont val="Arial"/>
        <family val="2"/>
      </rPr>
      <t>Feedstock and Utility Assumptions</t>
    </r>
  </si>
  <si>
    <t>Feedstock and Utility Price Projections for 2001 - 2070 With EIA Units, Year 2005</t>
  </si>
  <si>
    <t>Natural Gas Prices (HHV Basis)</t>
  </si>
  <si>
    <t>Commercial Natural Gas Prices</t>
  </si>
  <si>
    <t>$(2005)/MMBtu</t>
  </si>
  <si>
    <t>Industrial Natural Gas Prices</t>
  </si>
  <si>
    <t>Electric Utility Natural Gas Prices</t>
  </si>
  <si>
    <t>Electricity Prices</t>
  </si>
  <si>
    <t>Coal Prices (HHV Basis)</t>
  </si>
  <si>
    <t>Transportation Fuels (HHV Basis)</t>
  </si>
  <si>
    <t>Distillate (Diesel) Fuel Oil for Transportation</t>
  </si>
  <si>
    <t>Motor Gasoline</t>
  </si>
  <si>
    <t>Biomass (HHV Basis)</t>
  </si>
  <si>
    <t>Biomass Prices (Dry Biomass Delivered)*</t>
  </si>
  <si>
    <t>Table 1 reflects values for base case feedstock and fuel values, based on the H2A analysis done for DOE's Hydrogen, Fuel Cells and Infrastructure Program.  Values from 2001 through 2025 were derived from EIA AEO 2004, and 2002 dollars are converted to 2005 dollars by multiplying the prices in 2002$/MMBtu by the GDP Implicit Price Deflator for 2005, divided by that for 2002 (from AEO 2004 Table A2; see table 2 below). For the period between 2025 and 2035, the 2025 values were extrapolated based on the ratio of the 2025 and 2015 values. For the period between 2035 and 2070, ratios in Table 2, derived from projections of a long-term model (MiniCAM) developed by Pacific Northwest National Laboratory were used to extrapolate the 2035 values (except for ethanol, methanol and biomass; see footnote).</t>
  </si>
  <si>
    <t>Ratio 2050 to 2035 Price</t>
  </si>
  <si>
    <t>Ratio 2065 to 2050 Price</t>
  </si>
  <si>
    <t>GDP Implicit Deflator Price Index [1]</t>
  </si>
  <si>
    <t>[2]</t>
  </si>
  <si>
    <t>Note:</t>
  </si>
  <si>
    <r>
      <t>[2] values in</t>
    </r>
    <r>
      <rPr>
        <i/>
        <sz val="10"/>
        <rFont val="Arial"/>
        <family val="2"/>
      </rPr>
      <t xml:space="preserve"> italics</t>
    </r>
    <r>
      <rPr>
        <sz val="10"/>
        <rFont val="Arial"/>
        <family val="2"/>
      </rPr>
      <t xml:space="preserve"> are projections</t>
    </r>
  </si>
  <si>
    <t>[1] Available from Short Term Energy Outlook, Table A.2 at http://www.eia.doe.gov/emeu/steo/pub/a2tab.html</t>
  </si>
  <si>
    <t>Biomass HHV (kJ/kg)</t>
  </si>
  <si>
    <t>Biomass LHV (kJ/kg)</t>
  </si>
  <si>
    <t>Biomass conversion $/dry English ton to $/mmBtu HHV</t>
  </si>
  <si>
    <t>Conversion factor</t>
  </si>
  <si>
    <t>$/mmBtu HHV</t>
  </si>
  <si>
    <t>Biomass delivery (assuming $10/English ton average delivery price)</t>
  </si>
  <si>
    <t>Biomass delivered $/mmBtu HHV</t>
  </si>
  <si>
    <t>Except as noted,values are extrapolated based on PNNL mini-CAM model (see AEO Data tab)</t>
  </si>
  <si>
    <t>Enter current year for capital costs</t>
  </si>
  <si>
    <t>Report</t>
  </si>
  <si>
    <t>Annual Energy Outlook 2010</t>
  </si>
  <si>
    <t>Scenario</t>
  </si>
  <si>
    <t>aeo2010r</t>
  </si>
  <si>
    <t>Reference case</t>
  </si>
  <si>
    <t>Datekey</t>
  </si>
  <si>
    <t>d111809a</t>
  </si>
  <si>
    <t>Release Date</t>
  </si>
  <si>
    <t xml:space="preserve"> December 2009</t>
  </si>
  <si>
    <t>aeo2010r.d111809a</t>
  </si>
  <si>
    <t>Table 3.  Energy Prices by Sector and Source</t>
  </si>
  <si>
    <t>(2008 dollars per million Btu, unless otherwise noted)</t>
  </si>
  <si>
    <t>2008-</t>
  </si>
  <si>
    <t xml:space="preserve"> Sector and Source</t>
  </si>
  <si>
    <t>- -</t>
  </si>
  <si>
    <t>(billion 2008 dollars)</t>
  </si>
  <si>
    <t xml:space="preserve">   4/ E85 refers to a blend of 85 percent ethanol (renewable) and 15 percent motor gasoline (nonrenewable).  To address cold starting issues,</t>
  </si>
  <si>
    <t>the percentage of ethanol varies seasonally.  The annual average ethanol content of 74 percent is used for this forecast.</t>
  </si>
  <si>
    <t xml:space="preserve">   Note:  Data for 2007 and 2008 are model results and may differ slightly from official EIA data reports.</t>
  </si>
  <si>
    <t xml:space="preserve">   Sources:  2007 and 2008 prices for motor gasoline, distillate fuel oil, and jet fuel are based on prices in the Energy Information Administration (EIA), Petroleum Marketing Annual</t>
  </si>
  <si>
    <t>2008, DOE/EIA-0487(2008) (Washington, DC, August 2009).  2007 residential and commercial natural gas delivered prices:  EIA,</t>
  </si>
  <si>
    <t>Natural Gas Annual 2007, DOE/EIA-0131(2007) (Washington, DC, January, 2009).  2008 residential and commercial natural gas</t>
  </si>
  <si>
    <t>delivered prices:  EIA, Natural Gas Monthly, DOE/EIA-0130(2009/07) (Washington, DC, July 2009).  2007 and 2008</t>
  </si>
  <si>
    <t>industrial natural gas delivered prices are estimated based on:  EIA, Manufacturing Energy Consumption Survey and</t>
  </si>
  <si>
    <t>industrial and wellhead prices from the Natural Gas Annual 2007, DOE/EIA-0131(2007) (Washington, DC, January, 2009) and the</t>
  </si>
  <si>
    <t>Natural Gas Monthly, DOE/EIA-0130(2009/07) (Washington, DC, July 2009).  2007 transportation sector natural gas delivered prices are based on:  EIA, Natural Gas Annual</t>
  </si>
  <si>
    <t>2007, DOE/EIA-0131(2007) (Washington, DC, January, 2009) and estimated State taxes, Federal taxes, and dispensing costs or charges.</t>
  </si>
  <si>
    <t>2008 transportation sector natural gas delivered prices are model results. 2007 and 2008 electric power sector natural gas prices:  EIA, Electric Power Monthly,</t>
  </si>
  <si>
    <t>April 2008 and April 2009, Table 4.13.B.  2007 and 2008 coal prices based on:  EIA, Quarterly Coal Report,</t>
  </si>
  <si>
    <t>October-December 2008, DOE/EIA-0121(2008/4Q) (Washington, DC, March 2009) and EIA, AEO2010 National Energy Modeling System run aeo2010r.d111809a.</t>
  </si>
  <si>
    <t>2007 and 2008 electricity prices:  EIA, Annual Energy Review 2008, DOE/EIA-0384(2008) (Washington, DC, June 2009).</t>
  </si>
  <si>
    <t>2007 and 2008 E85 prices derived from monthly prices in the Clean Cities Alternative Price Report.</t>
  </si>
  <si>
    <t>Projections:  EIA, AEO2010 National Energy Modeling System run aeo2010r.d111809a.</t>
  </si>
  <si>
    <t>Report #:DOE/EIA-0383(2009)</t>
  </si>
  <si>
    <t>Release date: March 2009</t>
  </si>
  <si>
    <t>Next release date, early release: November 2009</t>
  </si>
  <si>
    <t>2007-</t>
  </si>
  <si>
    <t>DOE/EIA-0121(2007/4Q) (Washington, DC, March 2008) and EIA, AEO2009 National Energy Modeling System run aeo2009.d120908a.  2006 and 2007 electricity prices:  EIA, Annual</t>
  </si>
  <si>
    <t>Projections:  EIA, AEO2009 National Energy Modeling System run hp2009.d121108a.</t>
  </si>
  <si>
    <t>AEO 2009 High price case</t>
  </si>
  <si>
    <t>Price_Tables</t>
  </si>
  <si>
    <t>Woody Biomass B2A</t>
  </si>
  <si>
    <t>Other Variable operating costs (for the first year)</t>
  </si>
  <si>
    <t>Electrical Costs (annual cost)</t>
  </si>
  <si>
    <t>O&amp;M (annual cost)</t>
  </si>
  <si>
    <t>The Chemical Engineering Plant Cost Index (CEPCI) is used to adjust the capital cost of the H2 Production facility from the basis year to the current year.</t>
  </si>
  <si>
    <t>The Consumer Price Inflator (CPI) is used to deflate all dollars from the current year to the Reference Year.</t>
  </si>
  <si>
    <t>Compressed Inert Gas</t>
  </si>
  <si>
    <t>Reference Year Conversion - Chemical price indexes are used to update costs to reference year dollars</t>
  </si>
  <si>
    <t>Woody Biomass MYPP</t>
  </si>
  <si>
    <t>Skip</t>
  </si>
  <si>
    <t>Property tax and insurance</t>
  </si>
  <si>
    <t>Design Plant Hydrogen Production (kg/day)</t>
  </si>
  <si>
    <t>Capital costs for the design plant (baseline) are entered on this sheet. Use the Plant Scaling sheet to set scaling parameters for scaling up or down in size from the baseline plant. Enter the output kg/day for the plant you wish to analyze on the Input Sheet</t>
  </si>
  <si>
    <t>Design capacity for original H2A case.  Imported from capital cost sheet</t>
  </si>
  <si>
    <t>NREL</t>
  </si>
  <si>
    <t>Biomass Multi-Year Program Plan April 2011, Table B-4. LHV from Table B-7 (8,000 Btu/lb). Prices starting in 2010 $82.70, 2011 $71.60, 2012, $61.57, 2013; $68.97</t>
  </si>
  <si>
    <t>feedstock</t>
  </si>
  <si>
    <t>Cost in Startup Year</t>
  </si>
  <si>
    <t>feedstock Industrial Natural Gas Usage</t>
  </si>
  <si>
    <t>feedstockIndustrial_Natural_Gas_Usage</t>
  </si>
  <si>
    <t>Usage per kg H2</t>
  </si>
  <si>
    <t>Scaling_validation</t>
  </si>
  <si>
    <t>Use Baseline Value</t>
  </si>
  <si>
    <t>IPCC Fourth Assessment Report: Climate Change 2007 (http://www.ipcc.ch/publications_and_data/ar4/wg1/en/ch2s2-10-2.html) Table 2.14 100-year potential</t>
  </si>
  <si>
    <t>Basis year</t>
  </si>
  <si>
    <t>Basis year for capital costs</t>
  </si>
  <si>
    <t>Click to enter details on the Carbon Sequestration calculation sheet.</t>
  </si>
  <si>
    <t>Combined Plant Scaling and Escalation Factor</t>
  </si>
  <si>
    <t>Scaling factor exponent used for scaling all capital equipment where an individual factor has not been entered below.</t>
  </si>
  <si>
    <t>Scale Factor</t>
  </si>
  <si>
    <t>Installed Cost (scaled)</t>
  </si>
  <si>
    <t>Ratio of total scaled installed capital capital cost to total baseline installed capital costs.  Used for exponential scaling.</t>
  </si>
  <si>
    <t>Plant Scaling Factors</t>
  </si>
  <si>
    <t>scf</t>
  </si>
  <si>
    <t>Commercial Natural Gas_metric</t>
  </si>
  <si>
    <t>Industrial Natural Gas_metric</t>
  </si>
  <si>
    <t>Electric Utility Natural Gas_metric</t>
  </si>
  <si>
    <t>Electric Utility Steam Coal_metric</t>
  </si>
  <si>
    <t>Methanol_metric</t>
  </si>
  <si>
    <t>Woody Biomass_metric</t>
  </si>
  <si>
    <t>Steam_metric</t>
  </si>
  <si>
    <t>lb</t>
  </si>
  <si>
    <t xml:space="preserve"> Report #: DOE/EIA-0383(2005)</t>
  </si>
  <si>
    <t>Release date full report: January 2005</t>
  </si>
  <si>
    <t xml:space="preserve">Projections Vary in Cases With Different Oil Price Assumptions  </t>
  </si>
  <si>
    <t>Total Non Energy Utility and Material Costs ($/year)</t>
  </si>
  <si>
    <t>AEO 2007 Report #: DOE/EIA-0383(2007)</t>
  </si>
  <si>
    <t>mmBtu</t>
  </si>
  <si>
    <t>Energy Information Administration Annual Energy Outlook.  See AEO Data sheet for original data</t>
  </si>
  <si>
    <t xml:space="preserve">The historical record shows substantial variability in world oil prices, and there is similar uncertainty about future prices. Four AEO2005 cases with different price paths allow an assessment of alternative views on the future of oil prices (Figure 40). In the reference case, with both OPEC and non-OPEC producers scheduled to add new production capacity over the next 5 years, prices in 2010 are projected to be more than $10 per barrel lower than current prices (all prices in 2003 dollars per barrel). After 2010, oil prices are projected to rise by about 1.3 percent per year, to more than $30 per barrel in 2025. (In nominal dollars, the reference case price is about $52 in 2025.) In the low price case, prices are projected to decline from their high in 2004 to $21 per barrel in 2009 and to remain at that level out to 2025. The high A price case projects that prices will remain at about $34 through 2015 and then increase on average by 1.4 percent per year, to more than $39 per barrel in 2025. In the high B case, world oil prices are projected to fall from current levels to $37 per barrel in 2010 and then rise to $48 per barrel in 2025.  </t>
  </si>
  <si>
    <t xml:space="preserve">Projected prices in all four cases are higher than in AEO2004 [130], reflecting recent improved production discipline by OPEC members and limited ability of other producers to expand production despite increasing demand and high utilization rates that have led to higher prices. The price projections in the high A and B cases are sufficiently robust to encourage greater market penetration of alternative energy supplies. </t>
  </si>
  <si>
    <t>Hydrogen Analysis Resource Center:  Lower and Higher Heating Values of Hydrogen and Fuels</t>
  </si>
  <si>
    <t>Gaseous Fuels @ 32 F and 1 atm</t>
  </si>
  <si>
    <t>Btu/ft3 [2]</t>
  </si>
  <si>
    <t>grams/ft3</t>
  </si>
  <si>
    <t>Hydrogen</t>
  </si>
  <si>
    <t>Still gas (in refineries)</t>
  </si>
  <si>
    <t>Crude oil</t>
  </si>
  <si>
    <t>Conventional gasoline</t>
  </si>
  <si>
    <t>Reformulated or low-sulfur gasoline</t>
  </si>
  <si>
    <t>CA reformulated gasoline</t>
  </si>
  <si>
    <t>U.S. conventional diesel</t>
  </si>
  <si>
    <t>Petroleum naphtha</t>
  </si>
  <si>
    <t>NG-based FT naphtha</t>
  </si>
  <si>
    <t>Residual oil</t>
  </si>
  <si>
    <t>E-Diesel Additives</t>
  </si>
  <si>
    <t>Liquefied petroleum gas (LPG)</t>
  </si>
  <si>
    <t>Liquefied natural gas (LNG)</t>
  </si>
  <si>
    <t>Dimethyl ether (DME)</t>
  </si>
  <si>
    <t>Dimethoxy methane (DMM)</t>
  </si>
  <si>
    <t>Methyl ester (biodiesel, BD)</t>
  </si>
  <si>
    <t>Fischer-Tropsch diesel (FTD)</t>
  </si>
  <si>
    <t>Liquid Hydrogen</t>
  </si>
  <si>
    <t>Methyl tertiary butyl ether (MTBE)</t>
  </si>
  <si>
    <t>Ethyl tertiary butyl ether (ETBE)</t>
  </si>
  <si>
    <t>Tertiary amyl methyl ether (TAME)</t>
  </si>
  <si>
    <t>Butane</t>
  </si>
  <si>
    <t>Isobutane</t>
  </si>
  <si>
    <t>Isobutylene</t>
  </si>
  <si>
    <t>Coal (wet basis) [6]</t>
  </si>
  <si>
    <t>Bituminous coal (wet basis) [7]</t>
  </si>
  <si>
    <t>Coking coal (wet basis)</t>
  </si>
  <si>
    <t>Farmed trees (dry basis)</t>
  </si>
  <si>
    <t>Herbaceous biomass (dry basis)</t>
  </si>
  <si>
    <t>Corn stover (dry basis)</t>
  </si>
  <si>
    <t>Forest residue (dry basis)</t>
  </si>
  <si>
    <t>[1] The lower heating value (also known as net calorific value) of a fuel is defined as the amount of heat released by combusting a specified quantity (initially at 25°C) and returning the temperature of the combustion products to 150°C, which assumes the latent heat of vaporization of water in the reaction products is not recovered.</t>
  </si>
  <si>
    <t>The higher heating value (also known as gross calorific value or gross energy) of a fuel is defined as the amount of heat released by a specified quantity (initially at 25°C) once it is combusted and the products have returned to a temperature of 25°C, which takes into account the latent heat of vaporization of water in the combustion products.</t>
  </si>
  <si>
    <t xml:space="preserve">[2] Btu =  British thermal unit. </t>
  </si>
  <si>
    <t>[3] The heating values for gaseous fuels in units of Btu/lb are calculated based on the heating values in units of Btu/ft3 and the corresponding fuel density values. The heating values for liquid fuels in units of Btu/lb are calculated based on heating values in units of Btu/gal and the corresponding fuel density values.</t>
  </si>
  <si>
    <t>[6] Coal characteristics assumed by GREET for electric power production.</t>
  </si>
  <si>
    <t>[7] Coal characteristics assumed by GREET for hydrogen and Fischer-Tropsch diesel production.</t>
  </si>
  <si>
    <t>E85 Ethanol_metric</t>
  </si>
  <si>
    <t>E85 Ethanol</t>
  </si>
  <si>
    <t>Retail Diesel_metric</t>
  </si>
  <si>
    <t>Retail Diesel</t>
  </si>
  <si>
    <t>Retail Gasoline</t>
  </si>
  <si>
    <t>Retail Gasoline_metric</t>
  </si>
  <si>
    <t>ncf</t>
  </si>
  <si>
    <t>Production (/kg H2)</t>
  </si>
  <si>
    <t>Unit</t>
  </si>
  <si>
    <t>Energy Input (kWh/kg H2)</t>
  </si>
  <si>
    <t>Energy Data</t>
  </si>
  <si>
    <t>Byproducts</t>
  </si>
  <si>
    <t xml:space="preserve">http://hydrogen.pnl.gov/filedownloads/hydrogen/datasheets/hydrogen_production_capacity_by_state.xls
</t>
  </si>
  <si>
    <t xml:space="preserve">http://www.chemicals-technology.com/projects/air-products-plant/
</t>
  </si>
  <si>
    <t>Energy Input (GJ/kg H2)</t>
  </si>
  <si>
    <t>Energy Output (GJ/kg H2)</t>
  </si>
  <si>
    <t>Hydrogen (1 kg)</t>
  </si>
  <si>
    <t>federal taxes, and dispensing costs or charges.  2005 transportation sector natural gas delivered prices are model results.  2004 and 2005 electric power sector natural gas prices:</t>
  </si>
  <si>
    <t>EIA, Electric Power Monthly, May 2005 through April 2006, Table 4.11.A.  2004 and 2005 coal prices based on:  EIA, Quarterly Coal Report, October-December 2005, DOE/EIA-0121</t>
  </si>
  <si>
    <t>Commercial Electricity_metric</t>
  </si>
  <si>
    <t>Other Material Costs ($/year)</t>
  </si>
  <si>
    <t>Industrial Electricity_metric</t>
  </si>
  <si>
    <t>Unit System</t>
  </si>
  <si>
    <t>Metric</t>
  </si>
  <si>
    <t>LHV (GJ or mmBtu/usage unit)</t>
  </si>
  <si>
    <t>Unit System Conversion Factor</t>
  </si>
  <si>
    <t>Hydrogen Cost (Start-up Year Nominal $/kg)</t>
  </si>
  <si>
    <t>H2_Price_real</t>
  </si>
  <si>
    <t>H2_Price_nominal</t>
  </si>
  <si>
    <t>result_cap_contr</t>
  </si>
  <si>
    <t>result_decom_contr</t>
  </si>
  <si>
    <t>result_fixed_o_m_contr</t>
  </si>
  <si>
    <t>result_feed_contr</t>
  </si>
  <si>
    <t>result_byprod_contr</t>
  </si>
  <si>
    <t>result_other_var_contr</t>
  </si>
  <si>
    <t>result_other_mat_contr</t>
  </si>
  <si>
    <t>% of Capital Spent in 1st Year of Construction</t>
  </si>
  <si>
    <t>Lower Limit for Scaling Capacity (kg H2/day)</t>
  </si>
  <si>
    <t>Upper Limit for Scaling Capacity (kg H2/day)</t>
  </si>
  <si>
    <t>Variable Operating Costs</t>
  </si>
  <si>
    <t>(2005/4Q) (Washington, DC, March 2006) and EIA, AEO2007 National Energy Modeling System run aeo2007.d112106a.  2004 and 2005 electricity prices:  EIA, Annual Energy Review</t>
  </si>
  <si>
    <t>2005, DOE/EIA-0384(2005) (Washington, DC, July 2006).  2004 and 2005 ethanol prices derived from weekly spot prices in the Oxy Fuel News.  Projections:  EIA, AEO2007 National</t>
  </si>
  <si>
    <t>Capital Cost</t>
  </si>
  <si>
    <t>Variable Operating Costs - Other Materials and Byproducts</t>
  </si>
  <si>
    <t>Variable Operating Costs - Other Variable Operating Costs</t>
  </si>
  <si>
    <t>Process Carbon Tax ($/year)</t>
  </si>
  <si>
    <t>Process Carbon Tax ($/metric ton carbon produced as CO2)</t>
  </si>
  <si>
    <t>Upstream Carbon Tax ($/metric ton upstream GHG CO2 eq)</t>
  </si>
  <si>
    <t>Upstream Carbon Tax ($/year)</t>
  </si>
  <si>
    <t>CO2 sequestration O&amp;M costs and credits ($/year)</t>
  </si>
  <si>
    <t>CO2_credit</t>
  </si>
  <si>
    <t>Proc_CO2_tax</t>
  </si>
  <si>
    <t>Upstream_CO2_tax</t>
  </si>
  <si>
    <t>Butanol</t>
  </si>
  <si>
    <t>Acetone</t>
  </si>
  <si>
    <t>Renewable Diesel I (SuperCetane)</t>
  </si>
  <si>
    <t>Renewable Diesel II (UOP-HDO)</t>
  </si>
  <si>
    <t>Renewable Gasoline</t>
  </si>
  <si>
    <t>Sugar cane bagasse</t>
  </si>
  <si>
    <t>Petroleum coke</t>
  </si>
  <si>
    <t>GREET Transportation Fuel Cycle Analysis Model, GREET 1.8b, developed by Argonne National Laboratory, Argonne, IL, released May 8, 2008. http://www.transportation.anl.gov/software/GREET/index.html</t>
  </si>
  <si>
    <t>total_cap</t>
  </si>
  <si>
    <t>Energy Modeling System run aeo2007.d112106a.</t>
  </si>
  <si>
    <t>Prices for Woody Biomass, Methanol and Steam are taken from the AEO High A case below</t>
  </si>
  <si>
    <t>Federal Taxes (%)</t>
  </si>
  <si>
    <t>Inflation rate (%)</t>
  </si>
  <si>
    <t>Total Depreciable Capital Costs</t>
  </si>
  <si>
    <t>Land Cost ($)</t>
  </si>
  <si>
    <t>Total Non-Depreciable Capital Costs</t>
  </si>
  <si>
    <t>After Tax Nominal IRR</t>
  </si>
  <si>
    <t>After Tax Real IRR</t>
  </si>
  <si>
    <t>Decommissioning</t>
  </si>
  <si>
    <t>Fixed Operating Costs ($/year)</t>
  </si>
  <si>
    <t>Other Raw Material ($/year)</t>
  </si>
  <si>
    <t>Other Variable O&amp;M Costs (not including tax credits and incentives)</t>
  </si>
  <si>
    <t>After-Tax Nominal IRR</t>
  </si>
  <si>
    <t>G&amp;A ($/year)</t>
  </si>
  <si>
    <t>Pre Tax Nominal IRR</t>
  </si>
  <si>
    <t>Pre Tax Real IRR</t>
  </si>
  <si>
    <t>TABLE B - GDP Implicit Deflator Price Index</t>
  </si>
  <si>
    <t>Salvage Value</t>
  </si>
  <si>
    <t>Property taxes and insurance ($/year)</t>
  </si>
  <si>
    <t>Total Capital Costs</t>
  </si>
  <si>
    <t>Labor cost, $/year</t>
  </si>
  <si>
    <t>Total Fixed Operating Costs</t>
  </si>
  <si>
    <t>Carbon Capture Efficiency (%)</t>
  </si>
  <si>
    <t>CO2 sequestration capital costs ($/year)</t>
  </si>
  <si>
    <t>Energy Output (kWh/kg H2)</t>
  </si>
  <si>
    <t>Carbon Sequestration Electricity Usage</t>
  </si>
  <si>
    <t>H2A Carbon Sequestration Total Direct Capital Cost</t>
  </si>
  <si>
    <t>Feedstock Costs</t>
  </si>
  <si>
    <t>Use_Default</t>
  </si>
  <si>
    <t>Use H2A Value</t>
  </si>
  <si>
    <t>Enter Value</t>
  </si>
  <si>
    <t>Nm3</t>
  </si>
  <si>
    <t>Soutput_kgyear</t>
  </si>
  <si>
    <t>Sdepr_cap</t>
  </si>
  <si>
    <t>Sland_cost</t>
  </si>
  <si>
    <t>Other non depreciable capital costs</t>
  </si>
  <si>
    <t>Slabor_cost</t>
  </si>
  <si>
    <t>Stax_insurance</t>
  </si>
  <si>
    <t>Sfixed</t>
  </si>
  <si>
    <t>Soverhead_GA</t>
  </si>
  <si>
    <t>Stotal_tax_rate</t>
  </si>
  <si>
    <t>Snon_dep_cap</t>
  </si>
  <si>
    <t>Stotal_cap</t>
  </si>
  <si>
    <t>After-tax Real IRR (%)</t>
  </si>
  <si>
    <t>State Taxes (%)</t>
  </si>
  <si>
    <t>FTEs</t>
  </si>
  <si>
    <t>FTE_cost</t>
  </si>
  <si>
    <t>material</t>
  </si>
  <si>
    <t>ref_year</t>
  </si>
  <si>
    <t>Reference year</t>
  </si>
  <si>
    <t>Replacement Costs</t>
  </si>
  <si>
    <t>NOTE: All replacement costs are assumed to be equity financed.</t>
  </si>
  <si>
    <t>Unplanned Yearly Replacement Capital (Depreciable)</t>
  </si>
  <si>
    <t>Comments</t>
  </si>
  <si>
    <t>Source</t>
  </si>
  <si>
    <t>Information</t>
  </si>
  <si>
    <t xml:space="preserve">Enter a fixed percentage.  This input is meant to include, in the Cash Flow Analysis, a factor for unplanned capital expenditures.  </t>
  </si>
  <si>
    <t>Actual Year</t>
  </si>
  <si>
    <t>Operations Year</t>
  </si>
  <si>
    <t>Specified Yearly Replacement Costs</t>
  </si>
  <si>
    <t>Unplanned Replacement Costs</t>
  </si>
  <si>
    <t>HHV/LHV</t>
  </si>
  <si>
    <t>HHV/LHV Source</t>
  </si>
  <si>
    <t>Source Year (for original price data)</t>
  </si>
  <si>
    <t>H2a Reference Year</t>
  </si>
  <si>
    <t>title</t>
  </si>
  <si>
    <t>Energy Feedstocks, Utilities, and Byproducts</t>
  </si>
  <si>
    <t>Other Materials and Byproducts</t>
  </si>
  <si>
    <t>Cooling Water</t>
  </si>
  <si>
    <t>Demineralized Water</t>
  </si>
  <si>
    <t>Process Water</t>
  </si>
  <si>
    <t>Oxygen</t>
  </si>
  <si>
    <t>Units</t>
  </si>
  <si>
    <t>Other Inputs and Byproducts</t>
  </si>
  <si>
    <t>Select the Material</t>
  </si>
  <si>
    <t>Feed</t>
  </si>
  <si>
    <t>START_NONE_TOP</t>
  </si>
  <si>
    <t>START_NONE_FEED</t>
  </si>
  <si>
    <t>START_NONE_BYPROD</t>
  </si>
  <si>
    <t>List</t>
  </si>
  <si>
    <t>Feed_Type_List</t>
  </si>
  <si>
    <t>Feed Utility</t>
  </si>
  <si>
    <t>Total Process Emissions (metric tons/year)</t>
  </si>
  <si>
    <t>Baseline Installed Costs</t>
  </si>
  <si>
    <t>Use Scale Ratio</t>
  </si>
  <si>
    <t>Use Scale Factor</t>
  </si>
  <si>
    <t>Installed Cost (baseline)</t>
  </si>
  <si>
    <t>Default Scaling Factor Exponent</t>
  </si>
  <si>
    <t>CO2_OandMCost</t>
  </si>
  <si>
    <t>Scaling_Method_Defaults</t>
  </si>
  <si>
    <t>Table of Contents</t>
  </si>
  <si>
    <t>Upstream Energy Usage</t>
  </si>
  <si>
    <t>Production Process GHG Emissions</t>
  </si>
  <si>
    <t>Upstream GHG Emissions</t>
  </si>
  <si>
    <t>Feed Utility Byprod</t>
  </si>
  <si>
    <t>Feed or utility</t>
  </si>
  <si>
    <t>mmBTU</t>
  </si>
  <si>
    <t>GJ</t>
  </si>
  <si>
    <t>Total Yearly Replacement Costs</t>
  </si>
  <si>
    <t>Uninstalled costs</t>
  </si>
  <si>
    <t>Installation factor</t>
  </si>
  <si>
    <t>Comments:</t>
  </si>
  <si>
    <t>Data source:</t>
  </si>
  <si>
    <t>Inflated to Start-up Year</t>
  </si>
  <si>
    <t>Woody Biomass</t>
  </si>
  <si>
    <t>N/A</t>
  </si>
  <si>
    <t>TABLE A - Energy Feedstock and Utility Properties Table</t>
  </si>
  <si>
    <t>Year</t>
  </si>
  <si>
    <t>Commercial Natural Gas</t>
  </si>
  <si>
    <t>Electric Utility Natural Gas</t>
  </si>
  <si>
    <t>Electric Utility Steam Coal</t>
  </si>
  <si>
    <t>Steam</t>
  </si>
  <si>
    <t xml:space="preserve">Note:  when steam is an important input or output, the price should be externally provided and should be based on the specific characteristics of the steam needed or produced. </t>
  </si>
  <si>
    <t>Feedstock Type</t>
  </si>
  <si>
    <t>Cancelled</t>
  </si>
  <si>
    <t>Value</t>
  </si>
  <si>
    <t>acre_cost</t>
  </si>
  <si>
    <t>acres</t>
  </si>
  <si>
    <t>Lang Factor</t>
  </si>
  <si>
    <t>Property tax and insurance rate (% of total capital investment per year)</t>
  </si>
  <si>
    <t>Costs must be entered in basis year dollars</t>
  </si>
  <si>
    <t xml:space="preserve">Notes </t>
  </si>
  <si>
    <t>GDP Implicit Price Deflator (Index, 2005=100), Available from Federal Reserve Bank of St. Louis (FRED): http://research.stlouisfed.org/fred2/series/GDPDEF/</t>
  </si>
  <si>
    <t>From the Bureau of Labor Statistics, Average Hourly Earnings of Chemical Manufacturing Workers (Production and Nonsupervisory Employees)  From series CEU3232500008</t>
  </si>
  <si>
    <t>Table C1 2010 Upstream Energy and Emissions for H2 Feedstocks: for each MJ (LHV, or as noted) of feedstock available at H2 production site.  Source: GREET1_2013, 01/20/2014 for year 2010 technologies</t>
  </si>
  <si>
    <t>84 wt% ethanol from corn and 16 wt% gasoline</t>
  </si>
  <si>
    <t>AEO_2013_Reference_Case</t>
  </si>
  <si>
    <t>AEO_2013_High_Price_Case</t>
  </si>
  <si>
    <t>AEO_2014_Reference_Case</t>
  </si>
  <si>
    <t>AEO 2013 Reference Case Values:</t>
  </si>
  <si>
    <t>2011 $/MMBtu</t>
  </si>
  <si>
    <t>Pyrolysis Oil</t>
  </si>
  <si>
    <t>Ethanol (E85)</t>
  </si>
  <si>
    <t>AEO 2013 High Oil Price Case Values (except for BioMethane and Woody Biomass):</t>
  </si>
  <si>
    <t>2012 $/MMBtu</t>
  </si>
  <si>
    <r>
      <t xml:space="preserve">Hydrogen Analysis Resource Center:  </t>
    </r>
    <r>
      <rPr>
        <b/>
        <i/>
        <sz val="12"/>
        <rFont val="Arial"/>
        <family val="2"/>
      </rPr>
      <t>Price Ratios from PNNL GCAM Model</t>
    </r>
  </si>
  <si>
    <t>From GCAM</t>
  </si>
  <si>
    <t>Ratio 2070 to 2065 Price</t>
  </si>
  <si>
    <t>AEO_2009_Reference_Case</t>
  </si>
  <si>
    <t xml:space="preserve">Discounted Values </t>
  </si>
  <si>
    <t>H2 sales (kg/year)</t>
  </si>
  <si>
    <t>Target after-tax nominal IRR</t>
  </si>
  <si>
    <t>Discounted values</t>
  </si>
  <si>
    <t>LCOE cost contribution factors</t>
  </si>
  <si>
    <t>Depr</t>
  </si>
  <si>
    <t>Principal</t>
  </si>
  <si>
    <t>Op costs</t>
  </si>
  <si>
    <t>H2 sales (kg)</t>
  </si>
  <si>
    <t>Cash from Working Capital Reserve</t>
  </si>
  <si>
    <t>Actual Year
(beginning of year)</t>
  </si>
  <si>
    <t>Tax Credit</t>
  </si>
  <si>
    <t>Tax incentives</t>
  </si>
  <si>
    <t>Tax coefficient</t>
  </si>
  <si>
    <t>Feedstock Cost</t>
  </si>
  <si>
    <t>Revenue from Hydrogen Sales</t>
  </si>
  <si>
    <t>Revenue from Byproduct Sales</t>
  </si>
  <si>
    <t>Nominal</t>
  </si>
  <si>
    <t>Parameter</t>
  </si>
  <si>
    <t>Case</t>
  </si>
  <si>
    <t>Taxes</t>
  </si>
  <si>
    <t>Price-decreasing factor</t>
  </si>
  <si>
    <t>Price-increasing factor</t>
  </si>
  <si>
    <t>Price-decreasing value</t>
  </si>
  <si>
    <t>Price-increasing value</t>
  </si>
  <si>
    <t>Importance ranking</t>
  </si>
  <si>
    <t>parameter</t>
  </si>
  <si>
    <t>level</t>
  </si>
  <si>
    <t>Chart titles</t>
  </si>
  <si>
    <t>Visualization data formatting</t>
  </si>
  <si>
    <t>Rank</t>
  </si>
  <si>
    <t>Standard Toranado</t>
  </si>
  <si>
    <t>dL0</t>
  </si>
  <si>
    <t>dL1</t>
  </si>
  <si>
    <t>dL2</t>
  </si>
  <si>
    <t>Displayed case</t>
  </si>
  <si>
    <t>Low cost price</t>
  </si>
  <si>
    <t>Default price</t>
  </si>
  <si>
    <t>High price</t>
  </si>
  <si>
    <t>Unsorted titles</t>
  </si>
  <si>
    <t>Titles</t>
  </si>
  <si>
    <t>AEO 2014 Reference Case Values:</t>
  </si>
  <si>
    <t>Results spread ($/kg)</t>
  </si>
  <si>
    <t>Simple bar chart</t>
  </si>
  <si>
    <t>Parado chart</t>
  </si>
  <si>
    <t>Expenses</t>
  </si>
  <si>
    <t>Revenues</t>
  </si>
  <si>
    <t>Title</t>
  </si>
  <si>
    <t>Unsorted</t>
  </si>
  <si>
    <t>Unsorted Ranking</t>
  </si>
  <si>
    <t>Sorted ranking</t>
  </si>
  <si>
    <t>Sorted titles</t>
  </si>
  <si>
    <t>Sorted values</t>
  </si>
  <si>
    <t>Unsorted values</t>
  </si>
  <si>
    <t>Cash for Working Capital Reserve</t>
  </si>
  <si>
    <t>Closed form formulas for calculating price of hydrogen.</t>
  </si>
  <si>
    <t>Expenses $/kg H2</t>
  </si>
  <si>
    <t>Revenues $/kg H2</t>
  </si>
  <si>
    <t>Operating Capacity Factor</t>
  </si>
  <si>
    <t>After-tax Real IRR</t>
  </si>
  <si>
    <t>Cash Flow NPV (Error if not 0)</t>
  </si>
  <si>
    <t>Cost of Hydrogen</t>
  </si>
  <si>
    <t>Base case</t>
  </si>
  <si>
    <t>Hydrogen Sales</t>
  </si>
  <si>
    <t>Byproduct Sales</t>
  </si>
  <si>
    <t>Waterfall Chart Priority</t>
  </si>
  <si>
    <t>Waterfall Chart</t>
  </si>
  <si>
    <t>Baseline</t>
  </si>
  <si>
    <t>Feedstock Consumption (% of baseline)</t>
  </si>
  <si>
    <t>Utilities Consumption (% of baseline)</t>
  </si>
  <si>
    <t>Tables to calculate equivalent price in startup year</t>
  </si>
  <si>
    <t>Cost per kg H2</t>
  </si>
  <si>
    <t>Discounted value</t>
  </si>
  <si>
    <t>Levelized and escalated cost in startup year</t>
  </si>
  <si>
    <t>Adjusted</t>
  </si>
  <si>
    <t>Real levelized cost</t>
  </si>
  <si>
    <t>Base</t>
  </si>
  <si>
    <t>Increase</t>
  </si>
  <si>
    <t>Values</t>
  </si>
  <si>
    <t>Decrease</t>
  </si>
  <si>
    <t>Revenues
 $/kg H2</t>
  </si>
  <si>
    <t>Expenses
 $/kg H2</t>
  </si>
  <si>
    <t>Grayed Titles</t>
  </si>
  <si>
    <t>Colored titles</t>
  </si>
  <si>
    <t>Enter deviation % for lowering H2 cost</t>
  </si>
  <si>
    <t>Enter deviation % for increasing H2 cost</t>
  </si>
  <si>
    <t>Base date: December 1984 for the Producer price index - chemical mfg (adjusted to 1982 base)</t>
  </si>
  <si>
    <t>Value added to match other central cases.
Use this value for all central cases</t>
  </si>
  <si>
    <t>5/15/17:  Same information as BLS data for Chemical Mfg:  https://data.bls.gov/pdq/SurveyOutputServlet</t>
  </si>
  <si>
    <t>Process Design Parameters</t>
  </si>
  <si>
    <t>CO2_Pump_Eff</t>
  </si>
  <si>
    <t>CO2_ControlSystem</t>
  </si>
  <si>
    <t>CO2_SurgeTank</t>
  </si>
  <si>
    <t>CO2_PipeElevation</t>
  </si>
  <si>
    <t>CO2_Pipeline_Temp</t>
  </si>
  <si>
    <t>n_CO2_pumps</t>
  </si>
  <si>
    <t>Set to 0 to turn off CCS</t>
  </si>
  <si>
    <t>Total transportation and storage cost (w/o capture)</t>
  </si>
  <si>
    <t>Prices are in $(2012)/GJ LHV</t>
  </si>
  <si>
    <t>AEO_2017_Reference_Case</t>
  </si>
  <si>
    <t>Values are extrapolated based on PNNL GCAM model for years 2050-2100</t>
  </si>
  <si>
    <t>Carbon Sequestration Related Replacement Costs</t>
  </si>
  <si>
    <t>Further extrapolated to allow 2040 comission year using GCAM</t>
  </si>
  <si>
    <t>GREET.NET 2017 upstream emmissions tables</t>
  </si>
  <si>
    <t>From waste and intermediate fuels</t>
  </si>
  <si>
    <t xml:space="preserve">Biomass for Gasification Hydrogen Production </t>
  </si>
  <si>
    <t>GREET.NET, natural gas feedstock</t>
  </si>
  <si>
    <t>www.nrel.gov</t>
  </si>
  <si>
    <t>M. Penev</t>
  </si>
  <si>
    <t>$(2016)/ gal</t>
  </si>
  <si>
    <t>Min factor</t>
  </si>
  <si>
    <t>Max factor</t>
  </si>
  <si>
    <t>Nominal factor</t>
  </si>
  <si>
    <t>Percentile</t>
  </si>
  <si>
    <t>Min</t>
  </si>
  <si>
    <t>Max</t>
  </si>
  <si>
    <t>Variable to plot</t>
  </si>
  <si>
    <t>Range to plot</t>
  </si>
  <si>
    <t>Variable</t>
  </si>
  <si>
    <t>max</t>
  </si>
  <si>
    <t>gain</t>
  </si>
  <si>
    <t>max-min</t>
  </si>
  <si>
    <t>Min*gain</t>
  </si>
  <si>
    <t>Max*gain</t>
  </si>
  <si>
    <t>Average</t>
  </si>
  <si>
    <t>Probability</t>
  </si>
  <si>
    <t>Cumulative probability</t>
  </si>
  <si>
    <t>Risk variable to plot</t>
  </si>
  <si>
    <t>No user interactions below this row</t>
  </si>
  <si>
    <t>Operating capacity factor</t>
  </si>
  <si>
    <t>Plant design capacity (kg of H2/day)</t>
  </si>
  <si>
    <t>After-tax real IRR (%)</t>
  </si>
  <si>
    <t>Feedstock consumption (% of most likely value)</t>
  </si>
  <si>
    <t>Utilities consumption (% of most likely value)</t>
  </si>
  <si>
    <t>Revenue from byproduct sales ($/kg)</t>
  </si>
  <si>
    <t>Salvage value ($/kg)</t>
  </si>
  <si>
    <t>Initial equity depreciable capital ($/kg)</t>
  </si>
  <si>
    <t>Yearly replacement costs ($/kg)</t>
  </si>
  <si>
    <t>Cash from working capital reserve ($/kg)</t>
  </si>
  <si>
    <t>Other non-depreciable capital costs ($/kg)</t>
  </si>
  <si>
    <t>Decommissioning costs ($/kg)</t>
  </si>
  <si>
    <t>Fixed operating cost ($/kg)</t>
  </si>
  <si>
    <t>Feedstock cost ($/kg)</t>
  </si>
  <si>
    <t>Other raw material cost ($/kg)</t>
  </si>
  <si>
    <t>Other variable operating costs ($/kg)</t>
  </si>
  <si>
    <t>Debt interest ($/kg)</t>
  </si>
  <si>
    <t>Taxes ($/kg)</t>
  </si>
  <si>
    <t>Principal payment ($/kg)</t>
  </si>
  <si>
    <t>Total fixed operating cost ($/year)</t>
  </si>
  <si>
    <t>Total capital investment ($)</t>
  </si>
  <si>
    <t>Cost of hydrogen ($/kg)</t>
  </si>
  <si>
    <t>Upstream GHG Emissions (kg/kg H2) based on GREET.NET 2017</t>
  </si>
  <si>
    <t>Michael Penev</t>
  </si>
  <si>
    <t>303 275 3880</t>
  </si>
  <si>
    <t>mike.penev@nrel.gov</t>
  </si>
  <si>
    <t>Price Conversion Factor (GJ/kWh)</t>
  </si>
  <si>
    <t>Price in Startup Year ($2016)/kWh</t>
  </si>
  <si>
    <t>Usage (kWh/kg H2)</t>
  </si>
  <si>
    <t>Enter 0 to enable constant outstanding debt.</t>
  </si>
  <si>
    <t>H2A Hydrogen Production Cash Flow Analysis Tool v3.2018</t>
  </si>
  <si>
    <t>Default used?</t>
  </si>
  <si>
    <t>Run Risk Analysis (note: Risk analysis could take ~5 min to run)?</t>
  </si>
  <si>
    <t>3/1/2022 source: https://alfred.stlouisfed.org/series?seid=PCU325325</t>
  </si>
  <si>
    <t>3/1/2022 source: http://data.bls.gov/timeseries/CEU3232500008?data_tool=Xgtable</t>
  </si>
  <si>
    <t>3/1/2022 source: https://fred.stlouisfed.org/series/GDPDEF#0</t>
  </si>
  <si>
    <t>3/2/2022 source: https://www.chemengonline.com/pci</t>
  </si>
  <si>
    <t>Estimated based on site total cost in NETL report.</t>
  </si>
  <si>
    <t>Using H2A default</t>
  </si>
  <si>
    <t>Administrative &amp; support labor</t>
  </si>
  <si>
    <t>Weighted average by sub-component list</t>
  </si>
  <si>
    <t>https://netl.doe.gov/projects/files/QualityGuidelinesforEnergySystemStudiesCapitalCostScalingMethodologyRevision4Report_110719.pdf</t>
  </si>
  <si>
    <t>Includes buildings and other site improvements</t>
  </si>
  <si>
    <t>Project contingency ($)</t>
  </si>
  <si>
    <t>Process contingency ($)</t>
  </si>
  <si>
    <t>Maintenance labor</t>
  </si>
  <si>
    <t>Materials cost (2011$/km)</t>
  </si>
  <si>
    <t>Installation labor cost (2011$/km)</t>
  </si>
  <si>
    <t>Right of way (2011$/km)</t>
  </si>
  <si>
    <t>Booster pump (2011$/[Mt/y][km])</t>
  </si>
  <si>
    <t>Transport distance to sequestration site (km)</t>
  </si>
  <si>
    <t>Contingency factor</t>
  </si>
  <si>
    <t>Material costs</t>
  </si>
  <si>
    <t>Right of way</t>
  </si>
  <si>
    <t>Major cost depreciable capital components</t>
  </si>
  <si>
    <t>Surge tank</t>
  </si>
  <si>
    <t>Miscellaneous (2011$/[Mt/y][km])</t>
  </si>
  <si>
    <t>Miscellaneous</t>
  </si>
  <si>
    <t>Labor expense</t>
  </si>
  <si>
    <t>Pipeline controls</t>
  </si>
  <si>
    <t>Pump</t>
  </si>
  <si>
    <t>Electricity use for booster pump (kWh/kg H₂)</t>
  </si>
  <si>
    <t>% of capital sppent in 1st year</t>
  </si>
  <si>
    <t>% of capital sppent in 2nd year</t>
  </si>
  <si>
    <t>% of capital sppent in 3rd year</t>
  </si>
  <si>
    <t>Pipeline &amp; pumps O&amp;M (2011$/[km-y])</t>
  </si>
  <si>
    <t>Pipeline &amp; pumps O&amp;M (2011$/year)</t>
  </si>
  <si>
    <r>
      <t>Electricity use for booster pump (kWh/km-metric tonne CO</t>
    </r>
    <r>
      <rPr>
        <b/>
        <sz val="10"/>
        <rFont val="Calibri"/>
        <family val="2"/>
      </rPr>
      <t>₂</t>
    </r>
    <r>
      <rPr>
        <b/>
        <sz val="10"/>
        <rFont val="Arial"/>
        <family val="2"/>
      </rPr>
      <t>)</t>
    </r>
  </si>
  <si>
    <t>Contingency</t>
  </si>
  <si>
    <t>Operational life (years)</t>
  </si>
  <si>
    <t>CEPCI inflator</t>
  </si>
  <si>
    <t>CPI inflator</t>
  </si>
  <si>
    <r>
      <t>CO</t>
    </r>
    <r>
      <rPr>
        <sz val="11"/>
        <rFont val="Calibri"/>
        <family val="2"/>
      </rPr>
      <t>₂</t>
    </r>
    <r>
      <rPr>
        <sz val="11"/>
        <rFont val="Arial"/>
        <family val="2"/>
      </rPr>
      <t xml:space="preserve"> Pipeline</t>
    </r>
  </si>
  <si>
    <t>CO₂ Pumps</t>
  </si>
  <si>
    <t>CO₂ Other equipment</t>
  </si>
  <si>
    <t>CO₂ Surge tanks</t>
  </si>
  <si>
    <t>CapEx without contingency</t>
  </si>
  <si>
    <t>Transport nameplate capacity (million metric tonnes/year)</t>
  </si>
  <si>
    <r>
      <t>Electricity use for booster pump (kWh/ metric tonne CO</t>
    </r>
    <r>
      <rPr>
        <sz val="10"/>
        <rFont val="Calibri"/>
        <family val="2"/>
      </rPr>
      <t>₂ sequestered</t>
    </r>
    <r>
      <rPr>
        <sz val="10"/>
        <rFont val="Arial"/>
        <family val="2"/>
      </rPr>
      <t>)</t>
    </r>
  </si>
  <si>
    <t>Electricity use (kWh/y)</t>
  </si>
  <si>
    <t>Capacity (million metric tonnes/year) ↓</t>
  </si>
  <si>
    <t>NPV Injection CapEx 2008$</t>
  </si>
  <si>
    <t>NPV Post-Injection CapEx 2008$</t>
  </si>
  <si>
    <t>Injection FixedOpEx% of CapEx</t>
  </si>
  <si>
    <t>Post-Injection FixedOpEx% of CapEx</t>
  </si>
  <si>
    <t>Injection</t>
  </si>
  <si>
    <t>Post-Injection (NPV)</t>
  </si>
  <si>
    <t>Values in 2008$</t>
  </si>
  <si>
    <t>Values in 2011$</t>
  </si>
  <si>
    <r>
      <t>CO</t>
    </r>
    <r>
      <rPr>
        <b/>
        <sz val="10"/>
        <rFont val="Calibri"/>
        <family val="2"/>
      </rPr>
      <t>₂</t>
    </r>
    <r>
      <rPr>
        <b/>
        <sz val="10"/>
        <rFont val="Arial"/>
        <family val="2"/>
      </rPr>
      <t xml:space="preserve"> Storage</t>
    </r>
  </si>
  <si>
    <t>CO₂ Injection</t>
  </si>
  <si>
    <t>CO₂ Post-Injection</t>
  </si>
  <si>
    <t>CO₂ Booster pumps</t>
  </si>
  <si>
    <r>
      <t>CO</t>
    </r>
    <r>
      <rPr>
        <sz val="10"/>
        <rFont val="Calibri"/>
        <family val="2"/>
      </rPr>
      <t>₂</t>
    </r>
    <r>
      <rPr>
        <sz val="10"/>
        <rFont val="Arial"/>
        <family val="2"/>
      </rPr>
      <t xml:space="preserve"> Transport cost estimate dollar basis</t>
    </r>
  </si>
  <si>
    <t>Total without contingency</t>
  </si>
  <si>
    <t>Total uninstalled cost</t>
  </si>
  <si>
    <t>Pipeline Length (miles)</t>
  </si>
  <si>
    <t>CO₂ Mass Flowrate (metric tonnes/day)</t>
  </si>
  <si>
    <t>CO₂ Mass Flowrate (million metric tonnes/year)</t>
  </si>
  <si>
    <t>CO₂ Produced from Feedstock (metric tonnes CO₂/year)</t>
  </si>
  <si>
    <t>CO₂ Produced from Feedstock (kg CO₂/kg H2)</t>
  </si>
  <si>
    <t>Carbon Sequestration Electricity Usage (kWh/kg H₂)</t>
  </si>
  <si>
    <t>CO₂ capture credit ($/metric ton CO₂ captured)</t>
  </si>
  <si>
    <r>
      <t>Costs for carbon (CO₂) transport to the sequestration site and injection are calculated in this section.  Capital and operating costs for carbon capture and compression to 2,200psia are assumed to be included in the capital and operating costs for the production facility and are not included here.  For H2A analysis of hydrogen production processes, it is assumed that only carbon contained in the process feedstock can be captured. CO₂ transport and sequestration is based on NETL's 2018 CO</t>
    </r>
    <r>
      <rPr>
        <sz val="10"/>
        <rFont val="Calibri"/>
        <family val="2"/>
      </rPr>
      <t>₂</t>
    </r>
    <r>
      <rPr>
        <sz val="10"/>
        <rFont val="Arial"/>
        <family val="2"/>
      </rPr>
      <t xml:space="preserve"> transport model. CO₂ injection into geologic formation is based on NETL's 2017 CO₂ OnShore Saline Storage Cost Model. </t>
    </r>
  </si>
  <si>
    <r>
      <t>Below are lookup tables derived from NETL's CO</t>
    </r>
    <r>
      <rPr>
        <sz val="10"/>
        <rFont val="Calibri"/>
        <family val="2"/>
      </rPr>
      <t>₂</t>
    </r>
    <r>
      <rPr>
        <sz val="10"/>
        <rFont val="Arial"/>
        <family val="2"/>
      </rPr>
      <t xml:space="preserve"> transport and storage cost models</t>
    </r>
  </si>
  <si>
    <t>Contingency is 15% of transport costs</t>
  </si>
  <si>
    <r>
      <t>Summary of Output Values</t>
    </r>
    <r>
      <rPr>
        <b/>
        <sz val="10"/>
        <rFont val="Arial"/>
        <family val="2"/>
      </rPr>
      <t xml:space="preserve"> 
(CO2 Seq. costs are reported on Results Tab as part of total H2 Production cost)</t>
    </r>
  </si>
  <si>
    <r>
      <t xml:space="preserve">Capacity (million metric tonnes/year) </t>
    </r>
    <r>
      <rPr>
        <sz val="10"/>
        <rFont val="Calibri"/>
        <family val="2"/>
      </rPr>
      <t>↓</t>
    </r>
  </si>
  <si>
    <r>
      <t xml:space="preserve">Transport distance (km) to injection site </t>
    </r>
    <r>
      <rPr>
        <sz val="10"/>
        <rFont val="Calibri"/>
        <family val="2"/>
      </rPr>
      <t>→</t>
    </r>
  </si>
  <si>
    <t>CO₂ Capture Credit</t>
  </si>
  <si>
    <t>CO₂ Pipeline &amp; pumps</t>
  </si>
  <si>
    <t>Carbon Sequestration Energy Charge ($/tonne CO₂)</t>
  </si>
  <si>
    <t>Carbon Sequestration O&amp;M Charge ($/tonne CO₂)</t>
  </si>
  <si>
    <t>Approx Carbon Seq. Cap. Charge ($/tonne CO₂)</t>
  </si>
  <si>
    <t>Values from FE/NETL CO₂ OnShore Saline Storage Cost Model (2017)</t>
  </si>
  <si>
    <t xml:space="preserve">Brian D. James, Strategic Analysis Inc. </t>
  </si>
  <si>
    <t>None</t>
  </si>
  <si>
    <t>nth plant (~500 units/yr)</t>
  </si>
  <si>
    <t>10,000 psia H2 Compressed Gas Storage</t>
  </si>
  <si>
    <t>distributed installations</t>
  </si>
  <si>
    <t>Made compatible with Excel for Mac</t>
  </si>
  <si>
    <t>Michael Penev, NREL</t>
  </si>
  <si>
    <t>replaced model buttons</t>
  </si>
  <si>
    <t>Implemented closed-form cash flow calculations</t>
  </si>
  <si>
    <t>Implemented new tornado plots generator</t>
  </si>
  <si>
    <t>Implemented waterfall plots generator</t>
  </si>
  <si>
    <t>Added instant results display in the Input_Sheet_Template</t>
  </si>
  <si>
    <t>Fixed depreciation routine</t>
  </si>
  <si>
    <t>H2A Version 3</t>
  </si>
  <si>
    <t>Darlene Steward, NREL</t>
  </si>
  <si>
    <t>version 3 template, standard calculation of capacity</t>
  </si>
  <si>
    <t>H2A Version 2</t>
  </si>
  <si>
    <t>Darlene M. Steward</t>
  </si>
  <si>
    <t>Refueling station calculation correction, tornado chart update</t>
  </si>
  <si>
    <t>H2A Version 2.1 updates</t>
  </si>
  <si>
    <t>Brian D. James</t>
  </si>
  <si>
    <t>Based on Distributed Production H2A Spreadsheet v26 by Darlene Steward/Todd Ramsden</t>
  </si>
  <si>
    <t xml:space="preserve">The delivered cost of hydrogen was determined using a discounted cash flow analysis on the total capital investment and the periodic expenditures for repair, maintenance, and replacement.
A tornado plot was developed to show the sensitivity of the delivered hydrogen cost to several important variables.
Hysys simulation of the reformer system was conducted to confirm mass flows and electrical power requirements.  Capital cost of the steam reformer system was estimated by a combination of scaling, industry quotes, and ground-up component cost estimation.  </t>
  </si>
  <si>
    <t xml:space="preserve">                       Calgary, Alberta                                                                                     </t>
  </si>
  <si>
    <t xml:space="preserve">                       CANADA                         Unit Set: SI                                                          </t>
  </si>
  <si>
    <t xml:space="preserve">                                                                                                                            </t>
  </si>
  <si>
    <t>-------------------------------------------------------------------------------</t>
  </si>
  <si>
    <t xml:space="preserve">                                                                                     Property Package: Peng Robinson        </t>
  </si>
  <si>
    <t xml:space="preserve">CONDITIONS                                                                                                                  </t>
  </si>
  <si>
    <t xml:space="preserve">                                 Overall                                                                                    </t>
  </si>
  <si>
    <t xml:space="preserve">Vapour / Phase Fraction          ---                                                                                        </t>
  </si>
  <si>
    <t xml:space="preserve">Temperature: (C)                 ---                                                                                        </t>
  </si>
  <si>
    <t xml:space="preserve">Pressure: (kPa)                  ---                                                                                        </t>
  </si>
  <si>
    <t xml:space="preserve">Molar Flow (kgmole/h)            ---                                                                                        </t>
  </si>
  <si>
    <t xml:space="preserve">Mass Flow (kg/h)                 ---                                                                                        </t>
  </si>
  <si>
    <t xml:space="preserve">Std Ideal Liq Vol Flow (m3/h)    ---                                                                                        </t>
  </si>
  <si>
    <t xml:space="preserve">Molar Enthalpy (kJ/kgmole)       ---                                                                                        </t>
  </si>
  <si>
    <t xml:space="preserve">Molar Entropy (kJ/kgmole-C)      ---                                                                                        </t>
  </si>
  <si>
    <t xml:space="preserve">Heat Flow (kJ/h)                 ---                                                                                        </t>
  </si>
  <si>
    <t xml:space="preserve">Liq Vol Flow @Std Cond (m3/h)    ---                                                                                        </t>
  </si>
  <si>
    <t xml:space="preserve">PROPERTIES                                                                                                                  </t>
  </si>
  <si>
    <t xml:space="preserve">Molecular Weight                 ---                                                                                        </t>
  </si>
  <si>
    <t xml:space="preserve">Molar Density (kgmole/m3)        ---                                                                                        </t>
  </si>
  <si>
    <t xml:space="preserve">Mass Density (kg/m3)             ---                                                                                        </t>
  </si>
  <si>
    <t xml:space="preserve">Act. Volume Flow (m3/h)          ---                                                                                        </t>
  </si>
  <si>
    <t xml:space="preserve">Mass Enthalpy (kJ/kg)            ---                                                                                        </t>
  </si>
  <si>
    <t xml:space="preserve">Mass Entropy (kJ/kg-C)           ---                                                                                        </t>
  </si>
  <si>
    <t xml:space="preserve">Heat Capacity (kJ/kgmole-C)      ---                                                                                        </t>
  </si>
  <si>
    <t xml:space="preserve">Mass Heat Capacity (kJ/kg-C)     ---                                                                                        </t>
  </si>
  <si>
    <t xml:space="preserve">Lower Heating Value (kJ/kgmole)  ---                                                                                        </t>
  </si>
  <si>
    <t xml:space="preserve">Mass Lower Heating Value (kJ/kg) ---                                                                                        </t>
  </si>
  <si>
    <t xml:space="preserve">Phase Fraction [Vol. Basis]      ---                                                                                        </t>
  </si>
  <si>
    <t xml:space="preserve">Phase Fraction [Mass Basis]      ---                                                                                        </t>
  </si>
  <si>
    <t xml:space="preserve">Partial Pressure of CO2 (kPa)    0.0000                                                                                     </t>
  </si>
  <si>
    <t xml:space="preserve">Cost Based on Flow (Cost/s)      0.0000                                                                                     </t>
  </si>
  <si>
    <t xml:space="preserve">Act. Gas Flow (ACT_m3/h)         ---                                                                                        </t>
  </si>
  <si>
    <t xml:space="preserve">Avg. Liq. Density (kgmole/m3)    ---                                                                                        </t>
  </si>
  <si>
    <t xml:space="preserve">Specific Heat (kJ/kgmole-C)      ---                                                                                        </t>
  </si>
  <si>
    <t xml:space="preserve">Std. Gas Flow (STD_m3/h)         ---                                                                                        </t>
  </si>
  <si>
    <t xml:space="preserve">Std. Ideal Liq. Mass Density (kg/m3) ---                                                                                       </t>
  </si>
  <si>
    <t xml:space="preserve">Act. Liq. Flow (m3/s)            ---                                                                                        </t>
  </si>
  <si>
    <t xml:space="preserve">Z Factor                         ---                                                                                        </t>
  </si>
  <si>
    <t xml:space="preserve">Watson K                         ---                                                                                        </t>
  </si>
  <si>
    <t xml:space="preserve">User Property                    ---                                                                                        </t>
  </si>
  <si>
    <t xml:space="preserve">Cp/(Cp - R)                      ---                                                                                        </t>
  </si>
  <si>
    <t xml:space="preserve">Cp/Cv                            ---                                                                                        </t>
  </si>
  <si>
    <t xml:space="preserve">Heat of Vap. (kJ/kgmole)         ---                                                                                        </t>
  </si>
  <si>
    <t xml:space="preserve">Kinematic Viscosity (cSt)        ---                                                                                        </t>
  </si>
  <si>
    <t xml:space="preserve">Liq. Mass Density (Std. Cond) (kg/m3) ---                                                                                       </t>
  </si>
  <si>
    <t xml:space="preserve">Liq. Vol. Flow (Std. Cond) (m3/h) ---                                                                                       </t>
  </si>
  <si>
    <t xml:space="preserve">Liquid Fraction                  ---                                                                                        </t>
  </si>
  <si>
    <t xml:space="preserve">Molar Volume (m3/kgmole)         ---                                                                                        </t>
  </si>
  <si>
    <t xml:space="preserve">Mass Heat of Vap. (kJ/kg)        ---                                                                                        </t>
  </si>
  <si>
    <t xml:space="preserve">Phase Fraction [Molar Basis]     ---                                                                                        </t>
  </si>
  <si>
    <t xml:space="preserve">Surface Tension (dyne/cm)        ---                                                                                        </t>
  </si>
  <si>
    <t xml:space="preserve">Thermal Conductivity (W/m-K)     ---                                                                                        </t>
  </si>
  <si>
    <t xml:space="preserve">Viscosity (cP)                   ---                                                                                        </t>
  </si>
  <si>
    <t xml:space="preserve">Cv (Semi-Ideal) (kJ/kgmole-C)    ---                                                                                        </t>
  </si>
  <si>
    <t xml:space="preserve">Mass Cv (Semi-Ideal) (kJ/kg-C)   ---                                                                                        </t>
  </si>
  <si>
    <t xml:space="preserve">Cv (kJ/kgmole-C)                 ---                                                                                        </t>
  </si>
  <si>
    <t xml:space="preserve">Mass Cv (kJ/kg-C)                ---                                                                                        </t>
  </si>
  <si>
    <t xml:space="preserve">Cv (Ent. Method) (kJ/kgmole-C)   ---                                                                                        </t>
  </si>
  <si>
    <t xml:space="preserve">Mass Cv (Ent. Method) (kJ/kg-C)  ---                                                                                        </t>
  </si>
  <si>
    <t xml:space="preserve">Cp/Cv (Ent. Method)              ---                                                                                        </t>
  </si>
  <si>
    <t xml:space="preserve">Reid VP at 37.8 C (kPa)          ---                                                                                        </t>
  </si>
  <si>
    <t xml:space="preserve">True VP at 37.8 C (kPa)          ---                                                                                        </t>
  </si>
  <si>
    <t xml:space="preserve">Liq. Vol. Flow - Sum(Std. Cond) (m3/h) ---                                                                                       </t>
  </si>
  <si>
    <t xml:space="preserve">Partial Pressure of H2S (kPa)    0.0000                                                                                     </t>
  </si>
  <si>
    <t xml:space="preserve">COMPOSITION                                                                                                                 </t>
  </si>
  <si>
    <t xml:space="preserve">( No compositions have been calculated for this stream )                                                                    </t>
  </si>
  <si>
    <t xml:space="preserve">                                 Overall           Vapour Phase      Liquid Phase      Aqueous Phase                        </t>
  </si>
  <si>
    <t xml:space="preserve">Vapour / Phase Fraction          1.0000            1.0000            0.0000            0.0000                               </t>
  </si>
  <si>
    <t xml:space="preserve">Liq Vol Flow @Std Cond (m3/h)    ---               ---               0.0000            0.0000                               </t>
  </si>
  <si>
    <t xml:space="preserve">Phase Fraction [Vol. Basis]      ---               1.000             ---               ---                                  </t>
  </si>
  <si>
    <t xml:space="preserve">Phase Fraction [Mass Basis]      2.122e-314        1.000             0.0000            0.0000                               </t>
  </si>
  <si>
    <t xml:space="preserve">Cost Based on Flow (Cost/s)      0.0000            0.0000            0.0000            0.0000                               </t>
  </si>
  <si>
    <t xml:space="preserve">Act. Liq. Flow (m3/s)            0.0000            ---               ---               0.0000                               </t>
  </si>
  <si>
    <t xml:space="preserve">Z Factor                         ---               1.000             1.000             1.000                                </t>
  </si>
  <si>
    <t xml:space="preserve">User Property                    ---               ---               ---               ---                                  </t>
  </si>
  <si>
    <t xml:space="preserve">Liq. Mass Density (Std. Cond) (kg/m3) ---               ---               ---               ---                                 </t>
  </si>
  <si>
    <t xml:space="preserve">Liq. Vol. Flow (Std. Cond) (m3/h) ---               ---               0.0000            0.0000                              </t>
  </si>
  <si>
    <t xml:space="preserve">Liquid Fraction                  0.0000            0.0000            1.000             1.000                                </t>
  </si>
  <si>
    <t xml:space="preserve">Phase Fraction [Molar Basis]     1.0000            1.0000            0.0000            0.0000                               </t>
  </si>
  <si>
    <t xml:space="preserve">Surface Tension (dyne/cm)        ---               ---               0.0000            0.0000                               </t>
  </si>
  <si>
    <t xml:space="preserve">Reid VP at 37.8 C (kPa)          ---               ---               ---               ---                                  </t>
  </si>
  <si>
    <t xml:space="preserve">Liq. Vol. Flow - Sum(Std. Cond) (m3/h) 0.0000            0.0000            0.0000            0.0000                              </t>
  </si>
  <si>
    <t xml:space="preserve">Partial Pressure of H2S (kPa)    0.0000            ---               ---               ---                                  </t>
  </si>
  <si>
    <t xml:space="preserve">Overall Phase                                                                                     Vapour Fraction 1.0000    </t>
  </si>
  <si>
    <t xml:space="preserve">COMPONENTS            MOLAR FLOW       MOLE FRACTION    MASS FLOW        MASS FRACTION    LIQUID VOLUME    LIQUID VOLUME    </t>
  </si>
  <si>
    <t xml:space="preserve">                       (kgmole/h)                        (kg/h)                           FLOW   (m3/h)    FRACTION         </t>
  </si>
  <si>
    <t xml:space="preserve">Methane               0.0000           0.0000           0.0000           0.0000           0.0000           0.0000           </t>
  </si>
  <si>
    <t xml:space="preserve">Hydrogen              0.0000           0.0000           0.0000           0.0000           0.0000           0.0000           </t>
  </si>
  <si>
    <t xml:space="preserve">CO                    0.0000           0.0000           0.0000           0.0000           0.0000           0.0000           </t>
  </si>
  <si>
    <t xml:space="preserve">Carbon                0.0000           0.0000           0.0000           0.0000           0.0000           0.0000           </t>
  </si>
  <si>
    <t xml:space="preserve">Vapour Phase                                                                                      Phase Fraction 1.000      </t>
  </si>
  <si>
    <t xml:space="preserve">Liquid Phase                                                                                      Phase Fraction 0.0000     </t>
  </si>
  <si>
    <t xml:space="preserve">Total                 0.0000           1.0000           0.0000           1.0000           0.0000           1.0000           </t>
  </si>
  <si>
    <t xml:space="preserve">Aqueous Phase                                                                                     Phase Fraction 0.0000     </t>
  </si>
  <si>
    <t xml:space="preserve">                                 Overall           Vapour Phase                                                             </t>
  </si>
  <si>
    <t xml:space="preserve">Vapour / Phase Fraction          1.0000            1.0000                                                                   </t>
  </si>
  <si>
    <t xml:space="preserve">Liq Vol Flow @Std Cond (m3/h)    ---               ---                                                                      </t>
  </si>
  <si>
    <t xml:space="preserve">Molecular Weight                 28.85             28.85                                                                    </t>
  </si>
  <si>
    <t xml:space="preserve">Lower Heating Value (kJ/kgmole)  0.0000            0.0000                                                                   </t>
  </si>
  <si>
    <t xml:space="preserve">Mass Lower Heating Value (kJ/kg) ---               ---                                                                      </t>
  </si>
  <si>
    <t xml:space="preserve">Phase Fraction [Vol. Basis]      ---               1.000                                                                    </t>
  </si>
  <si>
    <t xml:space="preserve">Phase Fraction [Mass Basis]      4.941e-324        1.000                                                                    </t>
  </si>
  <si>
    <t xml:space="preserve">Partial Pressure of CO2 (kPa)    0.0000            ---                                                                      </t>
  </si>
  <si>
    <t xml:space="preserve">Cost Based on Flow (Cost/s)      0.0000            0.0000                                                                   </t>
  </si>
  <si>
    <t xml:space="preserve">Avg. Liq. Density (kgmole/m3)    29.98             29.98                                                                    </t>
  </si>
  <si>
    <t xml:space="preserve">Act. Liq. Flow (m3/s)            ---               ---                                                                      </t>
  </si>
  <si>
    <t xml:space="preserve">Z Factor                         0.9995            0.9995                                                                   </t>
  </si>
  <si>
    <t xml:space="preserve">User Property                    ---               ---                                                                      </t>
  </si>
  <si>
    <t xml:space="preserve">Cp/(Cp - R)                      1.398             1.398                                                                    </t>
  </si>
  <si>
    <t xml:space="preserve">Cp/Cv                            1.401             1.401                                                                    </t>
  </si>
  <si>
    <t xml:space="preserve">Liq. Mass Density (Std. Cond) (kg/m3) ---               ---                                                                     </t>
  </si>
  <si>
    <t xml:space="preserve">Liq. Vol. Flow (Std. Cond) (m3/h) ---               ---                                                                     </t>
  </si>
  <si>
    <t xml:space="preserve">Liquid Fraction                  0.0000            0.0000                                                                   </t>
  </si>
  <si>
    <t xml:space="preserve">Phase Fraction [Molar Basis]     1.0000            1.0000                                                                   </t>
  </si>
  <si>
    <t xml:space="preserve">Surface Tension (dyne/cm)        ---               ---                                                                      </t>
  </si>
  <si>
    <t xml:space="preserve">Reid VP at 37.8 C (kPa)          ---               ---                                                                      </t>
  </si>
  <si>
    <t xml:space="preserve">True VP at 37.8 C (kPa)          ---               ---                                                                      </t>
  </si>
  <si>
    <t xml:space="preserve">Liq. Vol. Flow - Sum(Std. Cond) (m3/h) 0.0000            0.0000                                                                  </t>
  </si>
  <si>
    <t xml:space="preserve">Partial Pressure of H2S (kPa)    0.0000            ---                                                                      </t>
  </si>
  <si>
    <t xml:space="preserve">H2O                   0.0000           0.0000           0.0000           0.0000           0.0000           0.0000           </t>
  </si>
  <si>
    <t xml:space="preserve">CO2                   0.0000           0.0000           0.0000           0.0000           0.0000           0.0000           </t>
  </si>
  <si>
    <t xml:space="preserve">Vapour / Phase Fraction          0.0000            0.0000            0.5000            0.5000                               </t>
  </si>
  <si>
    <t xml:space="preserve">Molar Flow (kgmole/h)            0.0000            0.0000            0.0000            0.0000                               </t>
  </si>
  <si>
    <t xml:space="preserve">Mass Flow (kg/h)                 0.0000            0.0000            0.0000            0.0000                               </t>
  </si>
  <si>
    <t xml:space="preserve">Std Ideal Liq Vol Flow (m3/h)    0.0000            0.0000            0.0000            0.0000                               </t>
  </si>
  <si>
    <t xml:space="preserve">Heat Flow (kJ/h)                 0.0000            0.0000            0.0000            0.0000                               </t>
  </si>
  <si>
    <t xml:space="preserve">Liq Vol Flow @Std Cond (m3/h)    0.0000            0.0000            0.0000            0.0000                               </t>
  </si>
  <si>
    <t xml:space="preserve">Act. Volume Flow (m3/h)          0.0000            0.0000            0.0000            0.0000                               </t>
  </si>
  <si>
    <t xml:space="preserve">Phase Fraction [Vol. Basis]      ---               ---               0.5000            0.5000                               </t>
  </si>
  <si>
    <t xml:space="preserve">Phase Fraction [Mass Basis]      2.122e-314        0.0000            0.5000            0.5000                               </t>
  </si>
  <si>
    <t xml:space="preserve">Partial Pressure of CO2 (kPa)    0.0000            ---               ---               ---                                  </t>
  </si>
  <si>
    <t xml:space="preserve">Act. Gas Flow (ACT_m3/h)         ---               ---               ---               ---                                  </t>
  </si>
  <si>
    <t xml:space="preserve">Avg. Liq. Density (kgmole/m3)    ---               ---               ---               ---                                  </t>
  </si>
  <si>
    <t xml:space="preserve">Std. Gas Flow (STD_m3/h)         0.0000            0.0000            0.0000            0.0000                               </t>
  </si>
  <si>
    <t xml:space="preserve">Act. Liq. Flow (m3/s)            0.0000            ---               0.0000            0.0000                               </t>
  </si>
  <si>
    <t xml:space="preserve">Liq. Vol. Flow (Std. Cond) (m3/h) 0.0000            0.0000            0.0000            0.0000                              </t>
  </si>
  <si>
    <t xml:space="preserve">Liquid Fraction                  1.000             0.0000            1.000             1.000                                </t>
  </si>
  <si>
    <t xml:space="preserve">Phase Fraction [Molar Basis]     0.0000            0.0000            0.5000            0.5000                               </t>
  </si>
  <si>
    <t xml:space="preserve">Overall Phase                                                                                     Vapour Fraction 0.0000    </t>
  </si>
  <si>
    <t xml:space="preserve">Vapour Phase                                                                                      Phase Fraction 0.0000     </t>
  </si>
  <si>
    <t xml:space="preserve">Liquid Phase                                                                                      Phase Fraction 0.5000     </t>
  </si>
  <si>
    <t xml:space="preserve">Aqueous Phase                                                                                     Phase Fraction 0.5000     </t>
  </si>
  <si>
    <t xml:space="preserve">Z Factor                         1.000             1.000                                                                    </t>
  </si>
  <si>
    <t xml:space="preserve">Vapour / Phase Fraction          0.0000            1.0000                                                                   </t>
  </si>
  <si>
    <t xml:space="preserve">Temperature: (C)                 25.00             25.00                                                                    </t>
  </si>
  <si>
    <t xml:space="preserve">Act. Gas Flow (ACT_m3/h)         ---               ---                                                                      </t>
  </si>
  <si>
    <t xml:space="preserve">Liquid Fraction                  1.000             1.000                                                                    </t>
  </si>
  <si>
    <t xml:space="preserve">Phase Fraction [Molar Basis]     0.0000            1.0000                                                                   </t>
  </si>
  <si>
    <t xml:space="preserve">Cv (Ent. Method) (kJ/kgmole-C)   ---               ---                                                                      </t>
  </si>
  <si>
    <t xml:space="preserve">Mass Cv (Ent. Method) (kJ/kg-C)  ---               ---                                                                      </t>
  </si>
  <si>
    <t xml:space="preserve">Cp/Cv (Ent. Method)              ---               ---                                                                      </t>
  </si>
  <si>
    <t xml:space="preserve">Oxygen                0.0000           0.0000           0.0000           0.0000           0.0000           0.0000           </t>
  </si>
  <si>
    <t xml:space="preserve">Nitrogen              0.0000           0.0000           0.0000           0.0000           0.0000           0.0000           </t>
  </si>
  <si>
    <t xml:space="preserve">Liquid Phase                                                                                      Phase Fraction 1.000      </t>
  </si>
  <si>
    <t xml:space="preserve">                                 Overall           Vapour Phase      Aqueous Phase                                          </t>
  </si>
  <si>
    <t xml:space="preserve">Vapour / Phase Fraction          0.0000            0.0000            1.0000                                                 </t>
  </si>
  <si>
    <t xml:space="preserve">Phase Fraction [Vol. Basis]      ---               ---               1.000                                                  </t>
  </si>
  <si>
    <t xml:space="preserve">Phase Fraction [Mass Basis]      4.941e-324        0.0000            1.000                                                  </t>
  </si>
  <si>
    <t xml:space="preserve">Partial Pressure of CO2 (kPa)    0.0000            ---               ---                                                    </t>
  </si>
  <si>
    <t xml:space="preserve">Cost Based on Flow (Cost/s)      0.0000            0.0000            0.0000                                                 </t>
  </si>
  <si>
    <t xml:space="preserve">Act. Gas Flow (ACT_m3/h)         ---               ---               ---                                                    </t>
  </si>
  <si>
    <t xml:space="preserve">User Property                    ---               ---               ---                                                    </t>
  </si>
  <si>
    <t xml:space="preserve">Liq. Mass Density (Std. Cond) (kg/m3) 1015              ---               1015                                                  </t>
  </si>
  <si>
    <t xml:space="preserve">Liquid Fraction                  1.000             0.0000            1.000                                                  </t>
  </si>
  <si>
    <t xml:space="preserve">Phase Fraction [Molar Basis]     0.0000            0.0000            1.0000                                                 </t>
  </si>
  <si>
    <t xml:space="preserve">Reid VP at 37.8 C (kPa)          ---               ---               ---                                                    </t>
  </si>
  <si>
    <t xml:space="preserve">Partial Pressure of H2S (kPa)    0.0000            ---               ---                                                    </t>
  </si>
  <si>
    <t xml:space="preserve">Aqueous Phase                                                                                     Phase Fraction 1.000      </t>
  </si>
  <si>
    <t xml:space="preserve">                                 Overall           Aqueous Phase                                                            </t>
  </si>
  <si>
    <t xml:space="preserve">Molar Enthalpy (kJ/kgmole)       -2.854e+005       -2.854e+005                                                              </t>
  </si>
  <si>
    <t xml:space="preserve">Molar Entropy (kJ/kgmole-C)      53.70             53.70                                                                    </t>
  </si>
  <si>
    <t xml:space="preserve">Molecular Weight                 18.02             18.02                                                                    </t>
  </si>
  <si>
    <t xml:space="preserve">Molar Density (kgmole/m3)        55.92             55.92                                                                    </t>
  </si>
  <si>
    <t xml:space="preserve">Mass Density (kg/m3)             1007              1007                                                                     </t>
  </si>
  <si>
    <t xml:space="preserve">Mass Enthalpy (kJ/kg)            -1.584e+004       -1.584e+004                                                              </t>
  </si>
  <si>
    <t xml:space="preserve">Mass Entropy (kJ/kg-C)           2.981             2.981                                                                    </t>
  </si>
  <si>
    <t xml:space="preserve">Heat Capacity (kJ/kgmole-C)      77.71             77.71                                                                    </t>
  </si>
  <si>
    <t xml:space="preserve">Mass Heat Capacity (kJ/kg-C)     4.313             4.313                                                                    </t>
  </si>
  <si>
    <t xml:space="preserve">Phase Fraction [Mass Basis]      0.0000            1.000                                                                    </t>
  </si>
  <si>
    <t xml:space="preserve">Avg. Liq. Density (kgmole/m3)    55.40             55.40                                                                    </t>
  </si>
  <si>
    <t xml:space="preserve">Specific Heat (kJ/kgmole-C)      77.71             77.71                                                                    </t>
  </si>
  <si>
    <t xml:space="preserve">Std. Ideal Liq. Mass Density (kg/m3) 998.0             998.0                                                                   </t>
  </si>
  <si>
    <t xml:space="preserve">Watson K                         ---               ---                                                                      </t>
  </si>
  <si>
    <t xml:space="preserve">Cp/(Cp - R)                      1.120             1.120                                                                    </t>
  </si>
  <si>
    <t xml:space="preserve">Cp/Cv                            1.147             1.147                                                                    </t>
  </si>
  <si>
    <t xml:space="preserve">Heat of Vap. (kJ/kgmole)         4.101e+004        ---                                                                      </t>
  </si>
  <si>
    <t xml:space="preserve">Kinematic Viscosity (cSt)        0.8840            0.8840                                                                   </t>
  </si>
  <si>
    <t xml:space="preserve">Liq. Mass Density (Std. Cond) (kg/m3) 1015              1015                                                                    </t>
  </si>
  <si>
    <t xml:space="preserve">Molar Volume (m3/kgmole)         1.788e-002        1.788e-002                                                               </t>
  </si>
  <si>
    <t xml:space="preserve">Surface Tension (dyne/cm)        72.10             72.10                                                                    </t>
  </si>
  <si>
    <t xml:space="preserve">Thermal Conductivity (W/m-K)     0.6110            0.6110                                                                   </t>
  </si>
  <si>
    <t xml:space="preserve">Viscosity (cP)                   0.8904            0.8904                                                                   </t>
  </si>
  <si>
    <t xml:space="preserve">Cv (Semi-Ideal) (kJ/kgmole-C)    69.39             69.39                                                                    </t>
  </si>
  <si>
    <t xml:space="preserve">Mass Cv (Semi-Ideal) (kJ/kg-C)   3.852             3.852                                                                    </t>
  </si>
  <si>
    <t xml:space="preserve">Cv (kJ/kgmole-C)                 67.75             67.75                                                                    </t>
  </si>
  <si>
    <t xml:space="preserve">Mass Cv (kJ/kg-C)                3.761             3.761                                                                    </t>
  </si>
  <si>
    <t xml:space="preserve">True VP at 37.8 C (kPa)          6.467             6.467                                                                    </t>
  </si>
  <si>
    <t xml:space="preserve">Vapour / Phase Fraction          1.0000            1.0000            0.0000                                                 </t>
  </si>
  <si>
    <t xml:space="preserve">Liq Vol Flow @Std Cond (m3/h)    ---               ---               0.0000                                                 </t>
  </si>
  <si>
    <t xml:space="preserve">Phase Fraction [Vol. Basis]      ---               1.000             ---                                                    </t>
  </si>
  <si>
    <t xml:space="preserve">Phase Fraction [Mass Basis]      4.941e-324        1.000             0.0000                                                 </t>
  </si>
  <si>
    <t xml:space="preserve">Act. Liq. Flow (m3/s)            0.0000            ---               0.0000                                                 </t>
  </si>
  <si>
    <t xml:space="preserve">Liq. Mass Density (Std. Cond) (kg/m3) ---               ---               1015                                                  </t>
  </si>
  <si>
    <t xml:space="preserve">Liq. Vol. Flow (Std. Cond) (m3/h) ---               ---               0.0000                                                </t>
  </si>
  <si>
    <t xml:space="preserve">Liquid Fraction                  0.0000            0.0000            1.000                                                  </t>
  </si>
  <si>
    <t xml:space="preserve">Phase Fraction [Molar Basis]     1.0000            1.0000            0.0000                                                 </t>
  </si>
  <si>
    <t xml:space="preserve">Liq. Vol. Flow - Sum(Std. Cond) (m3/h) 0.0000            0.0000            0.0000                                                </t>
  </si>
  <si>
    <t xml:space="preserve">True VP at 37.8 C (kPa)          ---               ---               ---               ---                                  </t>
  </si>
  <si>
    <t xml:space="preserve">Lower Heating Value (kJ/kgmole)  ---               ---                                                                      </t>
  </si>
  <si>
    <t xml:space="preserve">Mass Heat Capacity (kJ/kg-C)     4.311             4.311                                                                    </t>
  </si>
  <si>
    <t xml:space="preserve">Cv (Semi-Ideal) (kJ/kgmole-C)    69.35             69.35                                                                    </t>
  </si>
  <si>
    <t xml:space="preserve">Mass Cv (Semi-Ideal) (kJ/kg-C)   3.850             3.850                                                                    </t>
  </si>
  <si>
    <t xml:space="preserve">Z Factor                         0.9994            0.9994                                                                   </t>
  </si>
  <si>
    <t xml:space="preserve">Viscosity (cP)                   1.883e-002        1.883e-002                                                               </t>
  </si>
  <si>
    <t xml:space="preserve">Cp/Cv (Ent. Method)              1.197             1.197                                                                    </t>
  </si>
  <si>
    <t xml:space="preserve">CO                    0.0000           0.0000           0.0003           0.0000           0.0000           0.0000           </t>
  </si>
  <si>
    <t xml:space="preserve">Pressure: (kPa)                  2199              2199              2199                                                   </t>
  </si>
  <si>
    <t xml:space="preserve">Molar Flow (kgmole/h)            0.0000            0.0000            0.0000                                                 </t>
  </si>
  <si>
    <t xml:space="preserve">Mass Flow (kg/h)                 0.0000            0.0000            0.0000                                                 </t>
  </si>
  <si>
    <t xml:space="preserve">Std Ideal Liq Vol Flow (m3/h)    0.0000            0.0000            0.0000                                                 </t>
  </si>
  <si>
    <t xml:space="preserve">Heat Flow (kJ/h)                 0.0000            0.0000            0.0000                                                 </t>
  </si>
  <si>
    <t xml:space="preserve">Liq Vol Flow @Std Cond (m3/h)    0.0000            0.0000            0.0000                                                 </t>
  </si>
  <si>
    <t xml:space="preserve">Act. Volume Flow (m3/h)          0.0000            0.0000            0.0000                                                 </t>
  </si>
  <si>
    <t xml:space="preserve">Avg. Liq. Density (kgmole/m3)    ---               ---               ---                                                    </t>
  </si>
  <si>
    <t xml:space="preserve">Std. Gas Flow (STD_m3/h)         0.0000            0.0000            0.0000                                                 </t>
  </si>
  <si>
    <t xml:space="preserve">Liq. Vol. Flow (Std. Cond) (m3/h) 0.0000            0.0000            0.0000                                                </t>
  </si>
  <si>
    <t xml:space="preserve">True VP at 37.8 C (kPa)          ---               ---               ---                                                    </t>
  </si>
  <si>
    <t xml:space="preserve">Cv (Ent. Method) (kJ/kgmole-C)   22.66             22.66                                                                    </t>
  </si>
  <si>
    <t xml:space="preserve">Molecular Weight                 2.016             2.016                                                                    </t>
  </si>
  <si>
    <t xml:space="preserve">Heat Capacity (kJ/kgmole-C)      28.65             28.65                                                                    </t>
  </si>
  <si>
    <t xml:space="preserve">Mass Heat Capacity (kJ/kg-C)     14.21             14.21                                                                    </t>
  </si>
  <si>
    <t xml:space="preserve">Lower Heating Value (kJ/kgmole)  2.419e+005        2.419e+005                                                               </t>
  </si>
  <si>
    <t xml:space="preserve">Mass Lower Heating Value (kJ/kg) 1.200e+005        1.200e+005                                                               </t>
  </si>
  <si>
    <t xml:space="preserve">Avg. Liq. Density (kgmole/m3)    34.65             34.65                                                                    </t>
  </si>
  <si>
    <t xml:space="preserve">Specific Heat (kJ/kgmole-C)      28.65             28.65                                                                    </t>
  </si>
  <si>
    <t xml:space="preserve">Std. Ideal Liq. Mass Density (kg/m3) 69.86             69.86                                                                   </t>
  </si>
  <si>
    <t xml:space="preserve">Z Factor                         1.008             1.008                                                                    </t>
  </si>
  <si>
    <t xml:space="preserve">Watson K                         47.60             47.60                                                                    </t>
  </si>
  <si>
    <t xml:space="preserve">Cp/(Cp - R)                      1.409             1.409                                                                    </t>
  </si>
  <si>
    <t xml:space="preserve">Heat of Vap. (kJ/kgmole)         ---               ---                                                                      </t>
  </si>
  <si>
    <t xml:space="preserve">Mass Heat of Vap. (kJ/kg)        ---               ---                                                                      </t>
  </si>
  <si>
    <t xml:space="preserve">Mass Cv (Semi-Ideal) (kJ/kg-C)   10.09             10.09                                                                    </t>
  </si>
  <si>
    <t xml:space="preserve">Mass Cv (kJ/kg-C)                10.04             10.04                                                                    </t>
  </si>
  <si>
    <t xml:space="preserve">Liq. Mass Density (Std. Cond) (kg/m3) ---               ---               1016                                                  </t>
  </si>
  <si>
    <t xml:space="preserve">Cp/(Cp - R)                      1.313             1.313                                                                    </t>
  </si>
  <si>
    <t xml:space="preserve">Hyprotech Ltd.                     Aspen HYSYS Version 2006 (20.0.0.6728)                                                  </t>
  </si>
  <si>
    <t>Removed hydrogen fueling tab. Fueling will be added in the future in context of heavy duty vehicle refueling and at larger scale.</t>
  </si>
  <si>
    <t>Water Feed System</t>
  </si>
  <si>
    <t>Superheater</t>
  </si>
  <si>
    <t>Burner</t>
  </si>
  <si>
    <t>Reformer</t>
  </si>
  <si>
    <t>Primary Air Feed System</t>
  </si>
  <si>
    <t>Reformate Cooler</t>
  </si>
  <si>
    <t>Condenser</t>
  </si>
  <si>
    <t>Air Feed System for Condenser</t>
  </si>
  <si>
    <t>Pressure Swing Adsorption Unit</t>
  </si>
  <si>
    <t>Water Purification</t>
  </si>
  <si>
    <t>Structural Supports</t>
  </si>
  <si>
    <t>Controls System</t>
  </si>
  <si>
    <t>System Assembly</t>
  </si>
  <si>
    <t xml:space="preserve">Using AACE* cost categories  for a “&gt;150psi, &gt;400F Gas Process”: Installation Costs (% of total direct uninstalled capital) Sales tax: 5%   Typical state sales tax Shipping: 1%   Based on actual low-rider coast-to-coast transport of single large load Insurance: 1%   Shipping insurance estimate Setting: 10% One half of AACE generic recommended value due to Nth  plant considerations. Total Installation: 17% of total direct uninstalled capital
</t>
  </si>
  <si>
    <t>X = design capacity/115 (kg/day)</t>
  </si>
  <si>
    <t xml:space="preserve">N (see above) = </t>
  </si>
  <si>
    <t>PSA uninstalled cost (Q100) =</t>
  </si>
  <si>
    <t>bed volume (L)</t>
  </si>
  <si>
    <t>Biomass Program MYPP April 2011, HyARC data (see AEO data tab for additional information)</t>
  </si>
  <si>
    <t>HyARC</t>
  </si>
  <si>
    <t>feedstock Commercial Electricity Usage</t>
  </si>
  <si>
    <t>feedstockCommercial_Electricity_Usage</t>
  </si>
  <si>
    <t>This covers waste disposal costs, non-feedstock fuels, environmental surcharges, etc. and is estimated at $800/month with 50% being attributed to refueling operations (the other 50% goes to convenience store operations) and is further pro-rata for the fraction of hydrogen dispensers out of total dispensers (3 out of 8 for large stations). Thus for a large station, annual “Other Variable Costs” are $800/month * 12 months/year * 50% fueling fraction * (3 H2 dispensers/8 total dispensers) = $1,800/year.</t>
  </si>
  <si>
    <t>Initial spares at 0.75% of Production System Direct Capital</t>
  </si>
  <si>
    <t>x15</t>
  </si>
  <si>
    <t>x50</t>
  </si>
  <si>
    <t>Ethanol for gasoline blending from GREET 2021</t>
  </si>
  <si>
    <t>Todd Ramsden</t>
  </si>
  <si>
    <t>Tornado Charts added</t>
  </si>
  <si>
    <t>Current Distributed Steam Methane Reformer (SMR) 1500kg/day</t>
  </si>
  <si>
    <t>The purpose of this analysis is to determine a baseline delivered cost of hydrogen for the distributed production of hydrogen from (technology).</t>
  </si>
  <si>
    <t>Owner operated large for-profit business.</t>
  </si>
  <si>
    <t>The natural gas reforming process is based on 20-atm conventional tube-in-shell Steam Methane Reactor(SMR) with hydro-desulfurization pre-treatment and PSA gas cleanup.  The PSA is based on 4 bed Batta cycle achieving 75% hydrogen recovery.  The unit is assumed to be factory built (as opposed to on-site construction) and is skid-mounted for easy and rapid installation.  A single 1500kg/day unit is assumed.  The system is assumed to be air cooled (and thus requires no cooling water flow.</t>
  </si>
  <si>
    <t xml:space="preserve">                       DIRECTED TECH                  Case Name: X:\DOE ETHANOL 2007 DISTRIBUTED REFORMING\REFORMER SYSTEMS ANALYSIS\SYSTEM 01 - SMR_PSA 2005 1500KGPD AT 73% EFF REVISED H2A REV4.HSC </t>
  </si>
  <si>
    <t xml:space="preserve">                                                      Date/Time: Thu Feb 21 17:28:46 2008                                   </t>
  </si>
  <si>
    <t>Air to Condenser (Material Stream): Conditions, Properties, Composition, K Value</t>
  </si>
  <si>
    <t xml:space="preserve">Material Stream: Air to Condenser                                                    Fluid Package: Basis-1                 </t>
  </si>
  <si>
    <t xml:space="preserve">Pressure: (kPa)                  101.0             101.0                                                                    </t>
  </si>
  <si>
    <t xml:space="preserve">Molar Flow (kgmole/h)            188.5             188.5                                                                    </t>
  </si>
  <si>
    <t xml:space="preserve">Mass Flow (kg/h)                 5437              5437                                                                     </t>
  </si>
  <si>
    <t xml:space="preserve">Std Ideal Liq Vol Flow (m3/h)    6.285             6.285                                                                    </t>
  </si>
  <si>
    <t xml:space="preserve">Molar Enthalpy (kJ/kgmole)       -8.157            -8.157                                                                   </t>
  </si>
  <si>
    <t xml:space="preserve">Molar Entropy (kJ/kgmole-C)      155.7             155.7                                                                    </t>
  </si>
  <si>
    <t xml:space="preserve">Heat Flow (kJ/h)                 -1537             -1537                                                                    </t>
  </si>
  <si>
    <t xml:space="preserve">Molar Density (kgmole/m3)        4.077e-002        4.077e-002                                                               </t>
  </si>
  <si>
    <t xml:space="preserve">Mass Density (kg/m3)             1.176             1.176                                                                    </t>
  </si>
  <si>
    <t xml:space="preserve">Act. Volume Flow (m3/h)          4623              4623                                                                     </t>
  </si>
  <si>
    <t xml:space="preserve">Mass Enthalpy (kJ/kg)            -0.2827           -0.2827                                                                  </t>
  </si>
  <si>
    <t xml:space="preserve">Mass Entropy (kJ/kg-C)           5.398             5.398                                                                    </t>
  </si>
  <si>
    <t xml:space="preserve">Heat Capacity (kJ/kgmole-C)      29.23             29.23                                                                    </t>
  </si>
  <si>
    <t xml:space="preserve">Mass Heat Capacity (kJ/kg-C)     1.013             1.013                                                                    </t>
  </si>
  <si>
    <t xml:space="preserve">Act. Gas Flow (ACT_m3/h)         4623              4623                                                                     </t>
  </si>
  <si>
    <t xml:space="preserve">Specific Heat (kJ/kgmole-C)      29.23             29.23                                                                    </t>
  </si>
  <si>
    <t xml:space="preserve">Std. Gas Flow (STD_m3/h)         4456              4456                                                                     </t>
  </si>
  <si>
    <t xml:space="preserve">Std. Ideal Liq. Mass Density (kg/m3) 865.1             865.1                                                                   </t>
  </si>
  <si>
    <t xml:space="preserve">Watson K                         6.042             6.042                                                                    </t>
  </si>
  <si>
    <t xml:space="preserve">Heat of Vap. (kJ/kgmole)         5898              ---                                                                      </t>
  </si>
  <si>
    <t xml:space="preserve">Kinematic Viscosity (cSt)        16.01             16.01                                                                    </t>
  </si>
  <si>
    <t xml:space="preserve">Molar Volume (m3/kgmole)         24.53             24.53                                                                    </t>
  </si>
  <si>
    <t xml:space="preserve">Mass Heat of Vap. (kJ/kg)        204.4             ---                                                                      </t>
  </si>
  <si>
    <t xml:space="preserve">Thermal Conductivity (W/m-K)     2.594e-002        2.594e-002                                                               </t>
  </si>
  <si>
    <t xml:space="preserve">Cv (Semi-Ideal) (kJ/kgmole-C)    20.91             20.91                                                                    </t>
  </si>
  <si>
    <t xml:space="preserve">Mass Cv (Semi-Ideal) (kJ/kg-C)   0.7248            0.7248                                                                   </t>
  </si>
  <si>
    <t xml:space="preserve">Cv (kJ/kgmole-C)                 20.87             20.87                                                                    </t>
  </si>
  <si>
    <t xml:space="preserve">Mass Cv (kJ/kg-C)                0.7233            0.7233                                                                   </t>
  </si>
  <si>
    <t xml:space="preserve">Cv (Ent. Method) (kJ/kgmole-C)   20.83             20.83                                                                    </t>
  </si>
  <si>
    <t xml:space="preserve">Mass Cv (Ent. Method) (kJ/kg-C)  0.7218            0.7218                                                                   </t>
  </si>
  <si>
    <t xml:space="preserve">Cp/Cv (Ent. Method)              1.403             1.403                                                                    </t>
  </si>
  <si>
    <t xml:space="preserve">Ethane                0.0000           0.0000           0.0000           0.0000           0.0000           0.0000           </t>
  </si>
  <si>
    <t xml:space="preserve">Propane               0.0000           0.0000           0.0000           0.0000           0.0000           0.0000           </t>
  </si>
  <si>
    <t xml:space="preserve">Oxygen                39.5776          0.2100           1266.4830        0.2329           1.1132           0.1771           </t>
  </si>
  <si>
    <t xml:space="preserve">Argon                 0.0000           0.0000           0.0000           0.0000           0.0000           0.0000           </t>
  </si>
  <si>
    <t xml:space="preserve">H2S                   0.0000           0.0000           0.0000           0.0000           0.0000           0.0000           </t>
  </si>
  <si>
    <t xml:space="preserve">E-Mercaptan           0.0000           0.0000           0.0000           0.0000           0.0000           0.0000           </t>
  </si>
  <si>
    <t xml:space="preserve">Nitrogen              148.8871         0.7900           4170.7755        0.7671           5.1723           0.8229           </t>
  </si>
  <si>
    <t xml:space="preserve">S_Amorphous           0.0000           0.0000           0.0000           0.0000           0.0000           0.0000           </t>
  </si>
  <si>
    <t xml:space="preserve">Total                 188.4647         1.0000           5437.2585        1.0000           6.2855           1.0000           </t>
  </si>
  <si>
    <t xml:space="preserve">K VALUE                                                                                                                     </t>
  </si>
  <si>
    <t xml:space="preserve">COMPONENTS                              MIXED                       LIGHT                       HEAVY                       </t>
  </si>
  <si>
    <t xml:space="preserve">Methane                                 ---                         ---                         ---                         </t>
  </si>
  <si>
    <t xml:space="preserve">Ethane                                  ---                         ---                         ---                         </t>
  </si>
  <si>
    <t xml:space="preserve">Propane                                 ---                         ---                         ---                         </t>
  </si>
  <si>
    <t xml:space="preserve">Oxygen                                  ---                         ---                         ---                         </t>
  </si>
  <si>
    <t xml:space="preserve">Argon                                   ---                         ---                         ---                         </t>
  </si>
  <si>
    <t xml:space="preserve">Hydrogen                                ---                         ---                         ---                         </t>
  </si>
  <si>
    <t xml:space="preserve">H2O                                     ---                         ---                         ---                         </t>
  </si>
  <si>
    <t xml:space="preserve">H2S                                     ---                         ---                         ---                         </t>
  </si>
  <si>
    <t xml:space="preserve">E-Mercaptan                             ---                         ---                         ---                         </t>
  </si>
  <si>
    <t xml:space="preserve">CO                                      ---                         ---                         ---                         </t>
  </si>
  <si>
    <t xml:space="preserve">CO2                                     ---                         ---                         ---                         </t>
  </si>
  <si>
    <t xml:space="preserve">Carbon                                  ---                         ---                         ---                         </t>
  </si>
  <si>
    <t xml:space="preserve">Nitrogen                                ---                         ---                         ---                         </t>
  </si>
  <si>
    <t xml:space="preserve">S_Amorphous                             ---                         ---                         ---                         </t>
  </si>
  <si>
    <t>Boiler Out (Material Stream): Conditions, Properties, Composition, K Value</t>
  </si>
  <si>
    <t xml:space="preserve">Material Stream: Boiler Out                                                          Fluid Package: Basis-1                 </t>
  </si>
  <si>
    <t xml:space="preserve">Temperature: (C)                 400.0             400.0                                                                    </t>
  </si>
  <si>
    <t xml:space="preserve">Pressure: (kPa)                  2177              2177                                                                     </t>
  </si>
  <si>
    <t xml:space="preserve">Molar Flow (kgmole/h)            38.31             38.31                                                                    </t>
  </si>
  <si>
    <t xml:space="preserve">Mass Flow (kg/h)                 690.2             690.2                                                                    </t>
  </si>
  <si>
    <t xml:space="preserve">Std Ideal Liq Vol Flow (m3/h)    0.6916            0.6916                                                                   </t>
  </si>
  <si>
    <t xml:space="preserve">Molar Enthalpy (kJ/kgmole)       -2.284e+005       -2.284e+005                                                              </t>
  </si>
  <si>
    <t xml:space="preserve">Molar Entropy (kJ/kgmole-C)      176.0             176.0                                                                    </t>
  </si>
  <si>
    <t xml:space="preserve">Heat Flow (kJ/h)                 -8.750e+006       -8.750e+006                                                              </t>
  </si>
  <si>
    <t xml:space="preserve">Liq Vol Flow @Std Cond (m3/h)    0.6801            0.6801                                                                   </t>
  </si>
  <si>
    <t xml:space="preserve">Molar Density (kgmole/m3)        0.4024            0.4024                                                                   </t>
  </si>
  <si>
    <t xml:space="preserve">Mass Density (kg/m3)             7.249             7.249                                                                    </t>
  </si>
  <si>
    <t xml:space="preserve">Act. Volume Flow (m3/h)          95.21             95.21                                                                    </t>
  </si>
  <si>
    <t xml:space="preserve">Mass Enthalpy (kJ/kg)            -1.268e+004       -1.268e+004                                                              </t>
  </si>
  <si>
    <t xml:space="preserve">Mass Entropy (kJ/kg-C)           9.772             9.772                                                                    </t>
  </si>
  <si>
    <t xml:space="preserve">Heat Capacity (kJ/kgmole-C)      39.09             39.09                                                                    </t>
  </si>
  <si>
    <t xml:space="preserve">Mass Heat Capacity (kJ/kg-C)     2.170             2.170                                                                    </t>
  </si>
  <si>
    <t xml:space="preserve">Act. Gas Flow (ACT_m3/h)         95.21             95.21                                                                    </t>
  </si>
  <si>
    <t xml:space="preserve">Specific Heat (kJ/kgmole-C)      39.09             39.09                                                                    </t>
  </si>
  <si>
    <t xml:space="preserve">Std. Gas Flow (STD_m3/h)         905.8             905.8                                                                    </t>
  </si>
  <si>
    <t xml:space="preserve">Z Factor                         0.9667            0.9667                                                                   </t>
  </si>
  <si>
    <t xml:space="preserve">Cp/(Cp - R)                      1.270             1.270                                                                    </t>
  </si>
  <si>
    <t xml:space="preserve">Cp/Cv                            1.331             1.331                                                                    </t>
  </si>
  <si>
    <t xml:space="preserve">Heat of Vap. (kJ/kgmole)         3.421e+004        ---                                                                      </t>
  </si>
  <si>
    <t xml:space="preserve">Kinematic Viscosity (cSt)        3.391             3.391                                                                    </t>
  </si>
  <si>
    <t xml:space="preserve">Liq. Vol. Flow (Std. Cond) (m3/h) 0.6801            0.6801                                                                  </t>
  </si>
  <si>
    <t xml:space="preserve">Molar Volume (m3/kgmole)         2.485             2.485                                                                    </t>
  </si>
  <si>
    <t xml:space="preserve">Mass Heat of Vap. (kJ/kg)        1899              ---                                                                      </t>
  </si>
  <si>
    <t xml:space="preserve">Thermal Conductivity (W/m-K)     5.689e-002        5.689e-002                                                               </t>
  </si>
  <si>
    <t xml:space="preserve">Viscosity (cP)                   2.458e-002        2.458e-002                                                               </t>
  </si>
  <si>
    <t xml:space="preserve">Cv (Semi-Ideal) (kJ/kgmole-C)    30.78             30.78                                                                    </t>
  </si>
  <si>
    <t xml:space="preserve">Mass Cv (Semi-Ideal) (kJ/kg-C)   1.709             1.709                                                                    </t>
  </si>
  <si>
    <t xml:space="preserve">Cv (kJ/kgmole-C)                 29.37             29.37                                                                    </t>
  </si>
  <si>
    <t xml:space="preserve">Mass Cv (kJ/kg-C)                1.630             1.630                                                                    </t>
  </si>
  <si>
    <t xml:space="preserve">Cv (Ent. Method) (kJ/kgmole-C)   29.04             29.04                                                                    </t>
  </si>
  <si>
    <t xml:space="preserve">Mass Cv (Ent. Method) (kJ/kg-C)  1.612             1.612                                                                    </t>
  </si>
  <si>
    <t xml:space="preserve">Cp/Cv (Ent. Method)              1.346             1.346                                                                    </t>
  </si>
  <si>
    <t xml:space="preserve">Liq. Vol. Flow - Sum(Std. Cond) (m3/h) 0.6801            0.6801                                                                  </t>
  </si>
  <si>
    <t xml:space="preserve">H2O                   38.3100          1.0000           690.1585         1.0000           0.6916           1.0000           </t>
  </si>
  <si>
    <t xml:space="preserve">Total                 38.3100          1.0000           690.1585         1.0000           0.6916           1.0000           </t>
  </si>
  <si>
    <t>Burner Exhaust (Material Stream): Conditions, Properties, Composition, K Value</t>
  </si>
  <si>
    <t xml:space="preserve">Material Stream: Burner Exhaust                                                      Fluid Package: Basis-1                 </t>
  </si>
  <si>
    <t xml:space="preserve">Temperature: (C)                 474.6             474.6                                                                    </t>
  </si>
  <si>
    <t xml:space="preserve">Pressure: (kPa)                  104.0             104.0                                                                    </t>
  </si>
  <si>
    <t xml:space="preserve">Molar Flow (kgmole/h)            208.0             208.0                                                                    </t>
  </si>
  <si>
    <t xml:space="preserve">Mass Flow (kg/h)                 5993              5993                                                                     </t>
  </si>
  <si>
    <t xml:space="preserve">Std Ideal Liq Vol Flow (m3/h)    7.005             7.005                                                                    </t>
  </si>
  <si>
    <t xml:space="preserve">Molar Enthalpy (kJ/kgmole)       -2.963e+004       -2.963e+004                                                              </t>
  </si>
  <si>
    <t xml:space="preserve">Molar Entropy (kJ/kgmole-C)      190.1             190.1                                                                    </t>
  </si>
  <si>
    <t xml:space="preserve">Heat Flow (kJ/h)                 -6.165e+006       -6.165e+006                                                              </t>
  </si>
  <si>
    <t xml:space="preserve">Molecular Weight                 28.81             28.81                                                                    </t>
  </si>
  <si>
    <t xml:space="preserve">Molar Density (kgmole/m3)        1.672e-002        1.672e-002                                                               </t>
  </si>
  <si>
    <t xml:space="preserve">Mass Density (kg/m3)             0.4818            0.4818                                                                   </t>
  </si>
  <si>
    <t xml:space="preserve">Act. Volume Flow (m3/h)          1.244e+004        1.244e+004                                                               </t>
  </si>
  <si>
    <t xml:space="preserve">Mass Enthalpy (kJ/kg)            -1029             -1029                                                                    </t>
  </si>
  <si>
    <t xml:space="preserve">Mass Entropy (kJ/kg-C)           6.598             6.598                                                                    </t>
  </si>
  <si>
    <t xml:space="preserve">Heat Capacity (kJ/kgmole-C)      33.41             33.41                                                                    </t>
  </si>
  <si>
    <t xml:space="preserve">Mass Heat Capacity (kJ/kg-C)     1.160             1.160                                                                    </t>
  </si>
  <si>
    <t xml:space="preserve">Lower Heating Value (kJ/kgmole)  2.274e-003        2.274e-003                                                               </t>
  </si>
  <si>
    <t xml:space="preserve">Mass Lower Heating Value (kJ/kg) 7.895e-005        7.895e-005                                                               </t>
  </si>
  <si>
    <t xml:space="preserve">Partial Pressure of CO2 (kPa)    6.601             ---                                                                      </t>
  </si>
  <si>
    <t xml:space="preserve">Act. Gas Flow (ACT_m3/h)         1.244e+004        1.244e+004                                                               </t>
  </si>
  <si>
    <t xml:space="preserve">Avg. Liq. Density (kgmole/m3)    29.70             29.70                                                                    </t>
  </si>
  <si>
    <t xml:space="preserve">Specific Heat (kJ/kgmole-C)      33.41             33.41                                                                    </t>
  </si>
  <si>
    <t xml:space="preserve">Std. Gas Flow (STD_m3/h)         4919              4919                                                                     </t>
  </si>
  <si>
    <t xml:space="preserve">Std. Ideal Liq. Mass Density (kg/m3) 855.5             855.5                                                                   </t>
  </si>
  <si>
    <t xml:space="preserve">Watson K                         6.352             6.352                                                                    </t>
  </si>
  <si>
    <t xml:space="preserve">Cp/(Cp - R)                      1.331             1.331                                                                    </t>
  </si>
  <si>
    <t xml:space="preserve">Cp/Cv                            1.332             1.332                                                                    </t>
  </si>
  <si>
    <t xml:space="preserve">Heat of Vap. (kJ/kgmole)         1.934e+004        ---                                                                      </t>
  </si>
  <si>
    <t xml:space="preserve">Kinematic Viscosity (cSt)        72.13             72.13                                                                    </t>
  </si>
  <si>
    <t xml:space="preserve">Molar Volume (m3/kgmole)         59.80             59.80                                                                    </t>
  </si>
  <si>
    <t xml:space="preserve">Mass Heat of Vap. (kJ/kg)        671.5             ---                                                                      </t>
  </si>
  <si>
    <t xml:space="preserve">Thermal Conductivity (W/m-K)     5.380e-002        5.380e-002                                                               </t>
  </si>
  <si>
    <t xml:space="preserve">Viscosity (cP)                   3.475e-002        3.475e-002                                                               </t>
  </si>
  <si>
    <t xml:space="preserve">Cv (Semi-Ideal) (kJ/kgmole-C)    25.10             25.10                                                                    </t>
  </si>
  <si>
    <t xml:space="preserve">Mass Cv (Semi-Ideal) (kJ/kg-C)   0.8713            0.8713                                                                   </t>
  </si>
  <si>
    <t xml:space="preserve">Cv (kJ/kgmole-C)                 25.09             25.09                                                                    </t>
  </si>
  <si>
    <t xml:space="preserve">Mass Cv (kJ/kg-C)                0.8711            0.8711                                                                   </t>
  </si>
  <si>
    <t xml:space="preserve">Cv (Ent. Method) (kJ/kgmole-C)   26.32             26.32                                                                    </t>
  </si>
  <si>
    <t xml:space="preserve">Mass Cv (Ent. Method) (kJ/kg-C)  0.9135            0.9135                                                                   </t>
  </si>
  <si>
    <t xml:space="preserve">Cp/Cv (Ent. Method)              1.270             1.270                                                                    </t>
  </si>
  <si>
    <t xml:space="preserve">True VP at 37.8 C (kPa)          1.910e+005        1.910e+005                                                               </t>
  </si>
  <si>
    <t xml:space="preserve">Partial Pressure of H2S (kPa)    1.067e-046        ---                                                                      </t>
  </si>
  <si>
    <t xml:space="preserve">Oxygen                29.4005          0.1413           940.8162         0.1570           0.8270           0.1180           </t>
  </si>
  <si>
    <t xml:space="preserve">H2O                   16.3333          0.0785           294.2455         0.0491           0.2948           0.0421           </t>
  </si>
  <si>
    <t xml:space="preserve">CO2                   13.2033          0.0635           581.0723         0.0970           0.7040           0.1005           </t>
  </si>
  <si>
    <t xml:space="preserve">Nitrogen              149.0914         0.7167           4176.4988        0.6969           5.1794           0.7394           </t>
  </si>
  <si>
    <t xml:space="preserve">Total                 208.0285         1.0000           5992.6329        1.0000           7.0052           1.0000           </t>
  </si>
  <si>
    <t>Burner flame (Material Stream): Conditions, Properties, Composition, K Value</t>
  </si>
  <si>
    <t xml:space="preserve">Material Stream: Burner flame                                                        Fluid Package: Basis-1                 </t>
  </si>
  <si>
    <t xml:space="preserve">Temperature: (C)                 950.0             950.0             950.0             950.0                                </t>
  </si>
  <si>
    <t xml:space="preserve">Pressure: (kPa)                  106.0             106.0             106.0             106.0                                </t>
  </si>
  <si>
    <t xml:space="preserve">Molar Flow (kgmole/h)            208.0             208.0             0.0000            0.0000                               </t>
  </si>
  <si>
    <t xml:space="preserve">Mass Flow (kg/h)                 5993              5993              0.0000            0.0000                               </t>
  </si>
  <si>
    <t xml:space="preserve">Std Ideal Liq Vol Flow (m3/h)    7.005             7.005             0.0000            0.0000                               </t>
  </si>
  <si>
    <t xml:space="preserve">Molar Enthalpy (kJ/kgmole)       -1.308e+004       -1.308e+004       -1.308e+004       -1.308e+004                          </t>
  </si>
  <si>
    <t xml:space="preserve">Molar Entropy (kJ/kgmole-C)      207.0             207.0             207.0             207.0                                </t>
  </si>
  <si>
    <t xml:space="preserve">Heat Flow (kJ/h)                 -2.721e+006       -2.721e+006       0.0000            0.0000                               </t>
  </si>
  <si>
    <t xml:space="preserve">Molecular Weight                 28.81             28.81             28.81             28.81                                </t>
  </si>
  <si>
    <t xml:space="preserve">Molar Density (kgmole/m3)        1.042e-002        1.042e-002        1.042e-002        1.042e-002                           </t>
  </si>
  <si>
    <t xml:space="preserve">Mass Density (kg/m3)             0.3002            0.3002            0.3002            0.3002                               </t>
  </si>
  <si>
    <t xml:space="preserve">Act. Volume Flow (m3/h)          1.996e+004        1.996e+004        0.0000            0.0000                               </t>
  </si>
  <si>
    <t xml:space="preserve">Mass Enthalpy (kJ/kg)            -454.1            -454.1            -454.1            -454.1                               </t>
  </si>
  <si>
    <t xml:space="preserve">Mass Entropy (kJ/kg-C)           7.185             7.185             7.185             7.185                                </t>
  </si>
  <si>
    <t xml:space="preserve">Heat Capacity (kJ/kgmole-C)      36.06             36.06             36.06             36.06                                </t>
  </si>
  <si>
    <t xml:space="preserve">Mass Heat Capacity (kJ/kg-C)     1.252             1.252             1.252             1.252                                </t>
  </si>
  <si>
    <t xml:space="preserve">Lower Heating Value (kJ/kgmole)  2.274e-003        2.274e-003        2.274e-003        2.274e-003                           </t>
  </si>
  <si>
    <t xml:space="preserve">Mass Lower Heating Value (kJ/kg) 7.895e-005        7.895e-005        7.895e-005        7.895e-005                           </t>
  </si>
  <si>
    <t xml:space="preserve">Partial Pressure of CO2 (kPa)    6.728             ---               ---               ---                                  </t>
  </si>
  <si>
    <t xml:space="preserve">Act. Gas Flow (ACT_m3/h)         1.996e+004        1.996e+004        ---               ---                                  </t>
  </si>
  <si>
    <t xml:space="preserve">Avg. Liq. Density (kgmole/m3)    29.70             29.70             29.70             29.70                                </t>
  </si>
  <si>
    <t xml:space="preserve">Specific Heat (kJ/kgmole-C)      36.06             36.06             36.06             36.06                                </t>
  </si>
  <si>
    <t xml:space="preserve">Std. Gas Flow (STD_m3/h)         4919              4919              0.0000            0.0000                               </t>
  </si>
  <si>
    <t xml:space="preserve">Std. Ideal Liq. Mass Density (kg/m3) 855.5             855.5             855.5             855.5                               </t>
  </si>
  <si>
    <t xml:space="preserve">Watson K                         6.352             6.352             6.352             6.352                                </t>
  </si>
  <si>
    <t xml:space="preserve">Cp/(Cp - R)                      1.300             1.300             1.300             1.300                                </t>
  </si>
  <si>
    <t xml:space="preserve">Cp/Cv                            1.300             1.300             1.300             1.300                                </t>
  </si>
  <si>
    <t xml:space="preserve">Heat of Vap. (kJ/kgmole)         1.934e+004        ---               ---               ---                                  </t>
  </si>
  <si>
    <t xml:space="preserve">Kinematic Viscosity (cSt)        176.2             176.2             1.925             1.925                                </t>
  </si>
  <si>
    <t xml:space="preserve">Molar Volume (m3/kgmole)         95.96             95.96             95.96             95.96                                </t>
  </si>
  <si>
    <t xml:space="preserve">Mass Heat of Vap. (kJ/kg)        671.4             ---               ---               ---                                  </t>
  </si>
  <si>
    <t xml:space="preserve">Thermal Conductivity (W/m-K)     7.911e-002        7.911e-002        5.561e-002        5.561e-002                           </t>
  </si>
  <si>
    <t xml:space="preserve">Viscosity (cP)                   5.290e-002        5.290e-002        5.778e-004        5.778e-004                           </t>
  </si>
  <si>
    <t xml:space="preserve">Cv (Semi-Ideal) (kJ/kgmole-C)    27.74             27.74             27.74             27.74                                </t>
  </si>
  <si>
    <t xml:space="preserve">Mass Cv (Semi-Ideal) (kJ/kg-C)   0.9631            0.9631            0.9631            0.9631                               </t>
  </si>
  <si>
    <t xml:space="preserve">Cv (kJ/kgmole-C)                 27.74             27.74             27.74             27.74                                </t>
  </si>
  <si>
    <t xml:space="preserve">Mass Cv (kJ/kg-C)                0.9630            0.9630            0.9630            0.9630                               </t>
  </si>
  <si>
    <t xml:space="preserve">Cv (Ent. Method) (kJ/kgmole-C)   27.70             27.70             27.70             17.52                                </t>
  </si>
  <si>
    <t xml:space="preserve">Mass Cv (Ent. Method) (kJ/kg-C)  0.9616            0.9616            0.9616            0.6083                               </t>
  </si>
  <si>
    <t xml:space="preserve">Cp/Cv (Ent. Method)              1.302             1.302             1.302             2.058                                </t>
  </si>
  <si>
    <t xml:space="preserve">True VP at 37.8 C (kPa)          1.910e+005        1.910e+005        1.910e+005        1.910e+005                           </t>
  </si>
  <si>
    <t xml:space="preserve">Partial Pressure of H2S (kPa)    1.088e-046        ---               ---               ---                                  </t>
  </si>
  <si>
    <t xml:space="preserve">Oxygen                0.0000           0.1413           0.0000           0.1570           0.0000           0.1180           </t>
  </si>
  <si>
    <t xml:space="preserve">H2O                   0.0000           0.0785           0.0000           0.0491           0.0000           0.0421           </t>
  </si>
  <si>
    <t xml:space="preserve">CO2                   0.0000           0.0635           0.0000           0.0970           0.0000           0.1005           </t>
  </si>
  <si>
    <t xml:space="preserve">Nitrogen              0.0000           0.7167           0.0000           0.6969           0.0000           0.7394           </t>
  </si>
  <si>
    <t xml:space="preserve">Oxygen                                  1.000                       1.000                       1.000                       </t>
  </si>
  <si>
    <t xml:space="preserve">Hydrogen                                1.000                       1.000                       1.000                       </t>
  </si>
  <si>
    <t xml:space="preserve">H2O                                     1.000                       1.000                       1.000                       </t>
  </si>
  <si>
    <t xml:space="preserve">CO                                      1.000                       1.000                       1.000                       </t>
  </si>
  <si>
    <t xml:space="preserve">CO2                                     1.000                       1.000                       1.000                       </t>
  </si>
  <si>
    <t xml:space="preserve">Nitrogen                                1.000                       1.000                       1.000                       </t>
  </si>
  <si>
    <t>Burner Fuel/Air Mixture (Material Stream): Conditions, Properties, Composition, K Value</t>
  </si>
  <si>
    <t xml:space="preserve">Material Stream: Burner Fuel/Air Mixture                                             Fluid Package: Basis-1                 </t>
  </si>
  <si>
    <t xml:space="preserve">Temperature: (C)                 311.0             311.0                                                                    </t>
  </si>
  <si>
    <t xml:space="preserve">Pressure: (kPa)                  107.0             107.0                                                                    </t>
  </si>
  <si>
    <t xml:space="preserve">Molar Flow (kgmole/h)            213.5             213.5                                                                    </t>
  </si>
  <si>
    <t xml:space="preserve">Std Ideal Liq Vol Flow (m3/h)    7.311             7.311                                                                    </t>
  </si>
  <si>
    <t xml:space="preserve">Molar Enthalpy (kJ/kgmole)       -1.275e+004       -1.275e+004                                                              </t>
  </si>
  <si>
    <t xml:space="preserve">Molar Entropy (kJ/kgmole-C)      179.6             179.6                                                                    </t>
  </si>
  <si>
    <t xml:space="preserve">Heat Flow (kJ/h)                 -2.721e+006       -2.721e+006                                                              </t>
  </si>
  <si>
    <t xml:space="preserve">Molecular Weight                 28.07             28.07                                                                    </t>
  </si>
  <si>
    <t xml:space="preserve">Molar Density (kgmole/m3)        2.203e-002        2.203e-002                                                               </t>
  </si>
  <si>
    <t xml:space="preserve">Mass Density (kg/m3)             0.6183            0.6183                                                                   </t>
  </si>
  <si>
    <t xml:space="preserve">Act. Volume Flow (m3/h)          9692              9692                                                                     </t>
  </si>
  <si>
    <t xml:space="preserve">Mass Enthalpy (kJ/kg)            -454.1            -454.1                                                                   </t>
  </si>
  <si>
    <t xml:space="preserve">Mass Entropy (kJ/kg-C)           6.398             6.398                                                                    </t>
  </si>
  <si>
    <t xml:space="preserve">Heat Capacity (kJ/kgmole-C)      31.82             31.82                                                                    </t>
  </si>
  <si>
    <t xml:space="preserve">Mass Heat Capacity (kJ/kg-C)     1.133             1.133                                                                    </t>
  </si>
  <si>
    <t xml:space="preserve">Lower Heating Value (kJ/kgmole)  2.133e+004        2.133e+004                                                               </t>
  </si>
  <si>
    <t xml:space="preserve">Mass Lower Heating Value (kJ/kg) 759.7             759.7                                                                    </t>
  </si>
  <si>
    <t xml:space="preserve">Partial Pressure of CO2 (kPa)    5.205             ---                                                                      </t>
  </si>
  <si>
    <t xml:space="preserve">Act. Gas Flow (ACT_m3/h)         9692              9692                                                                     </t>
  </si>
  <si>
    <t xml:space="preserve">Avg. Liq. Density (kgmole/m3)    29.20             29.20                                                                    </t>
  </si>
  <si>
    <t xml:space="preserve">Specific Heat (kJ/kgmole-C)      31.82             31.82                                                                    </t>
  </si>
  <si>
    <t xml:space="preserve">Std. Gas Flow (STD_m3/h)         5047              5047                                                                     </t>
  </si>
  <si>
    <t xml:space="preserve">Std. Ideal Liq. Mass Density (kg/m3) 819.7             819.7                                                                   </t>
  </si>
  <si>
    <t xml:space="preserve">Watson K                         6.463             6.463                                                                    </t>
  </si>
  <si>
    <t xml:space="preserve">Cp/(Cp - R)                      1.354             1.354                                                                    </t>
  </si>
  <si>
    <t xml:space="preserve">Cp/Cv                            1.354             1.354                                                                    </t>
  </si>
  <si>
    <t xml:space="preserve">Heat of Vap. (kJ/kgmole)         3624              ---                                                                      </t>
  </si>
  <si>
    <t xml:space="preserve">Kinematic Viscosity (cSt)        48.04             48.13                                                                    </t>
  </si>
  <si>
    <t xml:space="preserve">Molar Volume (m3/kgmole)         45.40             45.40                                                                    </t>
  </si>
  <si>
    <t xml:space="preserve">Mass Heat of Vap. (kJ/kg)        129.1             ---                                                                      </t>
  </si>
  <si>
    <t xml:space="preserve">Thermal Conductivity (W/m-K)     4.935e-002        4.935e-002                                                               </t>
  </si>
  <si>
    <t xml:space="preserve">Viscosity (cP)                   2.971e-002        2.976e-002                                                               </t>
  </si>
  <si>
    <t xml:space="preserve">Cv (Semi-Ideal) (kJ/kgmole-C)    23.50             23.50                                                                    </t>
  </si>
  <si>
    <t xml:space="preserve">Mass Cv (Semi-Ideal) (kJ/kg-C)   0.8372            0.8372                                                                   </t>
  </si>
  <si>
    <t xml:space="preserve">Cv (kJ/kgmole-C)                 23.49             23.49                                                                    </t>
  </si>
  <si>
    <t xml:space="preserve">Mass Cv (kJ/kg-C)                0.8369            0.8369                                                                   </t>
  </si>
  <si>
    <t xml:space="preserve">Cv (Ent. Method) (kJ/kgmole-C)   23.46             23.46                                                                    </t>
  </si>
  <si>
    <t xml:space="preserve">Mass Cv (Ent. Method) (kJ/kg-C)  0.8356            0.8356                                                                   </t>
  </si>
  <si>
    <t xml:space="preserve">Cp/Cv (Ent. Method)              1.356             1.356                                                                    </t>
  </si>
  <si>
    <t xml:space="preserve">Methane               2.3657           0.0111           37.9532          0.0063           0.1268           0.0173           </t>
  </si>
  <si>
    <t xml:space="preserve">Ethane                0.0001           0.0000           0.0019           0.0000           0.0000           0.0000           </t>
  </si>
  <si>
    <t xml:space="preserve">Oxygen                39.5776          0.1854           1266.4830        0.2113           1.1132           0.1523           </t>
  </si>
  <si>
    <t xml:space="preserve">Hydrogen              10.4368          0.0489           21.0406          0.0035           0.3012           0.0412           </t>
  </si>
  <si>
    <t xml:space="preserve">H2O                   1.1648           0.0055           20.9844          0.0035           0.0210           0.0029           </t>
  </si>
  <si>
    <t xml:space="preserve">CO                    0.4540           0.0021           12.7172          0.0021           0.0159           0.0022           </t>
  </si>
  <si>
    <t xml:space="preserve">CO2                   10.3834          0.0486           456.9708         0.0763           0.5537           0.0757           </t>
  </si>
  <si>
    <t xml:space="preserve">Nitrogen              149.0914         0.6984           4176.4988        0.6969           5.1794           0.7084           </t>
  </si>
  <si>
    <t xml:space="preserve">Total                 213.4739         1.0000           5992.6499        1.0000           7.3111           1.0000           </t>
  </si>
  <si>
    <t>Burner Gas (Material Stream): Conditions, Properties, Composition, K Value</t>
  </si>
  <si>
    <t xml:space="preserve">Material Stream: Burner Gas                                                          Fluid Package: Basis-1                 </t>
  </si>
  <si>
    <t xml:space="preserve">Temperature: (C)                 925.8             925.8                                                                    </t>
  </si>
  <si>
    <t xml:space="preserve">Pressure: (kPa)                  106.0             106.0                                                                    </t>
  </si>
  <si>
    <t xml:space="preserve">Molar Enthalpy (kJ/kgmole)       -1.395e+004       -1.395e+004                                                              </t>
  </si>
  <si>
    <t xml:space="preserve">Molar Entropy (kJ/kgmole-C)      206.3             206.3                                                                    </t>
  </si>
  <si>
    <t xml:space="preserve">Heat Flow (kJ/h)                 -2.902e+006       -2.902e+006                                                              </t>
  </si>
  <si>
    <t xml:space="preserve">Molar Density (kgmole/m3)        1.063e-002        1.063e-002                                                               </t>
  </si>
  <si>
    <t xml:space="preserve">Mass Density (kg/m3)             0.3062            0.3062                                                                   </t>
  </si>
  <si>
    <t xml:space="preserve">Act. Volume Flow (m3/h)          1.957e+004        1.957e+004                                                               </t>
  </si>
  <si>
    <t xml:space="preserve">Mass Enthalpy (kJ/kg)            -484.3            -484.3                                                                   </t>
  </si>
  <si>
    <t xml:space="preserve">Mass Entropy (kJ/kg-C)           7.160             7.160                                                                    </t>
  </si>
  <si>
    <t xml:space="preserve">Heat Capacity (kJ/kgmole-C)      35.94             35.94                                                                    </t>
  </si>
  <si>
    <t xml:space="preserve">Mass Heat Capacity (kJ/kg-C)     1.248             1.248                                                                    </t>
  </si>
  <si>
    <t xml:space="preserve">Partial Pressure of CO2 (kPa)    6.728             ---                                                                      </t>
  </si>
  <si>
    <t xml:space="preserve">Act. Gas Flow (ACT_m3/h)         1.957e+004        1.957e+004                                                               </t>
  </si>
  <si>
    <t xml:space="preserve">Specific Heat (kJ/kgmole-C)      35.94             35.94                                                                    </t>
  </si>
  <si>
    <t xml:space="preserve">Cp/(Cp - R)                      1.301             1.301                                                                    </t>
  </si>
  <si>
    <t xml:space="preserve">Cp/Cv                            1.301             1.301                                                                    </t>
  </si>
  <si>
    <t xml:space="preserve">Kinematic Viscosity (cSt)        169.7             169.7                                                                    </t>
  </si>
  <si>
    <t xml:space="preserve">Molar Volume (m3/kgmole)         94.07             94.07                                                                    </t>
  </si>
  <si>
    <t xml:space="preserve">Mass Heat of Vap. (kJ/kg)        671.4             ---                                                                      </t>
  </si>
  <si>
    <t xml:space="preserve">Thermal Conductivity (W/m-K)     7.797e-002        7.797e-002                                                               </t>
  </si>
  <si>
    <t xml:space="preserve">Viscosity (cP)                   5.197e-002        5.197e-002                                                               </t>
  </si>
  <si>
    <t xml:space="preserve">Cv (Semi-Ideal) (kJ/kgmole-C)    27.63             27.63                                                                    </t>
  </si>
  <si>
    <t xml:space="preserve">Mass Cv (Semi-Ideal) (kJ/kg-C)   0.9591            0.9591                                                                   </t>
  </si>
  <si>
    <t xml:space="preserve">Cv (kJ/kgmole-C)                 27.63             27.63                                                                    </t>
  </si>
  <si>
    <t xml:space="preserve">Mass Cv (kJ/kg-C)                0.9590            0.9590                                                                   </t>
  </si>
  <si>
    <t xml:space="preserve">Cv (Ent. Method) (kJ/kgmole-C)   27.57             27.57                                                                    </t>
  </si>
  <si>
    <t xml:space="preserve">Mass Cv (Ent. Method) (kJ/kg-C)  0.9572            0.9572                                                                   </t>
  </si>
  <si>
    <t xml:space="preserve">Cp/Cv (Ent. Method)              1.304             1.304                                                                    </t>
  </si>
  <si>
    <t xml:space="preserve">Partial Pressure of H2S (kPa)    1.088e-046        ---                                                                      </t>
  </si>
  <si>
    <t>City NG (Material Stream): Conditions, Properties, Composition, K Value</t>
  </si>
  <si>
    <t xml:space="preserve">Material Stream: City NG                                                             Fluid Package: Basis-1                 </t>
  </si>
  <si>
    <t xml:space="preserve">Molar Flow (kgmole/h)            12.77             12.77                                                                    </t>
  </si>
  <si>
    <t xml:space="preserve">Mass Flow (kg/h)                 220.4             220.4                                                                    </t>
  </si>
  <si>
    <t xml:space="preserve">Std Ideal Liq Vol Flow (m3/h)    0.6969            0.6969                                                                   </t>
  </si>
  <si>
    <t xml:space="preserve">Molar Enthalpy (kJ/kgmole)       -7.746e+004       -7.746e+004                                                              </t>
  </si>
  <si>
    <t xml:space="preserve">Molar Entropy (kJ/kgmole-C)      185.8             185.8                                                                    </t>
  </si>
  <si>
    <t xml:space="preserve">Heat Flow (kJ/h)                 -9.891e+005       -9.891e+005                                                              </t>
  </si>
  <si>
    <t xml:space="preserve">Molecular Weight                 17.26             17.26                                                                    </t>
  </si>
  <si>
    <t xml:space="preserve">Molar Density (kgmole/m3)        4.084e-002        4.084e-002                                                               </t>
  </si>
  <si>
    <t xml:space="preserve">Mass Density (kg/m3)             0.7049            0.7049                                                                   </t>
  </si>
  <si>
    <t xml:space="preserve">Act. Volume Flow (m3/h)          312.7             312.7                                                                    </t>
  </si>
  <si>
    <t xml:space="preserve">Mass Enthalpy (kJ/kg)            -4488             -4488                                                                    </t>
  </si>
  <si>
    <t xml:space="preserve">Mass Entropy (kJ/kg-C)           10.77             10.77                                                                    </t>
  </si>
  <si>
    <t xml:space="preserve">Heat Capacity (kJ/kgmole-C)      36.91             36.91                                                                    </t>
  </si>
  <si>
    <t xml:space="preserve">Mass Heat Capacity (kJ/kg-C)     2.138             2.138                                                                    </t>
  </si>
  <si>
    <t xml:space="preserve">Partial Pressure of CO2 (kPa)    1.010             ---                                                                      </t>
  </si>
  <si>
    <t xml:space="preserve">Act. Gas Flow (ACT_m3/h)         312.7             312.7                                                                    </t>
  </si>
  <si>
    <t xml:space="preserve">Avg. Liq. Density (kgmole/m3)    18.32             18.32                                                                    </t>
  </si>
  <si>
    <t xml:space="preserve">Specific Heat (kJ/kgmole-C)      36.91             36.91                                                                    </t>
  </si>
  <si>
    <t xml:space="preserve">Std. Gas Flow (STD_m3/h)         301.9             301.9                                                                    </t>
  </si>
  <si>
    <t xml:space="preserve">Std. Ideal Liq. Mass Density (kg/m3) 316.3             316.3                                                                   </t>
  </si>
  <si>
    <t xml:space="preserve">Z Factor                         0.9976            0.9976                                                                   </t>
  </si>
  <si>
    <t xml:space="preserve">Watson K                         18.72             18.72                                                                    </t>
  </si>
  <si>
    <t xml:space="preserve">Cp/(Cp - R)                      1.291             1.291                                                                    </t>
  </si>
  <si>
    <t xml:space="preserve">Cp/Cv                            1.295             1.295                                                                    </t>
  </si>
  <si>
    <t xml:space="preserve">Heat of Vap. (kJ/kgmole)         1.282e+004        ---                                                                      </t>
  </si>
  <si>
    <t xml:space="preserve">Kinematic Viscosity (cSt)        16.08             16.08                                                                    </t>
  </si>
  <si>
    <t xml:space="preserve">Molar Volume (m3/kgmole)         24.48             24.48                                                                    </t>
  </si>
  <si>
    <t xml:space="preserve">Mass Heat of Vap. (kJ/kg)        742.9             ---                                                                      </t>
  </si>
  <si>
    <t xml:space="preserve">Thermal Conductivity (W/m-K)     3.266e-002        3.266e-002                                                               </t>
  </si>
  <si>
    <t xml:space="preserve">Viscosity (cP)                   1.134e-002        1.134e-002                                                               </t>
  </si>
  <si>
    <t xml:space="preserve">Cv (Semi-Ideal) (kJ/kgmole-C)    28.59             28.59                                                                    </t>
  </si>
  <si>
    <t xml:space="preserve">Mass Cv (Semi-Ideal) (kJ/kg-C)   1.657             1.657                                                                    </t>
  </si>
  <si>
    <t xml:space="preserve">Cv (kJ/kgmole-C)                 28.50             28.50                                                                    </t>
  </si>
  <si>
    <t xml:space="preserve">Mass Cv (kJ/kg-C)                1.651             1.651                                                                    </t>
  </si>
  <si>
    <t xml:space="preserve">Cv (Ent. Method) (kJ/kgmole-C)   28.46             28.46                                                                    </t>
  </si>
  <si>
    <t xml:space="preserve">Mass Cv (Ent. Method) (kJ/kg-C)  1.649             1.649                                                                    </t>
  </si>
  <si>
    <t xml:space="preserve">Cp/Cv (Ent. Method)              1.297             1.297                                                                    </t>
  </si>
  <si>
    <t xml:space="preserve">Partial Pressure of H2S (kPa)    4.040e-004        ---                                                                      </t>
  </si>
  <si>
    <t xml:space="preserve">Methane               11.8875          0.9309           190.7094         0.8652           0.6370           0.9140           </t>
  </si>
  <si>
    <t xml:space="preserve">Ethane                0.4086           0.0320           12.2876          0.0557           0.0345           0.0496           </t>
  </si>
  <si>
    <t xml:space="preserve">Propane               0.1277           0.0100           5.6311           0.0255           0.0111           0.0159           </t>
  </si>
  <si>
    <t xml:space="preserve">Oxygen                0.0128           0.0010           0.4086           0.0019           0.0004           0.0005           </t>
  </si>
  <si>
    <t xml:space="preserve">H2O                   0.0013           0.0001           0.0230           0.0001           0.0000           0.0000           </t>
  </si>
  <si>
    <t xml:space="preserve">H2S                   0.0001           0.0000           0.0017           0.0000           0.0000           0.0000           </t>
  </si>
  <si>
    <t xml:space="preserve">E-Mercaptan           0.0001           0.0000           0.0048           0.0000           0.0000           0.0000           </t>
  </si>
  <si>
    <t xml:space="preserve">CO2                   0.1277           0.0100           5.6204           0.0255           0.0068           0.0098           </t>
  </si>
  <si>
    <t xml:space="preserve">Nitrogen              0.2043           0.0160           5.7236           0.0260           0.0071           0.0102           </t>
  </si>
  <si>
    <t xml:space="preserve">Total                 12.7700          1.0000           220.4103         1.0000           0.6969           1.0000           </t>
  </si>
  <si>
    <t>Cold LTS Gas (Material Stream): Conditions, Properties, Composition, K Value</t>
  </si>
  <si>
    <t xml:space="preserve">Material Stream: Cold LTS Gas                                                        Fluid Package: Basis-1                 </t>
  </si>
  <si>
    <t xml:space="preserve">Vapour / Phase Fraction          0.7767            0.7767            0.2233                                                 </t>
  </si>
  <si>
    <t xml:space="preserve">Temperature: (C)                 75.00             75.00             75.00                                                  </t>
  </si>
  <si>
    <t xml:space="preserve">Pressure: (kPa)                  2064              2064              2064                                                   </t>
  </si>
  <si>
    <t xml:space="preserve">Molar Flow (kgmole/h)            72.51             56.32             16.20                                                  </t>
  </si>
  <si>
    <t xml:space="preserve">Mass Flow (kg/h)                 910.6             618.5             292.1                                                  </t>
  </si>
  <si>
    <t xml:space="preserve">Std Ideal Liq Vol Flow (m3/h)    2.222             1.929             0.2928                                                 </t>
  </si>
  <si>
    <t xml:space="preserve">Molar Enthalpy (kJ/kgmole)       -1.251e+005       -8.014e+004       -2.815e+005                                            </t>
  </si>
  <si>
    <t xml:space="preserve">Molar Entropy (kJ/kgmole-C)      109.7             122.3             65.84                                                  </t>
  </si>
  <si>
    <t xml:space="preserve">Heat Flow (kJ/h)                 -9.073e+006       -4.514e+006       -4.560e+006                                            </t>
  </si>
  <si>
    <t xml:space="preserve">Liq Vol Flow @Std Cond (m3/h)    ---               ---               0.2877                                                 </t>
  </si>
  <si>
    <t xml:space="preserve">Molecular Weight                 12.56             10.98             18.03                                                  </t>
  </si>
  <si>
    <t xml:space="preserve">Molar Density (kgmole/m3)        0.9148            0.7132            53.75                                                  </t>
  </si>
  <si>
    <t xml:space="preserve">Mass Density (kg/m3)             11.49             7.832             969.4                                                  </t>
  </si>
  <si>
    <t xml:space="preserve">Act. Volume Flow (m3/h)          79.27             78.97             0.3013                                                 </t>
  </si>
  <si>
    <t xml:space="preserve">Mass Enthalpy (kJ/kg)            -9964             -7298             -1.561e+004                                            </t>
  </si>
  <si>
    <t xml:space="preserve">Mass Entropy (kJ/kg-C)           8.738             11.14             3.651                                                  </t>
  </si>
  <si>
    <t xml:space="preserve">Heat Capacity (kJ/kgmole-C)      42.02             31.59             78.28                                                  </t>
  </si>
  <si>
    <t xml:space="preserve">Mass Heat Capacity (kJ/kg-C)     3.346             2.876             4.341                                                  </t>
  </si>
  <si>
    <t xml:space="preserve">Lower Heating Value (kJ/kgmole)  1.673e+005        2.153e+005        14.85                                                  </t>
  </si>
  <si>
    <t xml:space="preserve">Mass Lower Heating Value (kJ/kg) 1.332e+004        1.961e+004        0.8235                                                 </t>
  </si>
  <si>
    <t xml:space="preserve">Phase Fraction [Vol. Basis]      0.8682            0.8682            0.1318                                                 </t>
  </si>
  <si>
    <t xml:space="preserve">Phase Fraction [Mass Basis]      0.6793            0.6793            0.3207                                                 </t>
  </si>
  <si>
    <t xml:space="preserve">Partial Pressure of CO2 (kPa)    380.5             ---               ---                                                    </t>
  </si>
  <si>
    <t xml:space="preserve">Act. Gas Flow (ACT_m3/h)         ---               78.97             ---                                                    </t>
  </si>
  <si>
    <t xml:space="preserve">Avg. Liq. Density (kgmole/m3)    32.63             29.19             55.31                                                  </t>
  </si>
  <si>
    <t xml:space="preserve">Specific Heat (kJ/kgmole-C)      42.02             31.59             78.28                                                  </t>
  </si>
  <si>
    <t xml:space="preserve">Std. Gas Flow (STD_m3/h)         1715              1332              382.9                                                  </t>
  </si>
  <si>
    <t xml:space="preserve">Std. Ideal Liq. Mass Density (kg/m3) 409.8             320.6             997.5                                                 </t>
  </si>
  <si>
    <t xml:space="preserve">Act. Liq. Flow (m3/s)            8.369e-005        ---               8.369e-005                                             </t>
  </si>
  <si>
    <t xml:space="preserve">Z Factor                         ---               0.9998            1.327e-002                                             </t>
  </si>
  <si>
    <t xml:space="preserve">Watson K                         14.83             14.84             8.659                                                  </t>
  </si>
  <si>
    <t xml:space="preserve">Cp/(Cp - R)                      1.247             1.357             1.119                                                  </t>
  </si>
  <si>
    <t xml:space="preserve">Cp/Cv                            1.192             1.379             1.168                                                  </t>
  </si>
  <si>
    <t xml:space="preserve">Heat of Vap. (kJ/kgmole)         3.228e+004        ---               ---                                                    </t>
  </si>
  <si>
    <t xml:space="preserve">Kinematic Viscosity (cSt)        ---               1.584             0.3861                                                 </t>
  </si>
  <si>
    <t xml:space="preserve">Liq. Vol. Flow (Std. Cond) (m3/h) ---               ---               0.2877                                                </t>
  </si>
  <si>
    <t xml:space="preserve">Liquid Fraction                  0.2233            0.0000            1.000                                                  </t>
  </si>
  <si>
    <t xml:space="preserve">Molar Volume (m3/kgmole)         1.093             1.402             1.860e-002                                             </t>
  </si>
  <si>
    <t xml:space="preserve">Mass Heat of Vap. (kJ/kg)        2571              ---               ---                                                    </t>
  </si>
  <si>
    <t xml:space="preserve">Phase Fraction [Molar Basis]     0.7767            0.7767            0.2233                                                 </t>
  </si>
  <si>
    <t xml:space="preserve">Surface Tension (dyne/cm)        63.20             ---               63.20                                                  </t>
  </si>
  <si>
    <t xml:space="preserve">Thermal Conductivity (W/m-K)     ---               0.1159            0.6662                                                 </t>
  </si>
  <si>
    <t xml:space="preserve">Viscosity (cP)                   ---               1.241e-002        0.3743                                                 </t>
  </si>
  <si>
    <t xml:space="preserve">Cv (Semi-Ideal) (kJ/kgmole-C)    33.70             23.27             69.97                                                  </t>
  </si>
  <si>
    <t xml:space="preserve">Mass Cv (Semi-Ideal) (kJ/kg-C)   2.684             2.119             3.880                                                  </t>
  </si>
  <si>
    <t xml:space="preserve">Cv (kJ/kgmole-C)                 35.25             22.90             67.00                                                  </t>
  </si>
  <si>
    <t xml:space="preserve">Mass Cv (kJ/kg-C)                2.808             2.085             3.715                                                  </t>
  </si>
  <si>
    <t xml:space="preserve">Cv (Ent. Method) (kJ/kgmole-C)   59.38             22.90             ---                                                    </t>
  </si>
  <si>
    <t xml:space="preserve">Mass Cv (Ent. Method) (kJ/kg-C)  4.729             2.085             ---                                                    </t>
  </si>
  <si>
    <t xml:space="preserve">Cp/Cv (Ent. Method)              0.7076            1.379             ---                                                    </t>
  </si>
  <si>
    <t xml:space="preserve">True VP at 37.8 C (kPa)          ---               ---               4750                                                   </t>
  </si>
  <si>
    <t xml:space="preserve">Liq. Vol. Flow - Sum(Std. Cond) (m3/h) 0.2877            0.0000            0.2877                                                </t>
  </si>
  <si>
    <t xml:space="preserve">Overall Phase                                                                                     Vapour Fraction 0.7767    </t>
  </si>
  <si>
    <t xml:space="preserve">Methane               2.3657           0.0326           37.9533          0.0417           0.1268           0.0571           </t>
  </si>
  <si>
    <t xml:space="preserve">Hydrogen              41.7481          0.5757           84.1642          0.0924           1.2048           0.5422           </t>
  </si>
  <si>
    <t xml:space="preserve">H2O                   17.3466          0.2392           312.5006         0.3432           0.3131           0.1409           </t>
  </si>
  <si>
    <t xml:space="preserve">CO                    0.4540           0.0063           12.7175          0.0140           0.0159           0.0072           </t>
  </si>
  <si>
    <t xml:space="preserve">CO2                   10.3958          0.1434           457.5166         0.5024           0.5543           0.2495           </t>
  </si>
  <si>
    <t xml:space="preserve">Nitrogen              0.2043           0.0028           5.7236           0.0063           0.0071           0.0032           </t>
  </si>
  <si>
    <t xml:space="preserve">Total                 72.5147          1.0000           910.5776         1.0000           2.2220           1.0000           </t>
  </si>
  <si>
    <t xml:space="preserve">Vapour Phase                                                                                      Phase Fraction 0.7767     </t>
  </si>
  <si>
    <t xml:space="preserve">Methane               2.3657           0.0420           37.9532          0.0614           0.1268           0.0657           </t>
  </si>
  <si>
    <t xml:space="preserve">Hydrogen              41.7472          0.7413           84.1623          0.1361           1.2047           0.6245           </t>
  </si>
  <si>
    <t xml:space="preserve">H2O                   1.1648           0.0207           20.9844          0.0339           0.0210           0.0109           </t>
  </si>
  <si>
    <t xml:space="preserve">CO                    0.4540           0.0081           12.7172          0.0206           0.0159           0.0082           </t>
  </si>
  <si>
    <t xml:space="preserve">CO2                   10.3834          0.1844           456.9708         0.7388           0.5537           0.2870           </t>
  </si>
  <si>
    <t xml:space="preserve">Nitrogen              0.2043           0.0036           5.7233           0.0093           0.0071           0.0037           </t>
  </si>
  <si>
    <t xml:space="preserve">Total                 56.3195          1.0000           618.5131         1.0000           1.9292           1.0000           </t>
  </si>
  <si>
    <t xml:space="preserve">Aqueous Phase                                                                                     Phase Fraction 0.2233     </t>
  </si>
  <si>
    <t xml:space="preserve">Hydrogen              0.0010           0.0001           0.0020           0.0000           0.0000           0.0001           </t>
  </si>
  <si>
    <t xml:space="preserve">H2O                   16.1818          0.9992           291.5162         0.9981           0.2921           0.9976           </t>
  </si>
  <si>
    <t xml:space="preserve">CO2                   0.0124           0.0008           0.5458           0.0019           0.0007           0.0023           </t>
  </si>
  <si>
    <t xml:space="preserve">Nitrogen              0.0000           0.0000           0.0003           0.0000           0.0000           0.0000           </t>
  </si>
  <si>
    <t xml:space="preserve">Total                 16.1952          1.0000           292.0646         1.0000           0.2928           1.0000           </t>
  </si>
  <si>
    <t xml:space="preserve">Methane                                 6.690e+005                  ---                         6.690e+005                  </t>
  </si>
  <si>
    <t xml:space="preserve">Hydrogen                                1.227e+004                  ---                         1.227e+004                  </t>
  </si>
  <si>
    <t xml:space="preserve">H2O                                     2.070e-002                  ---                         2.070e-002                  </t>
  </si>
  <si>
    <t xml:space="preserve">CO                                      1.225e+004                  ---                         1.225e+004                  </t>
  </si>
  <si>
    <t xml:space="preserve">CO2                                     240.7                       ---                         240.7                       </t>
  </si>
  <si>
    <t xml:space="preserve">Nitrogen                                5972                        ---                         5972                        </t>
  </si>
  <si>
    <t>Compressor Outlet (Material Stream): Conditions, Properties, Composition, K Value</t>
  </si>
  <si>
    <t xml:space="preserve">Material Stream: Compressor Outlet                                                   Fluid Package: Basis-1                 </t>
  </si>
  <si>
    <t xml:space="preserve">Temperature: (C)                 310.0             310.0                                                                    </t>
  </si>
  <si>
    <t xml:space="preserve">Pressure: (kPa)                  2209              2209                                                                     </t>
  </si>
  <si>
    <t xml:space="preserve">Molar Enthalpy (kJ/kgmole)       -6.492e+004       -6.492e+004                                                              </t>
  </si>
  <si>
    <t xml:space="preserve">Molar Entropy (kJ/kgmole-C)      189.1             189.1                                                                    </t>
  </si>
  <si>
    <t xml:space="preserve">Heat Flow (kJ/h)                 -8.290e+005       -8.290e+005                                                              </t>
  </si>
  <si>
    <t xml:space="preserve">Molar Density (kgmole/m3)        0.4553            0.4553                                                                   </t>
  </si>
  <si>
    <t xml:space="preserve">Mass Density (kg/m3)             7.859             7.859                                                                    </t>
  </si>
  <si>
    <t xml:space="preserve">Act. Volume Flow (m3/h)          28.04             28.04                                                                    </t>
  </si>
  <si>
    <t xml:space="preserve">Mass Enthalpy (kJ/kg)            -3761             -3761                                                                    </t>
  </si>
  <si>
    <t xml:space="preserve">Mass Entropy (kJ/kg-C)           10.96             10.96                                                                    </t>
  </si>
  <si>
    <t xml:space="preserve">Heat Capacity (kJ/kgmole-C)      53.28             53.28                                                                    </t>
  </si>
  <si>
    <t xml:space="preserve">Mass Heat Capacity (kJ/kg-C)     3.087             3.087                                                                    </t>
  </si>
  <si>
    <t xml:space="preserve">Partial Pressure of CO2 (kPa)    22.09             ---                                                                      </t>
  </si>
  <si>
    <t xml:space="preserve">Act. Gas Flow (ACT_m3/h)         28.04             28.04                                                                    </t>
  </si>
  <si>
    <t xml:space="preserve">Specific Heat (kJ/kgmole-C)      53.28             53.28                                                                    </t>
  </si>
  <si>
    <t xml:space="preserve">Z Factor                         1.001             1.001                                                                    </t>
  </si>
  <si>
    <t xml:space="preserve">Cp/(Cp - R)                      1.185             1.185                                                                    </t>
  </si>
  <si>
    <t xml:space="preserve">Cp/Cv                            1.195             1.195                                                                    </t>
  </si>
  <si>
    <t xml:space="preserve">Heat of Vap. (kJ/kgmole)         9531              ---                                                                      </t>
  </si>
  <si>
    <t xml:space="preserve">Kinematic Viscosity (cSt)        2.471             2.471                                                                    </t>
  </si>
  <si>
    <t xml:space="preserve">Molar Volume (m3/kgmole)         2.196             2.196                                                                    </t>
  </si>
  <si>
    <t xml:space="preserve">Mass Heat of Vap. (kJ/kg)        552.2             ---                                                                      </t>
  </si>
  <si>
    <t xml:space="preserve">Thermal Conductivity (W/m-K)     8.030e-002        8.030e-002                                                               </t>
  </si>
  <si>
    <t xml:space="preserve">Viscosity (cP)                   1.942e-002        1.942e-002                                                               </t>
  </si>
  <si>
    <t xml:space="preserve">Cv (Semi-Ideal) (kJ/kgmole-C)    44.96             44.96                                                                    </t>
  </si>
  <si>
    <t xml:space="preserve">Mass Cv (Semi-Ideal) (kJ/kg-C)   2.605             2.605                                                                    </t>
  </si>
  <si>
    <t xml:space="preserve">Cv (kJ/kgmole-C)                 44.57             44.57                                                                    </t>
  </si>
  <si>
    <t xml:space="preserve">Mass Cv (kJ/kg-C)                2.582             2.582                                                                    </t>
  </si>
  <si>
    <t xml:space="preserve">Cv (Ent. Method) (kJ/kgmole-C)   44.53             44.53                                                                    </t>
  </si>
  <si>
    <t xml:space="preserve">Mass Cv (Ent. Method) (kJ/kg-C)  2.580             2.580                                                                    </t>
  </si>
  <si>
    <t xml:space="preserve">Partial Pressure of H2S (kPa)    8.837e-003        ---                                                                      </t>
  </si>
  <si>
    <t>Condenser air (Material Stream): Conditions, Properties, Composition, K Value</t>
  </si>
  <si>
    <t xml:space="preserve">Material Stream: Condenser air                                                       Fluid Package: Basis-1                 </t>
  </si>
  <si>
    <t xml:space="preserve">Temperature: (C)                 35.83             35.83                                                                    </t>
  </si>
  <si>
    <t xml:space="preserve">Pressure: (kPa)                  111.0             111.0                                                                    </t>
  </si>
  <si>
    <t xml:space="preserve">Molar Enthalpy (kJ/kgmole)       308.0             308.0                                                                    </t>
  </si>
  <si>
    <t xml:space="preserve">Molar Entropy (kJ/kgmole-C)      156.0             156.0                                                                    </t>
  </si>
  <si>
    <t xml:space="preserve">Heat Flow (kJ/h)                 5.804e+004        5.804e+004                                                               </t>
  </si>
  <si>
    <t xml:space="preserve">Molar Density (kgmole/m3)        4.323e-002        4.323e-002                                                               </t>
  </si>
  <si>
    <t xml:space="preserve">Mass Density (kg/m3)             1.247             1.247                                                                    </t>
  </si>
  <si>
    <t xml:space="preserve">Act. Volume Flow (m3/h)          4360              4360                                                                     </t>
  </si>
  <si>
    <t xml:space="preserve">Mass Enthalpy (kJ/kg)            10.67             10.67                                                                    </t>
  </si>
  <si>
    <t xml:space="preserve">Mass Entropy (kJ/kg-C)           5.407             5.407                                                                    </t>
  </si>
  <si>
    <t xml:space="preserve">Heat Capacity (kJ/kgmole-C)      29.29             29.29                                                                    </t>
  </si>
  <si>
    <t xml:space="preserve">Mass Heat Capacity (kJ/kg-C)     1.015             1.015                                                                    </t>
  </si>
  <si>
    <t xml:space="preserve">Act. Gas Flow (ACT_m3/h)         4360              4360                                                                     </t>
  </si>
  <si>
    <t xml:space="preserve">Specific Heat (kJ/kgmole-C)      29.29             29.29                                                                    </t>
  </si>
  <si>
    <t xml:space="preserve">Cp/(Cp - R)                      1.396             1.396                                                                    </t>
  </si>
  <si>
    <t xml:space="preserve">Cp/Cv                            1.400             1.400                                                                    </t>
  </si>
  <si>
    <t xml:space="preserve">Heat of Vap. (kJ/kgmole)         5871              ---                                                                      </t>
  </si>
  <si>
    <t xml:space="preserve">Kinematic Viscosity (cSt)        15.51             15.51                                                                    </t>
  </si>
  <si>
    <t xml:space="preserve">Molar Volume (m3/kgmole)         23.13             23.13                                                                    </t>
  </si>
  <si>
    <t xml:space="preserve">Mass Heat of Vap. (kJ/kg)        203.5             ---                                                                      </t>
  </si>
  <si>
    <t xml:space="preserve">Thermal Conductivity (W/m-K)     2.671e-002        2.671e-002                                                               </t>
  </si>
  <si>
    <t xml:space="preserve">Viscosity (cP)                   1.934e-002        1.934e-002                                                               </t>
  </si>
  <si>
    <t xml:space="preserve">Cv (Semi-Ideal) (kJ/kgmole-C)    20.97             20.97                                                                    </t>
  </si>
  <si>
    <t xml:space="preserve">Mass Cv (Semi-Ideal) (kJ/kg-C)   0.7269            0.7269                                                                   </t>
  </si>
  <si>
    <t xml:space="preserve">Cv (kJ/kgmole-C)                 20.93             20.93                                                                    </t>
  </si>
  <si>
    <t xml:space="preserve">Mass Cv (kJ/kg-C)                0.7253            0.7253                                                                   </t>
  </si>
  <si>
    <t xml:space="preserve">Cv (Ent. Method) (kJ/kgmole-C)   20.89             20.89                                                                    </t>
  </si>
  <si>
    <t xml:space="preserve">Mass Cv (Ent. Method) (kJ/kg-C)  0.7240            0.7240                                                                   </t>
  </si>
  <si>
    <t xml:space="preserve">Cp/Cv (Ent. Method)              1.402             1.402                                                                    </t>
  </si>
  <si>
    <t>Cool Burner Exhaust (Material Stream): Conditions, Properties, Composition, K Value</t>
  </si>
  <si>
    <t xml:space="preserve">Material Stream: Cool Burner Exhaust                                                 Fluid Package: Basis-1                 </t>
  </si>
  <si>
    <t xml:space="preserve">Temperature: (C)                 149.4             149.4                                                                    </t>
  </si>
  <si>
    <t xml:space="preserve">Pressure: (kPa)                  102.0             102.0                                                                    </t>
  </si>
  <si>
    <t xml:space="preserve">Molar Enthalpy (kJ/kgmole)       -4.012e+004       -4.012e+004                                                              </t>
  </si>
  <si>
    <t xml:space="preserve">Molar Entropy (kJ/kgmole-C)      171.9             171.9                                                                    </t>
  </si>
  <si>
    <t xml:space="preserve">Heat Flow (kJ/h)                 -8.347e+006       -8.347e+006                                                              </t>
  </si>
  <si>
    <t xml:space="preserve">Molar Density (kgmole/m3)        2.904e-002        2.904e-002                                                               </t>
  </si>
  <si>
    <t xml:space="preserve">Mass Density (kg/m3)             0.8366            0.8366                                                                   </t>
  </si>
  <si>
    <t xml:space="preserve">Act. Volume Flow (m3/h)          7163              7163                                                                     </t>
  </si>
  <si>
    <t xml:space="preserve">Mass Enthalpy (kJ/kg)            -1393             -1393                                                                    </t>
  </si>
  <si>
    <t xml:space="preserve">Mass Entropy (kJ/kg-C)           5.967             5.967                                                                    </t>
  </si>
  <si>
    <t xml:space="preserve">Heat Capacity (kJ/kgmole-C)      31.05             31.05                                                                    </t>
  </si>
  <si>
    <t xml:space="preserve">Mass Heat Capacity (kJ/kg-C)     1.078             1.078                                                                    </t>
  </si>
  <si>
    <t xml:space="preserve">Partial Pressure of CO2 (kPa)    6.474             ---                                                                      </t>
  </si>
  <si>
    <t xml:space="preserve">Act. Gas Flow (ACT_m3/h)         7163              7163                                                                     </t>
  </si>
  <si>
    <t xml:space="preserve">Specific Heat (kJ/kgmole-C)      31.05             31.05                                                                    </t>
  </si>
  <si>
    <t xml:space="preserve">Z Factor                         0.9998            0.9998                                                                   </t>
  </si>
  <si>
    <t xml:space="preserve">Cp/(Cp - R)                      1.366             1.366                                                                    </t>
  </si>
  <si>
    <t xml:space="preserve">Cp/Cv                            1.368             1.368                                                                    </t>
  </si>
  <si>
    <t xml:space="preserve">Heat of Vap. (kJ/kgmole)         1.935e+004        ---                                                                      </t>
  </si>
  <si>
    <t xml:space="preserve">Kinematic Viscosity (cSt)        27.43             27.43                                                                    </t>
  </si>
  <si>
    <t xml:space="preserve">Molar Volume (m3/kgmole)         34.43             34.43                                                                    </t>
  </si>
  <si>
    <t xml:space="preserve">Mass Heat of Vap. (kJ/kg)        671.6             ---                                                                      </t>
  </si>
  <si>
    <t xml:space="preserve">Thermal Conductivity (W/m-K)     3.333e-002        3.333e-002                                                               </t>
  </si>
  <si>
    <t xml:space="preserve">Viscosity (cP)                   2.295e-002        2.295e-002                                                               </t>
  </si>
  <si>
    <t xml:space="preserve">Cv (Semi-Ideal) (kJ/kgmole-C)    22.73             22.73                                                                    </t>
  </si>
  <si>
    <t xml:space="preserve">Mass Cv (Semi-Ideal) (kJ/kg-C)   0.7891            0.7891                                                                   </t>
  </si>
  <si>
    <t xml:space="preserve">Cv (kJ/kgmole-C)                 22.70             22.70                                                                    </t>
  </si>
  <si>
    <t xml:space="preserve">Mass Cv (kJ/kg-C)                0.7879            0.7879                                                                   </t>
  </si>
  <si>
    <t xml:space="preserve">Mass Cv (Ent. Method) (kJ/kg-C)  0.7866            0.7866                                                                   </t>
  </si>
  <si>
    <t xml:space="preserve">Cp/Cv (Ent. Method)              1.370             1.370                                                                    </t>
  </si>
  <si>
    <t xml:space="preserve">Partial Pressure of H2S (kPa)    1.047e-046        ---                                                                      </t>
  </si>
  <si>
    <t>Cooling fan air (Material Stream): Conditions, Properties, Composition, K Value</t>
  </si>
  <si>
    <t xml:space="preserve">Material Stream: Cooling fan air                                                     Fluid Package: Basis-1                 </t>
  </si>
  <si>
    <t xml:space="preserve">Temperature: (C)                 27.23             27.23                                                                    </t>
  </si>
  <si>
    <t xml:space="preserve">Pressure: (kPa)                  103.0             103.0                                                                    </t>
  </si>
  <si>
    <t xml:space="preserve">Molar Flow (kgmole/h)            428.3             428.3                                                                    </t>
  </si>
  <si>
    <t xml:space="preserve">Mass Flow (kg/h)                 1.236e+004        1.236e+004                                                               </t>
  </si>
  <si>
    <t xml:space="preserve">Std Ideal Liq Vol Flow (m3/h)    14.28             14.28                                                                    </t>
  </si>
  <si>
    <t xml:space="preserve">Molar Enthalpy (kJ/kgmole)       56.80             56.80                                                                    </t>
  </si>
  <si>
    <t xml:space="preserve">Molar Entropy (kJ/kgmole-C)      155.8             155.8                                                                    </t>
  </si>
  <si>
    <t xml:space="preserve">Heat Flow (kJ/h)                 2.433e+004        2.433e+004                                                               </t>
  </si>
  <si>
    <t xml:space="preserve">Molar Density (kgmole/m3)        4.126e-002        4.126e-002                                                               </t>
  </si>
  <si>
    <t xml:space="preserve">Mass Density (kg/m3)             1.190             1.190                                                                    </t>
  </si>
  <si>
    <t xml:space="preserve">Act. Volume Flow (m3/h)          1.038e+004        1.038e+004                                                               </t>
  </si>
  <si>
    <t xml:space="preserve">Mass Enthalpy (kJ/kg)            1.969             1.969                                                                    </t>
  </si>
  <si>
    <t xml:space="preserve">Mass Entropy (kJ/kg-C)           5.400             5.400                                                                    </t>
  </si>
  <si>
    <t xml:space="preserve">Heat Capacity (kJ/kgmole-C)      29.24             29.24                                                                    </t>
  </si>
  <si>
    <t xml:space="preserve">Act. Gas Flow (ACT_m3/h)         1.038e+004        1.038e+004                                                               </t>
  </si>
  <si>
    <t xml:space="preserve">Specific Heat (kJ/kgmole-C)      29.24             29.24                                                                    </t>
  </si>
  <si>
    <t xml:space="preserve">Std. Gas Flow (STD_m3/h)         1.013e+004        1.013e+004                                                               </t>
  </si>
  <si>
    <t xml:space="preserve">Cp/(Cp - R)                      1.397             1.397                                                                    </t>
  </si>
  <si>
    <t xml:space="preserve">Heat of Vap. (kJ/kgmole)         5892              ---                                                                      </t>
  </si>
  <si>
    <t xml:space="preserve">Kinematic Viscosity (cSt)        15.91             15.91                                                                    </t>
  </si>
  <si>
    <t xml:space="preserve">Molar Volume (m3/kgmole)         24.23             24.23                                                                    </t>
  </si>
  <si>
    <t xml:space="preserve">Mass Heat of Vap. (kJ/kg)        204.2             ---                                                                      </t>
  </si>
  <si>
    <t xml:space="preserve">Thermal Conductivity (W/m-K)     2.610e-002        2.610e-002                                                               </t>
  </si>
  <si>
    <t xml:space="preserve">Viscosity (cP)                   1.894e-002        1.894e-002                                                               </t>
  </si>
  <si>
    <t xml:space="preserve">Cv (Semi-Ideal) (kJ/kgmole-C)    20.92             20.92                                                                    </t>
  </si>
  <si>
    <t xml:space="preserve">Mass Cv (Semi-Ideal) (kJ/kg-C)   0.7253            0.7253                                                                   </t>
  </si>
  <si>
    <t xml:space="preserve">Cv (kJ/kgmole-C)                 20.88             20.88                                                                    </t>
  </si>
  <si>
    <t xml:space="preserve">Mass Cv (kJ/kg-C)                0.7237            0.7237                                                                   </t>
  </si>
  <si>
    <t xml:space="preserve">Cv (Ent. Method) (kJ/kgmole-C)   20.84             20.84                                                                    </t>
  </si>
  <si>
    <t xml:space="preserve">Mass Cv (Ent. Method) (kJ/kg-C)  0.7223            0.7223                                                                   </t>
  </si>
  <si>
    <t xml:space="preserve">Oxygen                89.9458          0.2100           2878.2655        0.2329           2.5299           0.1771           </t>
  </si>
  <si>
    <t xml:space="preserve">Nitrogen              338.3675         0.7900           9478.6894        0.7671           11.7547          0.8229           </t>
  </si>
  <si>
    <t xml:space="preserve">Total                 428.3133         1.0000           12356.9549       1.0000           14.2846          1.0000           </t>
  </si>
  <si>
    <t>DI water (Material Stream): Conditions, Properties, Composition, K Value</t>
  </si>
  <si>
    <t xml:space="preserve">Material Stream: DI water                                                            Fluid Package: Basis-1                 </t>
  </si>
  <si>
    <t xml:space="preserve">Heat Flow (kJ/h)                 -1.093e+007       -1.093e+007                                                              </t>
  </si>
  <si>
    <t xml:space="preserve">Act. Volume Flow (m3/h)          0.6851            0.6851                                                                   </t>
  </si>
  <si>
    <t xml:space="preserve">Act. Liq. Flow (m3/s)            1.903e-004        1.903e-004                                                               </t>
  </si>
  <si>
    <t xml:space="preserve">Z Factor                         7.287e-004        7.287e-004                                                               </t>
  </si>
  <si>
    <t xml:space="preserve">Mass Heat of Vap. (kJ/kg)        2277              ---                                                                      </t>
  </si>
  <si>
    <t xml:space="preserve">H2O                                     0.0000                      ---                         0.0000                      </t>
  </si>
  <si>
    <t>Dry Reformate (Material Stream): Conditions, Properties, Composition, K Value</t>
  </si>
  <si>
    <t xml:space="preserve">Material Stream: Dry Reformate                                                       Fluid Package: Basis-1                 </t>
  </si>
  <si>
    <t xml:space="preserve">Molar Flow (kgmole/h)            56.32             56.32             0.0000                                                 </t>
  </si>
  <si>
    <t xml:space="preserve">Mass Flow (kg/h)                 618.5             618.5             0.0000                                                 </t>
  </si>
  <si>
    <t xml:space="preserve">Std Ideal Liq Vol Flow (m3/h)    1.929             1.929             0.0000                                                 </t>
  </si>
  <si>
    <t xml:space="preserve">Molar Enthalpy (kJ/kgmole)       -8.014e+004       -8.014e+004       -2.815e+005                                            </t>
  </si>
  <si>
    <t xml:space="preserve">Molar Entropy (kJ/kgmole-C)      122.3             122.3             65.84                                                  </t>
  </si>
  <si>
    <t xml:space="preserve">Heat Flow (kJ/h)                 -4.514e+006       -4.514e+006       0.0000                                                 </t>
  </si>
  <si>
    <t xml:space="preserve">Molecular Weight                 10.98             10.98             18.03                                                  </t>
  </si>
  <si>
    <t xml:space="preserve">Molar Density (kgmole/m3)        0.7132            0.7132            53.75                                                  </t>
  </si>
  <si>
    <t xml:space="preserve">Mass Density (kg/m3)             7.832             7.832             969.4                                                  </t>
  </si>
  <si>
    <t xml:space="preserve">Act. Volume Flow (m3/h)          78.97             78.97             0.0000                                                 </t>
  </si>
  <si>
    <t xml:space="preserve">Mass Enthalpy (kJ/kg)            -7298             -7298             -1.561e+004                                            </t>
  </si>
  <si>
    <t xml:space="preserve">Mass Entropy (kJ/kg-C)           11.14             11.14             3.651                                                  </t>
  </si>
  <si>
    <t xml:space="preserve">Heat Capacity (kJ/kgmole-C)      31.59             31.59             78.28                                                  </t>
  </si>
  <si>
    <t xml:space="preserve">Mass Heat Capacity (kJ/kg-C)     2.876             2.876             4.341                                                  </t>
  </si>
  <si>
    <t xml:space="preserve">Lower Heating Value (kJ/kgmole)  2.153e+005        2.153e+005        14.85                                                  </t>
  </si>
  <si>
    <t xml:space="preserve">Mass Lower Heating Value (kJ/kg) 1.961e+004        1.961e+004        0.8235                                                 </t>
  </si>
  <si>
    <t xml:space="preserve">Act. Gas Flow (ACT_m3/h)         78.97             78.97             ---                                                    </t>
  </si>
  <si>
    <t xml:space="preserve">Avg. Liq. Density (kgmole/m3)    29.19             29.19             55.31                                                  </t>
  </si>
  <si>
    <t xml:space="preserve">Specific Heat (kJ/kgmole-C)      31.59             31.59             78.28                                                  </t>
  </si>
  <si>
    <t xml:space="preserve">Std. Gas Flow (STD_m3/h)         1332              1332              0.0000                                                 </t>
  </si>
  <si>
    <t xml:space="preserve">Std. Ideal Liq. Mass Density (kg/m3) 320.6             320.6             997.5                                                 </t>
  </si>
  <si>
    <t xml:space="preserve">Watson K                         14.84             14.84             8.659                                                  </t>
  </si>
  <si>
    <t xml:space="preserve">Cp/(Cp - R)                      1.357             1.357             1.119                                                  </t>
  </si>
  <si>
    <t xml:space="preserve">Cp/Cv                            1.379             1.379             1.168                                                  </t>
  </si>
  <si>
    <t xml:space="preserve">Heat of Vap. (kJ/kgmole)         1.626e+004        ---               ---                                                    </t>
  </si>
  <si>
    <t xml:space="preserve">Kinematic Viscosity (cSt)        1.434             1.584             0.3861                                                 </t>
  </si>
  <si>
    <t xml:space="preserve">Molar Volume (m3/kgmole)         1.402             1.402             1.860e-002                                             </t>
  </si>
  <si>
    <t xml:space="preserve">Mass Heat of Vap. (kJ/kg)        1480              ---               ---                                                    </t>
  </si>
  <si>
    <t xml:space="preserve">Surface Tension (dyne/cm)        ---               ---               63.20                                                  </t>
  </si>
  <si>
    <t xml:space="preserve">Thermal Conductivity (W/m-K)     0.1159            0.1159            0.6662                                                 </t>
  </si>
  <si>
    <t xml:space="preserve">Viscosity (cP)                   1.123e-002        1.241e-002        0.3743                                                 </t>
  </si>
  <si>
    <t xml:space="preserve">Cv (Semi-Ideal) (kJ/kgmole-C)    23.27             23.27             69.97                                                  </t>
  </si>
  <si>
    <t xml:space="preserve">Mass Cv (Semi-Ideal) (kJ/kg-C)   2.119             2.119             3.880                                                  </t>
  </si>
  <si>
    <t xml:space="preserve">Cv (kJ/kgmole-C)                 22.90             22.90             67.00                                                  </t>
  </si>
  <si>
    <t xml:space="preserve">Mass Cv (kJ/kg-C)                2.085             2.085             3.715                                                  </t>
  </si>
  <si>
    <t xml:space="preserve">Cv (Ent. Method) (kJ/kgmole-C)   22.90             22.90             ---                                                    </t>
  </si>
  <si>
    <t xml:space="preserve">Mass Cv (Ent. Method) (kJ/kg-C)  2.085             2.085             ---                                                    </t>
  </si>
  <si>
    <t xml:space="preserve">Cp/Cv (Ent. Method)              1.379             1.379             ---                                                    </t>
  </si>
  <si>
    <t xml:space="preserve">Hydrogen              0.0000           0.0001           0.0000           0.0000           0.0000           0.0001           </t>
  </si>
  <si>
    <t xml:space="preserve">H2O                   0.0000           0.9992           0.0000           0.9981           0.0000           0.9976           </t>
  </si>
  <si>
    <t xml:space="preserve">CO2                   0.0000           0.0008           0.0000           0.0019           0.0000           0.0023           </t>
  </si>
  <si>
    <t>Dummmy 7 (Material Stream): Conditions, Properties, Composition, K Value</t>
  </si>
  <si>
    <t xml:space="preserve">Material Stream: Dummmy 7                                                            Fluid Package: Basis-1                 </t>
  </si>
  <si>
    <t>Dummy 1 (Material Stream): Conditions, Properties, Composition, K Value</t>
  </si>
  <si>
    <t xml:space="preserve">Material Stream: Dummy 1                                                             Fluid Package: Basis-1                 </t>
  </si>
  <si>
    <t xml:space="preserve">Temperature: (C)                 850.0             850.0             850.0             850.0                                </t>
  </si>
  <si>
    <t xml:space="preserve">Pressure: (kPa)                  2073              2073              2073              2073                                 </t>
  </si>
  <si>
    <t xml:space="preserve">Molar Enthalpy (kJ/kgmole)       -8.518e+004       -8.518e+004       -8.518e+004       -8.518e+004                          </t>
  </si>
  <si>
    <t xml:space="preserve">Molar Entropy (kJ/kgmole-C)      177.4             177.4             177.4             177.4                                </t>
  </si>
  <si>
    <t xml:space="preserve">Molecular Weight                 12.56             12.56             12.56             12.56                                </t>
  </si>
  <si>
    <t xml:space="preserve">Molar Density (kgmole/m3)        0.2214            0.2214            0.2214            0.2214                               </t>
  </si>
  <si>
    <t xml:space="preserve">Mass Density (kg/m3)             2.780             2.780             2.780             2.780                                </t>
  </si>
  <si>
    <t xml:space="preserve">Mass Enthalpy (kJ/kg)            -6784             -6784             -6784             -6784                                </t>
  </si>
  <si>
    <t xml:space="preserve">Mass Entropy (kJ/kg-C)           14.13             14.13             14.13             14.13                                </t>
  </si>
  <si>
    <t xml:space="preserve">Heat Capacity (kJ/kgmole-C)      37.95             37.95             37.95             37.95                                </t>
  </si>
  <si>
    <t xml:space="preserve">Mass Heat Capacity (kJ/kg-C)     3.022             3.022             3.022             3.022                                </t>
  </si>
  <si>
    <t xml:space="preserve">Lower Heating Value (kJ/kgmole)  1.708e+005        1.708e+005        1.708e+005        1.708e+005                           </t>
  </si>
  <si>
    <t xml:space="preserve">Mass Lower Heating Value (kJ/kg) 1.360e+004        1.360e+004        1.360e+004        1.360e+004                           </t>
  </si>
  <si>
    <t xml:space="preserve">Specific Heat (kJ/kgmole-C)      37.95             37.95             37.95             37.95                                </t>
  </si>
  <si>
    <t xml:space="preserve">Std. Ideal Liq. Mass Density (kg/m3) 446.7             446.7             446.7             446.7                               </t>
  </si>
  <si>
    <t xml:space="preserve">Z Factor                         ---               1.003             1.003             1.003                                </t>
  </si>
  <si>
    <t xml:space="preserve">Watson K                         14.54             14.54             14.54             14.54                                </t>
  </si>
  <si>
    <t xml:space="preserve">Cp/(Cp - R)                      1.281             1.281             1.281             1.281                                </t>
  </si>
  <si>
    <t xml:space="preserve">Cp/Cv                            1.283             1.283             1.283             1.283                                </t>
  </si>
  <si>
    <t xml:space="preserve">Heat of Vap. (kJ/kgmole)         3.537e+004        ---               ---               ---                                  </t>
  </si>
  <si>
    <t xml:space="preserve">Kinematic Viscosity (cSt)        5.560             11.08             0.8673            0.8673                               </t>
  </si>
  <si>
    <t xml:space="preserve">Molar Volume (m3/kgmole)         4.517             4.517             4.517             4.517                                </t>
  </si>
  <si>
    <t xml:space="preserve">Mass Heat of Vap. (kJ/kg)        2816              ---               ---               ---                                  </t>
  </si>
  <si>
    <t xml:space="preserve">Thermal Conductivity (W/m-K)     0.1343            0.2029            7.849e-002        7.849e-002                           </t>
  </si>
  <si>
    <t xml:space="preserve">Viscosity (cP)                   1.546e-002        3.081e-002        2.411e-003        2.411e-003                           </t>
  </si>
  <si>
    <t xml:space="preserve">Cv (Semi-Ideal) (kJ/kgmole-C)    29.64             29.64             29.64             29.64                                </t>
  </si>
  <si>
    <t xml:space="preserve">Mass Cv (Semi-Ideal) (kJ/kg-C)   2.360             2.360             2.360             2.360                                </t>
  </si>
  <si>
    <t xml:space="preserve">Cv (kJ/kgmole-C)                 29.57             29.57             29.57             29.57                                </t>
  </si>
  <si>
    <t xml:space="preserve">Mass Cv (kJ/kg-C)                2.355             2.355             2.355             2.355                                </t>
  </si>
  <si>
    <t xml:space="preserve">Cv (Ent. Method) (kJ/kgmole-C)   ---               29.57             -9355             -5.093                               </t>
  </si>
  <si>
    <t xml:space="preserve">Mass Cv (Ent. Method) (kJ/kg-C)  ---               2.355             -745.0            -0.4056                              </t>
  </si>
  <si>
    <t xml:space="preserve">Cp/Cv (Ent. Method)              ---               1.284             -4.057e-003       -7.452                               </t>
  </si>
  <si>
    <t xml:space="preserve">Methane               0.0000           0.0326           0.0000           0.0417           0.0000           0.0622           </t>
  </si>
  <si>
    <t xml:space="preserve">Hydrogen              0.0000           0.4888           0.0000           0.0785           0.0000           0.5017           </t>
  </si>
  <si>
    <t xml:space="preserve">H2O                   0.0000           0.3261           0.0000           0.4679           0.0000           0.2094           </t>
  </si>
  <si>
    <t xml:space="preserve">CO                    0.0000           0.0932           0.0000           0.2079           0.0000           0.1161           </t>
  </si>
  <si>
    <t xml:space="preserve">CO2                   0.0000           0.0564           0.0000           0.1978           0.0000           0.1070           </t>
  </si>
  <si>
    <t xml:space="preserve">Nitrogen              0.0000           0.0028           0.0000           0.0063           0.0000           0.0035           </t>
  </si>
  <si>
    <t xml:space="preserve">Methane                                 1.000                       1.000                       1.000                       </t>
  </si>
  <si>
    <t xml:space="preserve">Ethane                                  1.000                       1.000                       1.000                       </t>
  </si>
  <si>
    <t xml:space="preserve">Propane                                 1.000                       1.000                       1.000                       </t>
  </si>
  <si>
    <t>Dummy 2 (Material Stream): Conditions, Properties, Composition, K Value</t>
  </si>
  <si>
    <t xml:space="preserve">Material Stream: Dummy 2                                                             Fluid Package: Basis-1                 </t>
  </si>
  <si>
    <t>Dummy 3 (Material Stream): Conditions, Properties, Composition, K Value</t>
  </si>
  <si>
    <t xml:space="preserve">Material Stream: Dummy 3                                                             Fluid Package: Basis-1                 </t>
  </si>
  <si>
    <t xml:space="preserve">                                 Overall           Vapour Phase      Solid Phase       Liquid Phase      Liquid Phase       </t>
  </si>
  <si>
    <t xml:space="preserve">Vapour / Phase Fraction          0.0000            0.0000            0.0000            0.5000            0.5000             </t>
  </si>
  <si>
    <t xml:space="preserve">Temperature: (C)                 400.0             400.0             400.0             400.0             400.0              </t>
  </si>
  <si>
    <t xml:space="preserve">Pressure: (kPa)                  2189              2189              2189              2189              2189               </t>
  </si>
  <si>
    <t xml:space="preserve">Molar Flow (kgmole/h)            0.0000            0.0000            0.0000            0.0000            0.0000             </t>
  </si>
  <si>
    <t xml:space="preserve">Mass Flow (kg/h)                 0.0000            0.0000            0.0000            0.0000            0.0000             </t>
  </si>
  <si>
    <t xml:space="preserve">Std Ideal Liq Vol Flow (m3/h)    0.0000            0.0000            0.0000            0.0000            0.0000             </t>
  </si>
  <si>
    <t xml:space="preserve">Molar Enthalpy (kJ/kgmole)       -5.986e+004       -5.987e+004       1.742e+004        -5.987e+004       -5.984e+004        </t>
  </si>
  <si>
    <t xml:space="preserve">Molar Entropy (kJ/kgmole-C)      197.2             197.2             106.8             197.2             197.2              </t>
  </si>
  <si>
    <t xml:space="preserve">Heat Flow (kJ/h)                 0.0000            0.0000            0.0000            0.0000            0.0000             </t>
  </si>
  <si>
    <t xml:space="preserve">Liq Vol Flow @Std Cond (m3/h)    0.0000            0.0000            0.0000            0.0000            0.0000             </t>
  </si>
  <si>
    <t xml:space="preserve">Molecular Weight                 17.25             17.26             32.07             17.26             17.25              </t>
  </si>
  <si>
    <t xml:space="preserve">Molar Density (kgmole/m3)        0.3900            0.3900            59.56             0.3900            0.3900             </t>
  </si>
  <si>
    <t xml:space="preserve">Mass Density (kg/m3)             6.728             6.729             1910              6.729             6.728              </t>
  </si>
  <si>
    <t xml:space="preserve">Act. Volume Flow (m3/h)          0.0000            0.0000            0.0000            0.0000            0.0000             </t>
  </si>
  <si>
    <t xml:space="preserve">Mass Enthalpy (kJ/kg)            -3469             -3470             543.2             -3470             -3469              </t>
  </si>
  <si>
    <t xml:space="preserve">Mass Entropy (kJ/kg-C)           11.43             11.43             3.331             11.43             11.43              </t>
  </si>
  <si>
    <t xml:space="preserve">Heat Capacity (kJ/kgmole-C)      58.57             58.57             74.75             58.57             58.57              </t>
  </si>
  <si>
    <t xml:space="preserve">Mass Heat Capacity (kJ/kg-C)     3.395             3.394             2.331             3.394             3.395              </t>
  </si>
  <si>
    <t xml:space="preserve">Lower Heating Value (kJ/kgmole)  8.133e+005        8.133e+005        ---               8.133e+005        8.133e+005         </t>
  </si>
  <si>
    <t xml:space="preserve">Mass Lower Heating Value (kJ/kg) 4.714e+004        4.713e+004        ---               4.713e+004        4.714e+004         </t>
  </si>
  <si>
    <t xml:space="preserve">Phase Fraction [Vol. Basis]      ---               ---               ---               0.5000            0.5000             </t>
  </si>
  <si>
    <t xml:space="preserve">Phase Fraction [Mass Basis]      2.122e-314        0.0000            0.0000            0.5001            0.4999             </t>
  </si>
  <si>
    <t xml:space="preserve">Partial Pressure of CO2 (kPa)    0.0000            ---               ---               ---               ---                </t>
  </si>
  <si>
    <t xml:space="preserve">Cost Based on Flow (Cost/s)      0.0000            0.0000            0.0000            0.0000            0.0000             </t>
  </si>
  <si>
    <t xml:space="preserve">Act. Gas Flow (ACT_m3/h)         ---               ---               ---               ---               ---                </t>
  </si>
  <si>
    <t xml:space="preserve">Avg. Liq. Density (kgmole/m3)    ---               ---               ---               ---               ---                </t>
  </si>
  <si>
    <t xml:space="preserve">Specific Heat (kJ/kgmole-C)      58.57             58.57             74.75             58.57             58.57              </t>
  </si>
  <si>
    <t xml:space="preserve">Std. Gas Flow (STD_m3/h)         0.0000            0.0000            0.0000            0.0000            0.0000             </t>
  </si>
  <si>
    <t xml:space="preserve">Std. Ideal Liq. Mass Density (kg/m3) 316.2             316.2             1910              316.2             316.1             </t>
  </si>
  <si>
    <t xml:space="preserve">Act. Liq. Flow (m3/s)            0.0000            ---               ---               0.0000            0.0000             </t>
  </si>
  <si>
    <t xml:space="preserve">Z Factor                         ---               1.003             6.567e-003        1.003             1.003              </t>
  </si>
  <si>
    <t xml:space="preserve">Watson K                         18.72             18.72             6.299             18.72             18.72              </t>
  </si>
  <si>
    <t xml:space="preserve">User Property                    ---               ---               ---               ---               ---                </t>
  </si>
  <si>
    <t xml:space="preserve">Cp/(Cp - R)                      1.165             1.165             1.125             1.165             1.165              </t>
  </si>
  <si>
    <t xml:space="preserve">Cp/Cv                            1.165             1.172             1.125             1.172             1.172              </t>
  </si>
  <si>
    <t xml:space="preserve">Heat of Vap. (kJ/kgmole)         9561              ---               ---               ---               ---                </t>
  </si>
  <si>
    <t xml:space="preserve">Kinematic Viscosity (cSt)        ---               3.187             ---               0.5109            0.5110             </t>
  </si>
  <si>
    <t xml:space="preserve">Liq. Mass Density (Std. Cond) (kg/m3) ---               ---               1910              ---               ---               </t>
  </si>
  <si>
    <t xml:space="preserve">Liq. Vol. Flow (Std. Cond) (m3/h) 0.0000            0.0000            0.0000            0.0000            0.0000            </t>
  </si>
  <si>
    <t xml:space="preserve">Liquid Fraction                  1.000             0.0000            0.0000            1.000             1.000              </t>
  </si>
  <si>
    <t xml:space="preserve">Molar Volume (m3/kgmole)         2.564             2.564             1.679e-002        2.564             2.564              </t>
  </si>
  <si>
    <t xml:space="preserve">Mass Heat of Vap. (kJ/kg)        554.1             ---               ---               ---               ---                </t>
  </si>
  <si>
    <t xml:space="preserve">Phase Fraction [Molar Basis]     0.0000            0.0000            0.0000            0.5000            0.5000             </t>
  </si>
  <si>
    <t xml:space="preserve">Surface Tension (dyne/cm)        ---               ---               ---               0.0000            0.0000             </t>
  </si>
  <si>
    <t xml:space="preserve">Thermal Conductivity (W/m-K)     ---               9.695e-002        ---               6.963e-002        6.963e-002         </t>
  </si>
  <si>
    <t xml:space="preserve">Viscosity (cP)                   ---               2.145e-002        ---               3.438e-003        3.438e-003         </t>
  </si>
  <si>
    <t xml:space="preserve">Cv (Semi-Ideal) (kJ/kgmole-C)    50.26             50.26             66.43             50.26             ---                </t>
  </si>
  <si>
    <t xml:space="preserve">Mass Cv (Semi-Ideal) (kJ/kg-C)   2.913             2.912             2.072             2.912             ---                </t>
  </si>
  <si>
    <t xml:space="preserve">Cv (kJ/kgmole-C)                 50.26             49.98             66.43             49.98             ---                </t>
  </si>
  <si>
    <t xml:space="preserve">Mass Cv (kJ/kg-C)                2.913             2.897             2.072             2.897             ---                </t>
  </si>
  <si>
    <t xml:space="preserve">Cv (Ent. Method) (kJ/kgmole-C)   ---               49.98             ---               49.99             -251.6             </t>
  </si>
  <si>
    <t xml:space="preserve">Mass Cv (Ent. Method) (kJ/kg-C)  ---               2.896             ---               2.897             -14.58             </t>
  </si>
  <si>
    <t xml:space="preserve">Cp/Cv (Ent. Method)              ---               1.172             ---               1.172             -0.2328            </t>
  </si>
  <si>
    <t xml:space="preserve">Reid VP at 37.8 C (kPa)          ---               ---               ---               ---               ---                </t>
  </si>
  <si>
    <t xml:space="preserve">True VP at 37.8 C (kPa)          ---               ---               ---               ---               ---                </t>
  </si>
  <si>
    <t xml:space="preserve">Liq. Vol. Flow - Sum(Std. Cond) (m3/h) 0.0000            0.0000            0.0000            0.0000            0.0000            </t>
  </si>
  <si>
    <t xml:space="preserve">Partial Pressure of H2S (kPa)    0.0000            ---               ---               ---               ---                </t>
  </si>
  <si>
    <t xml:space="preserve">Methane               0.0000           0.9307           0.0000           0.8654           0.0000           0.9139           </t>
  </si>
  <si>
    <t xml:space="preserve">Ethane                0.0000           0.0320           0.0000           0.0557           0.0000           0.0496           </t>
  </si>
  <si>
    <t xml:space="preserve">Propane               0.0000           0.0100           0.0000           0.0255           0.0000           0.0159           </t>
  </si>
  <si>
    <t xml:space="preserve">Oxygen                0.0000           0.0010           0.0000           0.0018           0.0000           0.0005           </t>
  </si>
  <si>
    <t xml:space="preserve">Hydrogen              0.0000           0.0003           0.0000           0.0000           0.0000           0.0001           </t>
  </si>
  <si>
    <t xml:space="preserve">H2O                   0.0000           0.0001           0.0000           0.0001           0.0000           0.0000           </t>
  </si>
  <si>
    <t xml:space="preserve">CO2                   0.0000           0.0100           0.0000           0.0254           0.0000           0.0097           </t>
  </si>
  <si>
    <t xml:space="preserve">Nitrogen              0.0000           0.0160           0.0000           0.0259           0.0000           0.0102           </t>
  </si>
  <si>
    <t xml:space="preserve">Methane               0.0000           0.9307           0.0000           0.8652           0.0000           0.9138           </t>
  </si>
  <si>
    <t xml:space="preserve">Ethane                0.0000           0.0320           0.0000           0.0558           0.0000           0.0496           </t>
  </si>
  <si>
    <t xml:space="preserve">Oxygen                0.0000           0.0010           0.0000           0.0019           0.0000           0.0005           </t>
  </si>
  <si>
    <t xml:space="preserve">CO2                   0.0000           0.0100           0.0000           0.0255           0.0000           0.0098           </t>
  </si>
  <si>
    <t xml:space="preserve">Nitrogen              0.0000           0.0160           0.0000           0.0260           0.0000           0.0102           </t>
  </si>
  <si>
    <t xml:space="preserve">Solid Phase                                                                                       Phase Fraction 0.0000     </t>
  </si>
  <si>
    <t xml:space="preserve">S_Amorphous           0.0000           1.0000           0.0000           1.0000           0.0000           1.0000           </t>
  </si>
  <si>
    <t xml:space="preserve">Methane               0.0000           0.9308           0.0000           0.8656           0.0000           0.9140           </t>
  </si>
  <si>
    <t xml:space="preserve">Ethane                0.0000           0.0320           0.0000           0.0557           0.0000           0.0495           </t>
  </si>
  <si>
    <t xml:space="preserve">CO2                   0.0000           0.0099           0.0000           0.0253           0.0000           0.0097           </t>
  </si>
  <si>
    <t xml:space="preserve">Methane                                 0.9999                      1.000                       ---                         </t>
  </si>
  <si>
    <t xml:space="preserve">Ethane                                  1.000                       1.000                       ---                         </t>
  </si>
  <si>
    <t xml:space="preserve">Propane                                 1.001                       1.000                       ---                         </t>
  </si>
  <si>
    <t xml:space="preserve">Oxygen                                  1.003                       1.000                       ---                         </t>
  </si>
  <si>
    <t xml:space="preserve">Hydrogen                                1.001                       1.000                       ---                         </t>
  </si>
  <si>
    <t xml:space="preserve">H2O                                     1.015                       1.000                       ---                         </t>
  </si>
  <si>
    <t xml:space="preserve">CO2                                     1.005                       1.000                       ---                         </t>
  </si>
  <si>
    <t xml:space="preserve">Nitrogen                                1.001                       1.000                       ---                         </t>
  </si>
  <si>
    <t xml:space="preserve">S_Amorphous                             ---                         ---                         0.0000                      </t>
  </si>
  <si>
    <t>Dummy 4 (Material Stream): Conditions, Properties, Composition, K Value</t>
  </si>
  <si>
    <t xml:space="preserve">Material Stream: Dummy 4                                                             Fluid Package: Basis-1                 </t>
  </si>
  <si>
    <t xml:space="preserve">Temperature: (C)                 275.0             275.0             275.0                                                  </t>
  </si>
  <si>
    <t xml:space="preserve">Pressure: (kPa)                  2066              2066              2066                                                   </t>
  </si>
  <si>
    <t xml:space="preserve">Molar Enthalpy (kJ/kgmole)       -2.610e+005       -1.092e+005       -2.610e+005                                            </t>
  </si>
  <si>
    <t xml:space="preserve">Molar Entropy (kJ/kgmole-C)      106.9             148.1             106.9                                                  </t>
  </si>
  <si>
    <t xml:space="preserve">Molecular Weight                 18.02             12.56             18.02                                                  </t>
  </si>
  <si>
    <t xml:space="preserve">Molar Density (kgmole/m3)        32.52             0.4546            32.52                                                  </t>
  </si>
  <si>
    <t xml:space="preserve">Mass Density (kg/m3)             586.2             5.708             586.2                                                  </t>
  </si>
  <si>
    <t xml:space="preserve">Mass Enthalpy (kJ/kg)            -1.448e+004       -8699             -1.448e+004                                            </t>
  </si>
  <si>
    <t xml:space="preserve">Mass Entropy (kJ/kg-C)           5.933             11.79             5.933                                                  </t>
  </si>
  <si>
    <t xml:space="preserve">Heat Capacity (kJ/kgmole-C)      116.6             34.12             116.6                                                  </t>
  </si>
  <si>
    <t xml:space="preserve">Mass Heat Capacity (kJ/kg-C)     6.470             2.717             6.470                                                  </t>
  </si>
  <si>
    <t xml:space="preserve">Lower Heating Value (kJ/kgmole)  2999              1.673e+005        2999                                                   </t>
  </si>
  <si>
    <t xml:space="preserve">Mass Lower Heating Value (kJ/kg) 166.4             1.332e+004        166.4                                                  </t>
  </si>
  <si>
    <t xml:space="preserve">Specific Heat (kJ/kgmole-C)      116.6             34.12             116.6                                                  </t>
  </si>
  <si>
    <t xml:space="preserve">Std. Ideal Liq. Mass Density (kg/m3) 977.0             409.8             977.0                                                 </t>
  </si>
  <si>
    <t xml:space="preserve">Z Factor                         ---               0.9972            1.394e-002                                             </t>
  </si>
  <si>
    <t xml:space="preserve">Watson K                         11.22             14.83             11.22                                                  </t>
  </si>
  <si>
    <t xml:space="preserve">Cp/(Cp - R)                      1.077             1.322             1.077                                                  </t>
  </si>
  <si>
    <t xml:space="preserve">Cp/Cv                            1.077             1.341             1.077                                                  </t>
  </si>
  <si>
    <t xml:space="preserve">Heat of Vap. (kJ/kgmole)         7.282e+004        ---               ---                                                    </t>
  </si>
  <si>
    <t xml:space="preserve">Kinematic Viscosity (cSt)        0.1269            3.083             0.1267                                                 </t>
  </si>
  <si>
    <t xml:space="preserve">Liq. Mass Density (Std. Cond) (kg/m3) 998.3             ---               998.5                                                 </t>
  </si>
  <si>
    <t xml:space="preserve">Molar Volume (m3/kgmole)         3.075e-002        2.200             3.075e-002                                             </t>
  </si>
  <si>
    <t xml:space="preserve">Mass Heat of Vap. (kJ/kg)        4040              ---               ---                                                    </t>
  </si>
  <si>
    <t xml:space="preserve">Surface Tension (dyne/cm)        19.77             ---               19.77                                                  </t>
  </si>
  <si>
    <t xml:space="preserve">Thermal Conductivity (W/m-K)     0.5527            0.1288            0.5491                                                 </t>
  </si>
  <si>
    <t xml:space="preserve">Viscosity (cP)                   7.440e-002        1.760e-002        7.425e-002                                             </t>
  </si>
  <si>
    <t xml:space="preserve">Cv (Semi-Ideal) (kJ/kgmole-C)    108.3             25.80             108.3                                                  </t>
  </si>
  <si>
    <t xml:space="preserve">Mass Cv (Semi-Ideal) (kJ/kg-C)   6.009             2.055             6.009                                                  </t>
  </si>
  <si>
    <t xml:space="preserve">Cv (kJ/kgmole-C)                 108.3             25.44             108.3                                                  </t>
  </si>
  <si>
    <t xml:space="preserve">Mass Cv (kJ/kg-C)                6.009             2.026             6.009                                                  </t>
  </si>
  <si>
    <t xml:space="preserve">Cv (Ent. Method) (kJ/kgmole-C)   ---               25.46             ---                                                    </t>
  </si>
  <si>
    <t xml:space="preserve">Mass Cv (Ent. Method) (kJ/kg-C)  ---               2.027             ---                                                    </t>
  </si>
  <si>
    <t xml:space="preserve">Cp/Cv (Ent. Method)              ---               1.340             ---                                                    </t>
  </si>
  <si>
    <t xml:space="preserve">Methane               0.0000           0.0002           0.0000           0.0002           0.0000           0.0006           </t>
  </si>
  <si>
    <t xml:space="preserve">Hydrogen              0.0000           0.0116           0.0000           0.0013           0.0000           0.0181           </t>
  </si>
  <si>
    <t xml:space="preserve">H2O                   0.0000           0.9806           0.0000           0.9801           0.0000           0.9595           </t>
  </si>
  <si>
    <t xml:space="preserve">CO                    0.0000           0.0001           0.0000           0.0002           0.0000           0.0002           </t>
  </si>
  <si>
    <t xml:space="preserve">CO2                   0.0000           0.0075           0.0000           0.0182           0.0000           0.0216           </t>
  </si>
  <si>
    <t xml:space="preserve">Nitrogen              0.0000           0.0000           0.0000           0.0000           0.0000           0.0001           </t>
  </si>
  <si>
    <t xml:space="preserve">Methane               0.0000           0.0326           0.0000           0.0417           0.0000           0.0571           </t>
  </si>
  <si>
    <t xml:space="preserve">Hydrogen              0.0000           0.5757           0.0000           0.0924           0.0000           0.5422           </t>
  </si>
  <si>
    <t xml:space="preserve">H2O                   0.0000           0.2392           0.0000           0.3432           0.0000           0.1409           </t>
  </si>
  <si>
    <t xml:space="preserve">CO                    0.0000           0.0063           0.0000           0.0140           0.0000           0.0072           </t>
  </si>
  <si>
    <t xml:space="preserve">CO2                   0.0000           0.1434           0.0000           0.5024           0.0000           0.2495           </t>
  </si>
  <si>
    <t xml:space="preserve">Nitrogen              0.0000           0.0028           0.0000           0.0063           0.0000           0.0032           </t>
  </si>
  <si>
    <t xml:space="preserve">Methane                                 152.0                       ---                         152.0                       </t>
  </si>
  <si>
    <t xml:space="preserve">Ethane                                  299.4                       ---                         299.4                       </t>
  </si>
  <si>
    <t xml:space="preserve">Hydrogen                                49.80                       ---                         49.80                       </t>
  </si>
  <si>
    <t xml:space="preserve">H2O                                     0.2439                      ---                         0.2439                      </t>
  </si>
  <si>
    <t xml:space="preserve">CO                                      59.96                       ---                         59.96                       </t>
  </si>
  <si>
    <t xml:space="preserve">CO2                                     19.22                       ---                         19.22                       </t>
  </si>
  <si>
    <t xml:space="preserve">Nitrogen                                94.34                       ---                         94.34                       </t>
  </si>
  <si>
    <t>Dummy 5 (Material Stream): Conditions, Properties, Composition, K Value</t>
  </si>
  <si>
    <t xml:space="preserve">Material Stream: Dummy 5                                                             Fluid Package: Basis-1                 </t>
  </si>
  <si>
    <t xml:space="preserve">Kinematic Viscosity (cSt)        11.64             176.2             1.925             1.925                                </t>
  </si>
  <si>
    <t xml:space="preserve">Thermal Conductivity (W/m-K)     5.561e-002        7.911e-002        5.561e-002        5.561e-002                           </t>
  </si>
  <si>
    <t xml:space="preserve">Viscosity (cP)                   3.495e-003        5.290e-002        5.778e-004        5.778e-004                           </t>
  </si>
  <si>
    <t xml:space="preserve">Cv (Ent. Method) (kJ/kgmole-C)   ---               27.70             27.70             17.52                                </t>
  </si>
  <si>
    <t xml:space="preserve">Mass Cv (Ent. Method) (kJ/kg-C)  ---               0.9616            0.9616            0.6083                               </t>
  </si>
  <si>
    <t xml:space="preserve">Cp/Cv (Ent. Method)              ---               1.302             1.302             2.058                                </t>
  </si>
  <si>
    <t>Dummy 12 (Material Stream): Conditions, Properties, Composition, K Value</t>
  </si>
  <si>
    <t xml:space="preserve">Material Stream: Dummy 12                                                            Fluid Package: Basis-1                 </t>
  </si>
  <si>
    <t xml:space="preserve">                                 Overall           Vapour Phase      Liquid Phase                                           </t>
  </si>
  <si>
    <t xml:space="preserve">Temperature: (C)                 400.0             400.0             400.0                                                  </t>
  </si>
  <si>
    <t xml:space="preserve">Molar Enthalpy (kJ/kgmole)       -5.987e+004       -5.987e+004       -5.987e+004                                            </t>
  </si>
  <si>
    <t xml:space="preserve">Molar Entropy (kJ/kgmole-C)      197.2             197.2             197.2                                                  </t>
  </si>
  <si>
    <t xml:space="preserve">Molecular Weight                 17.26             17.26             17.26                                                  </t>
  </si>
  <si>
    <t xml:space="preserve">Molar Density (kgmole/m3)        0.3917            0.3917            0.3917                                                 </t>
  </si>
  <si>
    <t xml:space="preserve">Mass Density (kg/m3)             6.760             6.760             6.760                                                  </t>
  </si>
  <si>
    <t xml:space="preserve">Mass Enthalpy (kJ/kg)            -3470             -3470             -3470                                                  </t>
  </si>
  <si>
    <t xml:space="preserve">Mass Entropy (kJ/kg-C)           11.43             11.43             11.43                                                  </t>
  </si>
  <si>
    <t xml:space="preserve">Heat Capacity (kJ/kgmole-C)      58.57             58.57             58.57                                                  </t>
  </si>
  <si>
    <t xml:space="preserve">Mass Heat Capacity (kJ/kg-C)     3.394             3.394             3.394                                                  </t>
  </si>
  <si>
    <t xml:space="preserve">Lower Heating Value (kJ/kgmole)  8.133e+005        8.133e+005        8.133e+005                                             </t>
  </si>
  <si>
    <t xml:space="preserve">Mass Lower Heating Value (kJ/kg) 4.713e+004        4.713e+004        4.713e+004                                             </t>
  </si>
  <si>
    <t xml:space="preserve">Phase Fraction [Mass Basis]      2.122e-314        0.0000            1.000                                                  </t>
  </si>
  <si>
    <t xml:space="preserve">Specific Heat (kJ/kgmole-C)      58.57             58.57             58.57                                                  </t>
  </si>
  <si>
    <t xml:space="preserve">Std. Ideal Liq. Mass Density (kg/m3) 316.2             316.2             316.2                                                 </t>
  </si>
  <si>
    <t xml:space="preserve">Z Factor                         ---               1.003             1.003                                                  </t>
  </si>
  <si>
    <t xml:space="preserve">Watson K                         18.72             18.72             18.72                                                  </t>
  </si>
  <si>
    <t xml:space="preserve">Cp/(Cp - R)                      1.165             1.165             1.165                                                  </t>
  </si>
  <si>
    <t xml:space="preserve">Cp/Cv                            1.172             1.172             1.172                                                  </t>
  </si>
  <si>
    <t xml:space="preserve">Heat of Vap. (kJ/kgmole)         9558              ---               ---                                                    </t>
  </si>
  <si>
    <t xml:space="preserve">Kinematic Viscosity (cSt)        0.5101            3.173             0.5101                                                 </t>
  </si>
  <si>
    <t xml:space="preserve">Liq. Mass Density (Std. Cond) (kg/m3) ---               ---               ---                                                   </t>
  </si>
  <si>
    <t xml:space="preserve">Molar Volume (m3/kgmole)         2.553             2.553             2.553                                                  </t>
  </si>
  <si>
    <t xml:space="preserve">Mass Heat of Vap. (kJ/kg)        553.9             ---               ---                                                    </t>
  </si>
  <si>
    <t xml:space="preserve">Surface Tension (dyne/cm)        0.0000            ---               0.0000                                                 </t>
  </si>
  <si>
    <t xml:space="preserve">Thermal Conductivity (W/m-K)     6.963e-002        9.695e-002        6.963e-002                                             </t>
  </si>
  <si>
    <t xml:space="preserve">Viscosity (cP)                   3.448e-003        2.145e-002        3.448e-003                                             </t>
  </si>
  <si>
    <t xml:space="preserve">Cv (Semi-Ideal) (kJ/kgmole-C)    50.26             50.26             50.26                                                  </t>
  </si>
  <si>
    <t xml:space="preserve">Mass Cv (Semi-Ideal) (kJ/kg-C)   2.912             2.912             2.912                                                  </t>
  </si>
  <si>
    <t xml:space="preserve">Cv (kJ/kgmole-C)                 49.98             49.98             49.98                                                  </t>
  </si>
  <si>
    <t xml:space="preserve">Mass Cv (kJ/kg-C)                2.897             2.897             2.897                                                  </t>
  </si>
  <si>
    <t xml:space="preserve">Cv (Ent. Method) (kJ/kgmole-C)   ---               49.98             49.99                                                  </t>
  </si>
  <si>
    <t xml:space="preserve">Mass Cv (Ent. Method) (kJ/kg-C)  ---               2.896             2.897                                                  </t>
  </si>
  <si>
    <t xml:space="preserve">Cp/Cv (Ent. Method)              ---               1.172             1.172                                                  </t>
  </si>
  <si>
    <t xml:space="preserve">Hydrogen              0.0000           0.0002           0.0000           0.0000           0.0000           0.0001           </t>
  </si>
  <si>
    <t xml:space="preserve">Methane                                 1.000                       1.000                       ---                         </t>
  </si>
  <si>
    <t xml:space="preserve">Propane                                 1.000                       1.000                       ---                         </t>
  </si>
  <si>
    <t xml:space="preserve">Oxygen                                  1.000                       1.000                       ---                         </t>
  </si>
  <si>
    <t xml:space="preserve">Hydrogen                                1.000                       1.000                       ---                         </t>
  </si>
  <si>
    <t xml:space="preserve">H2O                                     1.000                       1.000                       ---                         </t>
  </si>
  <si>
    <t xml:space="preserve">H2S                                     1.000                       1.000                       ---                         </t>
  </si>
  <si>
    <t xml:space="preserve">CO2                                     1.000                       1.000                       ---                         </t>
  </si>
  <si>
    <t xml:space="preserve">Nitrogen                                1.000                       1.000                       ---                         </t>
  </si>
  <si>
    <t>H2 to HDS (Material Stream): Conditions, Properties, Composition, K Value</t>
  </si>
  <si>
    <t xml:space="preserve">Material Stream: H2 to HDS                                                           Fluid Package: Basis-1                 </t>
  </si>
  <si>
    <t xml:space="preserve">Molar Flow (kgmole/h)            3.200e-003        3.200e-003                                                               </t>
  </si>
  <si>
    <t xml:space="preserve">Mass Flow (kg/h)                 6.451e-003        6.451e-003                                                               </t>
  </si>
  <si>
    <t xml:space="preserve">Std Ideal Liq Vol Flow (m3/h)    9.235e-005        9.235e-005                                                               </t>
  </si>
  <si>
    <t xml:space="preserve">Molar Enthalpy (kJ/kgmole)       -1.437            -1.437                                                                   </t>
  </si>
  <si>
    <t xml:space="preserve">Molar Entropy (kJ/kgmole-C)      97.31             97.31                                                                    </t>
  </si>
  <si>
    <t xml:space="preserve">Heat Flow (kJ/h)                 -4.597e-003       -4.597e-003                                                              </t>
  </si>
  <si>
    <t xml:space="preserve">Molar Density (kgmole/m3)        0.8841            0.8841                                                                   </t>
  </si>
  <si>
    <t xml:space="preserve">Mass Density (kg/m3)             1.782             1.782                                                                    </t>
  </si>
  <si>
    <t xml:space="preserve">Act. Volume Flow (m3/h)          3.619e-003        3.619e-003                                                               </t>
  </si>
  <si>
    <t xml:space="preserve">Mass Enthalpy (kJ/kg)            -0.7126           -0.7126                                                                  </t>
  </si>
  <si>
    <t xml:space="preserve">Mass Entropy (kJ/kg-C)           48.27             48.27                                                                    </t>
  </si>
  <si>
    <t xml:space="preserve">Heat Capacity (kJ/kgmole-C)      28.59             28.59                                                                    </t>
  </si>
  <si>
    <t xml:space="preserve">Mass Heat Capacity (kJ/kg-C)     14.18             14.18                                                                    </t>
  </si>
  <si>
    <t xml:space="preserve">Act. Gas Flow (ACT_m3/h)         3.619e-003        3.619e-003                                                               </t>
  </si>
  <si>
    <t xml:space="preserve">Specific Heat (kJ/kgmole-C)      28.59             28.59                                                                    </t>
  </si>
  <si>
    <t xml:space="preserve">Std. Gas Flow (STD_m3/h)         7.566e-002        7.566e-002                                                               </t>
  </si>
  <si>
    <t xml:space="preserve">Cp/(Cp - R)                      1.410             1.410                                                                    </t>
  </si>
  <si>
    <t xml:space="preserve">Cp/Cv                            1.419             1.419                                                                    </t>
  </si>
  <si>
    <t xml:space="preserve">Kinematic Viscosity (cSt)        4.947             4.947                                                                    </t>
  </si>
  <si>
    <t xml:space="preserve">Molar Volume (m3/kgmole)         1.131             1.131                                                                    </t>
  </si>
  <si>
    <t xml:space="preserve">Thermal Conductivity (W/m-K)     0.1762            0.1762                                                                   </t>
  </si>
  <si>
    <t xml:space="preserve">Viscosity (cP)                   8.817e-003        8.817e-003                                                               </t>
  </si>
  <si>
    <t xml:space="preserve">Cv (Semi-Ideal) (kJ/kgmole-C)    20.27             20.27                                                                    </t>
  </si>
  <si>
    <t xml:space="preserve">Mass Cv (Semi-Ideal) (kJ/kg-C)   10.05             10.05                                                                    </t>
  </si>
  <si>
    <t xml:space="preserve">Cv (kJ/kgmole-C)                 20.14             20.14                                                                    </t>
  </si>
  <si>
    <t xml:space="preserve">Mass Cv (kJ/kg-C)                9.992             9.992                                                                    </t>
  </si>
  <si>
    <t xml:space="preserve">Cv (Ent. Method) (kJ/kgmole-C)   20.14             20.14                                                                    </t>
  </si>
  <si>
    <t xml:space="preserve">Mass Cv (Ent. Method) (kJ/kg-C)  9.988             9.988                                                                    </t>
  </si>
  <si>
    <t xml:space="preserve">Cp/Cv (Ent. Method)              1.420             1.420                                                                    </t>
  </si>
  <si>
    <t xml:space="preserve">Hydrogen              0.0032           1.0000           0.0065           1.0000           0.0001           1.0000           </t>
  </si>
  <si>
    <t xml:space="preserve">Total                 0.0032           1.0000           0.0065           1.0000           0.0001           1.0000           </t>
  </si>
  <si>
    <t>HDS Inlet (Material Stream): Conditions, Properties, Composition, K Value</t>
  </si>
  <si>
    <t xml:space="preserve">Material Stream: HDS Inlet                                                           Fluid Package: Basis-1                 </t>
  </si>
  <si>
    <t xml:space="preserve">Molar Enthalpy (kJ/kgmole)       -5.989e+004       -5.989e+004                                                              </t>
  </si>
  <si>
    <t xml:space="preserve">Molar Entropy (kJ/kgmole-C)      197.2             197.2                                                                    </t>
  </si>
  <si>
    <t xml:space="preserve">Heat Flow (kJ/h)                 -7.648e+005       -7.648e+005                                                              </t>
  </si>
  <si>
    <t xml:space="preserve">Molar Density (kgmole/m3)        0.3935            0.3935                                                                   </t>
  </si>
  <si>
    <t xml:space="preserve">Mass Density (kg/m3)             6.792             6.792                                                                    </t>
  </si>
  <si>
    <t xml:space="preserve">Act. Volume Flow (m3/h)          32.45             32.45                                                                    </t>
  </si>
  <si>
    <t xml:space="preserve">Mass Enthalpy (kJ/kg)            -3470             -3470                                                                    </t>
  </si>
  <si>
    <t xml:space="preserve">Mass Entropy (kJ/kg-C)           11.42             11.42                                                                    </t>
  </si>
  <si>
    <t xml:space="preserve">Heat Capacity (kJ/kgmole-C)      58.58             58.58                                                                    </t>
  </si>
  <si>
    <t xml:space="preserve">Mass Heat Capacity (kJ/kg-C)     3.394             3.394                                                                    </t>
  </si>
  <si>
    <t xml:space="preserve">Act. Gas Flow (ACT_m3/h)         32.45             32.45                                                                    </t>
  </si>
  <si>
    <t xml:space="preserve">Specific Heat (kJ/kgmole-C)      58.58             58.58                                                                    </t>
  </si>
  <si>
    <t xml:space="preserve">Z Factor                         1.003             1.003                                                                    </t>
  </si>
  <si>
    <t xml:space="preserve">Cp/(Cp - R)                      1.165             1.165                                                                    </t>
  </si>
  <si>
    <t xml:space="preserve">Cp/Cv                            1.172             1.172                                                                    </t>
  </si>
  <si>
    <t xml:space="preserve">Kinematic Viscosity (cSt)        3.158             3.158                                                                    </t>
  </si>
  <si>
    <t xml:space="preserve">Molar Volume (m3/kgmole)         2.541             2.541                                                                    </t>
  </si>
  <si>
    <t xml:space="preserve">Thermal Conductivity (W/m-K)     9.694e-002        9.694e-002                                                               </t>
  </si>
  <si>
    <t xml:space="preserve">Viscosity (cP)                   2.145e-002        2.145e-002                                                               </t>
  </si>
  <si>
    <t xml:space="preserve">Cv (Semi-Ideal) (kJ/kgmole-C)    50.27             50.27                                                                    </t>
  </si>
  <si>
    <t xml:space="preserve">Mass Cv (Semi-Ideal) (kJ/kg-C)   2.912             2.912                                                                    </t>
  </si>
  <si>
    <t xml:space="preserve">Cv (kJ/kgmole-C)                 49.99             49.99                                                                    </t>
  </si>
  <si>
    <t xml:space="preserve">Mass Cv (kJ/kg-C)                2.896             2.896                                                                    </t>
  </si>
  <si>
    <t xml:space="preserve">Cv (Ent. Method) (kJ/kgmole-C)   49.99             49.99                                                                    </t>
  </si>
  <si>
    <t xml:space="preserve">Mass Cv (Ent. Method) (kJ/kg-C)  2.896             2.896                                                                    </t>
  </si>
  <si>
    <t xml:space="preserve">Cp/Cv (Ent. Method)              1.172             1.172                                                                    </t>
  </si>
  <si>
    <t>Heated air from RC (Material Stream): Conditions, Properties, Composition, K Value</t>
  </si>
  <si>
    <t xml:space="preserve">Material Stream: Heated air from RC                                                  Fluid Package: Basis-1                 </t>
  </si>
  <si>
    <t xml:space="preserve">Temperature: (C)                 100.1             100.1                                                                    </t>
  </si>
  <si>
    <t xml:space="preserve">Molar Enthalpy (kJ/kgmole)       2200              2200                                                                     </t>
  </si>
  <si>
    <t xml:space="preserve">Molar Entropy (kJ/kgmole-C)      162.3             162.3                                                                    </t>
  </si>
  <si>
    <t xml:space="preserve">Heat Flow (kJ/h)                 9.424e+005        9.424e+005                                                               </t>
  </si>
  <si>
    <t xml:space="preserve">Molar Density (kgmole/m3)        3.255e-002        3.255e-002                                                               </t>
  </si>
  <si>
    <t xml:space="preserve">Mass Density (kg/m3)             0.9391            0.9391                                                                   </t>
  </si>
  <si>
    <t xml:space="preserve">Act. Volume Flow (m3/h)          1.316e+004        1.316e+004                                                               </t>
  </si>
  <si>
    <t xml:space="preserve">Mass Enthalpy (kJ/kg)            76.27             76.27                                                                    </t>
  </si>
  <si>
    <t xml:space="preserve">Mass Entropy (kJ/kg-C)           5.627             5.627                                                                    </t>
  </si>
  <si>
    <t xml:space="preserve">Heat Capacity (kJ/kgmole-C)      29.63             29.63                                                                    </t>
  </si>
  <si>
    <t xml:space="preserve">Mass Heat Capacity (kJ/kg-C)     1.027             1.027                                                                    </t>
  </si>
  <si>
    <t xml:space="preserve">Act. Gas Flow (ACT_m3/h)         1.316e+004        1.316e+004                                                               </t>
  </si>
  <si>
    <t xml:space="preserve">Specific Heat (kJ/kgmole-C)      29.63             29.63                                                                    </t>
  </si>
  <si>
    <t xml:space="preserve">Cp/(Cp - R)                      1.390             1.390                                                                    </t>
  </si>
  <si>
    <t xml:space="preserve">Cp/Cv                            1.392             1.392                                                                    </t>
  </si>
  <si>
    <t xml:space="preserve">Kinematic Viscosity (cSt)        23.63             23.63                                                                    </t>
  </si>
  <si>
    <t xml:space="preserve">Molar Volume (m3/kgmole)         30.72             30.72                                                                    </t>
  </si>
  <si>
    <t xml:space="preserve">Thermal Conductivity (W/m-K)     3.110e-002        3.110e-002                                                               </t>
  </si>
  <si>
    <t xml:space="preserve">Viscosity (cP)                   2.219e-002        2.219e-002                                                               </t>
  </si>
  <si>
    <t xml:space="preserve">Cv (Semi-Ideal) (kJ/kgmole-C)    21.32             21.32                                                                    </t>
  </si>
  <si>
    <t xml:space="preserve">Mass Cv (Semi-Ideal) (kJ/kg-C)   0.7389            0.7389                                                                   </t>
  </si>
  <si>
    <t xml:space="preserve">Cv (kJ/kgmole-C)                 21.29             21.29                                                                    </t>
  </si>
  <si>
    <t xml:space="preserve">Mass Cv (kJ/kg-C)                0.7380            0.7380                                                                   </t>
  </si>
  <si>
    <t xml:space="preserve">Cv (Ent. Method) (kJ/kgmole-C)   21.25             21.25                                                                    </t>
  </si>
  <si>
    <t xml:space="preserve">Mass Cv (Ent. Method) (kJ/kg-C)  0.7366            0.7366                                                                   </t>
  </si>
  <si>
    <t xml:space="preserve">Cp/Cv (Ent. Method)              1.394             1.394                                                                    </t>
  </si>
  <si>
    <t>Heated burner air (Material Stream): Conditions, Properties, Composition, K Value</t>
  </si>
  <si>
    <t xml:space="preserve">Material Stream: Heated burner air                                                   Fluid Package: Basis-1                 </t>
  </si>
  <si>
    <t xml:space="preserve">Temperature: (C)                 358.7             358.7                                                                    </t>
  </si>
  <si>
    <t xml:space="preserve">Molar Enthalpy (kJ/kgmole)       1.006e+004        1.006e+004                                                               </t>
  </si>
  <si>
    <t xml:space="preserve">Molar Entropy (kJ/kgmole-C)      177.8             177.8                                                                    </t>
  </si>
  <si>
    <t xml:space="preserve">Heat Flow (kJ/h)                 1.897e+006        1.897e+006                                                               </t>
  </si>
  <si>
    <t xml:space="preserve">Molar Density (kgmole/m3)        2.036e-002        2.036e-002                                                               </t>
  </si>
  <si>
    <t xml:space="preserve">Mass Density (kg/m3)             0.5874            0.5874                                                                   </t>
  </si>
  <si>
    <t xml:space="preserve">Act. Volume Flow (m3/h)          9256              9256                                                                     </t>
  </si>
  <si>
    <t xml:space="preserve">Mass Enthalpy (kJ/kg)            348.8             348.8                                                                    </t>
  </si>
  <si>
    <t xml:space="preserve">Mass Entropy (kJ/kg-C)           6.164             6.164                                                                    </t>
  </si>
  <si>
    <t xml:space="preserve">Heat Capacity (kJ/kgmole-C)      31.19             31.19                                                                    </t>
  </si>
  <si>
    <t xml:space="preserve">Mass Heat Capacity (kJ/kg-C)     1.081             1.081                                                                    </t>
  </si>
  <si>
    <t xml:space="preserve">Act. Gas Flow (ACT_m3/h)         9256              9256                                                                     </t>
  </si>
  <si>
    <t xml:space="preserve">Specific Heat (kJ/kgmole-C)      31.19             31.19                                                                    </t>
  </si>
  <si>
    <t xml:space="preserve">Cp/(Cp - R)                      1.363             1.363                                                                    </t>
  </si>
  <si>
    <t xml:space="preserve">Cp/Cv                            1.364             1.364                                                                    </t>
  </si>
  <si>
    <t xml:space="preserve">Heat of Vap. (kJ/kgmole)         5881              ---                                                                      </t>
  </si>
  <si>
    <t xml:space="preserve">Kinematic Viscosity (cSt)        55.48             55.48                                                                    </t>
  </si>
  <si>
    <t xml:space="preserve">Molar Volume (m3/kgmole)         49.11             49.11                                                                    </t>
  </si>
  <si>
    <t xml:space="preserve">Mass Heat of Vap. (kJ/kg)        203.9             ---                                                                      </t>
  </si>
  <si>
    <t xml:space="preserve">Thermal Conductivity (W/m-K)     4.702e-002        4.702e-002                                                               </t>
  </si>
  <si>
    <t xml:space="preserve">Viscosity (cP)                   3.259e-002        3.259e-002                                                               </t>
  </si>
  <si>
    <t xml:space="preserve">Cv (Semi-Ideal) (kJ/kgmole-C)    22.87             22.87                                                                    </t>
  </si>
  <si>
    <t xml:space="preserve">Mass Cv (Semi-Ideal) (kJ/kg-C)   0.7929            0.7929                                                                   </t>
  </si>
  <si>
    <t xml:space="preserve">Cv (kJ/kgmole-C)                 22.87             22.87                                                                    </t>
  </si>
  <si>
    <t xml:space="preserve">Mass Cv (kJ/kg-C)                0.7926            0.7926                                                                   </t>
  </si>
  <si>
    <t xml:space="preserve">Cv (Ent. Method) (kJ/kgmole-C)   22.90             22.90                                                                    </t>
  </si>
  <si>
    <t xml:space="preserve">Mass Cv (Ent. Method) (kJ/kg-C)  0.7938            0.7938                                                                   </t>
  </si>
  <si>
    <t xml:space="preserve">Cp/Cv (Ent. Method)              1.362             1.362                                                                    </t>
  </si>
  <si>
    <t>Heated Condenser Air (Material Stream): Conditions, Properties, Composition, K Value</t>
  </si>
  <si>
    <t xml:space="preserve">Material Stream: Heated Condenser Air                                                Fluid Package: Basis-1                 </t>
  </si>
  <si>
    <t xml:space="preserve">Temperature: (C)                 240.6             240.6                                                                    </t>
  </si>
  <si>
    <t xml:space="preserve">Pressure: (kPa)                  109.0             109.0                                                                    </t>
  </si>
  <si>
    <t xml:space="preserve">Molar Enthalpy (kJ/kgmole)       6423              6423                                                                     </t>
  </si>
  <si>
    <t xml:space="preserve">Molar Entropy (kJ/kgmole-C)      171.3             171.3                                                                    </t>
  </si>
  <si>
    <t xml:space="preserve">Heat Flow (kJ/h)                 1.211e+006        1.211e+006                                                               </t>
  </si>
  <si>
    <t xml:space="preserve">Molar Density (kgmole/m3)        2.551e-002        2.551e-002                                                               </t>
  </si>
  <si>
    <t xml:space="preserve">Mass Density (kg/m3)             0.7360            0.7360                                                                   </t>
  </si>
  <si>
    <t xml:space="preserve">Act. Volume Flow (m3/h)          7388              7388                                                                     </t>
  </si>
  <si>
    <t xml:space="preserve">Mass Enthalpy (kJ/kg)            222.6             222.6                                                                    </t>
  </si>
  <si>
    <t xml:space="preserve">Mass Entropy (kJ/kg-C)           5.937             5.937                                                                    </t>
  </si>
  <si>
    <t xml:space="preserve">Heat Capacity (kJ/kgmole-C)      30.47             30.47                                                                    </t>
  </si>
  <si>
    <t xml:space="preserve">Mass Heat Capacity (kJ/kg-C)     1.056             1.056                                                                    </t>
  </si>
  <si>
    <t xml:space="preserve">Act. Gas Flow (ACT_m3/h)         7388              7388                                                                     </t>
  </si>
  <si>
    <t xml:space="preserve">Specific Heat (kJ/kgmole-C)      30.47             30.47                                                                    </t>
  </si>
  <si>
    <t xml:space="preserve">Cp/(Cp - R)                      1.375             1.375                                                                    </t>
  </si>
  <si>
    <t xml:space="preserve">Cp/Cv                            1.376             1.376                                                                    </t>
  </si>
  <si>
    <t xml:space="preserve">Heat of Vap. (kJ/kgmole)         5876              ---                                                                      </t>
  </si>
  <si>
    <t xml:space="preserve">Kinematic Viscosity (cSt)        37.86             37.86                                                                    </t>
  </si>
  <si>
    <t xml:space="preserve">Molar Volume (m3/kgmole)         39.20             39.20                                                                    </t>
  </si>
  <si>
    <t xml:space="preserve">Mass Heat of Vap. (kJ/kg)        203.7             ---                                                                      </t>
  </si>
  <si>
    <t xml:space="preserve">Thermal Conductivity (W/m-K)     4.003e-002        4.003e-002                                                               </t>
  </si>
  <si>
    <t xml:space="preserve">Viscosity (cP)                   2.786e-002        2.786e-002                                                               </t>
  </si>
  <si>
    <t xml:space="preserve">Cv (Semi-Ideal) (kJ/kgmole-C)    22.16             22.16                                                                    </t>
  </si>
  <si>
    <t xml:space="preserve">Mass Cv (Semi-Ideal) (kJ/kg-C)   0.7681            0.7681                                                                   </t>
  </si>
  <si>
    <t xml:space="preserve">Cv (kJ/kgmole-C)                 22.15             22.15                                                                    </t>
  </si>
  <si>
    <t xml:space="preserve">Mass Cv (kJ/kg-C)                0.7677            0.7677                                                                   </t>
  </si>
  <si>
    <t xml:space="preserve">Cv (Ent. Method) (kJ/kgmole-C)   22.11             22.11                                                                    </t>
  </si>
  <si>
    <t xml:space="preserve">Mass Cv (Ent. Method) (kJ/kg-C)  0.7664            0.7664                                                                   </t>
  </si>
  <si>
    <t xml:space="preserve">Cp/Cv (Ent. Method)              1.378             1.378                                                                    </t>
  </si>
  <si>
    <t>HTS Gas (Material Stream): Conditions, Properties, Composition, K Value</t>
  </si>
  <si>
    <t xml:space="preserve">Material Stream: HTS Gas                                                             Fluid Package: Basis-1                 </t>
  </si>
  <si>
    <t xml:space="preserve">Molar Flow (kgmole/h)            72.51             72.51             0.0000                                                 </t>
  </si>
  <si>
    <t xml:space="preserve">Mass Flow (kg/h)                 910.6             910.6             0.0000                                                 </t>
  </si>
  <si>
    <t xml:space="preserve">Std Ideal Liq Vol Flow (m3/h)    2.222             2.222             0.0000                                                 </t>
  </si>
  <si>
    <t xml:space="preserve">Molar Enthalpy (kJ/kgmole)       -1.092e+005       -1.092e+005       -2.610e+005                                            </t>
  </si>
  <si>
    <t xml:space="preserve">Molar Entropy (kJ/kgmole-C)      148.1             148.1             106.9                                                  </t>
  </si>
  <si>
    <t xml:space="preserve">Heat Flow (kJ/h)                 -7.921e+006       -7.921e+006       0.0000                                                 </t>
  </si>
  <si>
    <t xml:space="preserve">Molecular Weight                 12.56             12.56             18.02                                                  </t>
  </si>
  <si>
    <t xml:space="preserve">Molar Density (kgmole/m3)        0.4546            0.4546            32.52                                                  </t>
  </si>
  <si>
    <t xml:space="preserve">Mass Density (kg/m3)             5.708             5.708             586.2                                                  </t>
  </si>
  <si>
    <t xml:space="preserve">Act. Volume Flow (m3/h)          159.5             159.5             0.0000                                                 </t>
  </si>
  <si>
    <t xml:space="preserve">Mass Enthalpy (kJ/kg)            -8699             -8699             -1.448e+004                                            </t>
  </si>
  <si>
    <t xml:space="preserve">Mass Entropy (kJ/kg-C)           11.79             11.79             5.933                                                  </t>
  </si>
  <si>
    <t xml:space="preserve">Heat Capacity (kJ/kgmole-C)      34.12             34.12             116.6                                                  </t>
  </si>
  <si>
    <t xml:space="preserve">Mass Heat Capacity (kJ/kg-C)     2.717             2.717             6.470                                                  </t>
  </si>
  <si>
    <t xml:space="preserve">Lower Heating Value (kJ/kgmole)  1.673e+005        1.673e+005        2999                                                   </t>
  </si>
  <si>
    <t xml:space="preserve">Mass Lower Heating Value (kJ/kg) 1.332e+004        1.332e+004        166.4                                                  </t>
  </si>
  <si>
    <t xml:space="preserve">Partial Pressure of CO2 (kPa)    296.2             ---               ---                                                    </t>
  </si>
  <si>
    <t xml:space="preserve">Act. Gas Flow (ACT_m3/h)         159.5             159.5             ---                                                    </t>
  </si>
  <si>
    <t xml:space="preserve">Avg. Liq. Density (kgmole/m3)    32.63             32.63             54.20                                                  </t>
  </si>
  <si>
    <t xml:space="preserve">Specific Heat (kJ/kgmole-C)      34.12             34.12             116.6                                                  </t>
  </si>
  <si>
    <t xml:space="preserve">Std. Gas Flow (STD_m3/h)         1715              1715              0.0000                                                 </t>
  </si>
  <si>
    <t xml:space="preserve">Std. Ideal Liq. Mass Density (kg/m3) 409.8             409.8             977.0                                                 </t>
  </si>
  <si>
    <t xml:space="preserve">Watson K                         14.83             14.83             11.22                                                  </t>
  </si>
  <si>
    <t xml:space="preserve">Cp/(Cp - R)                      1.322             1.322             1.077                                                  </t>
  </si>
  <si>
    <t xml:space="preserve">Cp/Cv                            1.341             1.341             1.077                                                  </t>
  </si>
  <si>
    <t xml:space="preserve">Kinematic Viscosity (cSt)        2.789             3.083             0.1267                                                 </t>
  </si>
  <si>
    <t xml:space="preserve">Liq. Mass Density (Std. Cond) (kg/m3) ---               ---               998.5                                                 </t>
  </si>
  <si>
    <t xml:space="preserve">Molar Volume (m3/kgmole)         2.200             2.200             3.075e-002                                             </t>
  </si>
  <si>
    <t xml:space="preserve">Surface Tension (dyne/cm)        ---               ---               19.77                                                  </t>
  </si>
  <si>
    <t xml:space="preserve">Thermal Conductivity (W/m-K)     0.1288            0.1288            0.5491                                                 </t>
  </si>
  <si>
    <t xml:space="preserve">Viscosity (cP)                   1.592e-002        1.760e-002        7.425e-002                                             </t>
  </si>
  <si>
    <t xml:space="preserve">Cv (Semi-Ideal) (kJ/kgmole-C)    25.80             25.80             108.3                                                  </t>
  </si>
  <si>
    <t xml:space="preserve">Mass Cv (Semi-Ideal) (kJ/kg-C)   2.055             2.055             6.009                                                  </t>
  </si>
  <si>
    <t xml:space="preserve">Cv (kJ/kgmole-C)                 25.44             25.44             108.3                                                  </t>
  </si>
  <si>
    <t xml:space="preserve">Mass Cv (kJ/kg-C)                2.026             2.026             6.009                                                  </t>
  </si>
  <si>
    <t xml:space="preserve">Cv (Ent. Method) (kJ/kgmole-C)   25.46             25.46             ---                                                    </t>
  </si>
  <si>
    <t xml:space="preserve">Mass Cv (Ent. Method) (kJ/kg-C)  2.027             2.027             ---                                                    </t>
  </si>
  <si>
    <t xml:space="preserve">Cp/Cv (Ent. Method)              1.340             1.340             ---                                                    </t>
  </si>
  <si>
    <t>NG to ZnO Bed (Material Stream): Conditions, Properties, Composition, K Value</t>
  </si>
  <si>
    <t xml:space="preserve">Material Stream: NG to ZnO Bed                                                       Fluid Package: Basis-1                 </t>
  </si>
  <si>
    <t xml:space="preserve">Molar Flow (kgmole/h)            12.77             12.77             0.0000                                                 </t>
  </si>
  <si>
    <t xml:space="preserve">Mass Flow (kg/h)                 220.4             220.4             0.0000                                                 </t>
  </si>
  <si>
    <t xml:space="preserve">Std Ideal Liq Vol Flow (m3/h)    0.6970            0.6970            0.0000                                                 </t>
  </si>
  <si>
    <t xml:space="preserve">Heat Flow (kJ/h)                 -7.647e+005       -7.647e+005       0.0000                                                 </t>
  </si>
  <si>
    <t xml:space="preserve">Act. Volume Flow (m3/h)          32.61             32.61             0.0000                                                 </t>
  </si>
  <si>
    <t xml:space="preserve">Phase Fraction [Mass Basis]      2.122e-314        1.000             0.0000                                                 </t>
  </si>
  <si>
    <t xml:space="preserve">Partial Pressure of CO2 (kPa)    21.99             ---               ---                                                    </t>
  </si>
  <si>
    <t xml:space="preserve">Act. Gas Flow (ACT_m3/h)         32.61             32.61             ---                                                    </t>
  </si>
  <si>
    <t xml:space="preserve">Avg. Liq. Density (kgmole/m3)    18.32             18.32             18.32                                                  </t>
  </si>
  <si>
    <t xml:space="preserve">Std. Gas Flow (STD_m3/h)         302.0             302.0             0.0000                                                 </t>
  </si>
  <si>
    <t xml:space="preserve">Act. Liq. Flow (m3/s)            ---               ---               ---                                                    </t>
  </si>
  <si>
    <t xml:space="preserve">Kinematic Viscosity (cSt)        3.173             3.173             0.5101                                                 </t>
  </si>
  <si>
    <t xml:space="preserve">Surface Tension (dyne/cm)        ---               ---               0.0000                                                 </t>
  </si>
  <si>
    <t xml:space="preserve">Thermal Conductivity (W/m-K)     9.695e-002        9.695e-002        6.963e-002                                             </t>
  </si>
  <si>
    <t xml:space="preserve">Viscosity (cP)                   2.145e-002        2.145e-002        3.448e-003                                             </t>
  </si>
  <si>
    <t xml:space="preserve">Cv (Ent. Method) (kJ/kgmole-C)   49.98             49.98             49.99                                                  </t>
  </si>
  <si>
    <t xml:space="preserve">Mass Cv (Ent. Method) (kJ/kg-C)  2.896             2.896             2.897                                                  </t>
  </si>
  <si>
    <t xml:space="preserve">Cp/Cv (Ent. Method)              1.172             1.172             1.172                                                  </t>
  </si>
  <si>
    <t xml:space="preserve">Partial Pressure of H2S (kPa)    2.198e-002        ---               ---                                                    </t>
  </si>
  <si>
    <t xml:space="preserve">Methane               11.8875          0.9307           190.7094         0.8652           0.6370           0.9138           </t>
  </si>
  <si>
    <t xml:space="preserve">Ethane                0.4087           0.0320           12.2899          0.0558           0.0346           0.0496           </t>
  </si>
  <si>
    <t xml:space="preserve">Hydrogen              0.0031           0.0002           0.0063           0.0000           0.0001           0.0001           </t>
  </si>
  <si>
    <t xml:space="preserve">H2S                   0.0001           0.0000           0.0044           0.0000           0.0000           0.0000           </t>
  </si>
  <si>
    <t xml:space="preserve">Total                 12.7732          1.0000           220.4167         1.0000           0.6970           1.0000           </t>
  </si>
  <si>
    <t>Process Water Out (Material Stream): Conditions, Properties, Composition, K Value</t>
  </si>
  <si>
    <t xml:space="preserve">Material Stream: Process Water Out                                                   Fluid Package: Basis-1                 </t>
  </si>
  <si>
    <t xml:space="preserve">Molar Flow (kgmole/h)            16.20             0.0000            16.20                                                  </t>
  </si>
  <si>
    <t xml:space="preserve">Mass Flow (kg/h)                 292.1             0.0000            292.1                                                  </t>
  </si>
  <si>
    <t xml:space="preserve">Std Ideal Liq Vol Flow (m3/h)    0.2928            0.0000            0.2928                                                 </t>
  </si>
  <si>
    <t xml:space="preserve">Molar Enthalpy (kJ/kgmole)       -2.815e+005       -8.014e+004       -2.815e+005                                            </t>
  </si>
  <si>
    <t xml:space="preserve">Molar Entropy (kJ/kgmole-C)      65.84             122.3             65.84                                                  </t>
  </si>
  <si>
    <t xml:space="preserve">Heat Flow (kJ/h)                 -4.560e+006       0.0000            -4.560e+006                                            </t>
  </si>
  <si>
    <t xml:space="preserve">Liq Vol Flow @Std Cond (m3/h)    0.2877            0.0000            0.2877                                                 </t>
  </si>
  <si>
    <t xml:space="preserve">Molecular Weight                 18.03             10.98             18.03                                                  </t>
  </si>
  <si>
    <t xml:space="preserve">Molar Density (kgmole/m3)        53.75             0.7132            53.75                                                  </t>
  </si>
  <si>
    <t xml:space="preserve">Mass Density (kg/m3)             969.4             7.832             969.4                                                  </t>
  </si>
  <si>
    <t xml:space="preserve">Act. Volume Flow (m3/h)          0.3013            0.0000            0.3013                                                 </t>
  </si>
  <si>
    <t xml:space="preserve">Mass Enthalpy (kJ/kg)            -1.561e+004       -7298             -1.561e+004                                            </t>
  </si>
  <si>
    <t xml:space="preserve">Mass Entropy (kJ/kg-C)           3.651             11.14             3.651                                                  </t>
  </si>
  <si>
    <t xml:space="preserve">Heat Capacity (kJ/kgmole-C)      78.28             31.59             78.28                                                  </t>
  </si>
  <si>
    <t xml:space="preserve">Mass Heat Capacity (kJ/kg-C)     4.341             2.876             4.341                                                  </t>
  </si>
  <si>
    <t xml:space="preserve">Lower Heating Value (kJ/kgmole)  14.85             2.153e+005        14.85                                                  </t>
  </si>
  <si>
    <t xml:space="preserve">Mass Lower Heating Value (kJ/kg) 0.8235            1.961e+004        0.8235                                                 </t>
  </si>
  <si>
    <t xml:space="preserve">Avg. Liq. Density (kgmole/m3)    55.31             29.19             55.31                                                  </t>
  </si>
  <si>
    <t xml:space="preserve">Specific Heat (kJ/kgmole-C)      78.28             31.59             78.28                                                  </t>
  </si>
  <si>
    <t xml:space="preserve">Std. Gas Flow (STD_m3/h)         382.9             0.0000            382.9                                                  </t>
  </si>
  <si>
    <t xml:space="preserve">Std. Ideal Liq. Mass Density (kg/m3) 997.5             320.6             997.5                                                 </t>
  </si>
  <si>
    <t xml:space="preserve">Watson K                         8.659             14.84             8.659                                                  </t>
  </si>
  <si>
    <t xml:space="preserve">Cp/(Cp - R)                      1.119             1.357             1.119                                                  </t>
  </si>
  <si>
    <t xml:space="preserve">Cp/Cv                            1.168             1.379             1.168                                                  </t>
  </si>
  <si>
    <t xml:space="preserve">Heat of Vap. (kJ/kgmole)         3.631e+004        ---               ---                                                    </t>
  </si>
  <si>
    <t xml:space="preserve">Kinematic Viscosity (cSt)        0.3861            1.584             0.3861                                                 </t>
  </si>
  <si>
    <t xml:space="preserve">Liq. Vol. Flow (Std. Cond) (m3/h) 0.2877            0.0000            0.2877                                                </t>
  </si>
  <si>
    <t xml:space="preserve">Molar Volume (m3/kgmole)         1.860e-002        1.402             1.860e-002                                             </t>
  </si>
  <si>
    <t xml:space="preserve">Mass Heat of Vap. (kJ/kg)        2014              ---               ---                                                    </t>
  </si>
  <si>
    <t xml:space="preserve">Thermal Conductivity (W/m-K)     0.6662            0.1159            0.6662                                                 </t>
  </si>
  <si>
    <t xml:space="preserve">Viscosity (cP)                   0.3743            1.241e-002        0.3743                                                 </t>
  </si>
  <si>
    <t xml:space="preserve">Cv (Semi-Ideal) (kJ/kgmole-C)    69.97             23.27             69.97                                                  </t>
  </si>
  <si>
    <t xml:space="preserve">Mass Cv (Semi-Ideal) (kJ/kg-C)   3.880             2.119             3.880                                                  </t>
  </si>
  <si>
    <t xml:space="preserve">Cv (kJ/kgmole-C)                 67.00             22.90             67.00                                                  </t>
  </si>
  <si>
    <t xml:space="preserve">Mass Cv (kJ/kg-C)                3.715             2.085             3.715                                                  </t>
  </si>
  <si>
    <t xml:space="preserve">Cv (Ent. Method) (kJ/kgmole-C)   ---               22.90             ---                                                    </t>
  </si>
  <si>
    <t xml:space="preserve">Mass Cv (Ent. Method) (kJ/kg-C)  ---               2.085             ---                                                    </t>
  </si>
  <si>
    <t xml:space="preserve">Cp/Cv (Ent. Method)              ---               1.379             ---                                                    </t>
  </si>
  <si>
    <t xml:space="preserve">True VP at 37.8 C (kPa)          4750              ---               4750                                                   </t>
  </si>
  <si>
    <t xml:space="preserve">Methane               0.0000           0.0420           0.0000           0.0614           0.0000           0.0657           </t>
  </si>
  <si>
    <t xml:space="preserve">Hydrogen              0.0000           0.7413           0.0000           0.1361           0.0000           0.6245           </t>
  </si>
  <si>
    <t xml:space="preserve">H2O                   0.0000           0.0207           0.0000           0.0339           0.0000           0.0109           </t>
  </si>
  <si>
    <t xml:space="preserve">CO                    0.0000           0.0081           0.0000           0.0206           0.0000           0.0082           </t>
  </si>
  <si>
    <t xml:space="preserve">CO2                   0.0000           0.1844           0.0000           0.7388           0.0000           0.2870           </t>
  </si>
  <si>
    <t xml:space="preserve">Nitrogen              0.0000           0.0036           0.0000           0.0093           0.0000           0.0037           </t>
  </si>
  <si>
    <t>Product Hydrogen (Material Stream): Conditions, Properties, Composition, K Value</t>
  </si>
  <si>
    <t xml:space="preserve">Material Stream: Product Hydrogen                                                    Fluid Package: Basis-1                 </t>
  </si>
  <si>
    <t xml:space="preserve">Temperature: (C)                 75.00             75.00                                                                    </t>
  </si>
  <si>
    <t xml:space="preserve">Pressure: (kPa)                  2061              2061                                                                     </t>
  </si>
  <si>
    <t xml:space="preserve">Molar Flow (kgmole/h)            31.31             31.31                                                                    </t>
  </si>
  <si>
    <t xml:space="preserve">Mass Flow (kg/h)                 63.12             63.12                                                                    </t>
  </si>
  <si>
    <t xml:space="preserve">Std Ideal Liq Vol Flow (m3/h)    0.9036            0.9036                                                                   </t>
  </si>
  <si>
    <t xml:space="preserve">Molar Enthalpy (kJ/kgmole)       1429              1429                                                                     </t>
  </si>
  <si>
    <t xml:space="preserve">Molar Entropy (kJ/kgmole-C)      102.3             102.3                                                                    </t>
  </si>
  <si>
    <t xml:space="preserve">Heat Flow (kJ/h)                 4.474e+004        4.474e+004                                                               </t>
  </si>
  <si>
    <t xml:space="preserve">Molar Density (kgmole/m3)        0.7070            0.7070                                                                   </t>
  </si>
  <si>
    <t xml:space="preserve">Mass Density (kg/m3)             1.425             1.425                                                                    </t>
  </si>
  <si>
    <t xml:space="preserve">Act. Volume Flow (m3/h)          44.29             44.29                                                                    </t>
  </si>
  <si>
    <t xml:space="preserve">Mass Enthalpy (kJ/kg)            708.7             708.7                                                                    </t>
  </si>
  <si>
    <t xml:space="preserve">Mass Entropy (kJ/kg-C)           50.76             50.76                                                                    </t>
  </si>
  <si>
    <t xml:space="preserve">Act. Gas Flow (ACT_m3/h)         44.29             44.29                                                                    </t>
  </si>
  <si>
    <t xml:space="preserve">Std. Gas Flow (STD_m3/h)         740.3             740.3                                                                    </t>
  </si>
  <si>
    <t xml:space="preserve">Z Factor                         1.007             1.007                                                                    </t>
  </si>
  <si>
    <t xml:space="preserve">Cp/Cv                            1.415             1.415                                                                    </t>
  </si>
  <si>
    <t xml:space="preserve">Kinematic Viscosity (cSt)        6.854             7.101                                                                    </t>
  </si>
  <si>
    <t xml:space="preserve">Molar Volume (m3/kgmole)         1.415             1.415                                                                    </t>
  </si>
  <si>
    <t xml:space="preserve">Thermal Conductivity (W/m-K)     0.1982            0.1984                                                                   </t>
  </si>
  <si>
    <t xml:space="preserve">Viscosity (cP)                   9.769e-003        1.012e-002                                                               </t>
  </si>
  <si>
    <t xml:space="preserve">Cv (Semi-Ideal) (kJ/kgmole-C)    20.33             20.33                                                                    </t>
  </si>
  <si>
    <t xml:space="preserve">Cv (kJ/kgmole-C)                 20.25             20.25                                                                    </t>
  </si>
  <si>
    <t xml:space="preserve">Cv (Ent. Method) (kJ/kgmole-C)   20.24             20.24                                                                    </t>
  </si>
  <si>
    <t xml:space="preserve">Mass Cv (Ent. Method) (kJ/kg-C)  10.04             10.04                                                                    </t>
  </si>
  <si>
    <t xml:space="preserve">Cp/Cv (Ent. Method)              1.415             1.415                                                                    </t>
  </si>
  <si>
    <t xml:space="preserve">Hydrogen              31.3104          1.0000           63.1217          1.0000           0.9036           1.0000           </t>
  </si>
  <si>
    <t xml:space="preserve">Total                 31.3104          1.0000           63.1217          1.0000           0.9036           1.0000           </t>
  </si>
  <si>
    <t>Purified NG (Material Stream): Conditions, Properties, Composition, K Value</t>
  </si>
  <si>
    <t xml:space="preserve">Material Stream: Purified NG                                                         Fluid Package: Basis-1                 </t>
  </si>
  <si>
    <t xml:space="preserve">Vapour / Phase Fraction          1.0000            1.0000            0.0000            0.0000            0.0000             </t>
  </si>
  <si>
    <t xml:space="preserve">Molar Flow (kgmole/h)            12.77             12.77             0.0000            0.0000            0.0000             </t>
  </si>
  <si>
    <t xml:space="preserve">Mass Flow (kg/h)                 220.4             220.4             0.0000            0.0000            0.0000             </t>
  </si>
  <si>
    <t xml:space="preserve">Std Ideal Liq Vol Flow (m3/h)    0.6970            0.6970            0.0000            0.0000            0.0000             </t>
  </si>
  <si>
    <t xml:space="preserve">Molar Enthalpy (kJ/kgmole)       -5.987e+004       -5.987e+004       1.742e+004        -5.987e+004       -5.984e+004        </t>
  </si>
  <si>
    <t xml:space="preserve">Heat Flow (kJ/h)                 -7.647e+005       -7.647e+005       0.0000            0.0000            0.0000             </t>
  </si>
  <si>
    <t xml:space="preserve">Liq Vol Flow @Std Cond (m3/h)    ---               ---               0.0000            0.0000            0.0000             </t>
  </si>
  <si>
    <t xml:space="preserve">Molecular Weight                 17.26             17.26             32.07             17.26             17.25              </t>
  </si>
  <si>
    <t xml:space="preserve">Mass Density (kg/m3)             6.729             6.729             1910              6.729             6.728              </t>
  </si>
  <si>
    <t xml:space="preserve">Act. Volume Flow (m3/h)          32.75             32.75             0.0000            0.0000            0.0000             </t>
  </si>
  <si>
    <t xml:space="preserve">Mass Enthalpy (kJ/kg)            -3470             -3470             543.2             -3470             -3469              </t>
  </si>
  <si>
    <t xml:space="preserve">Mass Heat Capacity (kJ/kg-C)     3.394             3.394             2.331             3.394             3.395              </t>
  </si>
  <si>
    <t xml:space="preserve">Mass Lower Heating Value (kJ/kg) 4.713e+004        4.713e+004        ---               4.713e+004        4.714e+004         </t>
  </si>
  <si>
    <t xml:space="preserve">Phase Fraction [Vol. Basis]      ---               1.000             ---               ---               ---                </t>
  </si>
  <si>
    <t xml:space="preserve">Phase Fraction [Mass Basis]      2.122e-314        1.000             0.0000            0.0000            0.0000             </t>
  </si>
  <si>
    <t xml:space="preserve">Partial Pressure of CO2 (kPa)    21.89             ---               ---               ---               ---                </t>
  </si>
  <si>
    <t xml:space="preserve">Act. Gas Flow (ACT_m3/h)         32.75             32.75             ---               ---               ---                </t>
  </si>
  <si>
    <t xml:space="preserve">Avg. Liq. Density (kgmole/m3)    18.33             18.33             59.56             18.33             18.33              </t>
  </si>
  <si>
    <t xml:space="preserve">Std. Gas Flow (STD_m3/h)         302.0             302.0             0.0000            0.0000            0.0000             </t>
  </si>
  <si>
    <t xml:space="preserve">Act. Liq. Flow (m3/s)            0.0000            ---               ---               ---               0.0000             </t>
  </si>
  <si>
    <t xml:space="preserve">Heat of Vap. (kJ/kgmole)         9569              ---               ---               ---               ---                </t>
  </si>
  <si>
    <t xml:space="preserve">Kinematic Viscosity (cSt)        3.187             3.187             ---               0.5109            0.5110             </t>
  </si>
  <si>
    <t xml:space="preserve">Liq. Vol. Flow (Std. Cond) (m3/h) ---               ---               0.0000            0.0000            0.0000            </t>
  </si>
  <si>
    <t xml:space="preserve">Liquid Fraction                  0.0000            0.0000            0.0000            1.000             1.000              </t>
  </si>
  <si>
    <t xml:space="preserve">Mass Heat of Vap. (kJ/kg)        554.5             ---               ---               ---               ---                </t>
  </si>
  <si>
    <t xml:space="preserve">Phase Fraction [Molar Basis]     1.0000            1.0000            0.0000            0.0000            0.0000             </t>
  </si>
  <si>
    <t xml:space="preserve">Thermal Conductivity (W/m-K)     9.695e-002        9.695e-002        ---               6.963e-002        6.963e-002         </t>
  </si>
  <si>
    <t xml:space="preserve">Viscosity (cP)                   2.145e-002        2.145e-002        ---               3.438e-003        3.438e-003         </t>
  </si>
  <si>
    <t xml:space="preserve">Mass Cv (Semi-Ideal) (kJ/kg-C)   2.912             2.912             2.072             2.912             ---                </t>
  </si>
  <si>
    <t xml:space="preserve">Mass Cv (kJ/kg-C)                2.912             2.897             2.072             2.897             ---                </t>
  </si>
  <si>
    <t xml:space="preserve">Cv (Ent. Method) (kJ/kgmole-C)   49.98             49.98             ---               49.99             -251.6             </t>
  </si>
  <si>
    <t xml:space="preserve">Mass Cv (Ent. Method) (kJ/kg-C)  2.896             2.896             ---               2.897             -14.58             </t>
  </si>
  <si>
    <t xml:space="preserve">Cp/Cv (Ent. Method)              1.172             1.172             ---               1.172             -0.2328            </t>
  </si>
  <si>
    <t xml:space="preserve">Hydrogen              0.0033           0.0003           0.0066           0.0000           0.0001           0.0001           </t>
  </si>
  <si>
    <t xml:space="preserve">Total                 12.7732          1.0000           220.4127         1.0000           0.6970           1.0000           </t>
  </si>
  <si>
    <t xml:space="preserve">Methane                                 ---                         1.000                       ---                         </t>
  </si>
  <si>
    <t xml:space="preserve">Ethane                                  ---                         1.000                       ---                         </t>
  </si>
  <si>
    <t xml:space="preserve">Propane                                 ---                         1.000                       ---                         </t>
  </si>
  <si>
    <t xml:space="preserve">Oxygen                                  ---                         1.000                       ---                         </t>
  </si>
  <si>
    <t xml:space="preserve">Hydrogen                                ---                         1.000                       ---                         </t>
  </si>
  <si>
    <t xml:space="preserve">H2O                                     ---                         1.000                       ---                         </t>
  </si>
  <si>
    <t xml:space="preserve">CO2                                     ---                         1.000                       ---                         </t>
  </si>
  <si>
    <t xml:space="preserve">Nitrogen                                ---                         1.000                       ---                         </t>
  </si>
  <si>
    <t xml:space="preserve">S_Amorphous                             0.0000                      ---                         0.0000                      </t>
  </si>
  <si>
    <t>Reformate (Material Stream): Conditions, Properties, Composition, K Value</t>
  </si>
  <si>
    <t xml:space="preserve">Material Stream: Reformate                                                           Fluid Package: Basis-1                 </t>
  </si>
  <si>
    <t xml:space="preserve">Molar Flow (kgmole/h)            72.51             72.51             0.0000            0.0000                               </t>
  </si>
  <si>
    <t xml:space="preserve">Mass Flow (kg/h)                 910.6             910.6             0.0000            0.0000                               </t>
  </si>
  <si>
    <t xml:space="preserve">Std Ideal Liq Vol Flow (m3/h)    2.039             2.039             0.0000            0.0000                               </t>
  </si>
  <si>
    <t xml:space="preserve">Heat Flow (kJ/h)                 -6.177e+006       -6.177e+006       0.0000            0.0000                               </t>
  </si>
  <si>
    <t xml:space="preserve">Act. Volume Flow (m3/h)          327.6             327.6             0.0000            0.0000                               </t>
  </si>
  <si>
    <t xml:space="preserve">Partial Pressure of CO2 (kPa)    117.0             ---               ---               ---                                  </t>
  </si>
  <si>
    <t xml:space="preserve">Act. Gas Flow (ACT_m3/h)         327.6             327.6             ---               ---                                  </t>
  </si>
  <si>
    <t xml:space="preserve">Avg. Liq. Density (kgmole/m3)    35.57             35.57             35.57             35.57                                </t>
  </si>
  <si>
    <t xml:space="preserve">Std. Gas Flow (STD_m3/h)         1715              1715              0.0000            0.0000                               </t>
  </si>
  <si>
    <t xml:space="preserve">Kinematic Viscosity (cSt)        10.29             11.08             0.8673            0.8673                               </t>
  </si>
  <si>
    <t xml:space="preserve">Thermal Conductivity (W/m-K)     0.2029            0.2029            7.849e-002        7.849e-002                           </t>
  </si>
  <si>
    <t xml:space="preserve">Viscosity (cP)                   2.862e-002        3.081e-002        2.411e-003        2.411e-003                           </t>
  </si>
  <si>
    <t xml:space="preserve">Cv (Ent. Method) (kJ/kgmole-C)   29.57             29.57             -9355             -5.093                               </t>
  </si>
  <si>
    <t xml:space="preserve">Mass Cv (Ent. Method) (kJ/kg-C)  2.355             2.355             -745.0            -0.4056                              </t>
  </si>
  <si>
    <t xml:space="preserve">Cp/Cv (Ent. Method)              1.284             1.284             -4.057e-003       -7.452                               </t>
  </si>
  <si>
    <t xml:space="preserve">Partial Pressure of H2S (kPa)    1.460e-045        ---               ---               ---                                  </t>
  </si>
  <si>
    <t xml:space="preserve">Methane               2.3657           0.0326           37.9533          0.0417           0.1268           0.0622           </t>
  </si>
  <si>
    <t xml:space="preserve">Hydrogen              35.4450          0.4888           71.4571          0.0785           1.0229           0.5017           </t>
  </si>
  <si>
    <t xml:space="preserve">H2O                   23.6497          0.3261           426.0520         0.4679           0.4269           0.2094           </t>
  </si>
  <si>
    <t xml:space="preserve">CO                    6.7571           0.0932           189.2737         0.2079           0.2368           0.1161           </t>
  </si>
  <si>
    <t xml:space="preserve">CO2                   4.0927           0.0564           180.1180         0.1978           0.2182           0.1070           </t>
  </si>
  <si>
    <t xml:space="preserve">Nitrogen              0.2043           0.0028           5.7236           0.0063           0.0071           0.0035           </t>
  </si>
  <si>
    <t xml:space="preserve">Total                 72.5147          1.0000           910.5795         1.0000           2.0387           1.0000           </t>
  </si>
  <si>
    <t>Reformate #2 (Material Stream): Conditions, Properties, Composition, K Value</t>
  </si>
  <si>
    <t xml:space="preserve">Material Stream: Reformate #2                                                        Fluid Package: Basis-1                 </t>
  </si>
  <si>
    <t xml:space="preserve">Temperature: (C)                 826.6             826.6                                                                    </t>
  </si>
  <si>
    <t xml:space="preserve">Pressure: (kPa)                  2072              2072                                                                     </t>
  </si>
  <si>
    <t xml:space="preserve">Molar Flow (kgmole/h)            72.51             72.51                                                                    </t>
  </si>
  <si>
    <t xml:space="preserve">Mass Flow (kg/h)                 910.6             910.6                                                                    </t>
  </si>
  <si>
    <t xml:space="preserve">Std Ideal Liq Vol Flow (m3/h)    2.039             2.039                                                                    </t>
  </si>
  <si>
    <t xml:space="preserve">Molar Enthalpy (kJ/kgmole)       -8.607e+004       -8.607e+004                                                              </t>
  </si>
  <si>
    <t xml:space="preserve">Molar Entropy (kJ/kgmole-C)      176.7             176.7                                                                    </t>
  </si>
  <si>
    <t xml:space="preserve">Heat Flow (kJ/h)                 -6.241e+006       -6.241e+006                                                              </t>
  </si>
  <si>
    <t xml:space="preserve">Molecular Weight                 12.56             12.56                                                                    </t>
  </si>
  <si>
    <t xml:space="preserve">Molar Density (kgmole/m3)        0.2260            0.2260                                                                   </t>
  </si>
  <si>
    <t xml:space="preserve">Mass Density (kg/m3)             2.838             2.838                                                                    </t>
  </si>
  <si>
    <t xml:space="preserve">Act. Volume Flow (m3/h)          320.9             320.9                                                                    </t>
  </si>
  <si>
    <t xml:space="preserve">Mass Enthalpy (kJ/kg)            -6854             -6854                                                                    </t>
  </si>
  <si>
    <t xml:space="preserve">Mass Entropy (kJ/kg-C)           14.07             14.07                                                                    </t>
  </si>
  <si>
    <t xml:space="preserve">Heat Capacity (kJ/kgmole-C)      37.79             37.79                                                                    </t>
  </si>
  <si>
    <t xml:space="preserve">Mass Heat Capacity (kJ/kg-C)     3.009             3.009                                                                    </t>
  </si>
  <si>
    <t xml:space="preserve">Lower Heating Value (kJ/kgmole)  1.708e+005        1.708e+005                                                               </t>
  </si>
  <si>
    <t xml:space="preserve">Mass Lower Heating Value (kJ/kg) 1.360e+004        1.360e+004                                                               </t>
  </si>
  <si>
    <t xml:space="preserve">Partial Pressure of CO2 (kPa)    116.9             ---                                                                      </t>
  </si>
  <si>
    <t xml:space="preserve">Act. Gas Flow (ACT_m3/h)         320.9             320.9                                                                    </t>
  </si>
  <si>
    <t xml:space="preserve">Avg. Liq. Density (kgmole/m3)    35.57             35.57                                                                    </t>
  </si>
  <si>
    <t xml:space="preserve">Specific Heat (kJ/kgmole-C)      37.79             37.79                                                                    </t>
  </si>
  <si>
    <t xml:space="preserve">Std. Gas Flow (STD_m3/h)         1715              1715                                                                     </t>
  </si>
  <si>
    <t xml:space="preserve">Std. Ideal Liq. Mass Density (kg/m3) 446.7             446.7                                                                   </t>
  </si>
  <si>
    <t xml:space="preserve">Watson K                         14.54             14.54                                                                    </t>
  </si>
  <si>
    <t xml:space="preserve">Cp/(Cp - R)                      1.282             1.282                                                                    </t>
  </si>
  <si>
    <t xml:space="preserve">Cp/Cv                            1.285             1.285                                                                    </t>
  </si>
  <si>
    <t xml:space="preserve">Heat of Vap. (kJ/kgmole)         3.537e+004        ---                                                                      </t>
  </si>
  <si>
    <t xml:space="preserve">Kinematic Viscosity (cSt)        9.899             10.66                                                                    </t>
  </si>
  <si>
    <t xml:space="preserve">Molar Volume (m3/kgmole)         4.425             4.425                                                                    </t>
  </si>
  <si>
    <t xml:space="preserve">Mass Heat of Vap. (kJ/kg)        2816              ---                                                                      </t>
  </si>
  <si>
    <t xml:space="preserve">Thermal Conductivity (W/m-K)     0.1996            0.1996                                                                   </t>
  </si>
  <si>
    <t xml:space="preserve">Viscosity (cP)                   2.809e-002        3.026e-002                                                               </t>
  </si>
  <si>
    <t xml:space="preserve">Cv (Semi-Ideal) (kJ/kgmole-C)    29.48             29.48                                                                    </t>
  </si>
  <si>
    <t xml:space="preserve">Mass Cv (Semi-Ideal) (kJ/kg-C)   2.347             2.347                                                                    </t>
  </si>
  <si>
    <t xml:space="preserve">Cv (kJ/kgmole-C)                 29.41             29.41                                                                    </t>
  </si>
  <si>
    <t xml:space="preserve">Mass Cv (kJ/kg-C)                2.342             2.342                                                                    </t>
  </si>
  <si>
    <t xml:space="preserve">Cv (Ent. Method) (kJ/kgmole-C)   29.40             29.40                                                                    </t>
  </si>
  <si>
    <t xml:space="preserve">Mass Cv (Ent. Method) (kJ/kg-C)  2.341             2.341                                                                    </t>
  </si>
  <si>
    <t xml:space="preserve">Cp/Cv (Ent. Method)              1.285             1.285                                                                    </t>
  </si>
  <si>
    <t xml:space="preserve">Partial Pressure of H2S (kPa)    1.460e-045        ---                                                                      </t>
  </si>
  <si>
    <t>Reformate #3 (Material Stream): Conditions, Properties, Composition, K Value</t>
  </si>
  <si>
    <t xml:space="preserve">Material Stream: Reformate #3                                                        Fluid Package: Basis-1                 </t>
  </si>
  <si>
    <t xml:space="preserve">Temperature: (C)                 799.1             799.1                                                                    </t>
  </si>
  <si>
    <t xml:space="preserve">Pressure: (kPa)                  2068              2068                                                                     </t>
  </si>
  <si>
    <t xml:space="preserve">Molar Enthalpy (kJ/kgmole)       -8.711e+004       -8.711e+004                                                              </t>
  </si>
  <si>
    <t xml:space="preserve">Molar Entropy (kJ/kgmole-C)      175.7             175.7                                                                    </t>
  </si>
  <si>
    <t xml:space="preserve">Heat Flow (kJ/h)                 -6.317e+006       -6.317e+006                                                              </t>
  </si>
  <si>
    <t xml:space="preserve">Molar Density (kgmole/m3)        0.2314            0.2314                                                                   </t>
  </si>
  <si>
    <t xml:space="preserve">Mass Density (kg/m3)             2.905             2.905                                                                    </t>
  </si>
  <si>
    <t xml:space="preserve">Act. Volume Flow (m3/h)          313.4             313.4                                                                    </t>
  </si>
  <si>
    <t xml:space="preserve">Mass Enthalpy (kJ/kg)            -6937             -6937                                                                    </t>
  </si>
  <si>
    <t xml:space="preserve">Mass Entropy (kJ/kg-C)           13.99             13.99                                                                    </t>
  </si>
  <si>
    <t xml:space="preserve">Heat Capacity (kJ/kgmole-C)      37.60             37.60                                                                    </t>
  </si>
  <si>
    <t xml:space="preserve">Mass Heat Capacity (kJ/kg-C)     2.994             2.994                                                                    </t>
  </si>
  <si>
    <t xml:space="preserve">Partial Pressure of CO2 (kPa)    116.7             ---                                                                      </t>
  </si>
  <si>
    <t xml:space="preserve">Act. Gas Flow (ACT_m3/h)         313.4             313.4                                                                    </t>
  </si>
  <si>
    <t xml:space="preserve">Specific Heat (kJ/kgmole-C)      37.60             37.60                                                                    </t>
  </si>
  <si>
    <t xml:space="preserve">Cp/(Cp - R)                      1.284             1.284                                                                    </t>
  </si>
  <si>
    <t xml:space="preserve">Cp/Cv                            1.287             1.287                                                                    </t>
  </si>
  <si>
    <t xml:space="preserve">Heat of Vap. (kJ/kgmole)         3.536e+004        ---                                                                      </t>
  </si>
  <si>
    <t xml:space="preserve">Kinematic Viscosity (cSt)        9.458             10.19                                                                    </t>
  </si>
  <si>
    <t xml:space="preserve">Molar Volume (m3/kgmole)         4.322             4.322                                                                    </t>
  </si>
  <si>
    <t xml:space="preserve">Thermal Conductivity (W/m-K)     0.1957            0.1957                                                                   </t>
  </si>
  <si>
    <t xml:space="preserve">Viscosity (cP)                   2.748e-002        2.961e-002                                                               </t>
  </si>
  <si>
    <t xml:space="preserve">Cv (Semi-Ideal) (kJ/kgmole-C)    29.28             29.28                                                                    </t>
  </si>
  <si>
    <t xml:space="preserve">Mass Cv (Semi-Ideal) (kJ/kg-C)   2.332             2.332                                                                    </t>
  </si>
  <si>
    <t xml:space="preserve">Cv (kJ/kgmole-C)                 29.21             29.21                                                                    </t>
  </si>
  <si>
    <t xml:space="preserve">Mass Cv (kJ/kg-C)                2.326             2.326                                                                    </t>
  </si>
  <si>
    <t xml:space="preserve">Cv (Ent. Method) (kJ/kgmole-C)   30.26             30.26                                                                    </t>
  </si>
  <si>
    <t xml:space="preserve">Mass Cv (Ent. Method) (kJ/kg-C)  2.410             2.410                                                                    </t>
  </si>
  <si>
    <t xml:space="preserve">Cp/Cv (Ent. Method)              1.242             1.242                                                                    </t>
  </si>
  <si>
    <t xml:space="preserve">Partial Pressure of H2S (kPa)    1.457e-045        ---                                                                      </t>
  </si>
  <si>
    <t>Reformate cooling air (Material Stream): Conditions, Properties, Composition, K Value</t>
  </si>
  <si>
    <t xml:space="preserve">Material Stream: Reformate cooling air                                               Fluid Package: Basis-1                 </t>
  </si>
  <si>
    <t xml:space="preserve">Heat Flow (kJ/h)                 -3494             -3494                                                                    </t>
  </si>
  <si>
    <t xml:space="preserve">Act. Volume Flow (m3/h)          1.051e+004        1.051e+004                                                               </t>
  </si>
  <si>
    <t xml:space="preserve">Act. Gas Flow (ACT_m3/h)         1.051e+004        1.051e+004                                                               </t>
  </si>
  <si>
    <t>Reformate to HTS (Material Stream): Conditions, Properties, Composition, K Value</t>
  </si>
  <si>
    <t xml:space="preserve">Material Stream: Reformate to HTS                                                    Fluid Package: Basis-1                 </t>
  </si>
  <si>
    <t xml:space="preserve">Temperature: (C)                 450.0             450.0                                                                    </t>
  </si>
  <si>
    <t xml:space="preserve">Pressure: (kPa)                  2066              2066                                                                     </t>
  </si>
  <si>
    <t xml:space="preserve">Molar Enthalpy (kJ/kgmole)       -9.977e+004       -9.977e+004                                                              </t>
  </si>
  <si>
    <t xml:space="preserve">Molar Entropy (kJ/kgmole-C)      161.5             161.5                                                                    </t>
  </si>
  <si>
    <t xml:space="preserve">Heat Flow (kJ/h)                 -7.235e+006       -7.235e+006                                                              </t>
  </si>
  <si>
    <t xml:space="preserve">Molar Density (kgmole/m3)        0.3435            0.3435                                                                   </t>
  </si>
  <si>
    <t xml:space="preserve">Mass Density (kg/m3)             4.314             4.314                                                                    </t>
  </si>
  <si>
    <t xml:space="preserve">Act. Volume Flow (m3/h)          211.1             211.1                                                                    </t>
  </si>
  <si>
    <t xml:space="preserve">Mass Enthalpy (kJ/kg)            -7945             -7945                                                                    </t>
  </si>
  <si>
    <t xml:space="preserve">Mass Entropy (kJ/kg-C)           12.86             12.86                                                                    </t>
  </si>
  <si>
    <t xml:space="preserve">Heat Capacity (kJ/kgmole-C)      34.88             34.88                                                                    </t>
  </si>
  <si>
    <t xml:space="preserve">Mass Heat Capacity (kJ/kg-C)     2.777             2.777                                                                    </t>
  </si>
  <si>
    <t xml:space="preserve">Partial Pressure of CO2 (kPa)    116.6             ---                                                                      </t>
  </si>
  <si>
    <t xml:space="preserve">Act. Gas Flow (ACT_m3/h)         211.1             211.1                                                                    </t>
  </si>
  <si>
    <t xml:space="preserve">Specific Heat (kJ/kgmole-C)      34.88             34.88                                                                    </t>
  </si>
  <si>
    <t xml:space="preserve">Cp/Cv                            1.324             1.324                                                                    </t>
  </si>
  <si>
    <t xml:space="preserve">Kinematic Viscosity (cSt)        4.625             5.044                                                                    </t>
  </si>
  <si>
    <t xml:space="preserve">Molar Volume (m3/kgmole)         2.911             2.911                                                                    </t>
  </si>
  <si>
    <t xml:space="preserve">Thermal Conductivity (W/m-K)     0.1429            0.1429                                                                   </t>
  </si>
  <si>
    <t xml:space="preserve">Viscosity (cP)                   1.995e-002        2.176e-002                                                               </t>
  </si>
  <si>
    <t xml:space="preserve">Cv (Semi-Ideal) (kJ/kgmole-C)    26.56             26.56                                                                    </t>
  </si>
  <si>
    <t xml:space="preserve">Mass Cv (Semi-Ideal) (kJ/kg-C)   2.115             2.115                                                                    </t>
  </si>
  <si>
    <t xml:space="preserve">Cv (kJ/kgmole-C)                 26.34             26.34                                                                    </t>
  </si>
  <si>
    <t xml:space="preserve">Mass Cv (kJ/kg-C)                2.097             2.097                                                                    </t>
  </si>
  <si>
    <t xml:space="preserve">Cv (Ent. Method) (kJ/kgmole-C)   26.34             26.34                                                                    </t>
  </si>
  <si>
    <t xml:space="preserve">Mass Cv (Ent. Method) (kJ/kg-C)  2.097             2.097                                                                    </t>
  </si>
  <si>
    <t xml:space="preserve">Cp/Cv (Ent. Method)              1.324             1.324                                                                    </t>
  </si>
  <si>
    <t xml:space="preserve">Partial Pressure of H2S (kPa)    1.455e-045        ---                                                                      </t>
  </si>
  <si>
    <t>Reformer feed (Material Stream): Conditions, Properties, Composition, K Value</t>
  </si>
  <si>
    <t xml:space="preserve">Material Stream: Reformer feed                                                       Fluid Package: Basis-1                 </t>
  </si>
  <si>
    <t xml:space="preserve">Temperature: (C)                 431.2             431.2                                                                    </t>
  </si>
  <si>
    <t xml:space="preserve">Pressure: (kPa)                  2173              2173                                                                     </t>
  </si>
  <si>
    <t xml:space="preserve">Molar Flow (kgmole/h)            51.08             51.08                                                                    </t>
  </si>
  <si>
    <t xml:space="preserve">Std Ideal Liq Vol Flow (m3/h)    1.389             1.389                                                                    </t>
  </si>
  <si>
    <t xml:space="preserve">Molar Enthalpy (kJ/kgmole)       -1.848e+005       -1.848e+005                                                              </t>
  </si>
  <si>
    <t xml:space="preserve">Molar Entropy (kJ/kgmole-C)      188.1             188.1                                                                    </t>
  </si>
  <si>
    <t xml:space="preserve">Heat Flow (kJ/h)                 -9.440e+006       -9.440e+006                                                              </t>
  </si>
  <si>
    <t xml:space="preserve">Liq Vol Flow @Std Cond (m3/h)    1.256             1.256                                                                    </t>
  </si>
  <si>
    <t xml:space="preserve">Molecular Weight                 17.83             17.83                                                                    </t>
  </si>
  <si>
    <t xml:space="preserve">Molar Density (kgmole/m3)        0.3768            0.3768                                                                   </t>
  </si>
  <si>
    <t xml:space="preserve">Mass Density (kg/m3)             6.716             6.716                                                                    </t>
  </si>
  <si>
    <t xml:space="preserve">Act. Volume Flow (m3/h)          135.6             135.6                                                                    </t>
  </si>
  <si>
    <t xml:space="preserve">Mass Enthalpy (kJ/kg)            -1.037e+004       -1.037e+004                                                              </t>
  </si>
  <si>
    <t xml:space="preserve">Mass Entropy (kJ/kg-C)           10.55             10.55                                                                    </t>
  </si>
  <si>
    <t xml:space="preserve">Heat Capacity (kJ/kgmole-C)      44.31             44.31                                                                    </t>
  </si>
  <si>
    <t xml:space="preserve">Mass Heat Capacity (kJ/kg-C)     2.486             2.486                                                                    </t>
  </si>
  <si>
    <t xml:space="preserve">Lower Heating Value (kJ/kgmole)  2.034e+005        2.034e+005                                                               </t>
  </si>
  <si>
    <t xml:space="preserve">Mass Lower Heating Value (kJ/kg) 1.141e+004        1.141e+004                                                               </t>
  </si>
  <si>
    <t xml:space="preserve">Partial Pressure of CO2 (kPa)    5.433             ---                                                                      </t>
  </si>
  <si>
    <t xml:space="preserve">Act. Gas Flow (ACT_m3/h)         135.6             135.6                                                                    </t>
  </si>
  <si>
    <t xml:space="preserve">Avg. Liq. Density (kgmole/m3)    36.79             36.79                                                                    </t>
  </si>
  <si>
    <t xml:space="preserve">Specific Heat (kJ/kgmole-C)      44.31             44.31                                                                    </t>
  </si>
  <si>
    <t xml:space="preserve">Std. Gas Flow (STD_m3/h)         1208              1208                                                                     </t>
  </si>
  <si>
    <t xml:space="preserve">Std. Ideal Liq. Mass Density (kg/m3) 655.8             655.8                                                                   </t>
  </si>
  <si>
    <t xml:space="preserve">Z Factor                         0.9849            0.9849                                                                   </t>
  </si>
  <si>
    <t xml:space="preserve">Cp/(Cp - R)                      1.231             1.231                                                                    </t>
  </si>
  <si>
    <t xml:space="preserve">Cp/Cv                            1.258             1.258                                                                    </t>
  </si>
  <si>
    <t xml:space="preserve">Heat of Vap. (kJ/kgmole)         4.953e+004        ---                                                                      </t>
  </si>
  <si>
    <t xml:space="preserve">Kinematic Viscosity (cSt)        3.145             3.145                                                                    </t>
  </si>
  <si>
    <t xml:space="preserve">Liq. Mass Density (Std. Cond) (kg/m3) 724.7             724.7                                                                   </t>
  </si>
  <si>
    <t xml:space="preserve">Liq. Vol. Flow (Std. Cond) (m3/h) 1.256             1.256                                                                   </t>
  </si>
  <si>
    <t xml:space="preserve">Molar Volume (m3/kgmole)         2.654             2.654                                                                    </t>
  </si>
  <si>
    <t xml:space="preserve">Mass Heat of Vap. (kJ/kg)        2779              ---                                                                      </t>
  </si>
  <si>
    <t xml:space="preserve">Thermal Conductivity (W/m-K)     7.021e-002        7.021e-002                                                               </t>
  </si>
  <si>
    <t xml:space="preserve">Viscosity (cP)                   2.112e-002        2.112e-002                                                               </t>
  </si>
  <si>
    <t xml:space="preserve">Cv (Semi-Ideal) (kJ/kgmole-C)    36.00             36.00                                                                    </t>
  </si>
  <si>
    <t xml:space="preserve">Mass Cv (Semi-Ideal) (kJ/kg-C)   2.020             2.020                                                                    </t>
  </si>
  <si>
    <t xml:space="preserve">Cv (kJ/kgmole-C)                 35.21             35.21                                                                    </t>
  </si>
  <si>
    <t xml:space="preserve">Mass Cv (kJ/kg-C)                1.975             1.975                                                                    </t>
  </si>
  <si>
    <t xml:space="preserve">Cv (Ent. Method) (kJ/kgmole-C)   37.99             37.99                                                                    </t>
  </si>
  <si>
    <t xml:space="preserve">Mass Cv (Ent. Method) (kJ/kg-C)  2.131             2.131                                                                    </t>
  </si>
  <si>
    <t xml:space="preserve">Cp/Cv (Ent. Method)              1.166             1.166                                                                    </t>
  </si>
  <si>
    <t xml:space="preserve">Liq. Vol. Flow - Sum(Std. Cond) (m3/h) 1.256             1.256                                                                   </t>
  </si>
  <si>
    <t xml:space="preserve">Methane               11.8875          0.2327           190.7094         0.2094           0.6370           0.4587           </t>
  </si>
  <si>
    <t xml:space="preserve">Ethane                0.4087           0.0080           12.2899          0.0135           0.0346           0.0249           </t>
  </si>
  <si>
    <t xml:space="preserve">Propane               0.1277           0.0025           5.6311           0.0062           0.0111           0.0080           </t>
  </si>
  <si>
    <t xml:space="preserve">Oxygen                0.0128           0.0002           0.4086           0.0004           0.0004           0.0003           </t>
  </si>
  <si>
    <t xml:space="preserve">Hydrogen              0.0033           0.0001           0.0066           0.0000           0.0001           0.0001           </t>
  </si>
  <si>
    <t xml:space="preserve">H2O                   38.3113          0.7500           690.1815         0.7580           0.6916           0.4980           </t>
  </si>
  <si>
    <t xml:space="preserve">CO2                   0.1277           0.0025           5.6204           0.0062           0.0068           0.0049           </t>
  </si>
  <si>
    <t xml:space="preserve">Nitrogen              0.2043           0.0040           5.7236           0.0063           0.0071           0.0051           </t>
  </si>
  <si>
    <t xml:space="preserve">Total                 51.0832          1.0000           910.5712         1.0000           1.3886           1.0000           </t>
  </si>
  <si>
    <t>Steam (Material Stream): Conditions, Properties, Composition, K Value</t>
  </si>
  <si>
    <t xml:space="preserve">Material Stream: Steam                                                               Fluid Package: Basis-1                 </t>
  </si>
  <si>
    <t xml:space="preserve">Molar Enthalpy (kJ/kgmole)       -2.264e+005       -2.264e+005                                                              </t>
  </si>
  <si>
    <t xml:space="preserve">Molar Entropy (kJ/kgmole-C)      178.9             178.9                                                                    </t>
  </si>
  <si>
    <t xml:space="preserve">Heat Flow (kJ/h)                 -8.675e+006       -8.675e+006                                                              </t>
  </si>
  <si>
    <t xml:space="preserve">Molar Density (kgmole/m3)        0.3710            0.3710                                                                   </t>
  </si>
  <si>
    <t xml:space="preserve">Mass Density (kg/m3)             6.683             6.683                                                                    </t>
  </si>
  <si>
    <t xml:space="preserve">Act. Volume Flow (m3/h)          103.3             103.3                                                                    </t>
  </si>
  <si>
    <t xml:space="preserve">Mass Enthalpy (kJ/kg)            -1.257e+004       -1.257e+004                                                              </t>
  </si>
  <si>
    <t xml:space="preserve">Mass Entropy (kJ/kg-C)           9.929             9.929                                                                    </t>
  </si>
  <si>
    <t xml:space="preserve">Heat Capacity (kJ/kgmole-C)      39.42             39.42                                                                    </t>
  </si>
  <si>
    <t xml:space="preserve">Mass Heat Capacity (kJ/kg-C)     2.188             2.188                                                                    </t>
  </si>
  <si>
    <t xml:space="preserve">Act. Gas Flow (ACT_m3/h)         103.3             103.3                                                                    </t>
  </si>
  <si>
    <t xml:space="preserve">Specific Heat (kJ/kgmole-C)      39.42             39.42                                                                    </t>
  </si>
  <si>
    <t xml:space="preserve">Z Factor                         0.9742            0.9742                                                                   </t>
  </si>
  <si>
    <t xml:space="preserve">Cp/(Cp - R)                      1.267             1.267                                                                    </t>
  </si>
  <si>
    <t xml:space="preserve">Cp/Cv                            1.316             1.316                                                                    </t>
  </si>
  <si>
    <t xml:space="preserve">Kinematic Viscosity (cSt)        3.979             3.979                                                                    </t>
  </si>
  <si>
    <t xml:space="preserve">Molar Volume (m3/kgmole)         2.696             2.696                                                                    </t>
  </si>
  <si>
    <t xml:space="preserve">Thermal Conductivity (W/m-K)     6.294e-002        6.294e-002                                                               </t>
  </si>
  <si>
    <t xml:space="preserve">Viscosity (cP)                   2.659e-002        2.659e-002                                                               </t>
  </si>
  <si>
    <t xml:space="preserve">Cv (Semi-Ideal) (kJ/kgmole-C)    31.11             31.11                                                                    </t>
  </si>
  <si>
    <t xml:space="preserve">Mass Cv (Semi-Ideal) (kJ/kg-C)   1.727             1.727                                                                    </t>
  </si>
  <si>
    <t xml:space="preserve">Cv (kJ/kgmole-C)                 29.96             29.96                                                                    </t>
  </si>
  <si>
    <t xml:space="preserve">Mass Cv (kJ/kg-C)                1.663             1.663                                                                    </t>
  </si>
  <si>
    <t xml:space="preserve">Cv (Ent. Method) (kJ/kgmole-C)   29.70             29.70                                                                    </t>
  </si>
  <si>
    <t xml:space="preserve">Cp/Cv (Ent. Method)              1.327             1.327                                                                    </t>
  </si>
  <si>
    <t>Sulfur Out (Material Stream): Conditions, Properties, Composition, K Value</t>
  </si>
  <si>
    <t xml:space="preserve">Material Stream: Sulfur Out                                                          Fluid Package: Basis-1                 </t>
  </si>
  <si>
    <t xml:space="preserve">Vapour / Phase Fraction          0.0000            0.0000            1.0000            0.0000            0.0000             </t>
  </si>
  <si>
    <t xml:space="preserve">Molar Flow (kgmole/h)            1.277e-004        0.0000            1.277e-004        0.0000            0.0000             </t>
  </si>
  <si>
    <t xml:space="preserve">Mass Flow (kg/h)                 4.095e-003        0.0000            4.095e-003        0.0000            0.0000             </t>
  </si>
  <si>
    <t xml:space="preserve">Std Ideal Liq Vol Flow (m3/h)    2.144e-006        0.0000            2.144e-006        0.0000            0.0000             </t>
  </si>
  <si>
    <t xml:space="preserve">Molar Enthalpy (kJ/kgmole)       1.742e+004        -5.987e+004       1.742e+004        -5.987e+004       -5.984e+004        </t>
  </si>
  <si>
    <t xml:space="preserve">Molar Entropy (kJ/kgmole-C)      106.8             197.2             106.8             197.2             197.2              </t>
  </si>
  <si>
    <t xml:space="preserve">Heat Flow (kJ/h)                 2.225             0.0000            2.225             0.0000            0.0000             </t>
  </si>
  <si>
    <t xml:space="preserve">Liq Vol Flow @Std Cond (m3/h)    2.144e-006        0.0000            2.144e-006        0.0000            0.0000             </t>
  </si>
  <si>
    <t xml:space="preserve">Molecular Weight                 32.07             17.26             32.07             17.26             17.25              </t>
  </si>
  <si>
    <t xml:space="preserve">Molar Density (kgmole/m3)        59.56             0.3900            59.56             0.3900            0.3900             </t>
  </si>
  <si>
    <t xml:space="preserve">Mass Density (kg/m3)             1910              6.729             1910              6.729             6.728              </t>
  </si>
  <si>
    <t xml:space="preserve">Act. Volume Flow (m3/h)          2.144e-006        0.0000            2.144e-006        0.0000            0.0000             </t>
  </si>
  <si>
    <t xml:space="preserve">Mass Enthalpy (kJ/kg)            543.2             -3470             543.2             -3470             -3469              </t>
  </si>
  <si>
    <t xml:space="preserve">Mass Entropy (kJ/kg-C)           3.331             11.43             3.331             11.43             11.43              </t>
  </si>
  <si>
    <t xml:space="preserve">Heat Capacity (kJ/kgmole-C)      74.75             58.57             74.75             58.57             58.57              </t>
  </si>
  <si>
    <t xml:space="preserve">Mass Heat Capacity (kJ/kg-C)     2.331             3.394             2.331             3.394             3.395              </t>
  </si>
  <si>
    <t xml:space="preserve">Lower Heating Value (kJ/kgmole)  ---               8.133e+005        ---               8.133e+005        8.133e+005         </t>
  </si>
  <si>
    <t xml:space="preserve">Mass Lower Heating Value (kJ/kg) ---               4.713e+004        ---               4.713e+004        4.714e+004         </t>
  </si>
  <si>
    <t xml:space="preserve">Phase Fraction [Vol. Basis]      ---               ---               1.000             ---               ---                </t>
  </si>
  <si>
    <t xml:space="preserve">Phase Fraction [Mass Basis]      2.122e-314        0.0000            1.000             0.0000            0.0000             </t>
  </si>
  <si>
    <t xml:space="preserve">Avg. Liq. Density (kgmole/m3)    59.56             18.33             59.56             18.33             18.33              </t>
  </si>
  <si>
    <t xml:space="preserve">Specific Heat (kJ/kgmole-C)      74.75             58.57             74.75             58.57             58.57              </t>
  </si>
  <si>
    <t xml:space="preserve">Std. Gas Flow (STD_m3/h)         3.019e-003        0.0000            3.019e-003        0.0000            0.0000             </t>
  </si>
  <si>
    <t xml:space="preserve">Std. Ideal Liq. Mass Density (kg/m3) 1910              316.2             1910              316.2             316.1             </t>
  </si>
  <si>
    <t xml:space="preserve">Watson K                         6.299             18.72             6.299             18.72             18.72              </t>
  </si>
  <si>
    <t xml:space="preserve">Cp/(Cp - R)                      1.125             1.165             1.125             1.165             1.165              </t>
  </si>
  <si>
    <t xml:space="preserve">Cp/Cv                            1.125             1.172             1.125             1.172             1.172              </t>
  </si>
  <si>
    <t xml:space="preserve">Heat of Vap. (kJ/kgmole)         ---               ---               ---               ---               ---                </t>
  </si>
  <si>
    <t xml:space="preserve">Liq. Mass Density (Std. Cond) (kg/m3) 1910              ---               1910              ---               ---               </t>
  </si>
  <si>
    <t xml:space="preserve">Liq. Vol. Flow (Std. Cond) (m3/h) 2.144e-006        0.0000            2.144e-006        0.0000            0.0000            </t>
  </si>
  <si>
    <t xml:space="preserve">Molar Volume (m3/kgmole)         1.679e-002        2.564             1.679e-002        2.564             2.564              </t>
  </si>
  <si>
    <t xml:space="preserve">Mass Heat of Vap. (kJ/kg)        ---               ---               ---               ---               ---                </t>
  </si>
  <si>
    <t xml:space="preserve">Phase Fraction [Molar Basis]     0.0000            0.0000            1.0000            0.0000            0.0000             </t>
  </si>
  <si>
    <t xml:space="preserve">Cv (Semi-Ideal) (kJ/kgmole-C)    66.43             50.26             66.43             50.26             ---                </t>
  </si>
  <si>
    <t xml:space="preserve">Mass Cv (Semi-Ideal) (kJ/kg-C)   2.072             2.912             2.072             2.912             ---                </t>
  </si>
  <si>
    <t xml:space="preserve">Cv (kJ/kgmole-C)                 66.43             49.98             66.43             49.98             ---                </t>
  </si>
  <si>
    <t xml:space="preserve">Mass Cv (kJ/kg-C)                2.072             2.897             2.072             2.897             ---                </t>
  </si>
  <si>
    <t xml:space="preserve">Liq. Vol. Flow - Sum(Std. Cond) (m3/h) 2.144e-006        0.0000            2.144e-006        0.0000            0.0000            </t>
  </si>
  <si>
    <t xml:space="preserve">S_Amorphous           0.0001           1.0000           0.0041           1.0000           0.0000           1.0000           </t>
  </si>
  <si>
    <t xml:space="preserve">Total                 0.0001           1.0000           0.0041           1.0000           0.0000           1.0000           </t>
  </si>
  <si>
    <t xml:space="preserve">Solid Phase                                                                                       Phase Fraction 1.000      </t>
  </si>
  <si>
    <t>Waste Gas (Material Stream): Conditions, Properties, Composition, K Value</t>
  </si>
  <si>
    <t xml:space="preserve">Material Stream: Waste Gas                                                           Fluid Package: Basis-1                 </t>
  </si>
  <si>
    <t xml:space="preserve">Vapour / Phase Fraction          0.9899            0.9899            0.0101                                                 </t>
  </si>
  <si>
    <t xml:space="preserve">Temperature: (C)                 88.78             88.78             88.78                                                  </t>
  </si>
  <si>
    <t xml:space="preserve">Pressure: (kPa)                  2061              2061              2061                                                   </t>
  </si>
  <si>
    <t xml:space="preserve">Molar Flow (kgmole/h)            25.01             24.76             0.2520                                                 </t>
  </si>
  <si>
    <t xml:space="preserve">Mass Flow (kg/h)                 555.4             550.8             4.549                                                  </t>
  </si>
  <si>
    <t xml:space="preserve">Std Ideal Liq Vol Flow (m3/h)    1.026             1.021             4.562e-003                                             </t>
  </si>
  <si>
    <t xml:space="preserve">Molar Enthalpy (kJ/kgmole)       -1.823e+005       -1.813e+005       -2.805e+005                                            </t>
  </si>
  <si>
    <t xml:space="preserve">Molar Entropy (kJ/kgmole-C)      142.5             143.2             68.96                                                  </t>
  </si>
  <si>
    <t xml:space="preserve">Heat Flow (kJ/h)                 -4.558e+006       -4.488e+006       -7.069e+004                                            </t>
  </si>
  <si>
    <t xml:space="preserve">Liq Vol Flow @Std Cond (m3/h)    ---               ---               4.480e-003                                             </t>
  </si>
  <si>
    <t xml:space="preserve">Molecular Weight                 22.21             22.25             18.05                                                  </t>
  </si>
  <si>
    <t xml:space="preserve">Molar Density (kgmole/m3)        0.7028            0.6958            53.09                                                  </t>
  </si>
  <si>
    <t xml:space="preserve">Mass Density (kg/m3)             15.61             15.48             958.4                                                  </t>
  </si>
  <si>
    <t xml:space="preserve">Act. Volume Flow (m3/h)          35.59             35.58             4.746e-003                                             </t>
  </si>
  <si>
    <t xml:space="preserve">Mass Enthalpy (kJ/kg)            -8208             -8147             -1.554e+004                                            </t>
  </si>
  <si>
    <t xml:space="preserve">Mass Entropy (kJ/kg-C)           6.417             6.438             3.820                                                  </t>
  </si>
  <si>
    <t xml:space="preserve">Heat Capacity (kJ/kgmole-C)      36.22             35.79             78.71                                                  </t>
  </si>
  <si>
    <t xml:space="preserve">Mass Heat Capacity (kJ/kg-C)     1.631             1.609             4.360                                                  </t>
  </si>
  <si>
    <t xml:space="preserve">Lower Heating Value (kJ/kgmole)  1.820e+005        1.839e+005        12.12                                                  </t>
  </si>
  <si>
    <t xml:space="preserve">Mass Lower Heating Value (kJ/kg) 8197              8265              0.6712                                                 </t>
  </si>
  <si>
    <t xml:space="preserve">Phase Fraction [Vol. Basis]      0.9956            0.9956            4.448e-003                                             </t>
  </si>
  <si>
    <t xml:space="preserve">Phase Fraction [Mass Basis]      0.9918            0.9918            8.191e-003                                             </t>
  </si>
  <si>
    <t xml:space="preserve">Partial Pressure of CO2 (kPa)    864.4             ---               ---                                                    </t>
  </si>
  <si>
    <t xml:space="preserve">Act. Gas Flow (ACT_m3/h)         ---               35.58             ---                                                    </t>
  </si>
  <si>
    <t xml:space="preserve">Avg. Liq. Density (kgmole/m3)    24.38             24.25             55.23                                                  </t>
  </si>
  <si>
    <t xml:space="preserve">Specific Heat (kJ/kgmole-C)      36.22             35.79             78.71                                                  </t>
  </si>
  <si>
    <t xml:space="preserve">Std. Gas Flow (STD_m3/h)         591.3             585.4             5.958                                                  </t>
  </si>
  <si>
    <t xml:space="preserve">Std. Ideal Liq. Mass Density (kg/m3) 541.5             539.5             997.1                                                 </t>
  </si>
  <si>
    <t xml:space="preserve">Act. Liq. Flow (m3/s)            1.318e-006        ---               1.318e-006                                             </t>
  </si>
  <si>
    <t xml:space="preserve">Z Factor                         ---               0.9843            1.290e-002                                             </t>
  </si>
  <si>
    <t xml:space="preserve">Watson K                         10.81             10.81             8.575                                                  </t>
  </si>
  <si>
    <t xml:space="preserve">Cp/(Cp - R)                      1.298             1.303             1.118                                                  </t>
  </si>
  <si>
    <t xml:space="preserve">Cp/Cv                            1.340             1.350             1.172                                                  </t>
  </si>
  <si>
    <t xml:space="preserve">Heat of Vap. (kJ/kgmole)         2.506e+004        ---               ---                                                    </t>
  </si>
  <si>
    <t xml:space="preserve">Kinematic Viscosity (cSt)        ---               1.094             0.3351                                                 </t>
  </si>
  <si>
    <t xml:space="preserve">Liq. Vol. Flow (Std. Cond) (m3/h) ---               ---               4.480e-003                                            </t>
  </si>
  <si>
    <t xml:space="preserve">Liquid Fraction                  1.007e-002        0.0000            1.000                                                  </t>
  </si>
  <si>
    <t xml:space="preserve">Molar Volume (m3/kgmole)         1.423             1.437             1.884e-002                                             </t>
  </si>
  <si>
    <t xml:space="preserve">Mass Heat of Vap. (kJ/kg)        1128              ---               ---                                                    </t>
  </si>
  <si>
    <t xml:space="preserve">Phase Fraction [Molar Basis]     0.9899            0.9899            0.0101                                                 </t>
  </si>
  <si>
    <t xml:space="preserve">Surface Tension (dyne/cm)        60.62             ---               60.62                                                  </t>
  </si>
  <si>
    <t xml:space="preserve">Thermal Conductivity (W/m-K)     ---               6.524e-002        0.6747                                                 </t>
  </si>
  <si>
    <t xml:space="preserve">Viscosity (cP)                   ---               1.693e-002        0.3211                                                 </t>
  </si>
  <si>
    <t xml:space="preserve">Cv (Semi-Ideal) (kJ/kgmole-C)    27.91             27.48             70.40                                                  </t>
  </si>
  <si>
    <t xml:space="preserve">Mass Cv (Semi-Ideal) (kJ/kg-C)   1.257             1.235             3.899                                                  </t>
  </si>
  <si>
    <t xml:space="preserve">Cv (kJ/kgmole-C)                 27.03             26.51             67.15                                                  </t>
  </si>
  <si>
    <t xml:space="preserve">Mass Cv (kJ/kg-C)                1.217             1.191             3.719                                                  </t>
  </si>
  <si>
    <t xml:space="preserve">Cv (Ent. Method) (kJ/kgmole-C)   ---               26.60             ---                                                    </t>
  </si>
  <si>
    <t xml:space="preserve">Mass Cv (Ent. Method) (kJ/kg-C)  ---               1.196             ---                                                    </t>
  </si>
  <si>
    <t xml:space="preserve">Cp/Cv (Ent. Method)              ---               1.345             ---                                                    </t>
  </si>
  <si>
    <t xml:space="preserve">True VP at 37.8 C (kPa)          ---               ---               6217                                                   </t>
  </si>
  <si>
    <t xml:space="preserve">Liq. Vol. Flow - Sum(Std. Cond) (m3/h) 4.480e-003        0.0000            4.480e-003                                            </t>
  </si>
  <si>
    <t xml:space="preserve">Overall Phase                                                                                     Vapour Fraction 0.9899    </t>
  </si>
  <si>
    <t xml:space="preserve">Methane               2.3657           0.0946           37.9532          0.0683           0.1268           0.1236           </t>
  </si>
  <si>
    <t xml:space="preserve">Hydrogen              10.4368          0.4173           21.0406          0.0379           0.3012           0.2936           </t>
  </si>
  <si>
    <t xml:space="preserve">H2O                   1.1648           0.0466           20.9844          0.0378           0.0210           0.0205           </t>
  </si>
  <si>
    <t xml:space="preserve">CO                    0.4540           0.0182           12.7172          0.0229           0.0159           0.0155           </t>
  </si>
  <si>
    <t xml:space="preserve">CO2                   10.3834          0.4152           456.9708         0.8228           0.5537           0.5398           </t>
  </si>
  <si>
    <t xml:space="preserve">Nitrogen              0.2043           0.0082           5.7233           0.0103           0.0071           0.0069           </t>
  </si>
  <si>
    <t xml:space="preserve">Total                 25.0091          1.0000           555.3914         1.0000           1.0257           1.0000           </t>
  </si>
  <si>
    <t xml:space="preserve">Vapour Phase                                                                                      Phase Fraction 0.9899     </t>
  </si>
  <si>
    <t xml:space="preserve">Methane               2.3657           0.0956           37.9532          0.0689           0.1268           0.1241           </t>
  </si>
  <si>
    <t xml:space="preserve">Hydrogen              10.4368          0.4216           21.0405          0.0382           0.3012           0.2950           </t>
  </si>
  <si>
    <t xml:space="preserve">H2O                   0.9133           0.0369           16.4523          0.0299           0.0165           0.0161           </t>
  </si>
  <si>
    <t xml:space="preserve">CO                    0.4540           0.0183           12.7171          0.0231           0.0159           0.0156           </t>
  </si>
  <si>
    <t xml:space="preserve">CO2                   10.3830          0.4194           456.9540         0.8296           0.5537           0.5422           </t>
  </si>
  <si>
    <t xml:space="preserve">Nitrogen              0.2043           0.0083           5.7233           0.0104           0.0071           0.0070           </t>
  </si>
  <si>
    <t xml:space="preserve">Total                 24.7572          1.0000           550.8424         1.0000           1.0211           1.0000           </t>
  </si>
  <si>
    <t xml:space="preserve">Aqueous Phase                                                                                     Phase Fraction 1.007e-002 </t>
  </si>
  <si>
    <t xml:space="preserve">Hydrogen              0.0000           0.0000           0.0000           0.0000           0.0000           0.0001           </t>
  </si>
  <si>
    <t xml:space="preserve">H2O                   0.2516           0.9984           4.5321           0.9963           0.0045           0.9954           </t>
  </si>
  <si>
    <t xml:space="preserve">CO2                   0.0004           0.0015           0.0168           0.0037           0.0000           0.0045           </t>
  </si>
  <si>
    <t xml:space="preserve">Total                 0.2520           1.0000           4.5490           1.0000           0.0046           1.0000           </t>
  </si>
  <si>
    <t xml:space="preserve">Methane                                 3.654e+005                  ---                         3.654e+005                  </t>
  </si>
  <si>
    <t xml:space="preserve">Hydrogen                                8975                        ---                         8975                        </t>
  </si>
  <si>
    <t xml:space="preserve">H2O                                     3.695e-002                  ---                         3.695e-002                  </t>
  </si>
  <si>
    <t xml:space="preserve">CO                                      9539                        ---                         9539                        </t>
  </si>
  <si>
    <t xml:space="preserve">CO2                                     276.3                       ---                         276.3                       </t>
  </si>
  <si>
    <t xml:space="preserve">Nitrogen                                5982                        ---                         5982                        </t>
  </si>
  <si>
    <t>Waste gas to burner (Material Stream): Conditions, Properties, Composition, K Value</t>
  </si>
  <si>
    <t xml:space="preserve">Material Stream: Waste gas to burner                                                 Fluid Package: Basis-1                 </t>
  </si>
  <si>
    <t xml:space="preserve">Vapour / Phase Fraction          0.9620            0.9620            0.0380                                                 </t>
  </si>
  <si>
    <t xml:space="preserve">Temperature: (C)                 55.00             55.00             55.00                                                  </t>
  </si>
  <si>
    <t xml:space="preserve">Molar Flow (kgmole/h)            25.01             24.06             0.9506                                                 </t>
  </si>
  <si>
    <t xml:space="preserve">Mass Flow (kg/h)                 555.4             538.2             17.18                                                  </t>
  </si>
  <si>
    <t xml:space="preserve">Std Ideal Liq Vol Flow (m3/h)    1.026             1.008             1.724e-002                                             </t>
  </si>
  <si>
    <t xml:space="preserve">Molar Enthalpy (kJ/kgmole)       -1.847e+005       -1.808e+005       -2.833e+005                                            </t>
  </si>
  <si>
    <t xml:space="preserve">Molar Entropy (kJ/kgmole-C)      135.6             138.5             61.36                                                  </t>
  </si>
  <si>
    <t xml:space="preserve">Heat Flow (kJ/h)                 -4.618e+006       -4.349e+006       -2.693e+005                                            </t>
  </si>
  <si>
    <t xml:space="preserve">Liq Vol Flow @Std Cond (m3/h)    ---               ---               1.692e-002                                             </t>
  </si>
  <si>
    <t xml:space="preserve">Molecular Weight                 22.21             22.37             18.07                                                  </t>
  </si>
  <si>
    <t xml:space="preserve">Molar Density (kgmole/m3)        0.8008            0.7707            54.54                                                  </t>
  </si>
  <si>
    <t xml:space="preserve">Mass Density (kg/m3)             17.78             17.24             985.8                                                  </t>
  </si>
  <si>
    <t xml:space="preserve">Act. Volume Flow (m3/h)          31.23             31.21             1.743e-002                                             </t>
  </si>
  <si>
    <t xml:space="preserve">Mass Enthalpy (kJ/kg)            -8315             -8080             -1.567e+004                                            </t>
  </si>
  <si>
    <t xml:space="preserve">Mass Entropy (kJ/kg-C)           6.107             6.193             3.395                                                  </t>
  </si>
  <si>
    <t xml:space="preserve">Heat Capacity (kJ/kgmole-C)      36.97             35.36             77.87                                                  </t>
  </si>
  <si>
    <t xml:space="preserve">Mass Heat Capacity (kJ/kg-C)     1.665             1.580             4.309                                                  </t>
  </si>
  <si>
    <t xml:space="preserve">Lower Heating Value (kJ/kgmole)  1.820e+005        1.892e+005        5.869                                                  </t>
  </si>
  <si>
    <t xml:space="preserve">Mass Lower Heating Value (kJ/kg) 8197              8459              0.3247                                                 </t>
  </si>
  <si>
    <t xml:space="preserve">Phase Fraction [Vol. Basis]      0.9832            0.9832            1.681e-002                                             </t>
  </si>
  <si>
    <t xml:space="preserve">Phase Fraction [Mass Basis]      0.9691            0.9691            3.094e-002                                             </t>
  </si>
  <si>
    <t xml:space="preserve">Partial Pressure of CO2 (kPa)    889.3             ---               ---                                                    </t>
  </si>
  <si>
    <t xml:space="preserve">Act. Gas Flow (ACT_m3/h)         ---               31.21             ---                                                    </t>
  </si>
  <si>
    <t xml:space="preserve">Avg. Liq. Density (kgmole/m3)    24.38             23.86             55.15                                                  </t>
  </si>
  <si>
    <t xml:space="preserve">Specific Heat (kJ/kgmole-C)      36.97             35.36             77.87                                                  </t>
  </si>
  <si>
    <t xml:space="preserve">Std. Gas Flow (STD_m3/h)         591.3             568.8             22.48                                                  </t>
  </si>
  <si>
    <t xml:space="preserve">Std. Ideal Liq. Mass Density (kg/m3) 541.5             533.7             996.8                                                 </t>
  </si>
  <si>
    <t xml:space="preserve">Act. Liq. Flow (m3/s)            4.841e-006        ---               4.841e-006                                             </t>
  </si>
  <si>
    <t xml:space="preserve">Z Factor                         ---               0.9801            1.385e-002                                             </t>
  </si>
  <si>
    <t xml:space="preserve">Watson K                         10.81             10.81             8.540                                                  </t>
  </si>
  <si>
    <t xml:space="preserve">Cp/(Cp - R)                      1.290             1.307             1.120                                                  </t>
  </si>
  <si>
    <t xml:space="preserve">Cp/Cv                            1.325             1.364             1.162                                                  </t>
  </si>
  <si>
    <t xml:space="preserve">Kinematic Viscosity (cSt)        ---               0.9217            0.5423                                                 </t>
  </si>
  <si>
    <t xml:space="preserve">Liq. Vol. Flow (Std. Cond) (m3/h) ---               ---               1.692e-002                                            </t>
  </si>
  <si>
    <t xml:space="preserve">Liquid Fraction                  3.801e-002        0.0000            1.000                                                  </t>
  </si>
  <si>
    <t xml:space="preserve">Molar Volume (m3/kgmole)         1.249             1.297             1.833e-002                                             </t>
  </si>
  <si>
    <t xml:space="preserve">Phase Fraction [Molar Basis]     0.9620            0.9620            0.0380                                                 </t>
  </si>
  <si>
    <t xml:space="preserve">Surface Tension (dyne/cm)        66.70             ---               66.70                                                  </t>
  </si>
  <si>
    <t xml:space="preserve">Thermal Conductivity (W/m-K)     ---               6.091e-002        0.6459                                                 </t>
  </si>
  <si>
    <t xml:space="preserve">Viscosity (cP)                   ---               1.589e-002        0.5346                                                 </t>
  </si>
  <si>
    <t xml:space="preserve">Cv (Semi-Ideal) (kJ/kgmole-C)    28.66             27.04             69.56                                                  </t>
  </si>
  <si>
    <t xml:space="preserve">Mass Cv (Semi-Ideal) (kJ/kg-C)   1.290             1.209             3.849                                                  </t>
  </si>
  <si>
    <t xml:space="preserve">Cv (kJ/kgmole-C)                 27.90             25.93             67.00                                                  </t>
  </si>
  <si>
    <t xml:space="preserve">Mass Cv (kJ/kg-C)                1.256             1.159             3.707                                                  </t>
  </si>
  <si>
    <t xml:space="preserve">Cv (Ent. Method) (kJ/kgmole-C)   42.97             25.93             ---                                                    </t>
  </si>
  <si>
    <t xml:space="preserve">Mass Cv (Ent. Method) (kJ/kg-C)  1.935             1.159             ---                                                    </t>
  </si>
  <si>
    <t xml:space="preserve">Cp/Cv (Ent. Method)              0.8605            1.363             ---                                                    </t>
  </si>
  <si>
    <t xml:space="preserve">True VP at 37.8 C (kPa)          ---               ---               2684                                                   </t>
  </si>
  <si>
    <t xml:space="preserve">Liq. Vol. Flow - Sum(Std. Cond) (m3/h) 1.692e-002        0.0000            1.692e-002                                            </t>
  </si>
  <si>
    <t xml:space="preserve">Overall Phase                                                                                     Vapour Fraction 0.9620    </t>
  </si>
  <si>
    <t xml:space="preserve">Vapour Phase                                                                                      Phase Fraction 0.9620     </t>
  </si>
  <si>
    <t xml:space="preserve">Methane               2.3657           0.0983           37.9532          0.0705           0.1268           0.1257           </t>
  </si>
  <si>
    <t xml:space="preserve">Hydrogen              10.4368          0.4338           21.0405          0.0391           0.3012           0.2987           </t>
  </si>
  <si>
    <t xml:space="preserve">H2O                   0.2164           0.0090           3.8979           0.0072           0.0039           0.0039           </t>
  </si>
  <si>
    <t xml:space="preserve">CO                    0.4540           0.0189           12.7171          0.0236           0.0159           0.0158           </t>
  </si>
  <si>
    <t xml:space="preserve">CO2                   10.3813          0.4315           456.8760         0.8489           0.5536           0.5489           </t>
  </si>
  <si>
    <t xml:space="preserve">Nitrogen              0.2043           0.0085           5.7232           0.0106           0.0071           0.0070           </t>
  </si>
  <si>
    <t xml:space="preserve">Total                 24.0585          1.0000           538.2099         1.0000           1.0084           1.0000           </t>
  </si>
  <si>
    <t xml:space="preserve">Aqueous Phase                                                                                     Phase Fraction 3.801e-002 </t>
  </si>
  <si>
    <t xml:space="preserve">H2O                   0.9485           0.9977           17.0865          0.9945           0.0171           0.9933           </t>
  </si>
  <si>
    <t xml:space="preserve">CO2                   0.0022           0.0023           0.0948           0.0055           0.0001           0.0067           </t>
  </si>
  <si>
    <t xml:space="preserve">Total                 0.9506           1.0000           17.1814          1.0000           0.0172           1.0000           </t>
  </si>
  <si>
    <t xml:space="preserve">Methane                                 1.703e+006                  ---                         1.703e+006                  </t>
  </si>
  <si>
    <t xml:space="preserve">Hydrogen                                1.903e+004                  ---                         1.903e+004                  </t>
  </si>
  <si>
    <t xml:space="preserve">H2O                                     9.014e-003                  ---                         9.014e-003                  </t>
  </si>
  <si>
    <t xml:space="preserve">CO                                      1.743e+004                  ---                         1.743e+004                  </t>
  </si>
  <si>
    <t xml:space="preserve">CO2                                     190.5                       ---                         190.5                       </t>
  </si>
  <si>
    <t xml:space="preserve">Nitrogen                                5404                        ---                         5404                        </t>
  </si>
  <si>
    <t>Water to boiler (Material Stream): Conditions, Properties, Composition, K Value</t>
  </si>
  <si>
    <t xml:space="preserve">Material Stream: Water to boiler                                                     Fluid Package: Basis-1                 </t>
  </si>
  <si>
    <t xml:space="preserve">Temperature: (C)                 25.18             25.18                                                                    </t>
  </si>
  <si>
    <t xml:space="preserve">Pressure: (kPa)                  2180              2180                                                                     </t>
  </si>
  <si>
    <t xml:space="preserve">Molar Entropy (kJ/kgmole-C)      53.72             53.72                                                                    </t>
  </si>
  <si>
    <t xml:space="preserve">Molar Density (kgmole/m3)        55.94             55.94                                                                    </t>
  </si>
  <si>
    <t xml:space="preserve">Mass Density (kg/m3)             1008              1008                                                                     </t>
  </si>
  <si>
    <t xml:space="preserve">Act. Volume Flow (m3/h)          0.6848            0.6848                                                                   </t>
  </si>
  <si>
    <t xml:space="preserve">Mass Entropy (kJ/kg-C)           2.982             2.982                                                                    </t>
  </si>
  <si>
    <t xml:space="preserve">Heat Capacity (kJ/kgmole-C)      77.67             77.67                                                                    </t>
  </si>
  <si>
    <t xml:space="preserve">Specific Heat (kJ/kgmole-C)      77.67             77.67                                                                    </t>
  </si>
  <si>
    <t xml:space="preserve">Act. Liq. Flow (m3/s)            1.902e-004        1.902e-004                                                               </t>
  </si>
  <si>
    <t xml:space="preserve">Z Factor                         1.571e-002        1.571e-002                                                               </t>
  </si>
  <si>
    <t xml:space="preserve">Heat of Vap. (kJ/kgmole)         3.420e+004        ---                                                                      </t>
  </si>
  <si>
    <t xml:space="preserve">Kinematic Viscosity (cSt)        0.8799            0.8799                                                                   </t>
  </si>
  <si>
    <t xml:space="preserve">Mass Heat of Vap. (kJ/kg)        1898              ---                                                                      </t>
  </si>
  <si>
    <t xml:space="preserve">Surface Tension (dyne/cm)        72.07             72.07                                                                    </t>
  </si>
  <si>
    <t xml:space="preserve">Thermal Conductivity (W/m-K)     0.6113            0.6113                                                                   </t>
  </si>
  <si>
    <t xml:space="preserve">Viscosity (cP)                   0.8868            0.8868                                                                   </t>
  </si>
  <si>
    <t xml:space="preserve">Cv (kJ/kgmole-C)                 67.72             67.72                                                                    </t>
  </si>
  <si>
    <t xml:space="preserve">Mass Cv (kJ/kg-C)                3.759             3.759                                                                    </t>
  </si>
  <si>
    <t>Price Conversion Factor (GJ/mmBtu)</t>
  </si>
  <si>
    <t>Price in Startup Year ($2016)/mmBtu</t>
  </si>
  <si>
    <t>Usage (mmBtu/kg H2)</t>
  </si>
  <si>
    <t>Primary Feed System</t>
  </si>
  <si>
    <t>Boiler</t>
  </si>
  <si>
    <t>HDS &amp; Absorbent Bed</t>
  </si>
  <si>
    <t>Water Gas Shift</t>
  </si>
  <si>
    <t>HDS Preheater</t>
  </si>
  <si>
    <t>To Use Carbon Sequestration Click 'Link to Detail Sheet' in the Input Sheet Capital Cost Section</t>
  </si>
  <si>
    <t>Distributed Hydrogen Production from Natural Gas - Current Timeframe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</si>
</sst>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5">
    <numFmt numFmtId="5" formatCode="&quot;$&quot;#,##0_);\(&quot;$&quot;#,##0\)"/>
    <numFmt numFmtId="6" formatCode="&quot;$&quot;#,##0_);[Red]\(&quot;$&quot;#,##0\)"/>
    <numFmt numFmtId="7" formatCode="&quot;$&quot;#,##0.00_);\(&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
    <numFmt numFmtId="165" formatCode="0.000"/>
    <numFmt numFmtId="166" formatCode="0.0"/>
    <numFmt numFmtId="167" formatCode="0.0000"/>
    <numFmt numFmtId="168" formatCode="0.000%"/>
    <numFmt numFmtId="169" formatCode="&quot;$&quot;#,##0.00"/>
    <numFmt numFmtId="170" formatCode="&quot;$&quot;#,##0"/>
    <numFmt numFmtId="171" formatCode="#,##0.0"/>
    <numFmt numFmtId="172" formatCode="_(* #,##0_);_(* \(#,##0\);_(* &quot;-&quot;??_);_(@_)"/>
    <numFmt numFmtId="173" formatCode="General_)"/>
    <numFmt numFmtId="174" formatCode="&quot;$&quot;#,##0.0000"/>
    <numFmt numFmtId="175" formatCode="#,##0.000_);[Red]\(#,##0.000\)"/>
    <numFmt numFmtId="176" formatCode="&quot;$&quot;#,##0.000000"/>
    <numFmt numFmtId="177" formatCode="#,##0.00000"/>
    <numFmt numFmtId="178" formatCode="_(&quot;$&quot;* #,##0_);_(&quot;$&quot;* \(#,##0\);_(&quot;$&quot;* &quot;-&quot;??_);_(@_)"/>
    <numFmt numFmtId="179" formatCode="0.00_)"/>
    <numFmt numFmtId="180" formatCode="#,##0.0_);\(#,##0.0\)"/>
    <numFmt numFmtId="181" formatCode="&quot;$&quot;#,##0.00000000"/>
    <numFmt numFmtId="182" formatCode="&quot;$&quot;#,##0.000000000000"/>
    <numFmt numFmtId="183" formatCode="_(* #,##0.000_);_(* \(#,##0.000\);_(* &quot;-&quot;??_);_(@_)"/>
    <numFmt numFmtId="184" formatCode="&quot;$&quot;#,##0.000_);[Red]\(&quot;$&quot;#,##0.000\)"/>
    <numFmt numFmtId="185" formatCode="&quot;$&quot;#,##0.0000_);[Red]\(&quot;$&quot;#,##0.0000\)"/>
    <numFmt numFmtId="186" formatCode="#0.0"/>
    <numFmt numFmtId="187" formatCode="#0.00"/>
    <numFmt numFmtId="188" formatCode="0;;&quot;Constant debt&quot;"/>
    <numFmt numFmtId="189" formatCode="_(* #,##0.0000_);_(* \(#,##0.0000\);_(* &quot;-&quot;??_);_(@_)"/>
    <numFmt numFmtId="190" formatCode="_(* #,##0.00000_);_(* \(#,##0.00000\);_(* &quot;-&quot;??_);_(@_)"/>
    <numFmt numFmtId="191" formatCode="0.00000000"/>
  </numFmts>
  <fonts count="71" x14ac:knownFonts="1">
    <font>
      <sz val="10"/>
      <name val="Arial"/>
    </font>
    <font>
      <sz val="11"/>
      <color theme="1"/>
      <name val="Calibri"/>
      <family val="2"/>
      <scheme val="minor"/>
    </font>
    <font>
      <sz val="10"/>
      <name val="Arial"/>
      <family val="2"/>
    </font>
    <font>
      <sz val="8"/>
      <name val="Arial"/>
      <family val="2"/>
    </font>
    <font>
      <b/>
      <sz val="10"/>
      <name val="Arial"/>
      <family val="2"/>
    </font>
    <font>
      <u/>
      <sz val="10"/>
      <color indexed="12"/>
      <name val="Arial"/>
      <family val="2"/>
    </font>
    <font>
      <b/>
      <sz val="11"/>
      <name val="Arial"/>
      <family val="2"/>
    </font>
    <font>
      <i/>
      <sz val="12"/>
      <color indexed="8"/>
      <name val="Arial"/>
      <family val="2"/>
    </font>
    <font>
      <sz val="10"/>
      <color indexed="8"/>
      <name val="Arial"/>
      <family val="2"/>
    </font>
    <font>
      <b/>
      <sz val="10"/>
      <color indexed="8"/>
      <name val="Arial"/>
      <family val="2"/>
    </font>
    <font>
      <u/>
      <sz val="10"/>
      <color indexed="12"/>
      <name val="Arial"/>
      <family val="2"/>
    </font>
    <font>
      <b/>
      <sz val="10"/>
      <color indexed="23"/>
      <name val="Arial"/>
      <family val="2"/>
    </font>
    <font>
      <sz val="10"/>
      <name val="Arial"/>
      <family val="2"/>
    </font>
    <font>
      <b/>
      <sz val="12"/>
      <name val="Arial"/>
      <family val="2"/>
    </font>
    <font>
      <b/>
      <i/>
      <sz val="10"/>
      <name val="Arial"/>
      <family val="2"/>
    </font>
    <font>
      <sz val="11"/>
      <name val="Arial"/>
      <family val="2"/>
    </font>
    <font>
      <sz val="10"/>
      <name val="Courier"/>
      <family val="3"/>
    </font>
    <font>
      <b/>
      <sz val="14"/>
      <name val="Arial"/>
      <family val="2"/>
    </font>
    <font>
      <b/>
      <i/>
      <sz val="12"/>
      <name val="Arial"/>
      <family val="2"/>
    </font>
    <font>
      <i/>
      <sz val="10"/>
      <name val="Arial"/>
      <family val="2"/>
    </font>
    <font>
      <b/>
      <sz val="10"/>
      <color indexed="10"/>
      <name val="Arial"/>
      <family val="2"/>
    </font>
    <font>
      <b/>
      <u/>
      <sz val="12"/>
      <color indexed="10"/>
      <name val="Arial"/>
      <family val="2"/>
    </font>
    <font>
      <b/>
      <u/>
      <sz val="10"/>
      <name val="Arial"/>
      <family val="2"/>
    </font>
    <font>
      <sz val="10"/>
      <color indexed="10"/>
      <name val="Arial"/>
      <family val="2"/>
    </font>
    <font>
      <sz val="8"/>
      <color indexed="81"/>
      <name val="Tahoma"/>
      <family val="2"/>
    </font>
    <font>
      <b/>
      <sz val="8"/>
      <color indexed="81"/>
      <name val="Tahoma"/>
      <family val="2"/>
    </font>
    <font>
      <b/>
      <sz val="16"/>
      <name val="Arial"/>
      <family val="2"/>
    </font>
    <font>
      <b/>
      <sz val="10"/>
      <color indexed="18"/>
      <name val="Arial"/>
      <family val="2"/>
    </font>
    <font>
      <sz val="12"/>
      <name val="Arial"/>
      <family val="2"/>
    </font>
    <font>
      <b/>
      <u/>
      <sz val="11"/>
      <name val="Arial"/>
      <family val="2"/>
    </font>
    <font>
      <sz val="10"/>
      <color indexed="9"/>
      <name val="Arial"/>
      <family val="2"/>
    </font>
    <font>
      <sz val="14"/>
      <name val="Arial Black"/>
      <family val="2"/>
    </font>
    <font>
      <b/>
      <sz val="20"/>
      <name val="Arial"/>
      <family val="2"/>
    </font>
    <font>
      <sz val="10"/>
      <color indexed="23"/>
      <name val="Arial"/>
      <family val="2"/>
    </font>
    <font>
      <b/>
      <sz val="12"/>
      <color indexed="23"/>
      <name val="Arial"/>
      <family val="2"/>
    </font>
    <font>
      <sz val="10"/>
      <color indexed="23"/>
      <name val="Arial"/>
      <family val="2"/>
    </font>
    <font>
      <b/>
      <sz val="14"/>
      <color indexed="23"/>
      <name val="Arial"/>
      <family val="2"/>
    </font>
    <font>
      <b/>
      <i/>
      <sz val="12"/>
      <color indexed="23"/>
      <name val="Arial"/>
      <family val="2"/>
    </font>
    <font>
      <b/>
      <sz val="12"/>
      <color indexed="12"/>
      <name val="Arial"/>
      <family val="2"/>
    </font>
    <font>
      <u/>
      <sz val="10"/>
      <name val="Arial"/>
      <family val="2"/>
    </font>
    <font>
      <sz val="11"/>
      <name val="Arial"/>
      <family val="2"/>
    </font>
    <font>
      <b/>
      <sz val="14"/>
      <color indexed="12"/>
      <name val="Arial Black"/>
      <family val="2"/>
    </font>
    <font>
      <sz val="10"/>
      <name val="Arial Narrow"/>
      <family val="2"/>
    </font>
    <font>
      <i/>
      <sz val="12"/>
      <name val="Arial"/>
      <family val="2"/>
    </font>
    <font>
      <b/>
      <sz val="9"/>
      <name val="Arial"/>
      <family val="2"/>
    </font>
    <font>
      <sz val="9"/>
      <name val="Arial"/>
      <family val="2"/>
    </font>
    <font>
      <sz val="10"/>
      <name val="Arial"/>
      <family val="2"/>
    </font>
    <font>
      <sz val="9"/>
      <color indexed="62"/>
      <name val="Arial"/>
      <family val="2"/>
    </font>
    <font>
      <sz val="12"/>
      <name val="Helv"/>
    </font>
    <font>
      <i/>
      <sz val="9"/>
      <name val="Arial"/>
      <family val="2"/>
    </font>
    <font>
      <sz val="10"/>
      <name val="Arial"/>
      <family val="2"/>
    </font>
    <font>
      <sz val="11"/>
      <color theme="1"/>
      <name val="Calibri"/>
      <family val="2"/>
      <scheme val="minor"/>
    </font>
    <font>
      <sz val="10"/>
      <color theme="4"/>
      <name val="Arial"/>
      <family val="2"/>
    </font>
    <font>
      <sz val="10"/>
      <color rgb="FF0070C0"/>
      <name val="Arial"/>
      <family val="2"/>
    </font>
    <font>
      <sz val="10"/>
      <color rgb="FFFF0000"/>
      <name val="Arial"/>
      <family val="2"/>
    </font>
    <font>
      <b/>
      <sz val="11"/>
      <color rgb="FF000000"/>
      <name val="Arial"/>
      <family val="2"/>
    </font>
    <font>
      <sz val="9"/>
      <color indexed="81"/>
      <name val="Tahoma"/>
      <family val="2"/>
    </font>
    <font>
      <b/>
      <sz val="9"/>
      <color indexed="81"/>
      <name val="Tahoma"/>
      <family val="2"/>
    </font>
    <font>
      <sz val="10"/>
      <name val="Calibri"/>
      <family val="2"/>
    </font>
    <font>
      <sz val="11"/>
      <color indexed="8"/>
      <name val="Calibri"/>
      <family val="2"/>
      <scheme val="minor"/>
    </font>
    <font>
      <sz val="11"/>
      <color rgb="FFFF0000"/>
      <name val="Arial"/>
      <family val="2"/>
    </font>
    <font>
      <sz val="10"/>
      <color theme="9" tint="-0.249977111117893"/>
      <name val="Arial"/>
      <family val="2"/>
    </font>
    <font>
      <sz val="8"/>
      <color rgb="FF000000"/>
      <name val="Segoe UI"/>
      <family val="2"/>
    </font>
    <font>
      <b/>
      <sz val="10"/>
      <color rgb="FF0000FF"/>
      <name val="Arial"/>
      <family val="2"/>
    </font>
    <font>
      <b/>
      <i/>
      <sz val="10"/>
      <color rgb="FF0000FF"/>
      <name val="Arial"/>
      <family val="2"/>
    </font>
    <font>
      <b/>
      <sz val="11"/>
      <color rgb="FF0000FF"/>
      <name val="Calibri"/>
      <family val="2"/>
      <scheme val="minor"/>
    </font>
    <font>
      <b/>
      <sz val="10"/>
      <name val="Calibri"/>
      <family val="2"/>
    </font>
    <font>
      <sz val="11"/>
      <name val="Calibri"/>
      <family val="2"/>
    </font>
    <font>
      <b/>
      <sz val="14"/>
      <name val="Arial Black"/>
      <family val="2"/>
    </font>
    <font>
      <sz val="10"/>
      <color theme="0" tint="-0.14999847407452621"/>
      <name val="Arial"/>
      <family val="2"/>
    </font>
    <font>
      <sz val="10"/>
      <color theme="0"/>
      <name val="Arial"/>
      <family val="2"/>
    </font>
  </fonts>
  <fills count="26">
    <fill>
      <patternFill patternType="none"/>
    </fill>
    <fill>
      <patternFill patternType="gray125"/>
    </fill>
    <fill>
      <patternFill patternType="solid">
        <fgColor indexed="9"/>
        <bgColor indexed="64"/>
      </patternFill>
    </fill>
    <fill>
      <patternFill patternType="solid">
        <fgColor indexed="44"/>
        <bgColor indexed="64"/>
      </patternFill>
    </fill>
    <fill>
      <patternFill patternType="solid">
        <fgColor indexed="43"/>
        <bgColor indexed="64"/>
      </patternFill>
    </fill>
    <fill>
      <patternFill patternType="solid">
        <fgColor indexed="47"/>
        <bgColor indexed="64"/>
      </patternFill>
    </fill>
    <fill>
      <patternFill patternType="solid">
        <fgColor indexed="42"/>
        <bgColor indexed="64"/>
      </patternFill>
    </fill>
    <fill>
      <patternFill patternType="solid">
        <fgColor indexed="22"/>
        <bgColor indexed="64"/>
      </patternFill>
    </fill>
    <fill>
      <patternFill patternType="solid">
        <fgColor indexed="45"/>
        <bgColor indexed="64"/>
      </patternFill>
    </fill>
    <fill>
      <patternFill patternType="solid">
        <fgColor indexed="41"/>
        <bgColor indexed="64"/>
      </patternFill>
    </fill>
    <fill>
      <patternFill patternType="solid">
        <fgColor indexed="51"/>
        <bgColor indexed="64"/>
      </patternFill>
    </fill>
    <fill>
      <patternFill patternType="solid">
        <fgColor indexed="50"/>
        <bgColor indexed="64"/>
      </patternFill>
    </fill>
    <fill>
      <patternFill patternType="solid">
        <fgColor indexed="15"/>
        <bgColor indexed="64"/>
      </patternFill>
    </fill>
    <fill>
      <patternFill patternType="solid">
        <fgColor indexed="52"/>
        <bgColor indexed="64"/>
      </patternFill>
    </fill>
    <fill>
      <patternFill patternType="solid">
        <fgColor indexed="46"/>
        <bgColor indexed="64"/>
      </patternFill>
    </fill>
    <fill>
      <patternFill patternType="solid">
        <fgColor indexed="10"/>
        <bgColor indexed="64"/>
      </patternFill>
    </fill>
    <fill>
      <patternFill patternType="solid">
        <fgColor indexed="1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rgb="FF92D050"/>
        <bgColor indexed="64"/>
      </patternFill>
    </fill>
    <fill>
      <patternFill patternType="solid">
        <fgColor theme="6" tint="0.59999389629810485"/>
        <bgColor indexed="64"/>
      </patternFill>
    </fill>
    <fill>
      <patternFill patternType="solid">
        <fgColor theme="4" tint="0.59999389629810485"/>
        <bgColor indexed="64"/>
      </patternFill>
    </fill>
  </fills>
  <borders count="185">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ck">
        <color indexed="64"/>
      </left>
      <right/>
      <top/>
      <bottom/>
      <diagonal/>
    </border>
    <border>
      <left/>
      <right style="thick">
        <color indexed="64"/>
      </right>
      <top/>
      <bottom/>
      <diagonal/>
    </border>
    <border>
      <left style="thin">
        <color indexed="64"/>
      </left>
      <right style="thin">
        <color indexed="64"/>
      </right>
      <top style="thin">
        <color indexed="64"/>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thick">
        <color indexed="64"/>
      </left>
      <right style="thick">
        <color indexed="64"/>
      </right>
      <top style="thick">
        <color indexed="64"/>
      </top>
      <bottom style="thick">
        <color indexed="64"/>
      </bottom>
      <diagonal/>
    </border>
    <border>
      <left style="thick">
        <color indexed="64"/>
      </left>
      <right style="thin">
        <color indexed="64"/>
      </right>
      <top style="thick">
        <color indexed="64"/>
      </top>
      <bottom style="thin">
        <color indexed="64"/>
      </bottom>
      <diagonal/>
    </border>
    <border>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style="thick">
        <color indexed="64"/>
      </top>
      <bottom/>
      <diagonal/>
    </border>
    <border>
      <left style="thick">
        <color indexed="64"/>
      </left>
      <right style="thin">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indexed="64"/>
      </left>
      <right style="thick">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style="thick">
        <color indexed="64"/>
      </top>
      <bottom style="thin">
        <color indexed="64"/>
      </bottom>
      <diagonal/>
    </border>
    <border>
      <left/>
      <right style="thin">
        <color indexed="64"/>
      </right>
      <top style="thick">
        <color indexed="64"/>
      </top>
      <bottom style="thick">
        <color indexed="64"/>
      </bottom>
      <diagonal/>
    </border>
    <border>
      <left style="thick">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ck">
        <color indexed="64"/>
      </right>
      <top style="thin">
        <color indexed="64"/>
      </top>
      <bottom/>
      <diagonal/>
    </border>
    <border>
      <left style="thick">
        <color indexed="64"/>
      </left>
      <right style="thin">
        <color indexed="64"/>
      </right>
      <top/>
      <bottom style="thin">
        <color indexed="64"/>
      </bottom>
      <diagonal/>
    </border>
    <border>
      <left style="thick">
        <color indexed="64"/>
      </left>
      <right/>
      <top style="thick">
        <color indexed="64"/>
      </top>
      <bottom style="thin">
        <color indexed="64"/>
      </bottom>
      <diagonal/>
    </border>
    <border>
      <left style="thick">
        <color indexed="64"/>
      </left>
      <right style="thin">
        <color indexed="64"/>
      </right>
      <top style="thick">
        <color indexed="64"/>
      </top>
      <bottom/>
      <diagonal/>
    </border>
    <border>
      <left style="thin">
        <color indexed="64"/>
      </left>
      <right style="thin">
        <color indexed="64"/>
      </right>
      <top style="thick">
        <color indexed="64"/>
      </top>
      <bottom/>
      <diagonal/>
    </border>
    <border>
      <left style="thin">
        <color indexed="64"/>
      </left>
      <right/>
      <top style="thick">
        <color indexed="64"/>
      </top>
      <bottom/>
      <diagonal/>
    </border>
    <border>
      <left style="thin">
        <color indexed="64"/>
      </left>
      <right/>
      <top/>
      <bottom/>
      <diagonal/>
    </border>
    <border>
      <left style="thin">
        <color indexed="64"/>
      </left>
      <right style="thick">
        <color indexed="64"/>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style="medium">
        <color indexed="64"/>
      </left>
      <right style="thick">
        <color indexed="64"/>
      </right>
      <top style="thick">
        <color indexed="64"/>
      </top>
      <bottom style="thin">
        <color indexed="64"/>
      </bottom>
      <diagonal/>
    </border>
    <border>
      <left style="medium">
        <color indexed="64"/>
      </left>
      <right style="thick">
        <color indexed="64"/>
      </right>
      <top style="thin">
        <color indexed="64"/>
      </top>
      <bottom style="thin">
        <color indexed="64"/>
      </bottom>
      <diagonal/>
    </border>
    <border>
      <left style="medium">
        <color indexed="64"/>
      </left>
      <right style="thick">
        <color indexed="64"/>
      </right>
      <top style="thin">
        <color indexed="64"/>
      </top>
      <bottom style="medium">
        <color indexed="64"/>
      </bottom>
      <diagonal/>
    </border>
    <border>
      <left style="thin">
        <color indexed="64"/>
      </left>
      <right/>
      <top style="thick">
        <color indexed="64"/>
      </top>
      <bottom style="thick">
        <color indexed="64"/>
      </bottom>
      <diagonal/>
    </border>
    <border>
      <left style="medium">
        <color indexed="64"/>
      </left>
      <right style="thin">
        <color indexed="64"/>
      </right>
      <top style="medium">
        <color indexed="64"/>
      </top>
      <bottom style="thick">
        <color indexed="64"/>
      </bottom>
      <diagonal/>
    </border>
    <border>
      <left style="thin">
        <color indexed="64"/>
      </left>
      <right style="thin">
        <color indexed="64"/>
      </right>
      <top style="medium">
        <color indexed="64"/>
      </top>
      <bottom style="thick">
        <color indexed="64"/>
      </bottom>
      <diagonal/>
    </border>
    <border>
      <left style="thin">
        <color indexed="64"/>
      </left>
      <right style="medium">
        <color indexed="64"/>
      </right>
      <top style="medium">
        <color indexed="64"/>
      </top>
      <bottom style="thick">
        <color indexed="64"/>
      </bottom>
      <diagonal/>
    </border>
    <border>
      <left style="thin">
        <color indexed="64"/>
      </left>
      <right/>
      <top style="thin">
        <color indexed="64"/>
      </top>
      <bottom style="thin">
        <color indexed="64"/>
      </bottom>
      <diagonal/>
    </border>
    <border>
      <left/>
      <right style="thick">
        <color indexed="64"/>
      </right>
      <top style="medium">
        <color indexed="64"/>
      </top>
      <bottom style="thick">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style="thin">
        <color indexed="64"/>
      </left>
      <right/>
      <top style="thick">
        <color indexed="64"/>
      </top>
      <bottom style="thin">
        <color indexed="64"/>
      </bottom>
      <diagonal/>
    </border>
    <border>
      <left style="thin">
        <color indexed="64"/>
      </left>
      <right/>
      <top style="thin">
        <color indexed="64"/>
      </top>
      <bottom style="thick">
        <color indexed="64"/>
      </bottom>
      <diagonal/>
    </border>
    <border>
      <left style="medium">
        <color indexed="64"/>
      </left>
      <right style="medium">
        <color indexed="64"/>
      </right>
      <top style="medium">
        <color indexed="64"/>
      </top>
      <bottom/>
      <diagonal/>
    </border>
    <border>
      <left style="thick">
        <color indexed="64"/>
      </left>
      <right/>
      <top style="thin">
        <color indexed="64"/>
      </top>
      <bottom style="thin">
        <color indexed="64"/>
      </bottom>
      <diagonal/>
    </border>
    <border>
      <left/>
      <right style="medium">
        <color indexed="64"/>
      </right>
      <top style="medium">
        <color indexed="64"/>
      </top>
      <bottom style="medium">
        <color indexed="64"/>
      </bottom>
      <diagonal/>
    </border>
    <border>
      <left/>
      <right/>
      <top style="thick">
        <color indexed="64"/>
      </top>
      <bottom/>
      <diagonal/>
    </border>
    <border>
      <left/>
      <right style="thick">
        <color indexed="64"/>
      </right>
      <top style="thick">
        <color indexed="64"/>
      </top>
      <bottom/>
      <diagonal/>
    </border>
    <border>
      <left style="thick">
        <color indexed="64"/>
      </left>
      <right/>
      <top/>
      <bottom style="thick">
        <color indexed="64"/>
      </bottom>
      <diagonal/>
    </border>
    <border>
      <left/>
      <right style="thin">
        <color indexed="64"/>
      </right>
      <top/>
      <bottom style="thick">
        <color indexed="64"/>
      </bottom>
      <diagonal/>
    </border>
    <border>
      <left style="thin">
        <color indexed="64"/>
      </left>
      <right style="thin">
        <color indexed="64"/>
      </right>
      <top/>
      <bottom style="thick">
        <color indexed="64"/>
      </bottom>
      <diagonal/>
    </border>
    <border>
      <left style="thin">
        <color indexed="64"/>
      </left>
      <right style="thick">
        <color indexed="64"/>
      </right>
      <top/>
      <bottom style="thick">
        <color indexed="64"/>
      </bottom>
      <diagonal/>
    </border>
    <border>
      <left style="thin">
        <color indexed="64"/>
      </left>
      <right style="thick">
        <color indexed="64"/>
      </right>
      <top style="thick">
        <color indexed="64"/>
      </top>
      <bottom/>
      <diagonal/>
    </border>
    <border>
      <left style="medium">
        <color indexed="64"/>
      </left>
      <right style="thick">
        <color indexed="64"/>
      </right>
      <top style="thick">
        <color indexed="64"/>
      </top>
      <bottom style="thick">
        <color indexed="64"/>
      </bottom>
      <diagonal/>
    </border>
    <border>
      <left style="medium">
        <color indexed="64"/>
      </left>
      <right style="thick">
        <color indexed="64"/>
      </right>
      <top style="thick">
        <color indexed="64"/>
      </top>
      <bottom style="medium">
        <color indexed="64"/>
      </bottom>
      <diagonal/>
    </border>
    <border>
      <left style="medium">
        <color indexed="64"/>
      </left>
      <right style="thick">
        <color indexed="64"/>
      </right>
      <top style="medium">
        <color indexed="64"/>
      </top>
      <bottom style="medium">
        <color indexed="64"/>
      </bottom>
      <diagonal/>
    </border>
    <border>
      <left style="thick">
        <color indexed="64"/>
      </left>
      <right/>
      <top style="thick">
        <color indexed="64"/>
      </top>
      <bottom style="medium">
        <color indexed="64"/>
      </bottom>
      <diagonal/>
    </border>
    <border>
      <left/>
      <right/>
      <top style="thick">
        <color indexed="64"/>
      </top>
      <bottom style="medium">
        <color indexed="64"/>
      </bottom>
      <diagonal/>
    </border>
    <border>
      <left/>
      <right style="thick">
        <color indexed="64"/>
      </right>
      <top style="thick">
        <color indexed="64"/>
      </top>
      <bottom style="medium">
        <color indexed="64"/>
      </bottom>
      <diagonal/>
    </border>
    <border>
      <left style="thick">
        <color indexed="64"/>
      </left>
      <right/>
      <top style="medium">
        <color indexed="64"/>
      </top>
      <bottom style="medium">
        <color indexed="64"/>
      </bottom>
      <diagonal/>
    </border>
    <border>
      <left/>
      <right/>
      <top style="medium">
        <color indexed="64"/>
      </top>
      <bottom style="medium">
        <color indexed="64"/>
      </bottom>
      <diagonal/>
    </border>
    <border>
      <left/>
      <right style="thick">
        <color indexed="64"/>
      </right>
      <top style="medium">
        <color indexed="64"/>
      </top>
      <bottom style="medium">
        <color indexed="64"/>
      </bottom>
      <diagonal/>
    </border>
    <border>
      <left style="thick">
        <color indexed="64"/>
      </left>
      <right/>
      <top style="medium">
        <color indexed="64"/>
      </top>
      <bottom/>
      <diagonal/>
    </border>
    <border>
      <left/>
      <right style="thick">
        <color indexed="64"/>
      </right>
      <top style="medium">
        <color indexed="64"/>
      </top>
      <bottom/>
      <diagonal/>
    </border>
    <border>
      <left style="thick">
        <color indexed="64"/>
      </left>
      <right style="thin">
        <color indexed="64"/>
      </right>
      <top/>
      <bottom/>
      <diagonal/>
    </border>
    <border>
      <left style="thin">
        <color indexed="64"/>
      </left>
      <right style="thin">
        <color indexed="64"/>
      </right>
      <top/>
      <bottom/>
      <diagonal/>
    </border>
    <border>
      <left style="medium">
        <color indexed="64"/>
      </left>
      <right style="thick">
        <color indexed="64"/>
      </right>
      <top style="medium">
        <color indexed="64"/>
      </top>
      <bottom/>
      <diagonal/>
    </border>
    <border>
      <left style="thick">
        <color indexed="64"/>
      </left>
      <right/>
      <top style="medium">
        <color indexed="64"/>
      </top>
      <bottom style="thick">
        <color indexed="64"/>
      </bottom>
      <diagonal/>
    </border>
    <border>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ck">
        <color indexed="64"/>
      </bottom>
      <diagonal/>
    </border>
    <border>
      <left style="medium">
        <color indexed="64"/>
      </left>
      <right/>
      <top style="double">
        <color indexed="12"/>
      </top>
      <bottom style="double">
        <color indexed="12"/>
      </bottom>
      <diagonal/>
    </border>
    <border>
      <left/>
      <right/>
      <top style="double">
        <color indexed="12"/>
      </top>
      <bottom style="double">
        <color indexed="12"/>
      </bottom>
      <diagonal/>
    </border>
    <border>
      <left/>
      <right style="medium">
        <color indexed="64"/>
      </right>
      <top style="double">
        <color indexed="12"/>
      </top>
      <bottom style="double">
        <color indexed="12"/>
      </bottom>
      <diagonal/>
    </border>
    <border>
      <left style="medium">
        <color indexed="64"/>
      </left>
      <right/>
      <top style="double">
        <color indexed="12"/>
      </top>
      <bottom/>
      <diagonal/>
    </border>
    <border>
      <left/>
      <right/>
      <top style="double">
        <color indexed="12"/>
      </top>
      <bottom/>
      <diagonal/>
    </border>
    <border>
      <left/>
      <right style="medium">
        <color indexed="64"/>
      </right>
      <top style="double">
        <color indexed="12"/>
      </top>
      <bottom/>
      <diagonal/>
    </border>
    <border>
      <left style="thick">
        <color indexed="64"/>
      </left>
      <right style="thin">
        <color indexed="64"/>
      </right>
      <top/>
      <bottom style="thick">
        <color indexed="64"/>
      </bottom>
      <diagonal/>
    </border>
    <border>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thick">
        <color indexed="64"/>
      </right>
      <top/>
      <bottom style="thick">
        <color indexed="64"/>
      </bottom>
      <diagonal/>
    </border>
    <border>
      <left style="medium">
        <color indexed="64"/>
      </left>
      <right style="thin">
        <color indexed="64"/>
      </right>
      <top/>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right style="thick">
        <color indexed="64"/>
      </right>
      <top/>
      <bottom style="thick">
        <color indexed="64"/>
      </bottom>
      <diagonal/>
    </border>
    <border>
      <left/>
      <right style="thick">
        <color indexed="64"/>
      </right>
      <top style="thin">
        <color indexed="64"/>
      </top>
      <bottom style="thick">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style="thick">
        <color indexed="64"/>
      </bottom>
      <diagonal/>
    </border>
    <border>
      <left style="thick">
        <color indexed="64"/>
      </left>
      <right/>
      <top style="thin">
        <color indexed="64"/>
      </top>
      <bottom/>
      <diagonal/>
    </border>
    <border>
      <left/>
      <right style="thin">
        <color indexed="64"/>
      </right>
      <top style="thick">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medium">
        <color indexed="64"/>
      </top>
      <bottom/>
      <diagonal/>
    </border>
    <border>
      <left/>
      <right style="thick">
        <color indexed="64"/>
      </right>
      <top/>
      <bottom style="thin">
        <color indexed="64"/>
      </bottom>
      <diagonal/>
    </border>
    <border>
      <left style="thick">
        <color indexed="64"/>
      </left>
      <right/>
      <top/>
      <bottom style="medium">
        <color indexed="64"/>
      </bottom>
      <diagonal/>
    </border>
    <border>
      <left style="thick">
        <color indexed="64"/>
      </left>
      <right/>
      <top style="medium">
        <color indexed="64"/>
      </top>
      <bottom style="thin">
        <color indexed="64"/>
      </bottom>
      <diagonal/>
    </border>
    <border>
      <left/>
      <right style="thick">
        <color indexed="64"/>
      </right>
      <top style="medium">
        <color indexed="64"/>
      </top>
      <bottom style="thin">
        <color indexed="64"/>
      </bottom>
      <diagonal/>
    </border>
    <border>
      <left/>
      <right/>
      <top style="thin">
        <color indexed="64"/>
      </top>
      <bottom/>
      <diagonal/>
    </border>
    <border>
      <left/>
      <right style="thick">
        <color indexed="64"/>
      </right>
      <top style="thin">
        <color indexed="64"/>
      </top>
      <bottom/>
      <diagonal/>
    </border>
    <border>
      <left style="thick">
        <color indexed="64"/>
      </left>
      <right/>
      <top style="thin">
        <color indexed="64"/>
      </top>
      <bottom style="medium">
        <color indexed="64"/>
      </bottom>
      <diagonal/>
    </border>
    <border>
      <left/>
      <right style="thick">
        <color indexed="64"/>
      </right>
      <top style="thin">
        <color indexed="64"/>
      </top>
      <bottom style="medium">
        <color indexed="64"/>
      </bottom>
      <diagonal/>
    </border>
    <border>
      <left style="thin">
        <color indexed="64"/>
      </left>
      <right style="thick">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ck">
        <color indexed="64"/>
      </left>
      <right/>
      <top/>
      <bottom style="thin">
        <color indexed="64"/>
      </bottom>
      <diagonal/>
    </border>
    <border>
      <left/>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style="medium">
        <color indexed="64"/>
      </left>
      <right/>
      <top/>
      <bottom style="thick">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right/>
      <top style="double">
        <color indexed="64"/>
      </top>
      <bottom style="medium">
        <color indexed="64"/>
      </bottom>
      <diagonal/>
    </border>
    <border>
      <left/>
      <right style="medium">
        <color indexed="64"/>
      </right>
      <top style="thin">
        <color indexed="64"/>
      </top>
      <bottom/>
      <diagonal/>
    </border>
    <border>
      <left style="thin">
        <color indexed="64"/>
      </left>
      <right style="medium">
        <color indexed="64"/>
      </right>
      <top style="medium">
        <color indexed="64"/>
      </top>
      <bottom style="medium">
        <color indexed="64"/>
      </bottom>
      <diagonal/>
    </border>
    <border>
      <left/>
      <right style="thick">
        <color indexed="64"/>
      </right>
      <top/>
      <bottom style="medium">
        <color indexed="64"/>
      </bottom>
      <diagonal/>
    </border>
    <border>
      <left/>
      <right/>
      <top/>
      <bottom style="double">
        <color indexed="12"/>
      </bottom>
      <diagonal/>
    </border>
    <border>
      <left/>
      <right style="medium">
        <color indexed="64"/>
      </right>
      <top/>
      <bottom style="double">
        <color indexed="12"/>
      </bottom>
      <diagonal/>
    </border>
    <border>
      <left style="thin">
        <color indexed="64"/>
      </left>
      <right/>
      <top/>
      <bottom style="medium">
        <color indexed="64"/>
      </bottom>
      <diagonal/>
    </border>
    <border>
      <left style="thin">
        <color indexed="64"/>
      </left>
      <right/>
      <top style="medium">
        <color indexed="64"/>
      </top>
      <bottom/>
      <diagonal/>
    </border>
    <border>
      <left style="thin">
        <color indexed="64"/>
      </left>
      <right style="medium">
        <color indexed="64"/>
      </right>
      <top style="thick">
        <color indexed="64"/>
      </top>
      <bottom style="thin">
        <color indexed="64"/>
      </bottom>
      <diagonal/>
    </border>
    <border>
      <left style="thin">
        <color indexed="64"/>
      </left>
      <right style="medium">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thick">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indexed="64"/>
      </right>
      <top style="thick">
        <color indexed="64"/>
      </top>
      <bottom style="thick">
        <color indexed="64"/>
      </bottom>
      <diagonal/>
    </border>
    <border>
      <left/>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ck">
        <color indexed="64"/>
      </left>
      <right/>
      <top style="thin">
        <color indexed="64"/>
      </top>
      <bottom style="double">
        <color indexed="64"/>
      </bottom>
      <diagonal/>
    </border>
    <border>
      <left/>
      <right/>
      <top style="thin">
        <color indexed="64"/>
      </top>
      <bottom style="double">
        <color indexed="64"/>
      </bottom>
      <diagonal/>
    </border>
    <border>
      <left/>
      <right style="thick">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medium">
        <color indexed="64"/>
      </left>
      <right/>
      <top style="thin">
        <color indexed="64"/>
      </top>
      <bottom/>
      <diagonal/>
    </border>
    <border>
      <left style="thick">
        <color indexed="64"/>
      </left>
      <right/>
      <top style="double">
        <color indexed="64"/>
      </top>
      <bottom style="thick">
        <color indexed="64"/>
      </bottom>
      <diagonal/>
    </border>
    <border>
      <left/>
      <right/>
      <top style="double">
        <color indexed="64"/>
      </top>
      <bottom style="thick">
        <color indexed="64"/>
      </bottom>
      <diagonal/>
    </border>
    <border>
      <left style="thin">
        <color indexed="64"/>
      </left>
      <right style="medium">
        <color indexed="64"/>
      </right>
      <top style="thin">
        <color indexed="64"/>
      </top>
      <bottom style="double">
        <color indexed="64"/>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medium">
        <color indexed="64"/>
      </left>
      <right style="medium">
        <color indexed="64"/>
      </right>
      <top style="thin">
        <color indexed="64"/>
      </top>
      <bottom/>
      <diagonal/>
    </border>
    <border>
      <left/>
      <right style="thin">
        <color indexed="64"/>
      </right>
      <top style="thin">
        <color indexed="64"/>
      </top>
      <bottom/>
      <diagonal/>
    </border>
    <border>
      <left style="thin">
        <color indexed="64"/>
      </left>
      <right style="thick">
        <color indexed="64"/>
      </right>
      <top style="medium">
        <color indexed="64"/>
      </top>
      <bottom/>
      <diagonal/>
    </border>
  </borders>
  <cellStyleXfs count="22">
    <xf numFmtId="0" fontId="0" fillId="0" borderId="0"/>
    <xf numFmtId="43" fontId="2" fillId="0" borderId="0" applyFont="0" applyFill="0" applyBorder="0" applyAlignment="0" applyProtection="0"/>
    <xf numFmtId="43" fontId="50" fillId="0" borderId="0" applyFont="0" applyFill="0" applyBorder="0" applyAlignment="0" applyProtection="0"/>
    <xf numFmtId="44" fontId="2" fillId="0" borderId="0" applyFont="0" applyFill="0" applyBorder="0" applyAlignment="0" applyProtection="0"/>
    <xf numFmtId="44" fontId="50" fillId="0" borderId="0" applyFont="0" applyFill="0" applyBorder="0" applyAlignment="0" applyProtection="0"/>
    <xf numFmtId="0" fontId="5"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12" fillId="0" borderId="0"/>
    <xf numFmtId="0" fontId="51" fillId="0" borderId="0"/>
    <xf numFmtId="0" fontId="51" fillId="0" borderId="0"/>
    <xf numFmtId="0" fontId="48" fillId="0" borderId="0"/>
    <xf numFmtId="0" fontId="51" fillId="0" borderId="0"/>
    <xf numFmtId="173" fontId="42" fillId="0" borderId="0"/>
    <xf numFmtId="173" fontId="42" fillId="0" borderId="0"/>
    <xf numFmtId="0" fontId="12" fillId="0" borderId="0"/>
    <xf numFmtId="0" fontId="12" fillId="0" borderId="0"/>
    <xf numFmtId="173" fontId="16" fillId="0" borderId="0"/>
    <xf numFmtId="9" fontId="2" fillId="0" borderId="0" applyFont="0" applyFill="0" applyBorder="0" applyAlignment="0" applyProtection="0"/>
    <xf numFmtId="9" fontId="12" fillId="0" borderId="0" applyFont="0" applyFill="0" applyBorder="0" applyAlignment="0" applyProtection="0"/>
    <xf numFmtId="9" fontId="50" fillId="0" borderId="0" applyFont="0" applyFill="0" applyBorder="0" applyAlignment="0" applyProtection="0"/>
    <xf numFmtId="0" fontId="59" fillId="0" borderId="0"/>
    <xf numFmtId="0" fontId="1" fillId="0" borderId="0"/>
  </cellStyleXfs>
  <cellXfs count="1711">
    <xf numFmtId="0" fontId="0" fillId="0" borderId="0" xfId="0"/>
    <xf numFmtId="0" fontId="4" fillId="0" borderId="0" xfId="0" applyFont="1"/>
    <xf numFmtId="0" fontId="6" fillId="0" borderId="0" xfId="0" applyFont="1"/>
    <xf numFmtId="0" fontId="9" fillId="2" borderId="1" xfId="0" applyFont="1" applyFill="1" applyBorder="1" applyAlignment="1">
      <alignment wrapText="1"/>
    </xf>
    <xf numFmtId="0" fontId="9" fillId="2" borderId="2" xfId="0" applyFont="1" applyFill="1" applyBorder="1" applyAlignment="1">
      <alignment wrapText="1"/>
    </xf>
    <xf numFmtId="0" fontId="9" fillId="2" borderId="2" xfId="0" applyFont="1" applyFill="1" applyBorder="1" applyAlignment="1">
      <alignment horizontal="center" vertical="center" wrapText="1"/>
    </xf>
    <xf numFmtId="0" fontId="9" fillId="2" borderId="3" xfId="0" applyFont="1" applyFill="1" applyBorder="1" applyAlignment="1">
      <alignment horizontal="center" vertical="center" wrapText="1"/>
    </xf>
    <xf numFmtId="0" fontId="9" fillId="3" borderId="4" xfId="0" applyFont="1" applyFill="1" applyBorder="1" applyAlignment="1">
      <alignment vertical="center" wrapText="1"/>
    </xf>
    <xf numFmtId="0" fontId="9" fillId="3" borderId="0" xfId="0" applyFont="1" applyFill="1" applyBorder="1" applyAlignment="1">
      <alignment vertical="center" wrapText="1"/>
    </xf>
    <xf numFmtId="0" fontId="9" fillId="3" borderId="0" xfId="0" applyFont="1" applyFill="1" applyBorder="1" applyAlignment="1">
      <alignment horizontal="center" vertical="center" wrapText="1"/>
    </xf>
    <xf numFmtId="0" fontId="9" fillId="3" borderId="5" xfId="0" applyFont="1" applyFill="1" applyBorder="1" applyAlignment="1">
      <alignment horizontal="center" vertical="center" wrapText="1"/>
    </xf>
    <xf numFmtId="0" fontId="8" fillId="2" borderId="4" xfId="0" applyFont="1" applyFill="1" applyBorder="1" applyAlignment="1">
      <alignment horizontal="left" vertical="center" wrapText="1"/>
    </xf>
    <xf numFmtId="0" fontId="9" fillId="2" borderId="0" xfId="0" applyFont="1" applyFill="1" applyBorder="1" applyAlignment="1">
      <alignment horizontal="left" vertical="center" wrapText="1"/>
    </xf>
    <xf numFmtId="1" fontId="8" fillId="2" borderId="0" xfId="0" applyNumberFormat="1" applyFont="1" applyFill="1" applyBorder="1" applyAlignment="1">
      <alignment horizontal="center" vertical="center"/>
    </xf>
    <xf numFmtId="3" fontId="8" fillId="0" borderId="0" xfId="0" applyNumberFormat="1" applyFont="1" applyFill="1" applyBorder="1" applyAlignment="1">
      <alignment horizontal="center" vertical="center"/>
    </xf>
    <xf numFmtId="0" fontId="8" fillId="2" borderId="4" xfId="0" applyFont="1" applyFill="1" applyBorder="1" applyAlignment="1">
      <alignment vertical="center" wrapText="1"/>
    </xf>
    <xf numFmtId="0" fontId="9" fillId="2" borderId="0" xfId="0" applyFont="1" applyFill="1" applyBorder="1" applyAlignment="1">
      <alignment vertical="center" wrapText="1"/>
    </xf>
    <xf numFmtId="3" fontId="8" fillId="2" borderId="0" xfId="0" applyNumberFormat="1" applyFont="1" applyFill="1" applyBorder="1" applyAlignment="1">
      <alignment horizontal="center" vertical="center"/>
    </xf>
    <xf numFmtId="166" fontId="8" fillId="2" borderId="0" xfId="0" applyNumberFormat="1" applyFont="1" applyFill="1" applyBorder="1" applyAlignment="1">
      <alignment horizontal="center" vertical="center"/>
    </xf>
    <xf numFmtId="3" fontId="8" fillId="2" borderId="0" xfId="0" applyNumberFormat="1" applyFont="1" applyFill="1" applyBorder="1" applyAlignment="1">
      <alignment horizontal="center" vertical="center" wrapText="1"/>
    </xf>
    <xf numFmtId="166" fontId="8" fillId="2" borderId="5" xfId="0" applyNumberFormat="1" applyFont="1" applyFill="1" applyBorder="1" applyAlignment="1">
      <alignment horizontal="center" vertical="center" wrapText="1"/>
    </xf>
    <xf numFmtId="3" fontId="8" fillId="2" borderId="5" xfId="0" applyNumberFormat="1" applyFont="1" applyFill="1" applyBorder="1" applyAlignment="1">
      <alignment horizontal="center" vertical="center" wrapText="1"/>
    </xf>
    <xf numFmtId="3" fontId="8" fillId="2" borderId="5" xfId="0" quotePrefix="1" applyNumberFormat="1" applyFont="1" applyFill="1" applyBorder="1" applyAlignment="1">
      <alignment horizontal="center" vertical="center" wrapText="1"/>
    </xf>
    <xf numFmtId="0" fontId="9" fillId="2" borderId="0" xfId="0" applyFont="1" applyFill="1" applyBorder="1" applyAlignment="1">
      <alignment vertical="center"/>
    </xf>
    <xf numFmtId="3" fontId="8" fillId="2" borderId="0" xfId="0" quotePrefix="1" applyNumberFormat="1" applyFont="1" applyFill="1" applyBorder="1" applyAlignment="1">
      <alignment horizontal="center" vertical="center" wrapText="1"/>
    </xf>
    <xf numFmtId="0" fontId="8" fillId="2" borderId="4" xfId="0" applyFont="1" applyFill="1" applyBorder="1" applyAlignment="1">
      <alignment horizontal="left" wrapText="1"/>
    </xf>
    <xf numFmtId="0" fontId="8" fillId="2" borderId="0" xfId="0" applyFont="1" applyFill="1" applyBorder="1" applyAlignment="1">
      <alignment horizontal="left" wrapText="1"/>
    </xf>
    <xf numFmtId="0" fontId="8" fillId="2" borderId="5" xfId="0" applyFont="1" applyFill="1" applyBorder="1" applyAlignment="1">
      <alignment horizontal="left" wrapText="1"/>
    </xf>
    <xf numFmtId="10" fontId="0" fillId="0" borderId="0" xfId="0" applyNumberFormat="1"/>
    <xf numFmtId="0" fontId="0" fillId="0" borderId="0" xfId="0" applyAlignment="1">
      <alignment vertical="top" wrapText="1"/>
    </xf>
    <xf numFmtId="0" fontId="6" fillId="0" borderId="6" xfId="0" applyFont="1" applyBorder="1" applyAlignment="1">
      <alignment horizontal="center"/>
    </xf>
    <xf numFmtId="0" fontId="6" fillId="0" borderId="7" xfId="0" applyFont="1" applyBorder="1" applyAlignment="1">
      <alignment horizontal="center"/>
    </xf>
    <xf numFmtId="0" fontId="0" fillId="0" borderId="0" xfId="0" applyFill="1"/>
    <xf numFmtId="0" fontId="12" fillId="0" borderId="0" xfId="0" applyFont="1" applyAlignment="1">
      <alignment vertical="top" wrapText="1"/>
    </xf>
    <xf numFmtId="0" fontId="12" fillId="3" borderId="8" xfId="0" applyFont="1" applyFill="1" applyBorder="1" applyAlignment="1" applyProtection="1">
      <alignment horizontal="left" vertical="center" wrapText="1"/>
    </xf>
    <xf numFmtId="0" fontId="17" fillId="0" borderId="0" xfId="0" applyFont="1" applyProtection="1"/>
    <xf numFmtId="0" fontId="0" fillId="0" borderId="0" xfId="0" applyProtection="1"/>
    <xf numFmtId="0" fontId="0" fillId="0" borderId="0" xfId="0" applyFill="1" applyProtection="1"/>
    <xf numFmtId="0" fontId="12" fillId="0" borderId="0" xfId="0" applyFont="1" applyFill="1" applyBorder="1" applyAlignment="1" applyProtection="1">
      <alignment horizontal="left" vertical="center" wrapText="1"/>
    </xf>
    <xf numFmtId="0" fontId="4" fillId="0" borderId="0" xfId="0" quotePrefix="1" applyFont="1" applyFill="1" applyBorder="1" applyAlignment="1" applyProtection="1">
      <alignment horizontal="left" vertical="center"/>
    </xf>
    <xf numFmtId="0" fontId="13" fillId="4" borderId="0" xfId="0" applyFont="1" applyFill="1" applyProtection="1"/>
    <xf numFmtId="0" fontId="12" fillId="4" borderId="0" xfId="0" applyFont="1" applyFill="1" applyProtection="1"/>
    <xf numFmtId="0" fontId="12" fillId="0" borderId="0" xfId="0" applyFont="1" applyFill="1" applyProtection="1"/>
    <xf numFmtId="0" fontId="0" fillId="0" borderId="0" xfId="0" applyFill="1" applyBorder="1" applyProtection="1"/>
    <xf numFmtId="0" fontId="12" fillId="5" borderId="8" xfId="0" applyFont="1" applyFill="1" applyBorder="1" applyAlignment="1" applyProtection="1">
      <alignment horizontal="left" vertical="center" wrapText="1"/>
    </xf>
    <xf numFmtId="0" fontId="12" fillId="6" borderId="8" xfId="0" applyFont="1" applyFill="1" applyBorder="1" applyAlignment="1" applyProtection="1">
      <alignment horizontal="left" vertical="center" wrapText="1"/>
    </xf>
    <xf numFmtId="0" fontId="0" fillId="4" borderId="8" xfId="0" applyFill="1" applyBorder="1" applyProtection="1"/>
    <xf numFmtId="173" fontId="18" fillId="0" borderId="9" xfId="16" applyFont="1" applyBorder="1" applyAlignment="1" applyProtection="1"/>
    <xf numFmtId="173" fontId="18" fillId="0" borderId="10" xfId="16" applyFont="1" applyBorder="1" applyAlignment="1" applyProtection="1"/>
    <xf numFmtId="0" fontId="0" fillId="0" borderId="10" xfId="0" applyBorder="1" applyAlignment="1" applyProtection="1"/>
    <xf numFmtId="0" fontId="0" fillId="0" borderId="11" xfId="0" applyBorder="1" applyAlignment="1" applyProtection="1"/>
    <xf numFmtId="173" fontId="12" fillId="0" borderId="0" xfId="16" applyFont="1" applyProtection="1"/>
    <xf numFmtId="173" fontId="4" fillId="0" borderId="13" xfId="16" applyFont="1" applyBorder="1" applyAlignment="1" applyProtection="1">
      <alignment horizontal="center"/>
    </xf>
    <xf numFmtId="173" fontId="4" fillId="0" borderId="14" xfId="16" applyFont="1" applyBorder="1" applyAlignment="1" applyProtection="1">
      <alignment horizontal="center"/>
    </xf>
    <xf numFmtId="173" fontId="4" fillId="0" borderId="15" xfId="16" applyFont="1" applyBorder="1" applyAlignment="1" applyProtection="1">
      <alignment horizontal="center"/>
    </xf>
    <xf numFmtId="173" fontId="4" fillId="0" borderId="16" xfId="16" applyFont="1" applyBorder="1" applyAlignment="1" applyProtection="1">
      <alignment horizontal="center"/>
    </xf>
    <xf numFmtId="173" fontId="12" fillId="3" borderId="17" xfId="16" applyFont="1" applyFill="1" applyBorder="1" applyProtection="1"/>
    <xf numFmtId="170" fontId="12" fillId="3" borderId="8" xfId="16" applyNumberFormat="1" applyFont="1" applyFill="1" applyBorder="1" applyProtection="1"/>
    <xf numFmtId="170" fontId="12" fillId="3" borderId="19" xfId="16" applyNumberFormat="1" applyFont="1" applyFill="1" applyBorder="1" applyProtection="1"/>
    <xf numFmtId="173" fontId="12" fillId="3" borderId="20" xfId="16" applyFont="1" applyFill="1" applyBorder="1" applyProtection="1"/>
    <xf numFmtId="170" fontId="12" fillId="3" borderId="23" xfId="16" applyNumberFormat="1" applyFont="1" applyFill="1" applyBorder="1" applyProtection="1"/>
    <xf numFmtId="0" fontId="18" fillId="3" borderId="24" xfId="0" applyFont="1" applyFill="1" applyBorder="1" applyProtection="1"/>
    <xf numFmtId="0" fontId="0" fillId="3" borderId="10" xfId="0" applyFill="1" applyBorder="1" applyProtection="1"/>
    <xf numFmtId="0" fontId="0" fillId="3" borderId="11" xfId="0" applyFill="1" applyBorder="1" applyProtection="1"/>
    <xf numFmtId="0" fontId="0" fillId="3" borderId="25" xfId="0" applyFill="1" applyBorder="1" applyProtection="1"/>
    <xf numFmtId="0" fontId="0" fillId="3" borderId="26" xfId="0" applyFill="1" applyBorder="1" applyAlignment="1" applyProtection="1">
      <alignment horizontal="center"/>
    </xf>
    <xf numFmtId="0" fontId="0" fillId="3" borderId="27" xfId="0" applyFill="1" applyBorder="1" applyAlignment="1" applyProtection="1">
      <alignment horizontal="center"/>
    </xf>
    <xf numFmtId="0" fontId="0" fillId="3" borderId="12" xfId="0" applyFill="1" applyBorder="1" applyProtection="1"/>
    <xf numFmtId="0" fontId="0" fillId="3" borderId="25" xfId="0" applyFill="1" applyBorder="1" applyAlignment="1" applyProtection="1">
      <alignment horizontal="center"/>
    </xf>
    <xf numFmtId="0" fontId="0" fillId="3" borderId="28" xfId="0" applyFill="1" applyBorder="1" applyProtection="1"/>
    <xf numFmtId="10" fontId="0" fillId="3" borderId="29" xfId="0" applyNumberFormat="1" applyFill="1" applyBorder="1" applyProtection="1"/>
    <xf numFmtId="10" fontId="0" fillId="3" borderId="30" xfId="0" applyNumberFormat="1" applyFill="1" applyBorder="1" applyProtection="1"/>
    <xf numFmtId="168" fontId="0" fillId="3" borderId="31" xfId="0" applyNumberFormat="1" applyFill="1" applyBorder="1" applyProtection="1"/>
    <xf numFmtId="0" fontId="0" fillId="3" borderId="32" xfId="0" applyFill="1" applyBorder="1" applyProtection="1"/>
    <xf numFmtId="10" fontId="0" fillId="3" borderId="18" xfId="0" applyNumberFormat="1" applyFill="1" applyBorder="1" applyProtection="1"/>
    <xf numFmtId="10" fontId="0" fillId="3" borderId="8" xfId="0" applyNumberFormat="1" applyFill="1" applyBorder="1" applyProtection="1"/>
    <xf numFmtId="168" fontId="0" fillId="3" borderId="19" xfId="0" applyNumberFormat="1" applyFill="1" applyBorder="1" applyProtection="1"/>
    <xf numFmtId="0" fontId="0" fillId="3" borderId="33" xfId="0" applyFill="1" applyBorder="1" applyProtection="1"/>
    <xf numFmtId="10" fontId="0" fillId="3" borderId="21" xfId="0" applyNumberFormat="1" applyFill="1" applyBorder="1" applyProtection="1"/>
    <xf numFmtId="10" fontId="0" fillId="3" borderId="22" xfId="0" applyNumberFormat="1" applyFill="1" applyBorder="1" applyProtection="1"/>
    <xf numFmtId="168" fontId="0" fillId="3" borderId="23" xfId="0" applyNumberFormat="1" applyFill="1" applyBorder="1" applyProtection="1"/>
    <xf numFmtId="0" fontId="0" fillId="3" borderId="34" xfId="0" applyFill="1" applyBorder="1" applyProtection="1"/>
    <xf numFmtId="175" fontId="0" fillId="3" borderId="13" xfId="0" applyNumberFormat="1" applyFill="1" applyBorder="1" applyProtection="1"/>
    <xf numFmtId="175" fontId="0" fillId="3" borderId="15" xfId="0" applyNumberFormat="1" applyFill="1" applyBorder="1" applyProtection="1"/>
    <xf numFmtId="175" fontId="0" fillId="3" borderId="16" xfId="0" applyNumberFormat="1" applyFill="1" applyBorder="1" applyProtection="1"/>
    <xf numFmtId="175" fontId="0" fillId="3" borderId="20" xfId="0" applyNumberFormat="1" applyFill="1" applyBorder="1" applyProtection="1"/>
    <xf numFmtId="175" fontId="0" fillId="3" borderId="22" xfId="0" applyNumberFormat="1" applyFill="1" applyBorder="1" applyProtection="1"/>
    <xf numFmtId="175" fontId="0" fillId="3" borderId="23" xfId="0" applyNumberFormat="1" applyFill="1" applyBorder="1" applyProtection="1"/>
    <xf numFmtId="0" fontId="18" fillId="3" borderId="25" xfId="0" applyFont="1" applyFill="1" applyBorder="1" applyProtection="1"/>
    <xf numFmtId="0" fontId="0" fillId="3" borderId="27" xfId="0" applyFill="1" applyBorder="1" applyProtection="1"/>
    <xf numFmtId="0" fontId="0" fillId="3" borderId="13" xfId="0" applyFill="1" applyBorder="1" applyProtection="1"/>
    <xf numFmtId="0" fontId="0" fillId="3" borderId="16" xfId="0" applyFill="1" applyBorder="1" applyAlignment="1" applyProtection="1">
      <alignment horizontal="right"/>
    </xf>
    <xf numFmtId="0" fontId="0" fillId="3" borderId="17" xfId="0" applyFill="1" applyBorder="1" applyProtection="1"/>
    <xf numFmtId="0" fontId="0" fillId="3" borderId="19" xfId="0" applyFill="1" applyBorder="1" applyAlignment="1" applyProtection="1">
      <alignment horizontal="right"/>
    </xf>
    <xf numFmtId="0" fontId="0" fillId="3" borderId="20" xfId="0" applyFill="1" applyBorder="1" applyProtection="1"/>
    <xf numFmtId="170" fontId="0" fillId="3" borderId="23" xfId="0" applyNumberFormat="1" applyFill="1" applyBorder="1" applyProtection="1"/>
    <xf numFmtId="0" fontId="18" fillId="3" borderId="9" xfId="0" applyFont="1" applyFill="1" applyBorder="1" applyProtection="1"/>
    <xf numFmtId="0" fontId="0" fillId="3" borderId="9" xfId="0" applyFill="1" applyBorder="1" applyProtection="1"/>
    <xf numFmtId="0" fontId="0" fillId="3" borderId="12" xfId="0" applyFill="1" applyBorder="1" applyAlignment="1" applyProtection="1">
      <alignment wrapText="1"/>
    </xf>
    <xf numFmtId="0" fontId="0" fillId="3" borderId="35" xfId="0" applyFill="1" applyBorder="1" applyProtection="1"/>
    <xf numFmtId="0" fontId="0" fillId="3" borderId="26" xfId="0" applyFill="1" applyBorder="1" applyProtection="1"/>
    <xf numFmtId="170" fontId="0" fillId="3" borderId="29" xfId="0" applyNumberFormat="1" applyFill="1" applyBorder="1" applyProtection="1"/>
    <xf numFmtId="170" fontId="0" fillId="3" borderId="30" xfId="0" applyNumberFormat="1" applyFill="1" applyBorder="1" applyProtection="1"/>
    <xf numFmtId="170" fontId="0" fillId="3" borderId="31" xfId="0" applyNumberFormat="1" applyFill="1" applyBorder="1" applyProtection="1"/>
    <xf numFmtId="170" fontId="0" fillId="3" borderId="28" xfId="0" applyNumberFormat="1" applyFill="1" applyBorder="1" applyProtection="1"/>
    <xf numFmtId="170" fontId="0" fillId="3" borderId="32" xfId="0" applyNumberFormat="1" applyFill="1" applyBorder="1" applyProtection="1"/>
    <xf numFmtId="170" fontId="0" fillId="3" borderId="18" xfId="0" applyNumberFormat="1" applyFill="1" applyBorder="1" applyProtection="1"/>
    <xf numFmtId="170" fontId="0" fillId="3" borderId="8" xfId="0" applyNumberFormat="1" applyFill="1" applyBorder="1" applyProtection="1"/>
    <xf numFmtId="170" fontId="0" fillId="3" borderId="19" xfId="0" applyNumberFormat="1" applyFill="1" applyBorder="1" applyProtection="1"/>
    <xf numFmtId="170" fontId="0" fillId="3" borderId="21" xfId="0" applyNumberFormat="1" applyFill="1" applyBorder="1" applyProtection="1"/>
    <xf numFmtId="170" fontId="0" fillId="3" borderId="22" xfId="0" applyNumberFormat="1" applyFill="1" applyBorder="1" applyProtection="1"/>
    <xf numFmtId="170" fontId="0" fillId="3" borderId="33" xfId="0" applyNumberFormat="1" applyFill="1" applyBorder="1" applyProtection="1"/>
    <xf numFmtId="170" fontId="0" fillId="0" borderId="0" xfId="0" applyNumberFormat="1" applyFill="1" applyBorder="1" applyProtection="1"/>
    <xf numFmtId="170" fontId="0" fillId="0" borderId="0" xfId="0" applyNumberFormat="1" applyProtection="1"/>
    <xf numFmtId="0" fontId="4" fillId="3" borderId="13" xfId="0" applyFont="1" applyFill="1" applyBorder="1" applyProtection="1"/>
    <xf numFmtId="0" fontId="4" fillId="3" borderId="15" xfId="0" applyFont="1" applyFill="1" applyBorder="1" applyProtection="1"/>
    <xf numFmtId="0" fontId="4" fillId="3" borderId="16" xfId="0" applyFont="1" applyFill="1" applyBorder="1" applyAlignment="1" applyProtection="1">
      <alignment wrapText="1"/>
    </xf>
    <xf numFmtId="5" fontId="2" fillId="3" borderId="19" xfId="3" applyNumberFormat="1" applyFill="1" applyBorder="1" applyProtection="1"/>
    <xf numFmtId="0" fontId="0" fillId="3" borderId="36" xfId="0" applyFill="1" applyBorder="1" applyProtection="1"/>
    <xf numFmtId="170" fontId="0" fillId="3" borderId="37" xfId="0" applyNumberFormat="1" applyFill="1" applyBorder="1" applyProtection="1"/>
    <xf numFmtId="5" fontId="2" fillId="3" borderId="38" xfId="3" applyNumberFormat="1" applyFill="1" applyBorder="1" applyProtection="1"/>
    <xf numFmtId="0" fontId="4" fillId="3" borderId="25" xfId="0" applyFont="1" applyFill="1" applyBorder="1" applyProtection="1"/>
    <xf numFmtId="170" fontId="4" fillId="3" borderId="26" xfId="0" applyNumberFormat="1" applyFont="1" applyFill="1" applyBorder="1" applyProtection="1"/>
    <xf numFmtId="5" fontId="4" fillId="3" borderId="27" xfId="3" applyNumberFormat="1" applyFont="1" applyFill="1" applyBorder="1" applyProtection="1"/>
    <xf numFmtId="0" fontId="4" fillId="0" borderId="0" xfId="0" applyFont="1" applyFill="1" applyBorder="1" applyProtection="1"/>
    <xf numFmtId="170" fontId="4" fillId="0" borderId="0" xfId="0" applyNumberFormat="1" applyFont="1" applyFill="1" applyBorder="1" applyProtection="1"/>
    <xf numFmtId="5" fontId="4" fillId="0" borderId="0" xfId="3" applyNumberFormat="1" applyFont="1" applyFill="1" applyBorder="1" applyProtection="1"/>
    <xf numFmtId="0" fontId="4" fillId="3" borderId="20" xfId="0" applyFont="1" applyFill="1" applyBorder="1" applyAlignment="1" applyProtection="1">
      <alignment wrapText="1"/>
    </xf>
    <xf numFmtId="0" fontId="4" fillId="3" borderId="23" xfId="0" applyFont="1" applyFill="1" applyBorder="1" applyAlignment="1" applyProtection="1">
      <alignment wrapText="1"/>
    </xf>
    <xf numFmtId="0" fontId="0" fillId="3" borderId="39" xfId="0" applyFill="1" applyBorder="1" applyProtection="1"/>
    <xf numFmtId="170" fontId="4" fillId="3" borderId="27" xfId="0" applyNumberFormat="1" applyFont="1" applyFill="1" applyBorder="1" applyProtection="1"/>
    <xf numFmtId="173" fontId="17" fillId="0" borderId="0" xfId="16" applyFont="1" applyAlignment="1" applyProtection="1">
      <alignment horizontal="left"/>
    </xf>
    <xf numFmtId="173" fontId="12" fillId="0" borderId="0" xfId="16" applyFont="1" applyFill="1" applyBorder="1" applyProtection="1"/>
    <xf numFmtId="173" fontId="8" fillId="0" borderId="0" xfId="16" applyFont="1" applyFill="1" applyProtection="1"/>
    <xf numFmtId="173" fontId="20" fillId="0" borderId="0" xfId="16" applyFont="1" applyProtection="1"/>
    <xf numFmtId="173" fontId="21" fillId="0" borderId="0" xfId="16" applyFont="1" applyAlignment="1" applyProtection="1">
      <alignment horizontal="left"/>
    </xf>
    <xf numFmtId="173" fontId="12" fillId="0" borderId="17" xfId="16" applyFont="1" applyBorder="1" applyAlignment="1" applyProtection="1">
      <alignment wrapText="1"/>
    </xf>
    <xf numFmtId="173" fontId="12" fillId="0" borderId="17" xfId="16" applyFont="1" applyBorder="1" applyProtection="1"/>
    <xf numFmtId="164" fontId="12" fillId="3" borderId="19" xfId="16" applyNumberFormat="1" applyFont="1" applyFill="1" applyBorder="1" applyAlignment="1" applyProtection="1">
      <alignment horizontal="center"/>
    </xf>
    <xf numFmtId="173" fontId="12" fillId="0" borderId="36" xfId="16" applyFont="1" applyBorder="1" applyProtection="1"/>
    <xf numFmtId="164" fontId="12" fillId="3" borderId="38" xfId="16" applyNumberFormat="1" applyFont="1" applyFill="1" applyBorder="1" applyAlignment="1" applyProtection="1">
      <alignment horizontal="center"/>
    </xf>
    <xf numFmtId="0" fontId="20" fillId="0" borderId="0" xfId="0" applyFont="1" applyFill="1" applyBorder="1" applyAlignment="1" applyProtection="1">
      <alignment horizontal="left" vertical="center"/>
    </xf>
    <xf numFmtId="173" fontId="12" fillId="0" borderId="36" xfId="16" applyFont="1" applyBorder="1" applyAlignment="1" applyProtection="1">
      <alignment wrapText="1"/>
    </xf>
    <xf numFmtId="165" fontId="12" fillId="3" borderId="38" xfId="16" applyNumberFormat="1" applyFont="1" applyFill="1" applyBorder="1" applyAlignment="1" applyProtection="1">
      <alignment horizontal="center"/>
    </xf>
    <xf numFmtId="173" fontId="12" fillId="0" borderId="20" xfId="16" applyFont="1" applyBorder="1" applyProtection="1"/>
    <xf numFmtId="173" fontId="12" fillId="0" borderId="0" xfId="16" applyFont="1" applyBorder="1" applyProtection="1"/>
    <xf numFmtId="173" fontId="12" fillId="0" borderId="0" xfId="16" applyFont="1" applyFill="1" applyProtection="1"/>
    <xf numFmtId="0" fontId="18" fillId="0" borderId="10" xfId="0" applyFont="1" applyBorder="1" applyAlignment="1" applyProtection="1">
      <alignment wrapText="1"/>
    </xf>
    <xf numFmtId="173" fontId="12" fillId="0" borderId="11" xfId="16" applyFont="1" applyBorder="1" applyProtection="1"/>
    <xf numFmtId="10" fontId="12" fillId="0" borderId="0" xfId="17" applyNumberFormat="1" applyFont="1" applyFill="1" applyBorder="1" applyProtection="1"/>
    <xf numFmtId="173" fontId="4" fillId="0" borderId="40" xfId="16" applyFont="1" applyBorder="1" applyAlignment="1" applyProtection="1">
      <alignment horizontal="center"/>
    </xf>
    <xf numFmtId="164" fontId="12" fillId="3" borderId="31" xfId="16" applyNumberFormat="1" applyFont="1" applyFill="1" applyBorder="1" applyProtection="1"/>
    <xf numFmtId="164" fontId="12" fillId="3" borderId="19" xfId="16" applyNumberFormat="1" applyFont="1" applyFill="1" applyBorder="1" applyProtection="1"/>
    <xf numFmtId="173" fontId="18" fillId="0" borderId="9" xfId="16" applyFont="1" applyBorder="1" applyAlignment="1" applyProtection="1">
      <alignment horizontal="left"/>
    </xf>
    <xf numFmtId="173" fontId="22" fillId="0" borderId="17" xfId="16" applyFont="1" applyBorder="1" applyAlignment="1" applyProtection="1">
      <alignment horizontal="left"/>
    </xf>
    <xf numFmtId="173" fontId="12" fillId="0" borderId="19" xfId="16" applyFont="1" applyBorder="1" applyProtection="1"/>
    <xf numFmtId="173" fontId="12" fillId="0" borderId="17" xfId="16" applyFont="1" applyBorder="1" applyAlignment="1" applyProtection="1">
      <alignment horizontal="left" wrapText="1"/>
    </xf>
    <xf numFmtId="3" fontId="12" fillId="3" borderId="19" xfId="16" applyNumberFormat="1" applyFont="1" applyFill="1" applyBorder="1" applyProtection="1"/>
    <xf numFmtId="173" fontId="12" fillId="0" borderId="17" xfId="16" applyFont="1" applyBorder="1" applyAlignment="1" applyProtection="1">
      <alignment horizontal="left"/>
    </xf>
    <xf numFmtId="0" fontId="12" fillId="0" borderId="17" xfId="0" applyFont="1" applyFill="1" applyBorder="1" applyAlignment="1" applyProtection="1">
      <alignment horizontal="left" vertical="center"/>
    </xf>
    <xf numFmtId="2" fontId="12" fillId="3" borderId="19" xfId="16" applyNumberFormat="1" applyFont="1" applyFill="1" applyBorder="1" applyProtection="1"/>
    <xf numFmtId="173" fontId="12" fillId="0" borderId="19" xfId="16" applyFont="1" applyFill="1" applyBorder="1" applyProtection="1"/>
    <xf numFmtId="1" fontId="12" fillId="3" borderId="19" xfId="16" applyNumberFormat="1" applyFont="1" applyFill="1" applyBorder="1" applyProtection="1"/>
    <xf numFmtId="173" fontId="23" fillId="0" borderId="0" xfId="16" applyFont="1" applyFill="1" applyProtection="1"/>
    <xf numFmtId="0" fontId="0" fillId="0" borderId="0" xfId="0" applyBorder="1" applyProtection="1"/>
    <xf numFmtId="9" fontId="12" fillId="3" borderId="19" xfId="16" applyNumberFormat="1" applyFont="1" applyFill="1" applyBorder="1" applyProtection="1"/>
    <xf numFmtId="9" fontId="12" fillId="3" borderId="7" xfId="16" applyNumberFormat="1" applyFont="1" applyFill="1" applyBorder="1" applyProtection="1"/>
    <xf numFmtId="164" fontId="12" fillId="0" borderId="19" xfId="16" applyNumberFormat="1" applyFont="1" applyFill="1" applyBorder="1" applyProtection="1"/>
    <xf numFmtId="173" fontId="22" fillId="0" borderId="17" xfId="16" applyFont="1" applyBorder="1" applyProtection="1"/>
    <xf numFmtId="9" fontId="12" fillId="0" borderId="19" xfId="16" applyNumberFormat="1" applyFont="1" applyFill="1" applyBorder="1" applyProtection="1"/>
    <xf numFmtId="10" fontId="12" fillId="3" borderId="19" xfId="16" applyNumberFormat="1" applyFont="1" applyFill="1" applyBorder="1" applyProtection="1"/>
    <xf numFmtId="7" fontId="12" fillId="0" borderId="0" xfId="3" applyNumberFormat="1" applyFont="1" applyFill="1" applyBorder="1" applyProtection="1"/>
    <xf numFmtId="1" fontId="12" fillId="3" borderId="19" xfId="16" applyNumberFormat="1" applyFont="1" applyFill="1" applyBorder="1" applyAlignment="1" applyProtection="1">
      <alignment horizontal="right"/>
    </xf>
    <xf numFmtId="170" fontId="12" fillId="3" borderId="19" xfId="16" applyNumberFormat="1" applyFont="1" applyFill="1" applyBorder="1" applyAlignment="1" applyProtection="1">
      <alignment horizontal="right"/>
    </xf>
    <xf numFmtId="173" fontId="12" fillId="0" borderId="20" xfId="16" applyFont="1" applyBorder="1" applyAlignment="1" applyProtection="1">
      <alignment wrapText="1"/>
    </xf>
    <xf numFmtId="0" fontId="0" fillId="0" borderId="10" xfId="0" applyBorder="1" applyAlignment="1" applyProtection="1">
      <alignment wrapText="1"/>
    </xf>
    <xf numFmtId="173" fontId="4" fillId="0" borderId="0" xfId="16" applyFont="1" applyFill="1" applyBorder="1" applyAlignment="1" applyProtection="1">
      <alignment horizontal="center" wrapText="1"/>
    </xf>
    <xf numFmtId="173" fontId="12" fillId="3" borderId="13" xfId="16" applyFont="1" applyFill="1" applyBorder="1" applyProtection="1"/>
    <xf numFmtId="173" fontId="12" fillId="3" borderId="15" xfId="16" applyFont="1" applyFill="1" applyBorder="1" applyProtection="1"/>
    <xf numFmtId="165" fontId="12" fillId="3" borderId="15" xfId="16" applyNumberFormat="1" applyFont="1" applyFill="1" applyBorder="1" applyProtection="1"/>
    <xf numFmtId="170" fontId="12" fillId="3" borderId="15" xfId="16" applyNumberFormat="1" applyFont="1" applyFill="1" applyBorder="1" applyProtection="1"/>
    <xf numFmtId="6" fontId="12" fillId="3" borderId="15" xfId="16" applyNumberFormat="1" applyFont="1" applyFill="1" applyBorder="1" applyProtection="1"/>
    <xf numFmtId="164" fontId="2" fillId="3" borderId="15" xfId="17" applyNumberFormat="1" applyFill="1" applyBorder="1" applyProtection="1"/>
    <xf numFmtId="173" fontId="12" fillId="3" borderId="8" xfId="16" applyFont="1" applyFill="1" applyBorder="1" applyProtection="1"/>
    <xf numFmtId="165" fontId="12" fillId="3" borderId="8" xfId="16" applyNumberFormat="1" applyFont="1" applyFill="1" applyBorder="1" applyProtection="1"/>
    <xf numFmtId="6" fontId="12" fillId="3" borderId="8" xfId="16" applyNumberFormat="1" applyFont="1" applyFill="1" applyBorder="1" applyProtection="1"/>
    <xf numFmtId="164" fontId="2" fillId="3" borderId="8" xfId="17" applyNumberFormat="1" applyFill="1" applyBorder="1" applyProtection="1"/>
    <xf numFmtId="173" fontId="12" fillId="3" borderId="22" xfId="16" applyFont="1" applyFill="1" applyBorder="1" applyProtection="1"/>
    <xf numFmtId="6" fontId="12" fillId="3" borderId="22" xfId="16" applyNumberFormat="1" applyFont="1" applyFill="1" applyBorder="1" applyProtection="1"/>
    <xf numFmtId="173" fontId="12" fillId="0" borderId="0" xfId="16" applyFont="1" applyAlignment="1" applyProtection="1">
      <alignment horizontal="right"/>
    </xf>
    <xf numFmtId="170" fontId="12" fillId="0" borderId="0" xfId="16" applyNumberFormat="1" applyFont="1" applyFill="1" applyProtection="1"/>
    <xf numFmtId="0" fontId="18" fillId="0" borderId="11" xfId="0" applyFont="1" applyBorder="1" applyAlignment="1" applyProtection="1">
      <alignment wrapText="1"/>
    </xf>
    <xf numFmtId="173" fontId="12" fillId="3" borderId="17" xfId="16" applyFont="1" applyFill="1" applyBorder="1" applyAlignment="1" applyProtection="1">
      <alignment horizontal="right"/>
    </xf>
    <xf numFmtId="10" fontId="12" fillId="3" borderId="8" xfId="16" applyNumberFormat="1" applyFont="1" applyFill="1" applyBorder="1" applyProtection="1"/>
    <xf numFmtId="169" fontId="12" fillId="3" borderId="19" xfId="16" applyNumberFormat="1" applyFont="1" applyFill="1" applyBorder="1" applyAlignment="1" applyProtection="1">
      <alignment horizontal="right"/>
    </xf>
    <xf numFmtId="173" fontId="12" fillId="3" borderId="20" xfId="16" applyFont="1" applyFill="1" applyBorder="1" applyAlignment="1" applyProtection="1">
      <alignment horizontal="right" wrapText="1"/>
    </xf>
    <xf numFmtId="10" fontId="12" fillId="3" borderId="22" xfId="16" applyNumberFormat="1" applyFont="1" applyFill="1" applyBorder="1" applyProtection="1"/>
    <xf numFmtId="169" fontId="12" fillId="3" borderId="23" xfId="16" applyNumberFormat="1" applyFont="1" applyFill="1" applyBorder="1" applyAlignment="1" applyProtection="1">
      <alignment horizontal="right"/>
    </xf>
    <xf numFmtId="173" fontId="18" fillId="0" borderId="46" xfId="16" applyFont="1" applyFill="1" applyBorder="1" applyAlignment="1" applyProtection="1"/>
    <xf numFmtId="0" fontId="0" fillId="0" borderId="47" xfId="0" applyBorder="1" applyAlignment="1" applyProtection="1">
      <alignment wrapText="1"/>
    </xf>
    <xf numFmtId="173" fontId="18" fillId="0" borderId="9" xfId="16" applyFont="1" applyFill="1" applyBorder="1" applyAlignment="1" applyProtection="1">
      <alignment wrapText="1"/>
    </xf>
    <xf numFmtId="0" fontId="18" fillId="0" borderId="9" xfId="0" applyFont="1" applyBorder="1" applyAlignment="1" applyProtection="1">
      <alignment wrapText="1"/>
    </xf>
    <xf numFmtId="173" fontId="4" fillId="0" borderId="48" xfId="16" applyFont="1" applyFill="1" applyBorder="1" applyAlignment="1" applyProtection="1">
      <alignment horizontal="center"/>
    </xf>
    <xf numFmtId="173" fontId="12" fillId="3" borderId="49" xfId="16" applyFont="1" applyFill="1" applyBorder="1" applyProtection="1"/>
    <xf numFmtId="169" fontId="12" fillId="3" borderId="17" xfId="16" applyNumberFormat="1" applyFont="1" applyFill="1" applyBorder="1" applyProtection="1"/>
    <xf numFmtId="169" fontId="12" fillId="3" borderId="8" xfId="16" applyNumberFormat="1" applyFont="1" applyFill="1" applyBorder="1" applyProtection="1"/>
    <xf numFmtId="173" fontId="12" fillId="3" borderId="50" xfId="16" applyFont="1" applyFill="1" applyBorder="1" applyProtection="1"/>
    <xf numFmtId="0" fontId="0" fillId="0" borderId="0" xfId="0" applyAlignment="1" applyProtection="1">
      <alignment wrapText="1"/>
      <protection locked="0"/>
    </xf>
    <xf numFmtId="0" fontId="0" fillId="0" borderId="0" xfId="0" applyProtection="1">
      <protection locked="0"/>
    </xf>
    <xf numFmtId="0" fontId="12" fillId="0" borderId="0" xfId="0" applyFont="1" applyFill="1" applyProtection="1">
      <protection locked="0"/>
    </xf>
    <xf numFmtId="0" fontId="4" fillId="0" borderId="0" xfId="0" applyFont="1" applyFill="1" applyProtection="1"/>
    <xf numFmtId="0" fontId="4" fillId="0" borderId="0" xfId="0" applyFont="1" applyFill="1" applyProtection="1">
      <protection locked="0"/>
    </xf>
    <xf numFmtId="170" fontId="0" fillId="0" borderId="0" xfId="0" applyNumberFormat="1" applyAlignment="1" applyProtection="1">
      <alignment wrapText="1"/>
      <protection locked="0"/>
    </xf>
    <xf numFmtId="170" fontId="0" fillId="3" borderId="15" xfId="0" applyNumberFormat="1" applyFill="1" applyBorder="1" applyAlignment="1" applyProtection="1">
      <alignment horizontal="center" vertical="center" wrapText="1"/>
    </xf>
    <xf numFmtId="170" fontId="12" fillId="3" borderId="15" xfId="0" applyNumberFormat="1" applyFont="1" applyFill="1" applyBorder="1" applyAlignment="1" applyProtection="1">
      <alignment horizontal="center" vertical="center" wrapText="1"/>
    </xf>
    <xf numFmtId="170" fontId="0" fillId="3" borderId="8" xfId="0" applyNumberFormat="1" applyFill="1" applyBorder="1" applyAlignment="1" applyProtection="1">
      <alignment horizontal="center" vertical="center" wrapText="1"/>
    </xf>
    <xf numFmtId="170" fontId="12" fillId="3" borderId="8" xfId="0" applyNumberFormat="1" applyFont="1" applyFill="1" applyBorder="1" applyAlignment="1" applyProtection="1">
      <alignment horizontal="center" vertical="center" wrapText="1"/>
    </xf>
    <xf numFmtId="170" fontId="0" fillId="3" borderId="22" xfId="0" applyNumberFormat="1" applyFill="1" applyBorder="1" applyAlignment="1" applyProtection="1">
      <alignment horizontal="center" vertical="center" wrapText="1"/>
    </xf>
    <xf numFmtId="170" fontId="12" fillId="3" borderId="22" xfId="0" applyNumberFormat="1" applyFont="1" applyFill="1" applyBorder="1" applyAlignment="1" applyProtection="1">
      <alignment horizontal="center" vertical="center" wrapText="1"/>
    </xf>
    <xf numFmtId="0" fontId="0" fillId="0" borderId="0" xfId="0" quotePrefix="1" applyProtection="1">
      <protection locked="0"/>
    </xf>
    <xf numFmtId="0" fontId="0" fillId="0" borderId="0" xfId="0" applyBorder="1"/>
    <xf numFmtId="0" fontId="27" fillId="0" borderId="25" xfId="0" applyFont="1" applyBorder="1" applyAlignment="1" applyProtection="1">
      <alignment wrapText="1"/>
    </xf>
    <xf numFmtId="0" fontId="27" fillId="0" borderId="51" xfId="0" applyFont="1" applyFill="1" applyBorder="1" applyAlignment="1" applyProtection="1">
      <alignment horizontal="center" wrapText="1"/>
    </xf>
    <xf numFmtId="0" fontId="27" fillId="0" borderId="52" xfId="0" applyFont="1" applyFill="1" applyBorder="1" applyAlignment="1" applyProtection="1">
      <alignment horizontal="center" wrapText="1"/>
    </xf>
    <xf numFmtId="0" fontId="27" fillId="0" borderId="53" xfId="0" applyFont="1" applyFill="1" applyBorder="1" applyAlignment="1" applyProtection="1">
      <alignment horizontal="center" wrapText="1"/>
    </xf>
    <xf numFmtId="0" fontId="27" fillId="0" borderId="54" xfId="0" applyFont="1" applyFill="1" applyBorder="1" applyAlignment="1" applyProtection="1">
      <alignment horizontal="center" wrapText="1"/>
    </xf>
    <xf numFmtId="173" fontId="4" fillId="0" borderId="0" xfId="16" applyFont="1" applyAlignment="1" applyProtection="1">
      <alignment vertical="top" wrapText="1"/>
    </xf>
    <xf numFmtId="0" fontId="12" fillId="3" borderId="8" xfId="16" applyNumberFormat="1" applyFont="1" applyFill="1" applyBorder="1" applyProtection="1"/>
    <xf numFmtId="0" fontId="28" fillId="0" borderId="10" xfId="0" applyFont="1" applyBorder="1" applyAlignment="1" applyProtection="1">
      <alignment wrapText="1"/>
    </xf>
    <xf numFmtId="0" fontId="28" fillId="0" borderId="10" xfId="0" quotePrefix="1" applyFont="1" applyBorder="1" applyAlignment="1" applyProtection="1">
      <alignment wrapText="1"/>
    </xf>
    <xf numFmtId="169" fontId="12" fillId="3" borderId="18" xfId="16" applyNumberFormat="1" applyFont="1" applyFill="1" applyBorder="1" applyProtection="1"/>
    <xf numFmtId="0" fontId="18" fillId="0" borderId="25" xfId="0" applyFont="1" applyBorder="1" applyAlignment="1" applyProtection="1">
      <alignment wrapText="1"/>
    </xf>
    <xf numFmtId="169" fontId="12" fillId="3" borderId="55" xfId="16" applyNumberFormat="1" applyFont="1" applyFill="1" applyBorder="1" applyProtection="1"/>
    <xf numFmtId="169" fontId="12" fillId="3" borderId="19" xfId="16" applyNumberFormat="1" applyFont="1" applyFill="1" applyBorder="1" applyProtection="1"/>
    <xf numFmtId="173" fontId="12" fillId="0" borderId="56" xfId="16" applyFont="1" applyBorder="1" applyProtection="1"/>
    <xf numFmtId="173" fontId="4" fillId="0" borderId="34" xfId="16" applyFont="1" applyFill="1" applyBorder="1" applyAlignment="1" applyProtection="1">
      <alignment horizontal="center" wrapText="1"/>
    </xf>
    <xf numFmtId="173" fontId="4" fillId="7" borderId="34" xfId="16" applyFont="1" applyFill="1" applyBorder="1" applyAlignment="1" applyProtection="1">
      <alignment horizontal="center" wrapText="1"/>
    </xf>
    <xf numFmtId="169" fontId="12" fillId="7" borderId="17" xfId="16" applyNumberFormat="1" applyFont="1" applyFill="1" applyBorder="1" applyProtection="1"/>
    <xf numFmtId="174" fontId="12" fillId="7" borderId="17" xfId="16" applyNumberFormat="1" applyFont="1" applyFill="1" applyBorder="1" applyProtection="1"/>
    <xf numFmtId="174" fontId="12" fillId="7" borderId="20" xfId="16" applyNumberFormat="1" applyFont="1" applyFill="1" applyBorder="1" applyProtection="1"/>
    <xf numFmtId="0" fontId="4" fillId="7" borderId="1" xfId="0" applyFont="1" applyFill="1" applyBorder="1" applyProtection="1"/>
    <xf numFmtId="0" fontId="0" fillId="7" borderId="2" xfId="0" applyFill="1" applyBorder="1" applyProtection="1"/>
    <xf numFmtId="9" fontId="0" fillId="7" borderId="2" xfId="17" applyFont="1" applyFill="1" applyBorder="1" applyProtection="1"/>
    <xf numFmtId="0" fontId="0" fillId="7" borderId="4" xfId="0" applyFill="1" applyBorder="1"/>
    <xf numFmtId="0" fontId="0" fillId="7" borderId="0" xfId="0" applyFill="1" applyBorder="1"/>
    <xf numFmtId="0" fontId="5" fillId="7" borderId="4" xfId="5" applyFill="1" applyBorder="1" applyAlignment="1" applyProtection="1"/>
    <xf numFmtId="0" fontId="0" fillId="7" borderId="4" xfId="0" applyFill="1" applyBorder="1" applyAlignment="1" applyProtection="1">
      <alignment horizontal="left"/>
    </xf>
    <xf numFmtId="43" fontId="0" fillId="7" borderId="0" xfId="1" applyFont="1" applyFill="1" applyBorder="1"/>
    <xf numFmtId="0" fontId="0" fillId="7" borderId="58" xfId="0" applyFill="1" applyBorder="1"/>
    <xf numFmtId="43" fontId="0" fillId="7" borderId="59" xfId="1" applyFont="1" applyFill="1" applyBorder="1"/>
    <xf numFmtId="0" fontId="4" fillId="7" borderId="1" xfId="0" applyFont="1" applyFill="1" applyBorder="1"/>
    <xf numFmtId="0" fontId="0" fillId="7" borderId="2" xfId="0" applyFill="1" applyBorder="1"/>
    <xf numFmtId="0" fontId="4" fillId="7" borderId="4" xfId="0" applyFont="1" applyFill="1" applyBorder="1"/>
    <xf numFmtId="0" fontId="0" fillId="7" borderId="59" xfId="0" applyFill="1" applyBorder="1"/>
    <xf numFmtId="0" fontId="0" fillId="0" borderId="0" xfId="0" applyFill="1" applyBorder="1"/>
    <xf numFmtId="0" fontId="0" fillId="8" borderId="13" xfId="0" applyFill="1" applyBorder="1"/>
    <xf numFmtId="0" fontId="0" fillId="8" borderId="15" xfId="0" applyFill="1" applyBorder="1" applyAlignment="1">
      <alignment horizontal="center" wrapText="1"/>
    </xf>
    <xf numFmtId="0" fontId="0" fillId="8" borderId="15" xfId="0" applyFill="1" applyBorder="1"/>
    <xf numFmtId="0" fontId="0" fillId="8" borderId="60" xfId="0" applyFill="1" applyBorder="1"/>
    <xf numFmtId="0" fontId="0" fillId="8" borderId="17" xfId="0" applyFill="1" applyBorder="1"/>
    <xf numFmtId="0" fontId="0" fillId="8" borderId="8" xfId="0" applyFill="1" applyBorder="1"/>
    <xf numFmtId="0" fontId="0" fillId="8" borderId="55" xfId="0" applyFill="1" applyBorder="1"/>
    <xf numFmtId="0" fontId="0" fillId="8" borderId="55" xfId="0" applyFill="1" applyBorder="1" applyAlignment="1">
      <alignment horizontal="center"/>
    </xf>
    <xf numFmtId="0" fontId="0" fillId="8" borderId="17" xfId="0" applyFill="1" applyBorder="1" applyAlignment="1">
      <alignment wrapText="1"/>
    </xf>
    <xf numFmtId="0" fontId="0" fillId="8" borderId="20" xfId="0" applyFill="1" applyBorder="1"/>
    <xf numFmtId="0" fontId="0" fillId="8" borderId="22" xfId="0" applyFill="1" applyBorder="1"/>
    <xf numFmtId="0" fontId="0" fillId="8" borderId="61" xfId="0" applyFill="1" applyBorder="1"/>
    <xf numFmtId="0" fontId="0" fillId="9" borderId="8" xfId="0" applyFill="1" applyBorder="1"/>
    <xf numFmtId="0" fontId="0" fillId="9" borderId="4" xfId="0" applyFill="1" applyBorder="1"/>
    <xf numFmtId="0" fontId="0" fillId="4" borderId="8" xfId="0" applyFill="1" applyBorder="1"/>
    <xf numFmtId="0" fontId="0" fillId="4" borderId="4" xfId="0" applyFill="1" applyBorder="1"/>
    <xf numFmtId="0" fontId="0" fillId="10" borderId="8" xfId="0" applyFill="1" applyBorder="1"/>
    <xf numFmtId="0" fontId="0" fillId="10" borderId="4" xfId="0" applyFill="1" applyBorder="1"/>
    <xf numFmtId="0" fontId="0" fillId="11" borderId="8" xfId="0" applyFill="1" applyBorder="1"/>
    <xf numFmtId="0" fontId="0" fillId="11" borderId="4" xfId="0" applyFill="1" applyBorder="1"/>
    <xf numFmtId="0" fontId="0" fillId="12" borderId="8" xfId="0" applyFill="1" applyBorder="1"/>
    <xf numFmtId="0" fontId="0" fillId="12" borderId="4" xfId="0" applyFill="1" applyBorder="1"/>
    <xf numFmtId="43" fontId="0" fillId="9" borderId="0" xfId="0" applyNumberFormat="1" applyFill="1"/>
    <xf numFmtId="43" fontId="0" fillId="9" borderId="57" xfId="0" applyNumberFormat="1" applyFill="1" applyBorder="1"/>
    <xf numFmtId="43" fontId="0" fillId="4" borderId="0" xfId="0" applyNumberFormat="1" applyFill="1"/>
    <xf numFmtId="43" fontId="0" fillId="4" borderId="57" xfId="0" applyNumberFormat="1" applyFill="1" applyBorder="1"/>
    <xf numFmtId="43" fontId="0" fillId="11" borderId="0" xfId="0" applyNumberFormat="1" applyFill="1"/>
    <xf numFmtId="43" fontId="0" fillId="11" borderId="57" xfId="0" applyNumberFormat="1" applyFill="1" applyBorder="1"/>
    <xf numFmtId="43" fontId="0" fillId="12" borderId="0" xfId="0" applyNumberFormat="1" applyFill="1"/>
    <xf numFmtId="43" fontId="0" fillId="12" borderId="57" xfId="0" applyNumberFormat="1" applyFill="1" applyBorder="1"/>
    <xf numFmtId="43" fontId="0" fillId="10" borderId="0" xfId="0" applyNumberFormat="1" applyFill="1"/>
    <xf numFmtId="43" fontId="0" fillId="10" borderId="57" xfId="0" applyNumberFormat="1" applyFill="1" applyBorder="1"/>
    <xf numFmtId="0" fontId="0" fillId="13" borderId="4" xfId="0" applyFill="1" applyBorder="1"/>
    <xf numFmtId="43" fontId="0" fillId="12" borderId="62" xfId="0" applyNumberFormat="1" applyFill="1" applyBorder="1"/>
    <xf numFmtId="0" fontId="0" fillId="7" borderId="0" xfId="0" applyFill="1"/>
    <xf numFmtId="43" fontId="0" fillId="0" borderId="0" xfId="0" applyNumberFormat="1" applyFill="1"/>
    <xf numFmtId="0" fontId="0" fillId="13" borderId="8" xfId="0" applyFill="1" applyBorder="1"/>
    <xf numFmtId="43" fontId="0" fillId="14" borderId="0" xfId="1" applyFont="1" applyFill="1" applyBorder="1"/>
    <xf numFmtId="0" fontId="0" fillId="14" borderId="0" xfId="0" applyFill="1"/>
    <xf numFmtId="2" fontId="8" fillId="14" borderId="0" xfId="0" applyNumberFormat="1" applyFont="1" applyFill="1" applyBorder="1" applyAlignment="1" applyProtection="1">
      <alignment wrapText="1"/>
    </xf>
    <xf numFmtId="43" fontId="0" fillId="14" borderId="62" xfId="0" applyNumberFormat="1" applyFill="1" applyBorder="1"/>
    <xf numFmtId="0" fontId="0" fillId="14" borderId="4" xfId="0" applyFill="1" applyBorder="1"/>
    <xf numFmtId="0" fontId="12" fillId="14" borderId="63" xfId="0" applyFont="1" applyFill="1" applyBorder="1" applyProtection="1"/>
    <xf numFmtId="0" fontId="12" fillId="14" borderId="17" xfId="0" applyFont="1" applyFill="1" applyBorder="1" applyProtection="1"/>
    <xf numFmtId="0" fontId="2" fillId="0" borderId="0" xfId="0" applyFont="1"/>
    <xf numFmtId="0" fontId="2" fillId="7" borderId="0" xfId="0" applyFont="1" applyFill="1"/>
    <xf numFmtId="0" fontId="2" fillId="4" borderId="0" xfId="0" applyFont="1" applyFill="1"/>
    <xf numFmtId="0" fontId="2" fillId="9" borderId="0" xfId="0" applyFont="1" applyFill="1"/>
    <xf numFmtId="0" fontId="2" fillId="11" borderId="0" xfId="0" applyFont="1" applyFill="1"/>
    <xf numFmtId="0" fontId="2" fillId="12" borderId="0" xfId="0" applyFont="1" applyFill="1"/>
    <xf numFmtId="0" fontId="2" fillId="10" borderId="0" xfId="0" applyFont="1" applyFill="1"/>
    <xf numFmtId="164" fontId="13" fillId="0" borderId="64" xfId="16" applyNumberFormat="1" applyFont="1" applyFill="1" applyBorder="1" applyProtection="1"/>
    <xf numFmtId="0" fontId="0" fillId="3" borderId="15" xfId="0" applyFill="1" applyBorder="1" applyAlignment="1" applyProtection="1">
      <alignment horizontal="right" vertical="center" wrapText="1"/>
    </xf>
    <xf numFmtId="0" fontId="0" fillId="3" borderId="8" xfId="0" applyFill="1" applyBorder="1" applyAlignment="1" applyProtection="1">
      <alignment horizontal="right" vertical="center" wrapText="1"/>
    </xf>
    <xf numFmtId="0" fontId="0" fillId="3" borderId="22" xfId="0" applyFill="1" applyBorder="1" applyAlignment="1" applyProtection="1">
      <alignment horizontal="right" vertical="center" wrapText="1"/>
    </xf>
    <xf numFmtId="0" fontId="31" fillId="0" borderId="0" xfId="0" applyFont="1"/>
    <xf numFmtId="173" fontId="4" fillId="0" borderId="17" xfId="16" applyFont="1" applyBorder="1" applyAlignment="1" applyProtection="1">
      <alignment wrapText="1"/>
    </xf>
    <xf numFmtId="0" fontId="26" fillId="2" borderId="0" xfId="0" applyFont="1" applyFill="1" applyBorder="1" applyAlignment="1">
      <alignment horizontal="center" vertical="top" wrapText="1"/>
    </xf>
    <xf numFmtId="0" fontId="2" fillId="2" borderId="4" xfId="0" applyFont="1" applyFill="1" applyBorder="1" applyAlignment="1">
      <alignment vertical="top" wrapText="1"/>
    </xf>
    <xf numFmtId="0" fontId="4" fillId="2" borderId="4" xfId="0" applyFont="1" applyFill="1" applyBorder="1" applyAlignment="1">
      <alignment vertical="top" wrapText="1"/>
    </xf>
    <xf numFmtId="0" fontId="6" fillId="2" borderId="4" xfId="0" applyFont="1" applyFill="1" applyBorder="1" applyAlignment="1">
      <alignment vertical="top" wrapText="1"/>
    </xf>
    <xf numFmtId="0" fontId="4" fillId="2" borderId="4" xfId="0" applyFont="1" applyFill="1" applyBorder="1" applyAlignment="1">
      <alignment horizontal="left" vertical="top" wrapText="1"/>
    </xf>
    <xf numFmtId="0" fontId="6" fillId="2" borderId="58" xfId="0" applyFont="1" applyFill="1" applyBorder="1" applyAlignment="1">
      <alignment vertical="top" wrapText="1"/>
    </xf>
    <xf numFmtId="0" fontId="14" fillId="2" borderId="24" xfId="0" applyFont="1" applyFill="1" applyBorder="1" applyAlignment="1" applyProtection="1">
      <alignment horizontal="left"/>
    </xf>
    <xf numFmtId="3" fontId="4" fillId="2" borderId="65" xfId="0" applyNumberFormat="1" applyFont="1" applyFill="1" applyBorder="1" applyAlignment="1" applyProtection="1">
      <alignment vertical="center" wrapText="1"/>
    </xf>
    <xf numFmtId="0" fontId="4" fillId="2" borderId="65" xfId="0" applyFont="1" applyFill="1" applyBorder="1" applyAlignment="1" applyProtection="1">
      <alignment horizontal="left" vertical="center" wrapText="1"/>
    </xf>
    <xf numFmtId="0" fontId="12" fillId="2" borderId="65" xfId="0" applyFont="1" applyFill="1" applyBorder="1" applyAlignment="1" applyProtection="1">
      <alignment horizontal="left" vertical="center" wrapText="1"/>
    </xf>
    <xf numFmtId="0" fontId="0" fillId="2" borderId="66" xfId="0" applyFill="1" applyBorder="1" applyProtection="1"/>
    <xf numFmtId="0" fontId="14" fillId="2" borderId="25" xfId="0" applyFont="1" applyFill="1" applyBorder="1" applyAlignment="1" applyProtection="1">
      <alignment horizontal="left"/>
    </xf>
    <xf numFmtId="3" fontId="4" fillId="2" borderId="42" xfId="0" applyNumberFormat="1" applyFont="1" applyFill="1" applyBorder="1" applyAlignment="1" applyProtection="1">
      <alignment vertical="center" wrapText="1"/>
    </xf>
    <xf numFmtId="0" fontId="4" fillId="2" borderId="26" xfId="0" applyFont="1" applyFill="1" applyBorder="1" applyAlignment="1" applyProtection="1">
      <alignment horizontal="left" vertical="center" wrapText="1"/>
    </xf>
    <xf numFmtId="0" fontId="4" fillId="2" borderId="27" xfId="0" applyFont="1" applyFill="1" applyBorder="1" applyAlignment="1" applyProtection="1">
      <alignment vertical="center"/>
    </xf>
    <xf numFmtId="0" fontId="12" fillId="2" borderId="67" xfId="0" applyFont="1" applyFill="1" applyBorder="1" applyAlignment="1" applyProtection="1">
      <alignment wrapText="1"/>
    </xf>
    <xf numFmtId="0" fontId="12" fillId="2" borderId="68" xfId="0" applyFont="1" applyFill="1" applyBorder="1" applyAlignment="1" applyProtection="1">
      <alignment wrapText="1"/>
      <protection locked="0"/>
    </xf>
    <xf numFmtId="0" fontId="12" fillId="2" borderId="69" xfId="0" applyFont="1" applyFill="1" applyBorder="1" applyAlignment="1" applyProtection="1">
      <alignment wrapText="1"/>
      <protection locked="0"/>
    </xf>
    <xf numFmtId="0" fontId="4" fillId="2" borderId="70" xfId="0" applyFont="1" applyFill="1" applyBorder="1" applyAlignment="1" applyProtection="1">
      <alignment wrapText="1"/>
    </xf>
    <xf numFmtId="0" fontId="4" fillId="2" borderId="25" xfId="0" applyFont="1" applyFill="1" applyBorder="1" applyAlignment="1" applyProtection="1">
      <alignment horizontal="center"/>
    </xf>
    <xf numFmtId="0" fontId="4" fillId="2" borderId="69" xfId="0" applyFont="1" applyFill="1" applyBorder="1" applyAlignment="1" applyProtection="1">
      <alignment horizontal="center" wrapText="1"/>
    </xf>
    <xf numFmtId="0" fontId="4" fillId="2" borderId="26" xfId="0" applyFont="1" applyFill="1" applyBorder="1" applyAlignment="1" applyProtection="1">
      <alignment horizontal="center" wrapText="1"/>
    </xf>
    <xf numFmtId="0" fontId="4" fillId="2" borderId="26" xfId="0" applyFont="1" applyFill="1" applyBorder="1" applyAlignment="1" applyProtection="1">
      <alignment wrapText="1"/>
    </xf>
    <xf numFmtId="0" fontId="4" fillId="2" borderId="27" xfId="0" applyFont="1" applyFill="1" applyBorder="1" applyAlignment="1" applyProtection="1">
      <alignment wrapText="1"/>
    </xf>
    <xf numFmtId="0" fontId="4" fillId="2" borderId="41" xfId="0" applyFont="1" applyFill="1" applyBorder="1" applyAlignment="1" applyProtection="1">
      <alignment horizontal="center"/>
    </xf>
    <xf numFmtId="0" fontId="4" fillId="2" borderId="42" xfId="0" applyFont="1" applyFill="1" applyBorder="1" applyAlignment="1" applyProtection="1">
      <alignment horizontal="center" wrapText="1"/>
    </xf>
    <xf numFmtId="0" fontId="4" fillId="2" borderId="42" xfId="0" applyFont="1" applyFill="1" applyBorder="1" applyAlignment="1" applyProtection="1">
      <alignment wrapText="1"/>
    </xf>
    <xf numFmtId="0" fontId="4" fillId="2" borderId="71" xfId="0" applyFont="1" applyFill="1" applyBorder="1" applyAlignment="1" applyProtection="1">
      <alignment wrapText="1"/>
    </xf>
    <xf numFmtId="170" fontId="12" fillId="2" borderId="15" xfId="0" applyNumberFormat="1" applyFont="1" applyFill="1" applyBorder="1" applyAlignment="1" applyProtection="1">
      <alignment horizontal="right" vertical="center" wrapText="1"/>
      <protection locked="0"/>
    </xf>
    <xf numFmtId="171" fontId="12" fillId="2" borderId="15" xfId="0" applyNumberFormat="1" applyFont="1" applyFill="1" applyBorder="1" applyAlignment="1" applyProtection="1">
      <alignment horizontal="right" vertical="center" wrapText="1"/>
      <protection locked="0"/>
    </xf>
    <xf numFmtId="3" fontId="12" fillId="2" borderId="16" xfId="0" applyNumberFormat="1" applyFont="1" applyFill="1" applyBorder="1" applyAlignment="1" applyProtection="1">
      <alignment horizontal="right" vertical="center" wrapText="1"/>
      <protection locked="0"/>
    </xf>
    <xf numFmtId="170" fontId="12" fillId="2" borderId="8" xfId="0" applyNumberFormat="1" applyFont="1" applyFill="1" applyBorder="1" applyAlignment="1" applyProtection="1">
      <alignment horizontal="right" vertical="center" wrapText="1"/>
      <protection locked="0"/>
    </xf>
    <xf numFmtId="171" fontId="12" fillId="2" borderId="8" xfId="0" applyNumberFormat="1" applyFont="1" applyFill="1" applyBorder="1" applyAlignment="1" applyProtection="1">
      <alignment horizontal="right" vertical="center" wrapText="1"/>
      <protection locked="0"/>
    </xf>
    <xf numFmtId="3" fontId="12" fillId="2" borderId="8" xfId="0" applyNumberFormat="1" applyFont="1" applyFill="1" applyBorder="1" applyAlignment="1" applyProtection="1">
      <alignment horizontal="right" vertical="center" wrapText="1"/>
      <protection locked="0"/>
    </xf>
    <xf numFmtId="3" fontId="12" fillId="2" borderId="19" xfId="0" applyNumberFormat="1" applyFont="1" applyFill="1" applyBorder="1" applyAlignment="1" applyProtection="1">
      <alignment horizontal="right" vertical="center" wrapText="1"/>
      <protection locked="0"/>
    </xf>
    <xf numFmtId="170" fontId="12" fillId="2" borderId="22" xfId="0" applyNumberFormat="1" applyFont="1" applyFill="1" applyBorder="1" applyAlignment="1" applyProtection="1">
      <alignment horizontal="right" vertical="center" wrapText="1"/>
      <protection locked="0"/>
    </xf>
    <xf numFmtId="171" fontId="12" fillId="2" borderId="22" xfId="0" applyNumberFormat="1" applyFont="1" applyFill="1" applyBorder="1" applyAlignment="1" applyProtection="1">
      <alignment horizontal="right" vertical="center" wrapText="1"/>
      <protection locked="0"/>
    </xf>
    <xf numFmtId="3" fontId="12" fillId="2" borderId="22" xfId="0" applyNumberFormat="1" applyFont="1" applyFill="1" applyBorder="1" applyAlignment="1" applyProtection="1">
      <alignment horizontal="right" vertical="center" wrapText="1"/>
      <protection locked="0"/>
    </xf>
    <xf numFmtId="3" fontId="12" fillId="2" borderId="23" xfId="0" applyNumberFormat="1" applyFont="1" applyFill="1" applyBorder="1" applyAlignment="1" applyProtection="1">
      <alignment horizontal="right" vertical="center" wrapText="1"/>
      <protection locked="0"/>
    </xf>
    <xf numFmtId="0" fontId="6" fillId="0" borderId="9" xfId="0" applyFont="1" applyBorder="1" applyAlignment="1">
      <alignment vertical="top"/>
    </xf>
    <xf numFmtId="0" fontId="0" fillId="0" borderId="10" xfId="0" applyBorder="1" applyAlignment="1">
      <alignment vertical="top"/>
    </xf>
    <xf numFmtId="0" fontId="0" fillId="0" borderId="72" xfId="0" applyBorder="1" applyAlignment="1">
      <alignment vertical="top"/>
    </xf>
    <xf numFmtId="173" fontId="18" fillId="0" borderId="72" xfId="16" applyFont="1" applyFill="1" applyBorder="1" applyAlignment="1" applyProtection="1">
      <alignment wrapText="1"/>
    </xf>
    <xf numFmtId="173" fontId="18" fillId="0" borderId="73" xfId="16" applyFont="1" applyFill="1" applyBorder="1" applyAlignment="1" applyProtection="1">
      <alignment wrapText="1"/>
    </xf>
    <xf numFmtId="173" fontId="18" fillId="0" borderId="74" xfId="16" applyFont="1" applyFill="1" applyBorder="1" applyAlignment="1" applyProtection="1">
      <alignment wrapText="1"/>
    </xf>
    <xf numFmtId="173" fontId="13" fillId="3" borderId="75" xfId="16" applyFont="1" applyFill="1" applyBorder="1" applyAlignment="1" applyProtection="1">
      <alignment wrapText="1"/>
    </xf>
    <xf numFmtId="0" fontId="13" fillId="3" borderId="76" xfId="0" applyFont="1" applyFill="1" applyBorder="1" applyAlignment="1" applyProtection="1">
      <alignment wrapText="1"/>
    </xf>
    <xf numFmtId="0" fontId="13" fillId="3" borderId="75" xfId="0" applyFont="1" applyFill="1" applyBorder="1" applyAlignment="1" applyProtection="1">
      <alignment wrapText="1"/>
    </xf>
    <xf numFmtId="0" fontId="13" fillId="3" borderId="76" xfId="0" quotePrefix="1" applyFont="1" applyFill="1" applyBorder="1" applyAlignment="1" applyProtection="1">
      <alignment wrapText="1"/>
    </xf>
    <xf numFmtId="0" fontId="18" fillId="3" borderId="76" xfId="0" applyFont="1" applyFill="1" applyBorder="1" applyAlignment="1" applyProtection="1">
      <alignment wrapText="1"/>
    </xf>
    <xf numFmtId="0" fontId="18" fillId="3" borderId="77" xfId="0" applyFont="1" applyFill="1" applyBorder="1" applyAlignment="1" applyProtection="1">
      <alignment wrapText="1"/>
    </xf>
    <xf numFmtId="173" fontId="13" fillId="3" borderId="78" xfId="16" applyFont="1" applyFill="1" applyBorder="1" applyAlignment="1" applyProtection="1">
      <alignment wrapText="1"/>
    </xf>
    <xf numFmtId="0" fontId="13" fillId="3" borderId="79" xfId="0" applyFont="1" applyFill="1" applyBorder="1" applyAlignment="1" applyProtection="1">
      <alignment wrapText="1"/>
    </xf>
    <xf numFmtId="0" fontId="13" fillId="3" borderId="78" xfId="0" applyFont="1" applyFill="1" applyBorder="1" applyAlignment="1" applyProtection="1">
      <alignment wrapText="1"/>
    </xf>
    <xf numFmtId="0" fontId="13" fillId="3" borderId="79" xfId="0" quotePrefix="1" applyFont="1" applyFill="1" applyBorder="1" applyAlignment="1" applyProtection="1">
      <alignment wrapText="1"/>
    </xf>
    <xf numFmtId="0" fontId="18" fillId="3" borderId="79" xfId="0" applyFont="1" applyFill="1" applyBorder="1" applyAlignment="1" applyProtection="1">
      <alignment wrapText="1"/>
    </xf>
    <xf numFmtId="0" fontId="18" fillId="3" borderId="80" xfId="0" applyFont="1" applyFill="1" applyBorder="1" applyAlignment="1" applyProtection="1">
      <alignment wrapText="1"/>
    </xf>
    <xf numFmtId="173" fontId="13" fillId="3" borderId="81" xfId="16" applyFont="1" applyFill="1" applyBorder="1" applyAlignment="1" applyProtection="1">
      <alignment wrapText="1"/>
    </xf>
    <xf numFmtId="0" fontId="13" fillId="3" borderId="2" xfId="0" applyFont="1" applyFill="1" applyBorder="1" applyAlignment="1" applyProtection="1">
      <alignment wrapText="1"/>
    </xf>
    <xf numFmtId="0" fontId="13" fillId="3" borderId="81" xfId="0" applyFont="1" applyFill="1" applyBorder="1" applyAlignment="1" applyProtection="1">
      <alignment wrapText="1"/>
    </xf>
    <xf numFmtId="0" fontId="13" fillId="3" borderId="2" xfId="0" quotePrefix="1" applyFont="1" applyFill="1" applyBorder="1" applyAlignment="1" applyProtection="1">
      <alignment wrapText="1"/>
    </xf>
    <xf numFmtId="0" fontId="18" fillId="3" borderId="2" xfId="0" applyFont="1" applyFill="1" applyBorder="1" applyAlignment="1" applyProtection="1">
      <alignment wrapText="1"/>
    </xf>
    <xf numFmtId="0" fontId="18" fillId="3" borderId="82" xfId="0" applyFont="1" applyFill="1" applyBorder="1" applyAlignment="1" applyProtection="1">
      <alignment wrapText="1"/>
    </xf>
    <xf numFmtId="0" fontId="18" fillId="0" borderId="41" xfId="0" applyFont="1" applyFill="1" applyBorder="1" applyAlignment="1" applyProtection="1">
      <alignment wrapText="1"/>
    </xf>
    <xf numFmtId="0" fontId="18" fillId="0" borderId="13" xfId="0" applyFont="1" applyFill="1" applyBorder="1" applyAlignment="1" applyProtection="1">
      <alignment wrapText="1"/>
    </xf>
    <xf numFmtId="0" fontId="18" fillId="0" borderId="17" xfId="0" applyFont="1" applyFill="1" applyBorder="1" applyAlignment="1" applyProtection="1">
      <alignment wrapText="1"/>
    </xf>
    <xf numFmtId="0" fontId="18" fillId="0" borderId="20" xfId="0" applyFont="1" applyFill="1" applyBorder="1" applyAlignment="1" applyProtection="1">
      <alignment wrapText="1"/>
    </xf>
    <xf numFmtId="0" fontId="18" fillId="0" borderId="83" xfId="0" applyFont="1" applyFill="1" applyBorder="1" applyAlignment="1" applyProtection="1">
      <alignment wrapText="1"/>
    </xf>
    <xf numFmtId="0" fontId="18" fillId="3" borderId="42" xfId="0" applyFont="1" applyFill="1" applyBorder="1" applyAlignment="1" applyProtection="1">
      <alignment wrapText="1"/>
    </xf>
    <xf numFmtId="0" fontId="18" fillId="3" borderId="71" xfId="0" applyFont="1" applyFill="1" applyBorder="1" applyAlignment="1" applyProtection="1">
      <alignment wrapText="1"/>
    </xf>
    <xf numFmtId="0" fontId="18" fillId="3" borderId="15" xfId="0" applyFont="1" applyFill="1" applyBorder="1" applyAlignment="1" applyProtection="1">
      <alignment wrapText="1"/>
    </xf>
    <xf numFmtId="0" fontId="18" fillId="3" borderId="16" xfId="0" applyFont="1" applyFill="1" applyBorder="1" applyAlignment="1" applyProtection="1">
      <alignment wrapText="1"/>
    </xf>
    <xf numFmtId="0" fontId="18" fillId="3" borderId="8" xfId="0" applyFont="1" applyFill="1" applyBorder="1" applyAlignment="1" applyProtection="1">
      <alignment wrapText="1"/>
    </xf>
    <xf numFmtId="0" fontId="18" fillId="3" borderId="19" xfId="0" applyFont="1" applyFill="1" applyBorder="1" applyAlignment="1" applyProtection="1">
      <alignment wrapText="1"/>
    </xf>
    <xf numFmtId="0" fontId="18" fillId="3" borderId="22" xfId="0" applyFont="1" applyFill="1" applyBorder="1" applyAlignment="1" applyProtection="1">
      <alignment wrapText="1"/>
    </xf>
    <xf numFmtId="0" fontId="18" fillId="3" borderId="23" xfId="0" applyFont="1" applyFill="1" applyBorder="1" applyAlignment="1" applyProtection="1">
      <alignment wrapText="1"/>
    </xf>
    <xf numFmtId="0" fontId="18" fillId="3" borderId="84" xfId="0" applyFont="1" applyFill="1" applyBorder="1" applyAlignment="1" applyProtection="1">
      <alignment wrapText="1"/>
    </xf>
    <xf numFmtId="0" fontId="18" fillId="3" borderId="45" xfId="0" applyFont="1" applyFill="1" applyBorder="1" applyAlignment="1" applyProtection="1">
      <alignment wrapText="1"/>
    </xf>
    <xf numFmtId="173" fontId="18" fillId="0" borderId="6" xfId="16" applyFont="1" applyFill="1" applyBorder="1" applyAlignment="1" applyProtection="1">
      <alignment wrapText="1"/>
    </xf>
    <xf numFmtId="173" fontId="18" fillId="3" borderId="10" xfId="16" applyFont="1" applyFill="1" applyBorder="1" applyAlignment="1" applyProtection="1">
      <alignment wrapText="1"/>
    </xf>
    <xf numFmtId="173" fontId="12" fillId="3" borderId="11" xfId="16" applyFont="1" applyFill="1" applyBorder="1" applyProtection="1"/>
    <xf numFmtId="173" fontId="18" fillId="3" borderId="22" xfId="16" applyFont="1" applyFill="1" applyBorder="1" applyAlignment="1" applyProtection="1">
      <alignment wrapText="1"/>
    </xf>
    <xf numFmtId="173" fontId="12" fillId="3" borderId="23" xfId="16" applyFont="1" applyFill="1" applyBorder="1" applyProtection="1"/>
    <xf numFmtId="173" fontId="18" fillId="3" borderId="0" xfId="16" applyFont="1" applyFill="1" applyBorder="1" applyAlignment="1" applyProtection="1">
      <alignment wrapText="1"/>
    </xf>
    <xf numFmtId="173" fontId="12" fillId="3" borderId="7" xfId="16" applyFont="1" applyFill="1" applyBorder="1" applyProtection="1"/>
    <xf numFmtId="173" fontId="6" fillId="3" borderId="0" xfId="16" applyFont="1" applyFill="1" applyAlignment="1" applyProtection="1">
      <alignment horizontal="center" vertical="center"/>
    </xf>
    <xf numFmtId="173" fontId="18" fillId="0" borderId="85" xfId="16" applyFont="1" applyFill="1" applyBorder="1" applyAlignment="1" applyProtection="1">
      <alignment wrapText="1"/>
    </xf>
    <xf numFmtId="0" fontId="18" fillId="3" borderId="47" xfId="0" applyFont="1" applyFill="1" applyBorder="1" applyAlignment="1" applyProtection="1">
      <alignment wrapText="1"/>
    </xf>
    <xf numFmtId="0" fontId="18" fillId="3" borderId="56" xfId="0" applyFont="1" applyFill="1" applyBorder="1" applyAlignment="1" applyProtection="1">
      <alignment wrapText="1"/>
    </xf>
    <xf numFmtId="0" fontId="18" fillId="0" borderId="86" xfId="0" applyFont="1" applyFill="1" applyBorder="1" applyAlignment="1" applyProtection="1">
      <alignment wrapText="1"/>
    </xf>
    <xf numFmtId="173" fontId="18" fillId="0" borderId="86" xfId="16" applyFont="1" applyFill="1" applyBorder="1" applyAlignment="1" applyProtection="1">
      <alignment wrapText="1"/>
    </xf>
    <xf numFmtId="173" fontId="18" fillId="3" borderId="47" xfId="16" applyFont="1" applyFill="1" applyBorder="1" applyAlignment="1" applyProtection="1">
      <alignment wrapText="1"/>
    </xf>
    <xf numFmtId="173" fontId="12" fillId="3" borderId="56" xfId="16" applyFont="1" applyFill="1" applyBorder="1" applyProtection="1"/>
    <xf numFmtId="2" fontId="13" fillId="3" borderId="86" xfId="16" applyNumberFormat="1" applyFont="1" applyFill="1" applyBorder="1" applyAlignment="1" applyProtection="1">
      <alignment wrapText="1"/>
    </xf>
    <xf numFmtId="2" fontId="13" fillId="3" borderId="47" xfId="16" applyNumberFormat="1" applyFont="1" applyFill="1" applyBorder="1" applyAlignment="1" applyProtection="1">
      <alignment wrapText="1"/>
    </xf>
    <xf numFmtId="2" fontId="13" fillId="3" borderId="56" xfId="16" applyNumberFormat="1" applyFont="1" applyFill="1" applyBorder="1" applyAlignment="1" applyProtection="1">
      <alignment wrapText="1"/>
    </xf>
    <xf numFmtId="173" fontId="18" fillId="0" borderId="75" xfId="16" applyFont="1" applyBorder="1" applyProtection="1"/>
    <xf numFmtId="173" fontId="12" fillId="0" borderId="76" xfId="16" applyFont="1" applyBorder="1" applyProtection="1"/>
    <xf numFmtId="173" fontId="4" fillId="0" borderId="16" xfId="16" applyFont="1" applyBorder="1" applyAlignment="1" applyProtection="1">
      <alignment horizontal="center" wrapText="1"/>
    </xf>
    <xf numFmtId="173" fontId="32" fillId="0" borderId="0" xfId="16" applyFont="1" applyAlignment="1" applyProtection="1">
      <alignment horizontal="left"/>
    </xf>
    <xf numFmtId="0" fontId="6" fillId="0" borderId="4" xfId="0" applyFont="1" applyFill="1" applyBorder="1" applyAlignment="1">
      <alignment vertical="top" wrapText="1"/>
    </xf>
    <xf numFmtId="0" fontId="0" fillId="0" borderId="0" xfId="0" applyFill="1" applyBorder="1" applyAlignment="1">
      <alignment vertical="top" wrapText="1"/>
    </xf>
    <xf numFmtId="0" fontId="6" fillId="0" borderId="0" xfId="0" applyFont="1" applyFill="1" applyBorder="1" applyAlignment="1">
      <alignment vertical="top" wrapText="1"/>
    </xf>
    <xf numFmtId="0" fontId="6" fillId="0" borderId="4" xfId="0" applyFont="1" applyFill="1" applyBorder="1" applyAlignment="1">
      <alignment vertical="center" wrapText="1"/>
    </xf>
    <xf numFmtId="0" fontId="6" fillId="0" borderId="0" xfId="0" applyFont="1" applyFill="1" applyBorder="1" applyAlignment="1">
      <alignment vertical="center" wrapText="1"/>
    </xf>
    <xf numFmtId="0" fontId="6" fillId="0" borderId="4" xfId="0" applyFont="1" applyFill="1" applyBorder="1" applyAlignment="1">
      <alignment horizontal="left" vertical="top" wrapText="1"/>
    </xf>
    <xf numFmtId="0" fontId="0" fillId="0" borderId="59" xfId="0" applyFill="1" applyBorder="1"/>
    <xf numFmtId="0" fontId="0" fillId="0" borderId="87" xfId="0" applyFill="1" applyBorder="1"/>
    <xf numFmtId="0" fontId="6" fillId="3" borderId="57" xfId="0" applyFont="1" applyFill="1" applyBorder="1" applyAlignment="1">
      <alignment vertical="center" wrapText="1"/>
    </xf>
    <xf numFmtId="0" fontId="6" fillId="0" borderId="4" xfId="0" applyFont="1" applyFill="1" applyBorder="1" applyAlignment="1">
      <alignment horizontal="right" vertical="center" wrapText="1"/>
    </xf>
    <xf numFmtId="0" fontId="6" fillId="0" borderId="4" xfId="0" applyFont="1" applyFill="1" applyBorder="1" applyAlignment="1">
      <alignment horizontal="right" vertical="top" wrapText="1"/>
    </xf>
    <xf numFmtId="0" fontId="0" fillId="0" borderId="5" xfId="0" applyFill="1" applyBorder="1"/>
    <xf numFmtId="0" fontId="6" fillId="0" borderId="58" xfId="0" applyFont="1" applyFill="1" applyBorder="1" applyAlignment="1">
      <alignment vertical="center" wrapText="1"/>
    </xf>
    <xf numFmtId="170" fontId="6" fillId="3" borderId="57" xfId="0" applyNumberFormat="1" applyFont="1" applyFill="1" applyBorder="1" applyAlignment="1">
      <alignment horizontal="right" vertical="top" wrapText="1"/>
    </xf>
    <xf numFmtId="0" fontId="4" fillId="3" borderId="57" xfId="0" applyFont="1" applyFill="1" applyBorder="1" applyAlignment="1">
      <alignment horizontal="center" vertical="top" wrapText="1"/>
    </xf>
    <xf numFmtId="170" fontId="15" fillId="3" borderId="57" xfId="0" applyNumberFormat="1" applyFont="1" applyFill="1" applyBorder="1" applyAlignment="1">
      <alignment horizontal="center" vertical="center" wrapText="1"/>
    </xf>
    <xf numFmtId="0" fontId="15" fillId="3" borderId="88" xfId="0" applyFont="1" applyFill="1" applyBorder="1" applyAlignment="1">
      <alignment vertical="center" wrapText="1"/>
    </xf>
    <xf numFmtId="0" fontId="4" fillId="3" borderId="4" xfId="0" applyFont="1" applyFill="1" applyBorder="1" applyAlignment="1">
      <alignment horizontal="center" vertical="top" wrapText="1"/>
    </xf>
    <xf numFmtId="0" fontId="4" fillId="3" borderId="0" xfId="0" applyFont="1" applyFill="1" applyBorder="1" applyAlignment="1">
      <alignment horizontal="center" vertical="top" wrapText="1"/>
    </xf>
    <xf numFmtId="170" fontId="4" fillId="3" borderId="0" xfId="0" applyNumberFormat="1" applyFont="1" applyFill="1" applyBorder="1" applyAlignment="1">
      <alignment horizontal="center" vertical="top" wrapText="1"/>
    </xf>
    <xf numFmtId="0" fontId="4" fillId="3" borderId="5" xfId="0" applyFont="1" applyFill="1" applyBorder="1" applyAlignment="1">
      <alignment vertical="top"/>
    </xf>
    <xf numFmtId="170" fontId="15" fillId="3" borderId="89" xfId="0" applyNumberFormat="1" applyFont="1" applyFill="1" applyBorder="1" applyAlignment="1">
      <alignment vertical="center" wrapText="1"/>
    </xf>
    <xf numFmtId="0" fontId="12" fillId="0" borderId="0" xfId="0" applyFont="1"/>
    <xf numFmtId="0" fontId="33" fillId="0" borderId="0" xfId="0" applyFont="1" applyFill="1" applyAlignment="1">
      <alignment vertical="top" wrapText="1"/>
    </xf>
    <xf numFmtId="0" fontId="0" fillId="6" borderId="0" xfId="0" applyFill="1"/>
    <xf numFmtId="176" fontId="15" fillId="3" borderId="57" xfId="0" applyNumberFormat="1" applyFont="1" applyFill="1" applyBorder="1" applyAlignment="1">
      <alignment horizontal="right" vertical="top" wrapText="1"/>
    </xf>
    <xf numFmtId="170" fontId="0" fillId="5" borderId="8" xfId="0" applyNumberFormat="1" applyFill="1" applyBorder="1" applyAlignment="1" applyProtection="1">
      <alignment horizontal="center" vertical="center" wrapText="1"/>
      <protection locked="0"/>
    </xf>
    <xf numFmtId="170" fontId="0" fillId="5" borderId="22" xfId="0" applyNumberFormat="1" applyFill="1" applyBorder="1" applyAlignment="1" applyProtection="1">
      <alignment horizontal="center" vertical="center" wrapText="1"/>
      <protection locked="0"/>
    </xf>
    <xf numFmtId="0" fontId="34" fillId="2" borderId="20" xfId="0" applyFont="1" applyFill="1" applyBorder="1" applyAlignment="1" applyProtection="1">
      <protection locked="0"/>
    </xf>
    <xf numFmtId="0" fontId="34" fillId="2" borderId="22" xfId="0" applyFont="1" applyFill="1" applyBorder="1" applyAlignment="1" applyProtection="1">
      <alignment horizontal="right" wrapText="1"/>
      <protection locked="0"/>
    </xf>
    <xf numFmtId="0" fontId="37" fillId="2" borderId="90" xfId="0" applyFont="1" applyFill="1" applyBorder="1" applyAlignment="1" applyProtection="1">
      <alignment horizontal="left" vertical="center"/>
      <protection locked="0"/>
    </xf>
    <xf numFmtId="0" fontId="35" fillId="2" borderId="90" xfId="0" applyFont="1" applyFill="1" applyBorder="1" applyProtection="1">
      <protection locked="0"/>
    </xf>
    <xf numFmtId="0" fontId="4" fillId="0" borderId="0" xfId="0" applyFont="1" applyFill="1" applyBorder="1" applyAlignment="1">
      <alignment vertical="top" wrapText="1"/>
    </xf>
    <xf numFmtId="0" fontId="34" fillId="2" borderId="41" xfId="0" applyFont="1" applyFill="1" applyBorder="1" applyAlignment="1" applyProtection="1">
      <alignment horizontal="right" wrapText="1"/>
      <protection locked="0"/>
    </xf>
    <xf numFmtId="0" fontId="11" fillId="2" borderId="42" xfId="0" applyFont="1" applyFill="1" applyBorder="1" applyAlignment="1" applyProtection="1">
      <alignment horizontal="center" wrapText="1"/>
      <protection locked="0"/>
    </xf>
    <xf numFmtId="0" fontId="12" fillId="2" borderId="97" xfId="0" applyFont="1" applyFill="1" applyBorder="1" applyAlignment="1" applyProtection="1">
      <alignment horizontal="left" wrapText="1"/>
      <protection locked="0"/>
    </xf>
    <xf numFmtId="42" fontId="12" fillId="3" borderId="69" xfId="0" applyNumberFormat="1" applyFont="1" applyFill="1" applyBorder="1" applyAlignment="1" applyProtection="1">
      <alignment wrapText="1"/>
      <protection locked="0"/>
    </xf>
    <xf numFmtId="2" fontId="12" fillId="2" borderId="69" xfId="0" applyNumberFormat="1" applyFont="1" applyFill="1" applyBorder="1" applyAlignment="1" applyProtection="1">
      <alignment wrapText="1"/>
      <protection locked="0"/>
    </xf>
    <xf numFmtId="0" fontId="11" fillId="2" borderId="71" xfId="0" applyFont="1" applyFill="1" applyBorder="1" applyAlignment="1" applyProtection="1">
      <alignment horizontal="center" wrapText="1"/>
      <protection locked="0"/>
    </xf>
    <xf numFmtId="172" fontId="4" fillId="2" borderId="69" xfId="0" applyNumberFormat="1" applyFont="1" applyFill="1" applyBorder="1" applyAlignment="1" applyProtection="1">
      <alignment wrapText="1"/>
      <protection locked="0"/>
    </xf>
    <xf numFmtId="0" fontId="12" fillId="2" borderId="70" xfId="0" applyFont="1" applyFill="1" applyBorder="1" applyAlignment="1" applyProtection="1">
      <alignment wrapText="1"/>
      <protection locked="0"/>
    </xf>
    <xf numFmtId="0" fontId="12" fillId="6" borderId="100" xfId="0" applyFont="1" applyFill="1" applyBorder="1" applyAlignment="1" applyProtection="1">
      <alignment wrapText="1"/>
      <protection locked="0"/>
    </xf>
    <xf numFmtId="0" fontId="12" fillId="6" borderId="101" xfId="0" applyFont="1" applyFill="1" applyBorder="1" applyAlignment="1" applyProtection="1">
      <alignment wrapText="1"/>
      <protection locked="0"/>
    </xf>
    <xf numFmtId="0" fontId="0" fillId="3" borderId="98" xfId="0" applyFill="1" applyBorder="1"/>
    <xf numFmtId="10" fontId="12" fillId="3" borderId="57" xfId="0" applyNumberFormat="1" applyFont="1" applyFill="1" applyBorder="1" applyAlignment="1" applyProtection="1">
      <alignment wrapText="1"/>
      <protection locked="0"/>
    </xf>
    <xf numFmtId="0" fontId="18" fillId="3" borderId="0" xfId="0" applyFont="1" applyFill="1" applyBorder="1" applyAlignment="1" applyProtection="1">
      <alignment wrapText="1"/>
    </xf>
    <xf numFmtId="0" fontId="18" fillId="3" borderId="7" xfId="0" applyFont="1" applyFill="1" applyBorder="1" applyAlignment="1" applyProtection="1">
      <alignment wrapText="1"/>
    </xf>
    <xf numFmtId="0" fontId="18" fillId="0" borderId="6" xfId="0" applyFont="1" applyFill="1" applyBorder="1" applyAlignment="1" applyProtection="1">
      <alignment wrapText="1"/>
    </xf>
    <xf numFmtId="173" fontId="18" fillId="0" borderId="104" xfId="16" applyFont="1" applyFill="1" applyBorder="1" applyAlignment="1" applyProtection="1">
      <alignment wrapText="1"/>
    </xf>
    <xf numFmtId="2" fontId="13" fillId="3" borderId="78" xfId="16" applyNumberFormat="1" applyFont="1" applyFill="1" applyBorder="1" applyAlignment="1" applyProtection="1">
      <alignment wrapText="1"/>
    </xf>
    <xf numFmtId="2" fontId="13" fillId="3" borderId="79" xfId="16" applyNumberFormat="1" applyFont="1" applyFill="1" applyBorder="1" applyAlignment="1" applyProtection="1">
      <alignment wrapText="1"/>
    </xf>
    <xf numFmtId="2" fontId="13" fillId="3" borderId="80" xfId="16" applyNumberFormat="1" applyFont="1" applyFill="1" applyBorder="1" applyAlignment="1" applyProtection="1">
      <alignment wrapText="1"/>
    </xf>
    <xf numFmtId="0" fontId="10" fillId="2" borderId="0" xfId="5" applyFont="1" applyFill="1" applyBorder="1" applyAlignment="1" applyProtection="1">
      <alignment horizontal="left" vertical="top" wrapText="1"/>
    </xf>
    <xf numFmtId="0" fontId="0" fillId="0" borderId="0" xfId="0" applyBorder="1" applyAlignment="1">
      <alignment horizontal="left" vertical="top" wrapText="1"/>
    </xf>
    <xf numFmtId="0" fontId="6" fillId="0" borderId="0" xfId="0" applyFont="1" applyAlignment="1"/>
    <xf numFmtId="0" fontId="0" fillId="0" borderId="0" xfId="0" applyAlignment="1"/>
    <xf numFmtId="0" fontId="0" fillId="0" borderId="0" xfId="0" applyFill="1" applyAlignment="1"/>
    <xf numFmtId="165" fontId="8" fillId="2" borderId="0" xfId="0" applyNumberFormat="1" applyFont="1" applyFill="1" applyBorder="1" applyAlignment="1">
      <alignment horizontal="center" vertical="center"/>
    </xf>
    <xf numFmtId="166" fontId="8" fillId="0" borderId="5" xfId="0" applyNumberFormat="1" applyFont="1" applyFill="1" applyBorder="1" applyAlignment="1">
      <alignment horizontal="center" vertical="center" wrapText="1"/>
    </xf>
    <xf numFmtId="1" fontId="8" fillId="2" borderId="0" xfId="0" applyNumberFormat="1" applyFont="1" applyFill="1" applyBorder="1" applyAlignment="1">
      <alignment horizontal="center" vertical="center" wrapText="1"/>
    </xf>
    <xf numFmtId="2" fontId="8" fillId="2" borderId="0" xfId="0" applyNumberFormat="1" applyFont="1" applyFill="1" applyBorder="1" applyAlignment="1">
      <alignment horizontal="center" vertical="center"/>
    </xf>
    <xf numFmtId="2" fontId="8" fillId="2" borderId="5" xfId="0" applyNumberFormat="1" applyFont="1" applyFill="1" applyBorder="1" applyAlignment="1">
      <alignment horizontal="center" vertical="center" wrapText="1"/>
    </xf>
    <xf numFmtId="0" fontId="6" fillId="3" borderId="57" xfId="0" applyFont="1" applyFill="1" applyBorder="1" applyAlignment="1">
      <alignment horizontal="left" vertical="center" wrapText="1"/>
    </xf>
    <xf numFmtId="0" fontId="6" fillId="0" borderId="4" xfId="0" applyFont="1" applyFill="1" applyBorder="1" applyAlignment="1">
      <alignment horizontal="left" vertical="center" wrapText="1"/>
    </xf>
    <xf numFmtId="0" fontId="0" fillId="0" borderId="0" xfId="0" applyAlignment="1">
      <alignment horizontal="center"/>
    </xf>
    <xf numFmtId="0" fontId="4" fillId="0" borderId="0" xfId="0" applyFont="1" applyAlignment="1">
      <alignment horizontal="center"/>
    </xf>
    <xf numFmtId="3" fontId="0" fillId="0" borderId="0" xfId="0" applyNumberFormat="1" applyAlignment="1">
      <alignment horizontal="center"/>
    </xf>
    <xf numFmtId="177" fontId="0" fillId="0" borderId="0" xfId="0" applyNumberFormat="1" applyAlignment="1">
      <alignment horizontal="center"/>
    </xf>
    <xf numFmtId="3" fontId="15" fillId="3" borderId="8" xfId="0" applyNumberFormat="1" applyFont="1" applyFill="1" applyBorder="1" applyAlignment="1">
      <alignment vertical="top" wrapText="1"/>
    </xf>
    <xf numFmtId="2" fontId="15" fillId="3" borderId="8" xfId="0" applyNumberFormat="1" applyFont="1" applyFill="1" applyBorder="1" applyAlignment="1">
      <alignment vertical="top" wrapText="1"/>
    </xf>
    <xf numFmtId="0" fontId="0" fillId="0" borderId="90" xfId="0" applyBorder="1"/>
    <xf numFmtId="0" fontId="20" fillId="3" borderId="111" xfId="0" applyFont="1" applyFill="1" applyBorder="1" applyAlignment="1" applyProtection="1">
      <alignment horizontal="left" vertical="center"/>
    </xf>
    <xf numFmtId="173" fontId="12" fillId="0" borderId="112" xfId="16" applyFont="1" applyBorder="1" applyAlignment="1" applyProtection="1">
      <alignment wrapText="1"/>
    </xf>
    <xf numFmtId="165" fontId="12" fillId="3" borderId="113" xfId="16" applyNumberFormat="1" applyFont="1" applyFill="1" applyBorder="1" applyProtection="1"/>
    <xf numFmtId="173" fontId="12" fillId="0" borderId="114" xfId="16" applyFont="1" applyBorder="1" applyProtection="1"/>
    <xf numFmtId="173" fontId="12" fillId="0" borderId="115" xfId="16" applyFont="1" applyBorder="1" applyAlignment="1" applyProtection="1">
      <alignment wrapText="1"/>
    </xf>
    <xf numFmtId="165" fontId="12" fillId="3" borderId="98" xfId="16" applyNumberFormat="1" applyFont="1" applyFill="1" applyBorder="1" applyProtection="1"/>
    <xf numFmtId="173" fontId="12" fillId="0" borderId="116" xfId="16" applyFont="1" applyBorder="1" applyProtection="1"/>
    <xf numFmtId="173" fontId="12" fillId="0" borderId="117" xfId="16" applyFont="1" applyBorder="1" applyAlignment="1" applyProtection="1">
      <alignment wrapText="1"/>
    </xf>
    <xf numFmtId="165" fontId="12" fillId="3" borderId="118" xfId="16" applyNumberFormat="1" applyFont="1" applyFill="1" applyBorder="1" applyProtection="1"/>
    <xf numFmtId="173" fontId="12" fillId="0" borderId="119" xfId="16" applyFont="1" applyBorder="1" applyProtection="1"/>
    <xf numFmtId="165" fontId="4" fillId="0" borderId="0" xfId="16" applyNumberFormat="1" applyFont="1" applyFill="1" applyBorder="1" applyProtection="1"/>
    <xf numFmtId="0" fontId="4" fillId="0" borderId="58" xfId="0" applyFont="1" applyBorder="1"/>
    <xf numFmtId="0" fontId="4" fillId="0" borderId="59" xfId="0" applyFont="1" applyFill="1" applyBorder="1" applyProtection="1"/>
    <xf numFmtId="0" fontId="4" fillId="0" borderId="87" xfId="0" applyFont="1" applyFill="1" applyBorder="1" applyProtection="1"/>
    <xf numFmtId="173" fontId="12" fillId="0" borderId="106" xfId="16" applyFont="1" applyBorder="1" applyProtection="1"/>
    <xf numFmtId="170" fontId="12" fillId="0" borderId="107" xfId="16" applyNumberFormat="1" applyFont="1" applyFill="1" applyBorder="1" applyAlignment="1" applyProtection="1">
      <alignment horizontal="center"/>
    </xf>
    <xf numFmtId="173" fontId="12" fillId="0" borderId="98" xfId="16" applyFont="1" applyBorder="1" applyProtection="1"/>
    <xf numFmtId="173" fontId="12" fillId="0" borderId="108" xfId="16" applyFont="1" applyBorder="1" applyProtection="1"/>
    <xf numFmtId="173" fontId="12" fillId="0" borderId="120" xfId="16" applyFont="1" applyBorder="1" applyProtection="1"/>
    <xf numFmtId="173" fontId="12" fillId="0" borderId="111" xfId="16" applyFont="1" applyBorder="1" applyProtection="1"/>
    <xf numFmtId="173" fontId="6" fillId="0" borderId="40" xfId="16" applyFont="1" applyBorder="1" applyProtection="1"/>
    <xf numFmtId="173" fontId="5" fillId="0" borderId="63" xfId="5" applyNumberFormat="1" applyBorder="1" applyAlignment="1" applyProtection="1"/>
    <xf numFmtId="173" fontId="5" fillId="0" borderId="109" xfId="5" applyNumberFormat="1" applyBorder="1" applyAlignment="1" applyProtection="1"/>
    <xf numFmtId="167" fontId="15" fillId="3" borderId="37" xfId="0" applyNumberFormat="1" applyFont="1" applyFill="1" applyBorder="1" applyAlignment="1">
      <alignment vertical="top" wrapText="1"/>
    </xf>
    <xf numFmtId="0" fontId="18" fillId="0" borderId="10" xfId="0" quotePrefix="1" applyFont="1" applyBorder="1" applyAlignment="1" applyProtection="1">
      <alignment wrapText="1"/>
    </xf>
    <xf numFmtId="173" fontId="4" fillId="0" borderId="40" xfId="16" applyFont="1" applyFill="1" applyBorder="1" applyAlignment="1" applyProtection="1">
      <alignment horizontal="center" wrapText="1"/>
    </xf>
    <xf numFmtId="0" fontId="13" fillId="3" borderId="122" xfId="0" applyFont="1" applyFill="1" applyBorder="1" applyAlignment="1" applyProtection="1">
      <alignment wrapText="1"/>
    </xf>
    <xf numFmtId="0" fontId="13" fillId="3" borderId="123" xfId="0" applyFont="1" applyFill="1" applyBorder="1" applyAlignment="1" applyProtection="1">
      <alignment wrapText="1"/>
    </xf>
    <xf numFmtId="0" fontId="13" fillId="3" borderId="124" xfId="0" applyFont="1" applyFill="1" applyBorder="1" applyAlignment="1" applyProtection="1">
      <alignment wrapText="1"/>
    </xf>
    <xf numFmtId="173" fontId="4" fillId="0" borderId="107" xfId="16" applyFont="1" applyFill="1" applyBorder="1" applyAlignment="1" applyProtection="1">
      <alignment horizontal="center" wrapText="1"/>
    </xf>
    <xf numFmtId="169" fontId="12" fillId="3" borderId="108" xfId="16" applyNumberFormat="1" applyFont="1" applyFill="1" applyBorder="1" applyProtection="1"/>
    <xf numFmtId="173" fontId="4" fillId="0" borderId="125" xfId="16" applyFont="1" applyFill="1" applyBorder="1" applyAlignment="1" applyProtection="1">
      <alignment horizontal="center" wrapText="1"/>
    </xf>
    <xf numFmtId="0" fontId="13" fillId="3" borderId="77" xfId="0" quotePrefix="1" applyFont="1" applyFill="1" applyBorder="1" applyAlignment="1" applyProtection="1">
      <alignment horizontal="left" wrapText="1"/>
    </xf>
    <xf numFmtId="0" fontId="13" fillId="3" borderId="80" xfId="0" quotePrefix="1" applyFont="1" applyFill="1" applyBorder="1" applyAlignment="1" applyProtection="1">
      <alignment wrapText="1"/>
    </xf>
    <xf numFmtId="0" fontId="13" fillId="3" borderId="80" xfId="0" quotePrefix="1" applyFont="1" applyFill="1" applyBorder="1" applyAlignment="1" applyProtection="1">
      <alignment horizontal="center" wrapText="1"/>
    </xf>
    <xf numFmtId="0" fontId="4" fillId="0" borderId="3" xfId="0" applyFont="1" applyBorder="1" applyAlignment="1">
      <alignment wrapText="1"/>
    </xf>
    <xf numFmtId="0" fontId="4" fillId="0" borderId="87" xfId="0" applyFont="1" applyBorder="1"/>
    <xf numFmtId="0" fontId="4" fillId="0" borderId="59" xfId="0" applyFont="1" applyBorder="1"/>
    <xf numFmtId="0" fontId="0" fillId="0" borderId="113" xfId="0" applyBorder="1"/>
    <xf numFmtId="0" fontId="0" fillId="0" borderId="98" xfId="0" applyBorder="1"/>
    <xf numFmtId="0" fontId="0" fillId="0" borderId="116" xfId="0" applyBorder="1"/>
    <xf numFmtId="173" fontId="18" fillId="0" borderId="76" xfId="16" applyFont="1" applyBorder="1" applyAlignment="1" applyProtection="1">
      <alignment horizontal="left"/>
    </xf>
    <xf numFmtId="164" fontId="13" fillId="0" borderId="76" xfId="16" applyNumberFormat="1" applyFont="1" applyFill="1" applyBorder="1" applyProtection="1"/>
    <xf numFmtId="173" fontId="12" fillId="0" borderId="6" xfId="16" applyFont="1" applyBorder="1" applyAlignment="1" applyProtection="1">
      <alignment wrapText="1"/>
    </xf>
    <xf numFmtId="173" fontId="4" fillId="0" borderId="6" xfId="16" applyFont="1" applyBorder="1" applyAlignment="1" applyProtection="1">
      <alignment wrapText="1"/>
    </xf>
    <xf numFmtId="173" fontId="12" fillId="0" borderId="67" xfId="16" applyFont="1" applyBorder="1" applyAlignment="1" applyProtection="1">
      <alignment wrapText="1"/>
    </xf>
    <xf numFmtId="0" fontId="0" fillId="0" borderId="77" xfId="0" applyBorder="1"/>
    <xf numFmtId="173" fontId="6" fillId="0" borderId="78" xfId="16" applyFont="1" applyBorder="1" applyAlignment="1" applyProtection="1">
      <alignment vertical="center" wrapText="1"/>
    </xf>
    <xf numFmtId="173" fontId="6" fillId="0" borderId="79" xfId="16" applyFont="1" applyBorder="1" applyAlignment="1" applyProtection="1">
      <alignment horizontal="center" vertical="center" wrapText="1"/>
    </xf>
    <xf numFmtId="165" fontId="6" fillId="0" borderId="79" xfId="16" applyNumberFormat="1" applyFont="1" applyFill="1" applyBorder="1" applyAlignment="1" applyProtection="1">
      <alignment horizontal="center" vertical="center" wrapText="1"/>
    </xf>
    <xf numFmtId="165" fontId="6" fillId="0" borderId="80" xfId="16" applyNumberFormat="1" applyFont="1" applyFill="1" applyBorder="1" applyAlignment="1" applyProtection="1">
      <alignment horizontal="center" vertical="center" wrapText="1"/>
    </xf>
    <xf numFmtId="173" fontId="12" fillId="3" borderId="0" xfId="16" applyFont="1" applyFill="1" applyBorder="1" applyAlignment="1" applyProtection="1">
      <alignment horizontal="center"/>
    </xf>
    <xf numFmtId="173" fontId="12" fillId="3" borderId="7" xfId="16" applyFont="1" applyFill="1" applyBorder="1" applyAlignment="1" applyProtection="1">
      <alignment horizontal="center"/>
    </xf>
    <xf numFmtId="165" fontId="12" fillId="3" borderId="0" xfId="16" applyNumberFormat="1" applyFont="1" applyFill="1" applyBorder="1" applyAlignment="1" applyProtection="1">
      <alignment horizontal="center"/>
    </xf>
    <xf numFmtId="165" fontId="12" fillId="0" borderId="2" xfId="16" applyNumberFormat="1" applyFont="1" applyFill="1" applyBorder="1" applyAlignment="1" applyProtection="1">
      <alignment horizontal="center"/>
    </xf>
    <xf numFmtId="173" fontId="12" fillId="0" borderId="2" xfId="16" applyFont="1" applyFill="1" applyBorder="1" applyAlignment="1" applyProtection="1">
      <alignment horizontal="center"/>
    </xf>
    <xf numFmtId="173" fontId="12" fillId="0" borderId="82" xfId="16" applyFont="1" applyFill="1" applyBorder="1" applyAlignment="1" applyProtection="1">
      <alignment horizontal="center"/>
    </xf>
    <xf numFmtId="173" fontId="12" fillId="0" borderId="63" xfId="16" applyFont="1" applyFill="1" applyBorder="1" applyAlignment="1" applyProtection="1">
      <alignment horizontal="right"/>
    </xf>
    <xf numFmtId="173" fontId="12" fillId="0" borderId="63" xfId="16" applyFont="1" applyFill="1" applyBorder="1" applyAlignment="1" applyProtection="1">
      <alignment horizontal="right" wrapText="1"/>
    </xf>
    <xf numFmtId="173" fontId="4" fillId="0" borderId="109" xfId="16" applyFont="1" applyFill="1" applyBorder="1" applyProtection="1"/>
    <xf numFmtId="173" fontId="18" fillId="0" borderId="77" xfId="16" applyFont="1" applyBorder="1" applyAlignment="1" applyProtection="1">
      <alignment horizontal="left"/>
    </xf>
    <xf numFmtId="165" fontId="4" fillId="0" borderId="7" xfId="16" applyNumberFormat="1" applyFont="1" applyFill="1" applyBorder="1" applyProtection="1"/>
    <xf numFmtId="0" fontId="0" fillId="0" borderId="9" xfId="0" applyBorder="1"/>
    <xf numFmtId="0" fontId="0" fillId="0" borderId="11" xfId="0" applyBorder="1"/>
    <xf numFmtId="0" fontId="6" fillId="0" borderId="40" xfId="0" applyFont="1" applyBorder="1" applyAlignment="1">
      <alignment vertical="top" wrapText="1"/>
    </xf>
    <xf numFmtId="0" fontId="6" fillId="0" borderId="106" xfId="0" applyFont="1" applyBorder="1" applyAlignment="1">
      <alignment vertical="top" wrapText="1"/>
    </xf>
    <xf numFmtId="0" fontId="6" fillId="0" borderId="106" xfId="0" applyFont="1" applyBorder="1" applyAlignment="1">
      <alignment horizontal="left" vertical="top" wrapText="1"/>
    </xf>
    <xf numFmtId="0" fontId="6" fillId="0" borderId="106" xfId="0" applyFont="1" applyBorder="1" applyAlignment="1">
      <alignment horizontal="right" vertical="top" wrapText="1"/>
    </xf>
    <xf numFmtId="0" fontId="6" fillId="0" borderId="106" xfId="0" applyFont="1" applyBorder="1" applyAlignment="1">
      <alignment horizontal="center" vertical="top" wrapText="1"/>
    </xf>
    <xf numFmtId="0" fontId="6" fillId="0" borderId="48" xfId="0" applyFont="1" applyFill="1" applyBorder="1" applyAlignment="1">
      <alignment vertical="top" wrapText="1"/>
    </xf>
    <xf numFmtId="0" fontId="6" fillId="0" borderId="40" xfId="0" applyFont="1" applyFill="1" applyBorder="1" applyAlignment="1">
      <alignment vertical="top" wrapText="1"/>
    </xf>
    <xf numFmtId="0" fontId="6" fillId="0" borderId="107" xfId="0" applyFont="1" applyFill="1" applyBorder="1" applyAlignment="1">
      <alignment vertical="top" wrapText="1"/>
    </xf>
    <xf numFmtId="0" fontId="0" fillId="0" borderId="98" xfId="0" applyFill="1" applyBorder="1" applyAlignment="1">
      <alignment horizontal="left" vertical="top" wrapText="1"/>
    </xf>
    <xf numFmtId="2" fontId="0" fillId="0" borderId="49" xfId="0" applyNumberFormat="1" applyFill="1" applyBorder="1" applyAlignment="1">
      <alignment horizontal="center" vertical="top"/>
    </xf>
    <xf numFmtId="0" fontId="0" fillId="0" borderId="63" xfId="0" applyBorder="1"/>
    <xf numFmtId="0" fontId="0" fillId="0" borderId="108" xfId="0" applyBorder="1"/>
    <xf numFmtId="0" fontId="0" fillId="6" borderId="98" xfId="0" applyFill="1" applyBorder="1" applyAlignment="1">
      <alignment horizontal="left" vertical="top" wrapText="1"/>
    </xf>
    <xf numFmtId="0" fontId="0" fillId="6" borderId="98" xfId="0" quotePrefix="1" applyFill="1" applyBorder="1" applyAlignment="1">
      <alignment horizontal="left" vertical="top" wrapText="1"/>
    </xf>
    <xf numFmtId="173" fontId="4" fillId="0" borderId="76" xfId="16" applyFont="1" applyBorder="1" applyAlignment="1" applyProtection="1">
      <alignment horizontal="center"/>
    </xf>
    <xf numFmtId="0" fontId="4" fillId="0" borderId="76" xfId="0" applyFont="1" applyFill="1" applyBorder="1" applyAlignment="1" applyProtection="1">
      <alignment horizontal="center"/>
    </xf>
    <xf numFmtId="0" fontId="4" fillId="0" borderId="77" xfId="0" applyFont="1" applyFill="1" applyBorder="1" applyAlignment="1" applyProtection="1">
      <alignment horizontal="center"/>
    </xf>
    <xf numFmtId="2" fontId="12" fillId="3" borderId="113" xfId="16" applyNumberFormat="1" applyFont="1" applyFill="1" applyBorder="1" applyAlignment="1" applyProtection="1">
      <alignment horizontal="center" vertical="center" wrapText="1"/>
    </xf>
    <xf numFmtId="2" fontId="12" fillId="3" borderId="128" xfId="16" applyNumberFormat="1" applyFont="1" applyFill="1" applyBorder="1" applyAlignment="1" applyProtection="1">
      <alignment horizontal="center" vertical="center" wrapText="1"/>
    </xf>
    <xf numFmtId="3" fontId="12" fillId="3" borderId="98" xfId="16" applyNumberFormat="1" applyFont="1" applyFill="1" applyBorder="1" applyAlignment="1" applyProtection="1">
      <alignment horizontal="center" vertical="center" wrapText="1"/>
    </xf>
    <xf numFmtId="3" fontId="12" fillId="3" borderId="108" xfId="16" applyNumberFormat="1" applyFont="1" applyFill="1" applyBorder="1" applyAlignment="1" applyProtection="1">
      <alignment horizontal="center" vertical="center" wrapText="1"/>
    </xf>
    <xf numFmtId="2" fontId="12" fillId="3" borderId="98" xfId="16" applyNumberFormat="1" applyFont="1" applyFill="1" applyBorder="1" applyAlignment="1" applyProtection="1">
      <alignment horizontal="center" vertical="center" wrapText="1"/>
    </xf>
    <xf numFmtId="2" fontId="12" fillId="3" borderId="108" xfId="16" applyNumberFormat="1" applyFont="1" applyFill="1" applyBorder="1" applyAlignment="1" applyProtection="1">
      <alignment horizontal="center" vertical="center" wrapText="1"/>
    </xf>
    <xf numFmtId="3" fontId="12" fillId="3" borderId="120" xfId="16" applyNumberFormat="1" applyFont="1" applyFill="1" applyBorder="1" applyAlignment="1" applyProtection="1">
      <alignment horizontal="center" vertical="center" wrapText="1"/>
    </xf>
    <xf numFmtId="3" fontId="12" fillId="3" borderId="111" xfId="16" applyNumberFormat="1" applyFont="1" applyFill="1" applyBorder="1" applyAlignment="1" applyProtection="1">
      <alignment horizontal="center" vertical="center" wrapText="1"/>
    </xf>
    <xf numFmtId="173" fontId="4" fillId="0" borderId="127" xfId="16" applyFont="1" applyBorder="1" applyAlignment="1" applyProtection="1">
      <alignment wrapText="1"/>
    </xf>
    <xf numFmtId="173" fontId="12" fillId="0" borderId="63" xfId="16" applyFont="1" applyBorder="1" applyAlignment="1" applyProtection="1">
      <alignment wrapText="1"/>
    </xf>
    <xf numFmtId="173" fontId="12" fillId="0" borderId="109" xfId="16" applyFont="1" applyBorder="1" applyAlignment="1" applyProtection="1">
      <alignment wrapText="1"/>
    </xf>
    <xf numFmtId="165" fontId="4" fillId="0" borderId="113" xfId="16" applyNumberFormat="1" applyFont="1" applyFill="1" applyBorder="1" applyAlignment="1" applyProtection="1">
      <alignment horizontal="center"/>
    </xf>
    <xf numFmtId="165" fontId="4" fillId="0" borderId="128" xfId="16" applyNumberFormat="1" applyFont="1" applyFill="1" applyBorder="1" applyAlignment="1" applyProtection="1">
      <alignment horizontal="center"/>
    </xf>
    <xf numFmtId="165" fontId="12" fillId="3" borderId="98" xfId="16" applyNumberFormat="1" applyFont="1" applyFill="1" applyBorder="1" applyAlignment="1" applyProtection="1">
      <alignment horizontal="center"/>
    </xf>
    <xf numFmtId="173" fontId="12" fillId="0" borderId="121" xfId="16" applyFont="1" applyBorder="1" applyAlignment="1" applyProtection="1">
      <alignment wrapText="1"/>
    </xf>
    <xf numFmtId="0" fontId="4" fillId="0" borderId="86" xfId="0" applyFont="1" applyBorder="1"/>
    <xf numFmtId="165" fontId="12" fillId="3" borderId="129" xfId="16" applyNumberFormat="1" applyFont="1" applyFill="1" applyBorder="1" applyAlignment="1" applyProtection="1">
      <alignment horizontal="center"/>
    </xf>
    <xf numFmtId="165" fontId="0" fillId="3" borderId="47" xfId="0" applyNumberFormat="1" applyFill="1" applyBorder="1" applyAlignment="1">
      <alignment horizontal="center"/>
    </xf>
    <xf numFmtId="11" fontId="12" fillId="3" borderId="98" xfId="16" applyNumberFormat="1" applyFont="1" applyFill="1" applyBorder="1" applyAlignment="1" applyProtection="1">
      <alignment horizontal="center"/>
    </xf>
    <xf numFmtId="11" fontId="12" fillId="3" borderId="129" xfId="16" applyNumberFormat="1" applyFont="1" applyFill="1" applyBorder="1" applyAlignment="1" applyProtection="1">
      <alignment horizontal="center"/>
    </xf>
    <xf numFmtId="11" fontId="0" fillId="3" borderId="47" xfId="0" applyNumberFormat="1" applyFill="1" applyBorder="1" applyAlignment="1">
      <alignment horizontal="center"/>
    </xf>
    <xf numFmtId="165" fontId="12" fillId="3" borderId="108" xfId="16" applyNumberFormat="1" applyFont="1" applyFill="1" applyBorder="1" applyAlignment="1" applyProtection="1">
      <alignment horizontal="center"/>
    </xf>
    <xf numFmtId="165" fontId="12" fillId="3" borderId="130" xfId="16" applyNumberFormat="1" applyFont="1" applyFill="1" applyBorder="1" applyAlignment="1" applyProtection="1">
      <alignment horizontal="center"/>
    </xf>
    <xf numFmtId="165" fontId="0" fillId="3" borderId="56" xfId="0" applyNumberFormat="1" applyFill="1" applyBorder="1" applyAlignment="1">
      <alignment horizontal="center"/>
    </xf>
    <xf numFmtId="165" fontId="12" fillId="3" borderId="120" xfId="16" applyNumberFormat="1" applyFont="1" applyFill="1" applyBorder="1" applyAlignment="1" applyProtection="1">
      <alignment horizontal="center"/>
    </xf>
    <xf numFmtId="11" fontId="12" fillId="3" borderId="120" xfId="16" applyNumberFormat="1" applyFont="1" applyFill="1" applyBorder="1" applyAlignment="1" applyProtection="1">
      <alignment horizontal="center"/>
    </xf>
    <xf numFmtId="165" fontId="12" fillId="3" borderId="111" xfId="16" applyNumberFormat="1" applyFont="1" applyFill="1" applyBorder="1" applyAlignment="1" applyProtection="1">
      <alignment horizontal="center"/>
    </xf>
    <xf numFmtId="11" fontId="12" fillId="3" borderId="0" xfId="16" applyNumberFormat="1" applyFont="1" applyFill="1" applyBorder="1" applyProtection="1"/>
    <xf numFmtId="11" fontId="12" fillId="3" borderId="7" xfId="16" applyNumberFormat="1" applyFont="1" applyFill="1" applyBorder="1" applyProtection="1"/>
    <xf numFmtId="11" fontId="12" fillId="3" borderId="90" xfId="16" applyNumberFormat="1" applyFont="1" applyFill="1" applyBorder="1" applyProtection="1"/>
    <xf numFmtId="11" fontId="12" fillId="3" borderId="110" xfId="16" applyNumberFormat="1" applyFont="1" applyFill="1" applyBorder="1" applyProtection="1"/>
    <xf numFmtId="165" fontId="12" fillId="3" borderId="0" xfId="16" applyNumberFormat="1" applyFont="1" applyFill="1" applyBorder="1" applyAlignment="1" applyProtection="1">
      <alignment horizontal="center" wrapText="1"/>
    </xf>
    <xf numFmtId="165" fontId="4" fillId="3" borderId="0" xfId="16" applyNumberFormat="1" applyFont="1" applyFill="1" applyBorder="1" applyAlignment="1" applyProtection="1">
      <alignment horizontal="center" wrapText="1"/>
    </xf>
    <xf numFmtId="173" fontId="18" fillId="0" borderId="24" xfId="16" applyFont="1" applyBorder="1" applyProtection="1"/>
    <xf numFmtId="173" fontId="12" fillId="0" borderId="65" xfId="16" applyFont="1" applyBorder="1" applyProtection="1"/>
    <xf numFmtId="0" fontId="4" fillId="0" borderId="65" xfId="0" applyFont="1" applyBorder="1"/>
    <xf numFmtId="0" fontId="4" fillId="0" borderId="65" xfId="0" applyFont="1" applyFill="1" applyBorder="1" applyProtection="1"/>
    <xf numFmtId="0" fontId="4" fillId="0" borderId="66" xfId="0" applyFont="1" applyFill="1" applyBorder="1" applyProtection="1"/>
    <xf numFmtId="0" fontId="0" fillId="0" borderId="7" xfId="0" applyBorder="1"/>
    <xf numFmtId="2" fontId="12" fillId="3" borderId="113" xfId="16" applyNumberFormat="1" applyFont="1" applyFill="1" applyBorder="1" applyAlignment="1" applyProtection="1">
      <alignment vertical="center" wrapText="1"/>
    </xf>
    <xf numFmtId="3" fontId="12" fillId="3" borderId="98" xfId="16" applyNumberFormat="1" applyFont="1" applyFill="1" applyBorder="1" applyAlignment="1" applyProtection="1">
      <alignment vertical="center" wrapText="1"/>
    </xf>
    <xf numFmtId="2" fontId="12" fillId="3" borderId="98" xfId="16" applyNumberFormat="1" applyFont="1" applyFill="1" applyBorder="1" applyAlignment="1" applyProtection="1">
      <alignment vertical="center" wrapText="1"/>
    </xf>
    <xf numFmtId="3" fontId="12" fillId="3" borderId="120" xfId="16" applyNumberFormat="1" applyFont="1" applyFill="1" applyBorder="1" applyAlignment="1" applyProtection="1">
      <alignment vertical="center" wrapText="1"/>
    </xf>
    <xf numFmtId="11" fontId="0" fillId="3" borderId="113" xfId="0" applyNumberFormat="1" applyFill="1" applyBorder="1"/>
    <xf numFmtId="165" fontId="0" fillId="3" borderId="128" xfId="0" applyNumberFormat="1" applyFill="1" applyBorder="1"/>
    <xf numFmtId="2" fontId="0" fillId="3" borderId="98" xfId="0" applyNumberFormat="1" applyFill="1" applyBorder="1"/>
    <xf numFmtId="2" fontId="0" fillId="3" borderId="108" xfId="0" applyNumberFormat="1" applyFill="1" applyBorder="1"/>
    <xf numFmtId="0" fontId="0" fillId="3" borderId="108" xfId="0" applyFill="1" applyBorder="1"/>
    <xf numFmtId="11" fontId="0" fillId="3" borderId="120" xfId="0" applyNumberFormat="1" applyFill="1" applyBorder="1"/>
    <xf numFmtId="165" fontId="0" fillId="3" borderId="111" xfId="0" applyNumberFormat="1" applyFill="1" applyBorder="1"/>
    <xf numFmtId="173" fontId="4" fillId="0" borderId="75" xfId="16" applyFont="1" applyBorder="1" applyAlignment="1" applyProtection="1">
      <alignment wrapText="1"/>
    </xf>
    <xf numFmtId="173" fontId="6" fillId="0" borderId="76" xfId="16" applyFont="1" applyFill="1" applyBorder="1" applyAlignment="1" applyProtection="1">
      <alignment horizontal="center" wrapText="1"/>
    </xf>
    <xf numFmtId="173" fontId="6" fillId="0" borderId="76" xfId="16" applyFont="1" applyBorder="1" applyAlignment="1" applyProtection="1">
      <alignment horizontal="center" vertical="center" wrapText="1"/>
    </xf>
    <xf numFmtId="165" fontId="6" fillId="0" borderId="76" xfId="16" applyNumberFormat="1" applyFont="1" applyFill="1" applyBorder="1" applyAlignment="1" applyProtection="1">
      <alignment horizontal="center" vertical="center" wrapText="1"/>
    </xf>
    <xf numFmtId="165" fontId="6" fillId="0" borderId="77" xfId="16" applyNumberFormat="1" applyFont="1" applyFill="1" applyBorder="1" applyAlignment="1" applyProtection="1">
      <alignment horizontal="center" vertical="center" wrapText="1"/>
    </xf>
    <xf numFmtId="173" fontId="12" fillId="0" borderId="127" xfId="16" applyFont="1" applyBorder="1" applyAlignment="1" applyProtection="1">
      <alignment wrapText="1"/>
    </xf>
    <xf numFmtId="165" fontId="12" fillId="3" borderId="113" xfId="16" applyNumberFormat="1" applyFont="1" applyFill="1" applyBorder="1" applyAlignment="1" applyProtection="1">
      <alignment horizontal="center" wrapText="1"/>
    </xf>
    <xf numFmtId="165" fontId="12" fillId="3" borderId="113" xfId="16" applyNumberFormat="1" applyFont="1" applyFill="1" applyBorder="1" applyAlignment="1" applyProtection="1">
      <alignment horizontal="center"/>
    </xf>
    <xf numFmtId="173" fontId="12" fillId="3" borderId="113" xfId="16" applyFont="1" applyFill="1" applyBorder="1" applyAlignment="1" applyProtection="1">
      <alignment horizontal="center"/>
    </xf>
    <xf numFmtId="165" fontId="12" fillId="3" borderId="98" xfId="16" applyNumberFormat="1" applyFont="1" applyFill="1" applyBorder="1" applyAlignment="1" applyProtection="1">
      <alignment horizontal="center" wrapText="1"/>
    </xf>
    <xf numFmtId="173" fontId="12" fillId="3" borderId="98" xfId="16" applyFont="1" applyFill="1" applyBorder="1" applyAlignment="1" applyProtection="1">
      <alignment horizontal="center"/>
    </xf>
    <xf numFmtId="173" fontId="12" fillId="3" borderId="108" xfId="16" applyFont="1" applyFill="1" applyBorder="1" applyAlignment="1" applyProtection="1">
      <alignment horizontal="center"/>
    </xf>
    <xf numFmtId="173" fontId="12" fillId="0" borderId="131" xfId="16" applyFont="1" applyBorder="1" applyAlignment="1" applyProtection="1">
      <alignment wrapText="1"/>
    </xf>
    <xf numFmtId="165" fontId="12" fillId="3" borderId="118" xfId="16" applyNumberFormat="1" applyFont="1" applyFill="1" applyBorder="1" applyAlignment="1" applyProtection="1">
      <alignment horizontal="center" wrapText="1"/>
    </xf>
    <xf numFmtId="165" fontId="12" fillId="3" borderId="118" xfId="16" applyNumberFormat="1" applyFont="1" applyFill="1" applyBorder="1" applyAlignment="1" applyProtection="1">
      <alignment horizontal="center"/>
    </xf>
    <xf numFmtId="173" fontId="12" fillId="3" borderId="118" xfId="16" applyFont="1" applyFill="1" applyBorder="1" applyAlignment="1" applyProtection="1">
      <alignment horizontal="center"/>
    </xf>
    <xf numFmtId="173" fontId="6" fillId="0" borderId="81" xfId="16" applyFont="1" applyFill="1" applyBorder="1" applyAlignment="1" applyProtection="1">
      <alignment wrapText="1"/>
    </xf>
    <xf numFmtId="165" fontId="4" fillId="0" borderId="2" xfId="16" applyNumberFormat="1" applyFont="1" applyFill="1" applyBorder="1" applyAlignment="1" applyProtection="1">
      <alignment horizontal="center" wrapText="1"/>
    </xf>
    <xf numFmtId="165" fontId="12" fillId="3" borderId="120" xfId="16" applyNumberFormat="1" applyFont="1" applyFill="1" applyBorder="1" applyAlignment="1" applyProtection="1">
      <alignment horizontal="center" wrapText="1"/>
    </xf>
    <xf numFmtId="173" fontId="12" fillId="3" borderId="120" xfId="16" applyFont="1" applyFill="1" applyBorder="1" applyAlignment="1" applyProtection="1">
      <alignment horizontal="center"/>
    </xf>
    <xf numFmtId="173" fontId="12" fillId="3" borderId="111" xfId="16" applyFont="1" applyFill="1" applyBorder="1" applyAlignment="1" applyProtection="1">
      <alignment horizontal="center"/>
    </xf>
    <xf numFmtId="11" fontId="12" fillId="0" borderId="0" xfId="16" applyNumberFormat="1" applyFont="1" applyFill="1" applyBorder="1" applyProtection="1"/>
    <xf numFmtId="11" fontId="12" fillId="0" borderId="7" xfId="16" applyNumberFormat="1" applyFont="1" applyFill="1" applyBorder="1" applyProtection="1"/>
    <xf numFmtId="173" fontId="4" fillId="0" borderId="6" xfId="16" applyFont="1" applyFill="1" applyBorder="1" applyAlignment="1" applyProtection="1">
      <alignment wrapText="1"/>
    </xf>
    <xf numFmtId="173" fontId="4" fillId="0" borderId="63" xfId="16" applyFont="1" applyFill="1" applyBorder="1" applyAlignment="1" applyProtection="1">
      <alignment wrapText="1"/>
    </xf>
    <xf numFmtId="165" fontId="12" fillId="0" borderId="98" xfId="16" applyNumberFormat="1" applyFont="1" applyFill="1" applyBorder="1" applyAlignment="1" applyProtection="1">
      <alignment horizontal="center"/>
    </xf>
    <xf numFmtId="11" fontId="12" fillId="0" borderId="98" xfId="16" applyNumberFormat="1" applyFont="1" applyFill="1" applyBorder="1" applyAlignment="1" applyProtection="1">
      <alignment horizontal="center"/>
    </xf>
    <xf numFmtId="165" fontId="12" fillId="0" borderId="108" xfId="16" applyNumberFormat="1" applyFont="1" applyFill="1" applyBorder="1" applyAlignment="1" applyProtection="1">
      <alignment horizontal="center"/>
    </xf>
    <xf numFmtId="0" fontId="18" fillId="0" borderId="24" xfId="0" applyFont="1" applyBorder="1"/>
    <xf numFmtId="0" fontId="0" fillId="0" borderId="66" xfId="0" applyBorder="1"/>
    <xf numFmtId="0" fontId="5" fillId="0" borderId="6" xfId="5" applyBorder="1" applyAlignment="1" applyProtection="1"/>
    <xf numFmtId="0" fontId="5" fillId="0" borderId="67" xfId="5" applyBorder="1" applyAlignment="1" applyProtection="1"/>
    <xf numFmtId="0" fontId="0" fillId="0" borderId="110" xfId="0" applyBorder="1"/>
    <xf numFmtId="42" fontId="12" fillId="3" borderId="69" xfId="1" applyNumberFormat="1" applyFont="1" applyFill="1" applyBorder="1" applyAlignment="1" applyProtection="1">
      <alignment wrapText="1"/>
      <protection locked="0"/>
    </xf>
    <xf numFmtId="42" fontId="12" fillId="3" borderId="134" xfId="0" applyNumberFormat="1" applyFont="1" applyFill="1" applyBorder="1" applyAlignment="1" applyProtection="1">
      <alignment wrapText="1"/>
      <protection locked="0"/>
    </xf>
    <xf numFmtId="42" fontId="12" fillId="3" borderId="134" xfId="1" applyNumberFormat="1" applyFont="1" applyFill="1" applyBorder="1" applyAlignment="1" applyProtection="1">
      <alignment wrapText="1"/>
      <protection locked="0"/>
    </xf>
    <xf numFmtId="42" fontId="12" fillId="3" borderId="8" xfId="0" applyNumberFormat="1" applyFont="1" applyFill="1" applyBorder="1" applyAlignment="1" applyProtection="1">
      <alignment wrapText="1"/>
      <protection locked="0"/>
    </xf>
    <xf numFmtId="42" fontId="12" fillId="3" borderId="8" xfId="1" applyNumberFormat="1" applyFont="1" applyFill="1" applyBorder="1" applyAlignment="1" applyProtection="1">
      <alignment wrapText="1"/>
      <protection locked="0"/>
    </xf>
    <xf numFmtId="0" fontId="12" fillId="6" borderId="8" xfId="0" applyFont="1" applyFill="1" applyBorder="1" applyAlignment="1" applyProtection="1">
      <alignment wrapText="1"/>
      <protection locked="0"/>
    </xf>
    <xf numFmtId="2" fontId="4" fillId="5" borderId="135" xfId="0" applyNumberFormat="1" applyFont="1" applyFill="1" applyBorder="1" applyAlignment="1" applyProtection="1">
      <alignment wrapText="1"/>
      <protection locked="0"/>
    </xf>
    <xf numFmtId="42" fontId="12" fillId="3" borderId="135" xfId="0" applyNumberFormat="1" applyFont="1" applyFill="1" applyBorder="1" applyAlignment="1" applyProtection="1">
      <alignment wrapText="1"/>
      <protection locked="0"/>
    </xf>
    <xf numFmtId="42" fontId="12" fillId="3" borderId="135" xfId="1" applyNumberFormat="1" applyFont="1" applyFill="1" applyBorder="1" applyAlignment="1" applyProtection="1">
      <alignment wrapText="1"/>
      <protection locked="0"/>
    </xf>
    <xf numFmtId="0" fontId="12" fillId="6" borderId="135" xfId="0" applyFont="1" applyFill="1" applyBorder="1" applyAlignment="1" applyProtection="1">
      <alignment wrapText="1"/>
      <protection locked="0"/>
    </xf>
    <xf numFmtId="0" fontId="12" fillId="3" borderId="136" xfId="0" applyFont="1" applyFill="1" applyBorder="1" applyAlignment="1" applyProtection="1">
      <alignment horizontal="left" wrapText="1"/>
      <protection locked="0"/>
    </xf>
    <xf numFmtId="0" fontId="12" fillId="3" borderId="137" xfId="0" applyFont="1" applyFill="1" applyBorder="1" applyAlignment="1" applyProtection="1">
      <alignment horizontal="left" wrapText="1"/>
      <protection locked="0"/>
    </xf>
    <xf numFmtId="2" fontId="12" fillId="3" borderId="134" xfId="0" applyNumberFormat="1" applyFont="1" applyFill="1" applyBorder="1" applyAlignment="1" applyProtection="1">
      <alignment wrapText="1"/>
      <protection locked="0"/>
    </xf>
    <xf numFmtId="2" fontId="12" fillId="3" borderId="8" xfId="0" applyNumberFormat="1" applyFont="1" applyFill="1" applyBorder="1" applyAlignment="1" applyProtection="1">
      <alignment wrapText="1"/>
      <protection locked="0"/>
    </xf>
    <xf numFmtId="41" fontId="4" fillId="3" borderId="69" xfId="0" applyNumberFormat="1" applyFont="1" applyFill="1" applyBorder="1" applyAlignment="1" applyProtection="1">
      <alignment wrapText="1"/>
      <protection locked="0"/>
    </xf>
    <xf numFmtId="0" fontId="36" fillId="2" borderId="24" xfId="0" applyFont="1" applyFill="1" applyBorder="1" applyProtection="1">
      <protection locked="0"/>
    </xf>
    <xf numFmtId="0" fontId="35" fillId="2" borderId="65" xfId="0" applyFont="1" applyFill="1" applyBorder="1" applyProtection="1">
      <protection locked="0"/>
    </xf>
    <xf numFmtId="0" fontId="30" fillId="0" borderId="0" xfId="0" applyFont="1" applyFill="1" applyBorder="1" applyProtection="1">
      <protection locked="0"/>
    </xf>
    <xf numFmtId="0" fontId="13" fillId="2" borderId="6" xfId="0" applyFont="1" applyFill="1" applyBorder="1" applyAlignment="1" applyProtection="1">
      <alignment horizontal="left" vertical="top"/>
      <protection locked="0"/>
    </xf>
    <xf numFmtId="3" fontId="13" fillId="3" borderId="57" xfId="0" applyNumberFormat="1" applyFont="1" applyFill="1" applyBorder="1" applyAlignment="1" applyProtection="1">
      <alignment horizontal="left" vertical="top"/>
      <protection locked="0"/>
    </xf>
    <xf numFmtId="0" fontId="0" fillId="2" borderId="0" xfId="0" applyFill="1" applyBorder="1" applyProtection="1">
      <protection locked="0"/>
    </xf>
    <xf numFmtId="0" fontId="0" fillId="0" borderId="0" xfId="0" applyFill="1" applyBorder="1" applyProtection="1">
      <protection locked="0"/>
    </xf>
    <xf numFmtId="2" fontId="13" fillId="3" borderId="57" xfId="0" applyNumberFormat="1" applyFont="1" applyFill="1" applyBorder="1" applyAlignment="1" applyProtection="1">
      <alignment horizontal="left" vertical="top"/>
      <protection locked="0"/>
    </xf>
    <xf numFmtId="2" fontId="12" fillId="2" borderId="0" xfId="0" applyNumberFormat="1" applyFont="1" applyFill="1" applyBorder="1" applyAlignment="1" applyProtection="1">
      <alignment horizontal="left" vertical="top" wrapText="1"/>
      <protection locked="0"/>
    </xf>
    <xf numFmtId="2" fontId="13" fillId="5" borderId="57" xfId="0" applyNumberFormat="1" applyFont="1" applyFill="1" applyBorder="1" applyAlignment="1" applyProtection="1">
      <alignment horizontal="left" vertical="top"/>
      <protection locked="0"/>
    </xf>
    <xf numFmtId="3" fontId="13" fillId="5" borderId="57" xfId="0" applyNumberFormat="1" applyFont="1" applyFill="1" applyBorder="1" applyAlignment="1" applyProtection="1">
      <alignment horizontal="left" vertical="top"/>
      <protection locked="0"/>
    </xf>
    <xf numFmtId="2" fontId="13" fillId="0" borderId="0" xfId="0" applyNumberFormat="1" applyFont="1" applyFill="1" applyBorder="1" applyAlignment="1" applyProtection="1">
      <alignment horizontal="left" vertical="top"/>
      <protection locked="0"/>
    </xf>
    <xf numFmtId="0" fontId="0" fillId="2" borderId="6" xfId="0" applyFill="1" applyBorder="1" applyProtection="1">
      <protection locked="0"/>
    </xf>
    <xf numFmtId="0" fontId="35" fillId="2" borderId="110" xfId="0" applyFont="1" applyFill="1" applyBorder="1" applyProtection="1">
      <protection locked="0"/>
    </xf>
    <xf numFmtId="173" fontId="12" fillId="0" borderId="63" xfId="16" applyFont="1" applyBorder="1" applyAlignment="1" applyProtection="1">
      <alignment horizontal="left" vertical="center" wrapText="1"/>
    </xf>
    <xf numFmtId="173" fontId="12" fillId="0" borderId="98" xfId="16" applyFont="1" applyBorder="1" applyAlignment="1" applyProtection="1">
      <alignment horizontal="left" vertical="center" wrapText="1"/>
    </xf>
    <xf numFmtId="0" fontId="0" fillId="5" borderId="0" xfId="0" applyFill="1"/>
    <xf numFmtId="0" fontId="0" fillId="3" borderId="0" xfId="0" applyFill="1"/>
    <xf numFmtId="0" fontId="0" fillId="4" borderId="0" xfId="0" applyFill="1"/>
    <xf numFmtId="173" fontId="41" fillId="0" borderId="0" xfId="16" applyFont="1" applyAlignment="1">
      <alignment horizontal="left"/>
    </xf>
    <xf numFmtId="0" fontId="4" fillId="0" borderId="0" xfId="0" applyFont="1" applyProtection="1">
      <protection locked="0"/>
    </xf>
    <xf numFmtId="0" fontId="4" fillId="0" borderId="13" xfId="0" applyFont="1" applyBorder="1" applyAlignment="1" applyProtection="1">
      <alignment horizontal="right"/>
      <protection locked="0"/>
    </xf>
    <xf numFmtId="0" fontId="4" fillId="0" borderId="17" xfId="0" applyFont="1" applyBorder="1" applyAlignment="1" applyProtection="1">
      <alignment horizontal="right"/>
      <protection locked="0"/>
    </xf>
    <xf numFmtId="0" fontId="5" fillId="0" borderId="0" xfId="5" applyFont="1" applyFill="1" applyBorder="1" applyAlignment="1" applyProtection="1">
      <alignment wrapText="1"/>
      <protection locked="0"/>
    </xf>
    <xf numFmtId="0" fontId="4" fillId="0" borderId="20" xfId="0" applyFont="1" applyBorder="1" applyAlignment="1" applyProtection="1">
      <alignment horizontal="right"/>
      <protection locked="0"/>
    </xf>
    <xf numFmtId="0" fontId="4" fillId="0" borderId="0" xfId="0" applyFont="1" applyFill="1" applyBorder="1" applyAlignment="1" applyProtection="1">
      <alignment horizontal="right"/>
      <protection locked="0"/>
    </xf>
    <xf numFmtId="0" fontId="20" fillId="0" borderId="0" xfId="0" applyFont="1" applyAlignment="1" applyProtection="1">
      <protection locked="0"/>
    </xf>
    <xf numFmtId="0" fontId="20" fillId="0" borderId="0" xfId="0" applyFont="1" applyProtection="1">
      <protection locked="0"/>
    </xf>
    <xf numFmtId="0" fontId="4" fillId="0" borderId="17" xfId="0" applyFont="1" applyBorder="1" applyAlignment="1" applyProtection="1">
      <alignment horizontal="right" wrapText="1"/>
      <protection locked="0"/>
    </xf>
    <xf numFmtId="0" fontId="4" fillId="0" borderId="0" xfId="0" applyFont="1" applyAlignment="1" applyProtection="1">
      <alignment horizontal="right"/>
      <protection locked="0"/>
    </xf>
    <xf numFmtId="0" fontId="4" fillId="0" borderId="8" xfId="0" applyFont="1" applyBorder="1" applyProtection="1">
      <protection locked="0"/>
    </xf>
    <xf numFmtId="0" fontId="41" fillId="0" borderId="0" xfId="0" applyFont="1" applyProtection="1"/>
    <xf numFmtId="0" fontId="4" fillId="0" borderId="0" xfId="0" applyFont="1" applyFill="1" applyBorder="1" applyAlignment="1" applyProtection="1">
      <alignment horizontal="left" vertical="center"/>
    </xf>
    <xf numFmtId="0" fontId="38" fillId="0" borderId="0" xfId="0" applyFont="1" applyAlignment="1">
      <alignment horizontal="right"/>
    </xf>
    <xf numFmtId="4" fontId="12" fillId="3" borderId="98" xfId="16" applyNumberFormat="1" applyFont="1" applyFill="1" applyBorder="1" applyAlignment="1" applyProtection="1">
      <alignment horizontal="center" vertical="center" wrapText="1"/>
    </xf>
    <xf numFmtId="4" fontId="12" fillId="3" borderId="108" xfId="16" applyNumberFormat="1" applyFont="1" applyFill="1" applyBorder="1" applyAlignment="1" applyProtection="1">
      <alignment horizontal="center" vertical="center" wrapText="1"/>
    </xf>
    <xf numFmtId="0" fontId="0" fillId="15" borderId="0" xfId="0" applyFill="1"/>
    <xf numFmtId="0" fontId="4" fillId="0" borderId="4" xfId="0" applyFont="1" applyFill="1" applyBorder="1" applyAlignment="1">
      <alignment vertical="center" wrapText="1"/>
    </xf>
    <xf numFmtId="169" fontId="12" fillId="3" borderId="141" xfId="16" applyNumberFormat="1" applyFont="1" applyFill="1" applyBorder="1" applyProtection="1"/>
    <xf numFmtId="169" fontId="4" fillId="3" borderId="22" xfId="16" applyNumberFormat="1" applyFont="1" applyFill="1" applyBorder="1" applyProtection="1"/>
    <xf numFmtId="0" fontId="0" fillId="0" borderId="47" xfId="0" quotePrefix="1" applyBorder="1" applyAlignment="1" applyProtection="1">
      <alignment wrapText="1"/>
    </xf>
    <xf numFmtId="173" fontId="12" fillId="0" borderId="0" xfId="16" quotePrefix="1" applyFont="1" applyProtection="1"/>
    <xf numFmtId="165" fontId="18" fillId="3" borderId="8" xfId="0" applyNumberFormat="1" applyFont="1" applyFill="1" applyBorder="1" applyAlignment="1" applyProtection="1">
      <alignment wrapText="1"/>
    </xf>
    <xf numFmtId="165" fontId="18" fillId="3" borderId="19" xfId="0" applyNumberFormat="1" applyFont="1" applyFill="1" applyBorder="1" applyAlignment="1" applyProtection="1">
      <alignment wrapText="1"/>
    </xf>
    <xf numFmtId="0" fontId="0" fillId="6" borderId="98" xfId="0" applyNumberFormat="1" applyFill="1" applyBorder="1" applyAlignment="1">
      <alignment horizontal="left" vertical="top" wrapText="1"/>
    </xf>
    <xf numFmtId="167" fontId="0" fillId="0" borderId="98" xfId="0" applyNumberFormat="1" applyFill="1" applyBorder="1" applyAlignment="1">
      <alignment horizontal="left" vertical="top" wrapText="1"/>
    </xf>
    <xf numFmtId="3" fontId="0" fillId="0" borderId="112" xfId="0" applyNumberFormat="1" applyBorder="1"/>
    <xf numFmtId="3" fontId="0" fillId="0" borderId="113" xfId="0" applyNumberFormat="1" applyBorder="1"/>
    <xf numFmtId="3" fontId="0" fillId="0" borderId="114" xfId="0" applyNumberFormat="1" applyBorder="1"/>
    <xf numFmtId="165" fontId="0" fillId="0" borderId="113" xfId="0" applyNumberFormat="1" applyBorder="1"/>
    <xf numFmtId="3" fontId="0" fillId="0" borderId="115" xfId="0" applyNumberFormat="1" applyBorder="1"/>
    <xf numFmtId="3" fontId="0" fillId="0" borderId="98" xfId="0" applyNumberFormat="1" applyBorder="1"/>
    <xf numFmtId="3" fontId="0" fillId="0" borderId="116" xfId="0" applyNumberFormat="1" applyBorder="1"/>
    <xf numFmtId="165" fontId="0" fillId="0" borderId="98" xfId="0" applyNumberFormat="1" applyBorder="1"/>
    <xf numFmtId="165" fontId="0" fillId="0" borderId="115" xfId="0" applyNumberFormat="1" applyBorder="1"/>
    <xf numFmtId="165" fontId="0" fillId="0" borderId="116" xfId="0" applyNumberFormat="1" applyBorder="1"/>
    <xf numFmtId="0" fontId="12" fillId="6" borderId="6" xfId="7" applyFill="1" applyBorder="1" applyAlignment="1">
      <alignment horizontal="center"/>
    </xf>
    <xf numFmtId="0" fontId="4" fillId="0" borderId="24" xfId="0" applyFont="1" applyFill="1" applyBorder="1"/>
    <xf numFmtId="0" fontId="4" fillId="0" borderId="65" xfId="0" applyFont="1" applyFill="1" applyBorder="1"/>
    <xf numFmtId="0" fontId="0" fillId="0" borderId="65" xfId="0" applyFill="1" applyBorder="1"/>
    <xf numFmtId="0" fontId="0" fillId="0" borderId="78" xfId="0" applyFill="1" applyBorder="1"/>
    <xf numFmtId="0" fontId="0" fillId="0" borderId="79" xfId="0" applyFill="1" applyBorder="1"/>
    <xf numFmtId="0" fontId="0" fillId="0" borderId="80" xfId="0" applyFill="1" applyBorder="1"/>
    <xf numFmtId="0" fontId="0" fillId="0" borderId="6" xfId="0" applyFill="1" applyBorder="1"/>
    <xf numFmtId="167" fontId="0" fillId="0" borderId="0" xfId="0" applyNumberFormat="1" applyFill="1" applyBorder="1"/>
    <xf numFmtId="0" fontId="0" fillId="0" borderId="4" xfId="0" applyFill="1" applyBorder="1"/>
    <xf numFmtId="0" fontId="0" fillId="0" borderId="7" xfId="0" applyFill="1" applyBorder="1"/>
    <xf numFmtId="0" fontId="12" fillId="0" borderId="6" xfId="0" applyFont="1" applyFill="1" applyBorder="1"/>
    <xf numFmtId="167" fontId="0" fillId="0" borderId="4" xfId="0" applyNumberFormat="1" applyFill="1" applyBorder="1"/>
    <xf numFmtId="0" fontId="12" fillId="0" borderId="67" xfId="0" applyFont="1" applyFill="1" applyBorder="1"/>
    <xf numFmtId="0" fontId="0" fillId="0" borderId="90" xfId="0" applyFill="1" applyBorder="1"/>
    <xf numFmtId="167" fontId="0" fillId="0" borderId="90" xfId="0" applyNumberFormat="1" applyFill="1" applyBorder="1"/>
    <xf numFmtId="0" fontId="12" fillId="16" borderId="65" xfId="0" applyFont="1" applyFill="1" applyBorder="1"/>
    <xf numFmtId="0" fontId="0" fillId="16" borderId="65" xfId="0" applyFill="1" applyBorder="1"/>
    <xf numFmtId="0" fontId="0" fillId="16" borderId="66" xfId="0" applyFill="1" applyBorder="1"/>
    <xf numFmtId="0" fontId="0" fillId="0" borderId="4" xfId="0" applyBorder="1"/>
    <xf numFmtId="0" fontId="0" fillId="0" borderId="143" xfId="0" applyBorder="1"/>
    <xf numFmtId="0" fontId="4" fillId="0" borderId="6" xfId="0" applyFont="1" applyFill="1" applyBorder="1"/>
    <xf numFmtId="0" fontId="4" fillId="0" borderId="0" xfId="0" applyFont="1" applyFill="1" applyBorder="1" applyAlignment="1">
      <alignment wrapText="1"/>
    </xf>
    <xf numFmtId="0" fontId="4" fillId="0" borderId="0" xfId="0" applyFont="1" applyFill="1" applyBorder="1"/>
    <xf numFmtId="0" fontId="4" fillId="0" borderId="7" xfId="0" applyFont="1" applyFill="1" applyBorder="1"/>
    <xf numFmtId="7" fontId="0" fillId="0" borderId="0" xfId="0" applyNumberFormat="1"/>
    <xf numFmtId="0" fontId="12" fillId="0" borderId="63" xfId="0" applyFont="1" applyFill="1" applyBorder="1" applyAlignment="1">
      <alignment horizontal="left" vertical="top" wrapText="1"/>
    </xf>
    <xf numFmtId="0" fontId="12" fillId="6" borderId="98" xfId="0" applyFont="1" applyFill="1" applyBorder="1" applyAlignment="1">
      <alignment horizontal="left" vertical="top" wrapText="1"/>
    </xf>
    <xf numFmtId="0" fontId="12" fillId="0" borderId="98" xfId="0" applyFont="1" applyFill="1" applyBorder="1" applyAlignment="1">
      <alignment horizontal="left" vertical="top" wrapText="1"/>
    </xf>
    <xf numFmtId="167" fontId="12" fillId="0" borderId="0" xfId="0" applyNumberFormat="1" applyFont="1" applyFill="1" applyBorder="1"/>
    <xf numFmtId="0" fontId="27" fillId="0" borderId="90" xfId="0" applyFont="1" applyFill="1" applyBorder="1" applyAlignment="1" applyProtection="1">
      <alignment horizontal="center" wrapText="1"/>
    </xf>
    <xf numFmtId="3" fontId="12" fillId="2" borderId="8" xfId="0" applyNumberFormat="1" applyFont="1" applyFill="1" applyBorder="1" applyAlignment="1" applyProtection="1">
      <alignment horizontal="left" vertical="center" wrapText="1"/>
      <protection locked="0"/>
    </xf>
    <xf numFmtId="3" fontId="12" fillId="2" borderId="19" xfId="0" applyNumberFormat="1" applyFont="1" applyFill="1" applyBorder="1" applyAlignment="1" applyProtection="1">
      <alignment horizontal="left" vertical="center" wrapText="1"/>
      <protection locked="0"/>
    </xf>
    <xf numFmtId="0" fontId="6" fillId="0" borderId="0" xfId="0" applyFont="1" applyFill="1" applyBorder="1" applyAlignment="1">
      <alignment horizontal="right" vertical="center" wrapText="1"/>
    </xf>
    <xf numFmtId="170" fontId="15" fillId="0" borderId="0" xfId="0" applyNumberFormat="1" applyFont="1" applyFill="1" applyBorder="1" applyAlignment="1">
      <alignment horizontal="center" vertical="center" wrapText="1"/>
    </xf>
    <xf numFmtId="0" fontId="12" fillId="0" borderId="6" xfId="0" applyFont="1" applyFill="1" applyBorder="1" applyAlignment="1">
      <alignment horizontal="left"/>
    </xf>
    <xf numFmtId="0" fontId="0" fillId="0" borderId="0" xfId="0" applyAlignment="1" applyProtection="1">
      <alignment horizontal="left"/>
    </xf>
    <xf numFmtId="0" fontId="0" fillId="0" borderId="0" xfId="0" applyAlignment="1" applyProtection="1">
      <alignment horizontal="right"/>
    </xf>
    <xf numFmtId="179" fontId="0" fillId="0" borderId="0" xfId="0" applyNumberFormat="1" applyProtection="1"/>
    <xf numFmtId="0" fontId="44" fillId="0" borderId="1" xfId="0" applyFont="1" applyFill="1" applyBorder="1" applyAlignment="1">
      <alignment wrapText="1"/>
    </xf>
    <xf numFmtId="0" fontId="44" fillId="0" borderId="2" xfId="0" applyFont="1" applyFill="1" applyBorder="1" applyAlignment="1">
      <alignment horizontal="center"/>
    </xf>
    <xf numFmtId="0" fontId="44" fillId="0" borderId="2" xfId="0" applyFont="1" applyFill="1" applyBorder="1" applyAlignment="1">
      <alignment horizontal="center" wrapText="1"/>
    </xf>
    <xf numFmtId="0" fontId="44" fillId="0" borderId="3" xfId="0" applyFont="1" applyFill="1" applyBorder="1" applyAlignment="1">
      <alignment horizontal="center" wrapText="1"/>
    </xf>
    <xf numFmtId="0" fontId="45" fillId="0" borderId="4" xfId="0" applyFont="1" applyFill="1" applyBorder="1" applyAlignment="1">
      <alignment wrapText="1"/>
    </xf>
    <xf numFmtId="2" fontId="45" fillId="0" borderId="0" xfId="0" applyNumberFormat="1" applyFont="1" applyFill="1" applyBorder="1" applyAlignment="1">
      <alignment horizontal="center"/>
    </xf>
    <xf numFmtId="2" fontId="46" fillId="0" borderId="0" xfId="0" applyNumberFormat="1" applyFont="1" applyFill="1" applyBorder="1" applyAlignment="1">
      <alignment wrapText="1"/>
    </xf>
    <xf numFmtId="2" fontId="46" fillId="0" borderId="0" xfId="0" applyNumberFormat="1" applyFont="1" applyFill="1" applyBorder="1" applyAlignment="1"/>
    <xf numFmtId="2" fontId="46" fillId="0" borderId="0" xfId="0" applyNumberFormat="1" applyFont="1" applyFill="1" applyBorder="1"/>
    <xf numFmtId="2" fontId="46" fillId="0" borderId="5" xfId="0" applyNumberFormat="1" applyFont="1" applyFill="1" applyBorder="1"/>
    <xf numFmtId="0" fontId="45" fillId="0" borderId="4" xfId="0" applyFont="1" applyFill="1" applyBorder="1"/>
    <xf numFmtId="0" fontId="44" fillId="0" borderId="4" xfId="0" applyFont="1" applyFill="1" applyBorder="1"/>
    <xf numFmtId="2" fontId="45" fillId="0" borderId="5" xfId="0" applyNumberFormat="1" applyFont="1" applyFill="1" applyBorder="1" applyAlignment="1">
      <alignment horizontal="center"/>
    </xf>
    <xf numFmtId="2" fontId="46" fillId="0" borderId="5" xfId="0" applyNumberFormat="1" applyFont="1" applyFill="1" applyBorder="1" applyAlignment="1">
      <alignment wrapText="1"/>
    </xf>
    <xf numFmtId="0" fontId="45" fillId="0" borderId="58" xfId="0" applyFont="1" applyFill="1" applyBorder="1" applyAlignment="1">
      <alignment wrapText="1"/>
    </xf>
    <xf numFmtId="2" fontId="45" fillId="0" borderId="59" xfId="0" applyNumberFormat="1" applyFont="1" applyFill="1" applyBorder="1" applyAlignment="1">
      <alignment horizontal="center"/>
    </xf>
    <xf numFmtId="2" fontId="45" fillId="0" borderId="59" xfId="0" applyNumberFormat="1" applyFont="1" applyFill="1" applyBorder="1" applyAlignment="1">
      <alignment horizontal="center" wrapText="1"/>
    </xf>
    <xf numFmtId="2" fontId="45" fillId="0" borderId="87" xfId="0" applyNumberFormat="1" applyFont="1" applyFill="1" applyBorder="1" applyAlignment="1">
      <alignment horizontal="center" wrapText="1"/>
    </xf>
    <xf numFmtId="0" fontId="47" fillId="0" borderId="0" xfId="0" applyFont="1" applyFill="1" applyBorder="1" applyAlignment="1"/>
    <xf numFmtId="0" fontId="46" fillId="0" borderId="0" xfId="0" applyFont="1" applyFill="1"/>
    <xf numFmtId="0" fontId="47" fillId="0" borderId="0" xfId="0" applyFont="1" applyFill="1"/>
    <xf numFmtId="0" fontId="4" fillId="0" borderId="1" xfId="0" applyFont="1" applyFill="1" applyBorder="1" applyAlignment="1">
      <alignment vertical="center"/>
    </xf>
    <xf numFmtId="0" fontId="4" fillId="0" borderId="2" xfId="0" applyFont="1" applyFill="1" applyBorder="1" applyAlignment="1">
      <alignment horizontal="center" vertical="center" wrapText="1"/>
    </xf>
    <xf numFmtId="0" fontId="46" fillId="3" borderId="4" xfId="0" applyFont="1" applyFill="1" applyBorder="1"/>
    <xf numFmtId="165" fontId="46" fillId="3" borderId="0" xfId="0" applyNumberFormat="1" applyFont="1" applyFill="1" applyBorder="1" applyAlignment="1">
      <alignment horizontal="center"/>
    </xf>
    <xf numFmtId="0" fontId="46" fillId="0" borderId="4" xfId="0" applyFont="1" applyFill="1" applyBorder="1"/>
    <xf numFmtId="165" fontId="46" fillId="0" borderId="0" xfId="0" applyNumberFormat="1" applyFont="1" applyFill="1" applyBorder="1" applyAlignment="1">
      <alignment horizontal="center"/>
    </xf>
    <xf numFmtId="0" fontId="46" fillId="3" borderId="0" xfId="0" applyFont="1" applyFill="1" applyBorder="1" applyAlignment="1">
      <alignment horizontal="center"/>
    </xf>
    <xf numFmtId="0" fontId="46" fillId="3" borderId="5" xfId="0" applyFont="1" applyFill="1" applyBorder="1" applyAlignment="1">
      <alignment horizontal="center"/>
    </xf>
    <xf numFmtId="0" fontId="46" fillId="0" borderId="0" xfId="0" applyFont="1" applyFill="1" applyBorder="1" applyAlignment="1">
      <alignment horizontal="center"/>
    </xf>
    <xf numFmtId="0" fontId="46" fillId="0" borderId="5" xfId="0" applyFont="1" applyFill="1" applyBorder="1" applyAlignment="1">
      <alignment horizontal="center"/>
    </xf>
    <xf numFmtId="0" fontId="4" fillId="3" borderId="0" xfId="0" applyFont="1" applyFill="1" applyBorder="1" applyAlignment="1">
      <alignment horizontal="center"/>
    </xf>
    <xf numFmtId="0" fontId="46" fillId="3" borderId="0" xfId="0" applyFont="1" applyFill="1" applyBorder="1"/>
    <xf numFmtId="0" fontId="46" fillId="0" borderId="0" xfId="0" applyFont="1" applyFill="1" applyBorder="1"/>
    <xf numFmtId="0" fontId="19" fillId="0" borderId="5" xfId="0" applyFont="1" applyFill="1" applyBorder="1" applyAlignment="1">
      <alignment horizontal="center"/>
    </xf>
    <xf numFmtId="0" fontId="19" fillId="3" borderId="5" xfId="0" applyFont="1" applyFill="1" applyBorder="1" applyAlignment="1">
      <alignment horizontal="center"/>
    </xf>
    <xf numFmtId="0" fontId="46" fillId="0" borderId="0" xfId="0" applyFont="1"/>
    <xf numFmtId="0" fontId="46" fillId="0" borderId="4" xfId="0" applyFont="1" applyFill="1" applyBorder="1" applyAlignment="1">
      <alignment wrapText="1"/>
    </xf>
    <xf numFmtId="0" fontId="46" fillId="0" borderId="0" xfId="0" applyFont="1" applyFill="1" applyBorder="1" applyAlignment="1">
      <alignment wrapText="1"/>
    </xf>
    <xf numFmtId="0" fontId="46" fillId="0" borderId="5" xfId="0" applyFont="1" applyFill="1" applyBorder="1" applyAlignment="1">
      <alignment wrapText="1"/>
    </xf>
    <xf numFmtId="0" fontId="0" fillId="0" borderId="0" xfId="0" applyFill="1" applyBorder="1" applyAlignment="1">
      <alignment wrapText="1"/>
    </xf>
    <xf numFmtId="0" fontId="0" fillId="3" borderId="4" xfId="0" applyFill="1" applyBorder="1" applyAlignment="1">
      <alignment wrapText="1"/>
    </xf>
    <xf numFmtId="0" fontId="0" fillId="3" borderId="0" xfId="0" applyFill="1" applyBorder="1"/>
    <xf numFmtId="0" fontId="0" fillId="0" borderId="81" xfId="0" applyFill="1" applyBorder="1"/>
    <xf numFmtId="0" fontId="0" fillId="0" borderId="2" xfId="0" applyFill="1" applyBorder="1"/>
    <xf numFmtId="167" fontId="0" fillId="0" borderId="2" xfId="0" applyNumberFormat="1" applyFill="1" applyBorder="1"/>
    <xf numFmtId="165" fontId="46" fillId="3" borderId="2" xfId="0" applyNumberFormat="1" applyFont="1" applyFill="1" applyBorder="1" applyAlignment="1">
      <alignment horizontal="center"/>
    </xf>
    <xf numFmtId="165" fontId="46" fillId="3" borderId="82" xfId="0" applyNumberFormat="1" applyFont="1" applyFill="1" applyBorder="1" applyAlignment="1">
      <alignment horizontal="center"/>
    </xf>
    <xf numFmtId="165" fontId="46" fillId="3" borderId="7" xfId="0" applyNumberFormat="1" applyFont="1" applyFill="1" applyBorder="1" applyAlignment="1">
      <alignment horizontal="center"/>
    </xf>
    <xf numFmtId="0" fontId="12" fillId="0" borderId="4" xfId="0" applyFont="1" applyFill="1" applyBorder="1"/>
    <xf numFmtId="2" fontId="45" fillId="0" borderId="0" xfId="0" applyNumberFormat="1" applyFont="1" applyFill="1" applyBorder="1" applyAlignment="1">
      <alignment horizontal="center" wrapText="1"/>
    </xf>
    <xf numFmtId="2" fontId="45" fillId="0" borderId="7" xfId="0" applyNumberFormat="1" applyFont="1" applyFill="1" applyBorder="1" applyAlignment="1">
      <alignment horizontal="center" wrapText="1"/>
    </xf>
    <xf numFmtId="0" fontId="12" fillId="0" borderId="143" xfId="0" applyFont="1" applyFill="1" applyBorder="1"/>
    <xf numFmtId="165" fontId="46" fillId="3" borderId="90" xfId="0" applyNumberFormat="1" applyFont="1" applyFill="1" applyBorder="1" applyAlignment="1">
      <alignment horizontal="center"/>
    </xf>
    <xf numFmtId="165" fontId="46" fillId="3" borderId="110" xfId="0" applyNumberFormat="1" applyFont="1" applyFill="1" applyBorder="1" applyAlignment="1">
      <alignment horizontal="center"/>
    </xf>
    <xf numFmtId="0" fontId="12" fillId="2" borderId="4" xfId="0" applyFont="1" applyFill="1" applyBorder="1"/>
    <xf numFmtId="10" fontId="47" fillId="0" borderId="0" xfId="0" applyNumberFormat="1" applyFont="1" applyFill="1"/>
    <xf numFmtId="167" fontId="0" fillId="0" borderId="0" xfId="0" applyNumberFormat="1"/>
    <xf numFmtId="0" fontId="0" fillId="0" borderId="67" xfId="0" applyFill="1" applyBorder="1"/>
    <xf numFmtId="0" fontId="12" fillId="0" borderId="0" xfId="0" applyFont="1" applyFill="1" applyBorder="1"/>
    <xf numFmtId="0" fontId="12" fillId="0" borderId="1" xfId="0" applyFont="1" applyFill="1" applyBorder="1"/>
    <xf numFmtId="0" fontId="4" fillId="0" borderId="0" xfId="0" applyFont="1" applyAlignment="1">
      <alignment wrapText="1"/>
    </xf>
    <xf numFmtId="0" fontId="5" fillId="6" borderId="100" xfId="5" applyFill="1" applyBorder="1" applyAlignment="1" applyProtection="1">
      <alignment wrapText="1"/>
      <protection locked="0"/>
    </xf>
    <xf numFmtId="0" fontId="39" fillId="6" borderId="8" xfId="0" applyFont="1" applyFill="1" applyBorder="1" applyAlignment="1" applyProtection="1">
      <alignment wrapText="1"/>
      <protection locked="0"/>
    </xf>
    <xf numFmtId="0" fontId="12" fillId="6" borderId="98" xfId="0" applyNumberFormat="1" applyFont="1" applyFill="1" applyBorder="1" applyAlignment="1">
      <alignment horizontal="left" vertical="top" wrapText="1"/>
    </xf>
    <xf numFmtId="0" fontId="4" fillId="6" borderId="0" xfId="0" applyFont="1" applyFill="1" applyBorder="1" applyAlignment="1">
      <alignment vertical="top" wrapText="1"/>
    </xf>
    <xf numFmtId="0" fontId="4" fillId="6" borderId="5" xfId="0" applyFont="1" applyFill="1" applyBorder="1" applyAlignment="1">
      <alignment vertical="top" wrapText="1"/>
    </xf>
    <xf numFmtId="0" fontId="4" fillId="0" borderId="150" xfId="0" applyFont="1" applyBorder="1" applyAlignment="1">
      <alignment wrapText="1"/>
    </xf>
    <xf numFmtId="0" fontId="0" fillId="0" borderId="59" xfId="0" applyBorder="1"/>
    <xf numFmtId="0" fontId="28" fillId="0" borderId="147" xfId="0" applyFont="1" applyBorder="1"/>
    <xf numFmtId="43" fontId="12" fillId="3" borderId="152" xfId="1" applyFont="1" applyFill="1" applyBorder="1" applyProtection="1"/>
    <xf numFmtId="0" fontId="0" fillId="6" borderId="6" xfId="0" applyFill="1" applyBorder="1" applyAlignment="1">
      <alignment horizontal="center"/>
    </xf>
    <xf numFmtId="180" fontId="0" fillId="6" borderId="7" xfId="0" applyNumberFormat="1" applyFill="1" applyBorder="1" applyAlignment="1">
      <alignment horizontal="center"/>
    </xf>
    <xf numFmtId="0" fontId="0" fillId="0" borderId="153" xfId="0" applyBorder="1" applyAlignment="1">
      <alignment horizontal="centerContinuous" vertical="top" wrapText="1"/>
    </xf>
    <xf numFmtId="39" fontId="51" fillId="6" borderId="7" xfId="9" applyNumberFormat="1" applyFill="1" applyBorder="1"/>
    <xf numFmtId="0" fontId="4" fillId="0" borderId="1" xfId="7" applyFont="1" applyFill="1" applyBorder="1"/>
    <xf numFmtId="0" fontId="12" fillId="0" borderId="2" xfId="7" applyFill="1" applyBorder="1"/>
    <xf numFmtId="167" fontId="12" fillId="0" borderId="2" xfId="7" applyNumberFormat="1" applyFill="1" applyBorder="1"/>
    <xf numFmtId="0" fontId="12" fillId="0" borderId="3" xfId="7" applyFill="1" applyBorder="1"/>
    <xf numFmtId="0" fontId="12" fillId="0" borderId="0" xfId="7"/>
    <xf numFmtId="0" fontId="19" fillId="0" borderId="4" xfId="7" applyFont="1" applyFill="1" applyBorder="1"/>
    <xf numFmtId="0" fontId="12" fillId="0" borderId="0" xfId="7" applyFill="1" applyBorder="1"/>
    <xf numFmtId="167" fontId="12" fillId="0" borderId="0" xfId="7" applyNumberFormat="1" applyFill="1" applyBorder="1"/>
    <xf numFmtId="0" fontId="12" fillId="0" borderId="5" xfId="7" applyFill="1" applyBorder="1"/>
    <xf numFmtId="0" fontId="12" fillId="0" borderId="4" xfId="7" applyFont="1" applyFill="1" applyBorder="1"/>
    <xf numFmtId="0" fontId="52" fillId="0" borderId="0" xfId="7" applyFont="1" applyFill="1" applyBorder="1"/>
    <xf numFmtId="0" fontId="12" fillId="0" borderId="4" xfId="7" applyFill="1" applyBorder="1"/>
    <xf numFmtId="0" fontId="53" fillId="0" borderId="5" xfId="7" applyFont="1" applyFill="1" applyBorder="1"/>
    <xf numFmtId="0" fontId="12" fillId="0" borderId="58" xfId="7" applyFont="1" applyFill="1" applyBorder="1"/>
    <xf numFmtId="0" fontId="12" fillId="0" borderId="59" xfId="7" applyFill="1" applyBorder="1"/>
    <xf numFmtId="167" fontId="12" fillId="0" borderId="59" xfId="7" applyNumberFormat="1" applyFill="1" applyBorder="1"/>
    <xf numFmtId="0" fontId="52" fillId="0" borderId="59" xfId="7" applyFont="1" applyFill="1" applyBorder="1"/>
    <xf numFmtId="0" fontId="12" fillId="0" borderId="87" xfId="7" applyFill="1" applyBorder="1"/>
    <xf numFmtId="0" fontId="4" fillId="0" borderId="0" xfId="7" applyFont="1" applyFill="1" applyBorder="1"/>
    <xf numFmtId="0" fontId="19" fillId="0" borderId="2" xfId="0" applyFont="1" applyFill="1" applyBorder="1"/>
    <xf numFmtId="0" fontId="19" fillId="0" borderId="0" xfId="0" applyFont="1" applyFill="1" applyBorder="1"/>
    <xf numFmtId="2" fontId="49" fillId="0" borderId="0" xfId="0" applyNumberFormat="1" applyFont="1" applyFill="1" applyBorder="1" applyAlignment="1">
      <alignment horizontal="center" wrapText="1"/>
    </xf>
    <xf numFmtId="0" fontId="19" fillId="0" borderId="90" xfId="0" applyFont="1" applyFill="1" applyBorder="1"/>
    <xf numFmtId="0" fontId="19" fillId="0" borderId="0" xfId="0" applyFont="1" applyBorder="1"/>
    <xf numFmtId="0" fontId="19" fillId="0" borderId="90" xfId="0" applyFont="1" applyBorder="1"/>
    <xf numFmtId="167" fontId="54" fillId="0" borderId="0" xfId="7" applyNumberFormat="1" applyFont="1" applyFill="1" applyBorder="1"/>
    <xf numFmtId="0" fontId="12" fillId="0" borderId="6" xfId="7" applyFont="1" applyFill="1" applyBorder="1" applyAlignment="1">
      <alignment horizontal="left"/>
    </xf>
    <xf numFmtId="165" fontId="12" fillId="3" borderId="0" xfId="0" applyNumberFormat="1" applyFont="1" applyFill="1" applyBorder="1" applyAlignment="1">
      <alignment horizontal="center"/>
    </xf>
    <xf numFmtId="165" fontId="12" fillId="3" borderId="2" xfId="0" applyNumberFormat="1" applyFont="1" applyFill="1" applyBorder="1" applyAlignment="1">
      <alignment horizontal="center"/>
    </xf>
    <xf numFmtId="165" fontId="12" fillId="3" borderId="82" xfId="0" applyNumberFormat="1" applyFont="1" applyFill="1" applyBorder="1" applyAlignment="1">
      <alignment horizontal="center"/>
    </xf>
    <xf numFmtId="165" fontId="12" fillId="3" borderId="7" xfId="0" applyNumberFormat="1" applyFont="1" applyFill="1" applyBorder="1" applyAlignment="1">
      <alignment horizontal="center"/>
    </xf>
    <xf numFmtId="165" fontId="12" fillId="3" borderId="90" xfId="0" applyNumberFormat="1" applyFont="1" applyFill="1" applyBorder="1" applyAlignment="1">
      <alignment horizontal="center"/>
    </xf>
    <xf numFmtId="165" fontId="12" fillId="3" borderId="110" xfId="0" applyNumberFormat="1" applyFont="1" applyFill="1" applyBorder="1" applyAlignment="1">
      <alignment horizontal="center"/>
    </xf>
    <xf numFmtId="173" fontId="2" fillId="0" borderId="0" xfId="16" applyFont="1" applyProtection="1"/>
    <xf numFmtId="10" fontId="0" fillId="0" borderId="0" xfId="0" applyNumberFormat="1" applyBorder="1" applyProtection="1"/>
    <xf numFmtId="182" fontId="12" fillId="3" borderId="23" xfId="16" applyNumberFormat="1" applyFont="1" applyFill="1" applyBorder="1" applyAlignment="1" applyProtection="1">
      <alignment horizontal="center"/>
    </xf>
    <xf numFmtId="181" fontId="12" fillId="3" borderId="19" xfId="16" applyNumberFormat="1" applyFont="1" applyFill="1" applyBorder="1" applyAlignment="1" applyProtection="1">
      <alignment horizontal="center"/>
      <protection locked="0"/>
    </xf>
    <xf numFmtId="173" fontId="4" fillId="0" borderId="0" xfId="16" applyFont="1" applyFill="1" applyBorder="1" applyProtection="1"/>
    <xf numFmtId="170" fontId="0" fillId="17" borderId="34" xfId="0" applyNumberFormat="1" applyFill="1" applyBorder="1" applyProtection="1"/>
    <xf numFmtId="170" fontId="0" fillId="17" borderId="32" xfId="0" applyNumberFormat="1" applyFill="1" applyBorder="1" applyProtection="1"/>
    <xf numFmtId="173" fontId="4" fillId="0" borderId="60" xfId="16" applyFont="1" applyBorder="1" applyAlignment="1" applyProtection="1">
      <alignment horizontal="center"/>
    </xf>
    <xf numFmtId="173" fontId="2" fillId="3" borderId="17" xfId="16" applyFont="1" applyFill="1" applyBorder="1" applyProtection="1"/>
    <xf numFmtId="173" fontId="2" fillId="3" borderId="8" xfId="16" applyFont="1" applyFill="1" applyBorder="1" applyProtection="1"/>
    <xf numFmtId="165" fontId="2" fillId="3" borderId="8" xfId="16" applyNumberFormat="1" applyFont="1" applyFill="1" applyBorder="1" applyProtection="1"/>
    <xf numFmtId="170" fontId="2" fillId="3" borderId="8" xfId="16" applyNumberFormat="1" applyFont="1" applyFill="1" applyBorder="1" applyProtection="1"/>
    <xf numFmtId="6" fontId="2" fillId="3" borderId="8" xfId="16" applyNumberFormat="1" applyFont="1" applyFill="1" applyBorder="1" applyProtection="1"/>
    <xf numFmtId="164" fontId="2" fillId="3" borderId="8" xfId="17" applyNumberFormat="1" applyFont="1" applyFill="1" applyBorder="1" applyProtection="1"/>
    <xf numFmtId="0" fontId="0" fillId="20" borderId="0" xfId="0" applyFill="1"/>
    <xf numFmtId="0" fontId="2" fillId="20" borderId="0" xfId="0" applyFont="1" applyFill="1"/>
    <xf numFmtId="0" fontId="4" fillId="20" borderId="0" xfId="0" applyFont="1" applyFill="1"/>
    <xf numFmtId="0" fontId="2" fillId="19" borderId="8" xfId="0" applyFont="1" applyFill="1" applyBorder="1"/>
    <xf numFmtId="0" fontId="0" fillId="19" borderId="8" xfId="0" applyFill="1" applyBorder="1"/>
    <xf numFmtId="9" fontId="0" fillId="19" borderId="8" xfId="17" applyFont="1" applyFill="1" applyBorder="1"/>
    <xf numFmtId="9" fontId="0" fillId="5" borderId="8" xfId="17" applyFont="1" applyFill="1" applyBorder="1" applyAlignment="1">
      <alignment vertical="top" wrapText="1"/>
    </xf>
    <xf numFmtId="9" fontId="0" fillId="19" borderId="55" xfId="17" applyFont="1" applyFill="1" applyBorder="1"/>
    <xf numFmtId="172" fontId="0" fillId="19" borderId="55" xfId="1" applyNumberFormat="1" applyFont="1" applyFill="1" applyBorder="1"/>
    <xf numFmtId="0" fontId="0" fillId="19" borderId="55" xfId="0" applyFill="1" applyBorder="1"/>
    <xf numFmtId="172" fontId="0" fillId="19" borderId="8" xfId="1" applyNumberFormat="1" applyFont="1" applyFill="1" applyBorder="1"/>
    <xf numFmtId="0" fontId="4" fillId="20" borderId="0" xfId="0" applyFont="1" applyFill="1" applyAlignment="1">
      <alignment wrapText="1"/>
    </xf>
    <xf numFmtId="0" fontId="0" fillId="19" borderId="8" xfId="0" applyFill="1" applyBorder="1" applyAlignment="1">
      <alignment horizontal="center"/>
    </xf>
    <xf numFmtId="9" fontId="0" fillId="19" borderId="8" xfId="0" applyNumberFormat="1" applyFill="1" applyBorder="1"/>
    <xf numFmtId="183" fontId="0" fillId="19" borderId="8" xfId="1" applyNumberFormat="1" applyFont="1" applyFill="1" applyBorder="1"/>
    <xf numFmtId="0" fontId="2" fillId="20" borderId="0" xfId="0" applyFont="1" applyFill="1" applyBorder="1"/>
    <xf numFmtId="9" fontId="2" fillId="19" borderId="8" xfId="0" applyNumberFormat="1" applyFont="1" applyFill="1" applyBorder="1"/>
    <xf numFmtId="44" fontId="0" fillId="19" borderId="8" xfId="0" applyNumberFormat="1" applyFill="1" applyBorder="1"/>
    <xf numFmtId="44" fontId="2" fillId="19" borderId="8" xfId="3" applyFont="1" applyFill="1" applyBorder="1"/>
    <xf numFmtId="44" fontId="0" fillId="19" borderId="8" xfId="3" applyFont="1" applyFill="1" applyBorder="1"/>
    <xf numFmtId="0" fontId="0" fillId="18" borderId="8" xfId="0" applyFill="1" applyBorder="1" applyAlignment="1">
      <alignment horizontal="center"/>
    </xf>
    <xf numFmtId="9" fontId="0" fillId="18" borderId="8" xfId="17" applyFont="1" applyFill="1" applyBorder="1"/>
    <xf numFmtId="172" fontId="0" fillId="19" borderId="8" xfId="0" applyNumberFormat="1" applyFill="1" applyBorder="1"/>
    <xf numFmtId="0" fontId="4" fillId="20" borderId="0" xfId="0" applyFont="1" applyFill="1" applyAlignment="1">
      <alignment horizontal="center" wrapText="1"/>
    </xf>
    <xf numFmtId="0" fontId="0" fillId="19" borderId="8" xfId="0" applyFill="1" applyBorder="1" applyAlignment="1">
      <alignment horizontal="center" vertical="top"/>
    </xf>
    <xf numFmtId="44" fontId="2" fillId="19" borderId="8" xfId="0" applyNumberFormat="1" applyFont="1" applyFill="1" applyBorder="1"/>
    <xf numFmtId="0" fontId="4" fillId="0" borderId="126" xfId="0" applyFont="1" applyFill="1" applyBorder="1"/>
    <xf numFmtId="0" fontId="4" fillId="0" borderId="59" xfId="0" applyFont="1" applyFill="1" applyBorder="1" applyAlignment="1">
      <alignment wrapText="1"/>
    </xf>
    <xf numFmtId="0" fontId="4" fillId="0" borderId="59" xfId="0" applyFont="1" applyFill="1" applyBorder="1"/>
    <xf numFmtId="0" fontId="4" fillId="0" borderId="153" xfId="0" applyFont="1" applyFill="1" applyBorder="1"/>
    <xf numFmtId="44" fontId="4" fillId="20" borderId="0" xfId="3" applyFont="1" applyFill="1"/>
    <xf numFmtId="173" fontId="4" fillId="20" borderId="8" xfId="16" applyFont="1" applyFill="1" applyBorder="1" applyAlignment="1" applyProtection="1">
      <alignment horizontal="center" wrapText="1"/>
    </xf>
    <xf numFmtId="173" fontId="4" fillId="20" borderId="8" xfId="16" applyFont="1" applyFill="1" applyBorder="1" applyProtection="1"/>
    <xf numFmtId="3" fontId="12" fillId="3" borderId="8" xfId="16" applyNumberFormat="1" applyFont="1" applyFill="1" applyBorder="1" applyProtection="1"/>
    <xf numFmtId="2" fontId="12" fillId="3" borderId="8" xfId="16" applyNumberFormat="1" applyFont="1" applyFill="1" applyBorder="1" applyAlignment="1" applyProtection="1">
      <alignment horizontal="center"/>
    </xf>
    <xf numFmtId="178" fontId="12" fillId="3" borderId="8" xfId="3" applyNumberFormat="1" applyFont="1" applyFill="1" applyBorder="1" applyAlignment="1" applyProtection="1">
      <alignment horizontal="center"/>
      <protection locked="0"/>
    </xf>
    <xf numFmtId="173" fontId="2" fillId="20" borderId="2" xfId="16" applyFont="1" applyFill="1" applyBorder="1" applyProtection="1"/>
    <xf numFmtId="173" fontId="2" fillId="20" borderId="3" xfId="16" applyFont="1" applyFill="1" applyBorder="1" applyProtection="1"/>
    <xf numFmtId="173" fontId="2" fillId="20" borderId="4" xfId="16" applyFont="1" applyFill="1" applyBorder="1" applyProtection="1"/>
    <xf numFmtId="173" fontId="4" fillId="20" borderId="100" xfId="16" applyFont="1" applyFill="1" applyBorder="1" applyProtection="1"/>
    <xf numFmtId="173" fontId="2" fillId="20" borderId="137" xfId="16" applyFont="1" applyFill="1" applyBorder="1" applyProtection="1"/>
    <xf numFmtId="3" fontId="12" fillId="3" borderId="100" xfId="16" applyNumberFormat="1" applyFont="1" applyFill="1" applyBorder="1" applyProtection="1"/>
    <xf numFmtId="2" fontId="12" fillId="3" borderId="100" xfId="16" applyNumberFormat="1" applyFont="1" applyFill="1" applyBorder="1" applyAlignment="1" applyProtection="1">
      <alignment horizontal="center"/>
    </xf>
    <xf numFmtId="178" fontId="12" fillId="3" borderId="100" xfId="3" applyNumberFormat="1" applyFont="1" applyFill="1" applyBorder="1" applyAlignment="1" applyProtection="1">
      <alignment horizontal="center"/>
      <protection locked="0"/>
    </xf>
    <xf numFmtId="9" fontId="2" fillId="20" borderId="4" xfId="16" applyNumberFormat="1" applyFont="1" applyFill="1" applyBorder="1" applyProtection="1"/>
    <xf numFmtId="173" fontId="2" fillId="20" borderId="0" xfId="16" applyFont="1" applyFill="1" applyBorder="1" applyProtection="1"/>
    <xf numFmtId="173" fontId="2" fillId="20" borderId="5" xfId="16" applyFont="1" applyFill="1" applyBorder="1" applyProtection="1"/>
    <xf numFmtId="0" fontId="2" fillId="20" borderId="137" xfId="0" applyFont="1" applyFill="1" applyBorder="1" applyProtection="1"/>
    <xf numFmtId="173" fontId="2" fillId="20" borderId="144" xfId="16" applyFont="1" applyFill="1" applyBorder="1" applyProtection="1"/>
    <xf numFmtId="181" fontId="12" fillId="3" borderId="133" xfId="16" applyNumberFormat="1" applyFont="1" applyFill="1" applyBorder="1" applyAlignment="1" applyProtection="1">
      <alignment horizontal="center"/>
      <protection locked="0"/>
    </xf>
    <xf numFmtId="173" fontId="2" fillId="20" borderId="59" xfId="16" applyFont="1" applyFill="1" applyBorder="1" applyProtection="1"/>
    <xf numFmtId="173" fontId="2" fillId="20" borderId="87" xfId="16" applyFont="1" applyFill="1" applyBorder="1" applyProtection="1"/>
    <xf numFmtId="173" fontId="4" fillId="20" borderId="41" xfId="16" applyFont="1" applyFill="1" applyBorder="1" applyAlignment="1" applyProtection="1">
      <alignment horizontal="center" wrapText="1"/>
    </xf>
    <xf numFmtId="173" fontId="4" fillId="20" borderId="42" xfId="16" applyFont="1" applyFill="1" applyBorder="1" applyAlignment="1" applyProtection="1">
      <alignment horizontal="center"/>
    </xf>
    <xf numFmtId="173" fontId="4" fillId="20" borderId="42" xfId="16" applyFont="1" applyFill="1" applyBorder="1" applyAlignment="1" applyProtection="1">
      <alignment horizontal="center" wrapText="1"/>
    </xf>
    <xf numFmtId="173" fontId="4" fillId="20" borderId="43" xfId="16" applyFont="1" applyFill="1" applyBorder="1" applyAlignment="1" applyProtection="1">
      <alignment horizontal="center" wrapText="1"/>
    </xf>
    <xf numFmtId="173" fontId="4" fillId="20" borderId="85" xfId="16" applyFont="1" applyFill="1" applyBorder="1" applyAlignment="1" applyProtection="1">
      <alignment horizontal="center" wrapText="1"/>
    </xf>
    <xf numFmtId="173" fontId="4" fillId="20" borderId="149" xfId="16" applyFont="1" applyFill="1" applyBorder="1" applyAlignment="1" applyProtection="1">
      <alignment horizontal="center" wrapText="1"/>
    </xf>
    <xf numFmtId="6" fontId="12" fillId="3" borderId="158" xfId="16" applyNumberFormat="1" applyFont="1" applyFill="1" applyBorder="1" applyProtection="1"/>
    <xf numFmtId="6" fontId="12" fillId="3" borderId="100" xfId="16" applyNumberFormat="1" applyFont="1" applyFill="1" applyBorder="1" applyProtection="1"/>
    <xf numFmtId="6" fontId="2" fillId="3" borderId="100" xfId="16" applyNumberFormat="1" applyFont="1" applyFill="1" applyBorder="1" applyProtection="1"/>
    <xf numFmtId="6" fontId="12" fillId="3" borderId="101" xfId="16" applyNumberFormat="1" applyFont="1" applyFill="1" applyBorder="1" applyProtection="1"/>
    <xf numFmtId="172" fontId="12" fillId="3" borderId="48" xfId="1" applyNumberFormat="1" applyFont="1" applyFill="1" applyBorder="1" applyProtection="1"/>
    <xf numFmtId="172" fontId="12" fillId="3" borderId="49" xfId="1" applyNumberFormat="1" applyFont="1" applyFill="1" applyBorder="1" applyProtection="1"/>
    <xf numFmtId="172" fontId="2" fillId="3" borderId="49" xfId="1" applyNumberFormat="1" applyFont="1" applyFill="1" applyBorder="1" applyProtection="1"/>
    <xf numFmtId="172" fontId="12" fillId="3" borderId="50" xfId="1" applyNumberFormat="1" applyFont="1" applyFill="1" applyBorder="1" applyProtection="1"/>
    <xf numFmtId="165" fontId="12" fillId="3" borderId="37" xfId="16" applyNumberFormat="1" applyFont="1" applyFill="1" applyBorder="1" applyProtection="1"/>
    <xf numFmtId="170" fontId="12" fillId="3" borderId="37" xfId="16" applyNumberFormat="1" applyFont="1" applyFill="1" applyBorder="1" applyProtection="1"/>
    <xf numFmtId="6" fontId="12" fillId="3" borderId="37" xfId="16" applyNumberFormat="1" applyFont="1" applyFill="1" applyBorder="1" applyProtection="1"/>
    <xf numFmtId="164" fontId="2" fillId="3" borderId="37" xfId="17" applyNumberFormat="1" applyFill="1" applyBorder="1" applyProtection="1"/>
    <xf numFmtId="6" fontId="12" fillId="3" borderId="159" xfId="16" applyNumberFormat="1" applyFont="1" applyFill="1" applyBorder="1" applyProtection="1"/>
    <xf numFmtId="6" fontId="12" fillId="3" borderId="60" xfId="16" applyNumberFormat="1" applyFont="1" applyFill="1" applyBorder="1" applyProtection="1"/>
    <xf numFmtId="6" fontId="12" fillId="3" borderId="55" xfId="16" applyNumberFormat="1" applyFont="1" applyFill="1" applyBorder="1" applyProtection="1"/>
    <xf numFmtId="6" fontId="2" fillId="3" borderId="55" xfId="16" applyNumberFormat="1" applyFont="1" applyFill="1" applyBorder="1" applyProtection="1"/>
    <xf numFmtId="6" fontId="12" fillId="3" borderId="160" xfId="16" applyNumberFormat="1" applyFont="1" applyFill="1" applyBorder="1" applyProtection="1"/>
    <xf numFmtId="0" fontId="0" fillId="0" borderId="65" xfId="0" applyBorder="1" applyAlignment="1" applyProtection="1">
      <alignment wrapText="1"/>
    </xf>
    <xf numFmtId="0" fontId="0" fillId="0" borderId="66" xfId="0" applyBorder="1" applyAlignment="1" applyProtection="1">
      <alignment wrapText="1"/>
    </xf>
    <xf numFmtId="173" fontId="4" fillId="20" borderId="161" xfId="16" applyFont="1" applyFill="1" applyBorder="1" applyAlignment="1" applyProtection="1">
      <alignment horizontal="center" wrapText="1"/>
    </xf>
    <xf numFmtId="173" fontId="4" fillId="20" borderId="162" xfId="16" applyFont="1" applyFill="1" applyBorder="1" applyAlignment="1" applyProtection="1">
      <alignment horizontal="center" wrapText="1"/>
    </xf>
    <xf numFmtId="173" fontId="4" fillId="20" borderId="157" xfId="16" applyFont="1" applyFill="1" applyBorder="1" applyAlignment="1" applyProtection="1">
      <alignment horizontal="center" wrapText="1"/>
    </xf>
    <xf numFmtId="6" fontId="12" fillId="3" borderId="163" xfId="16" applyNumberFormat="1" applyFont="1" applyFill="1" applyBorder="1" applyProtection="1"/>
    <xf numFmtId="6" fontId="12" fillId="3" borderId="137" xfId="16" applyNumberFormat="1" applyFont="1" applyFill="1" applyBorder="1" applyProtection="1"/>
    <xf numFmtId="6" fontId="2" fillId="3" borderId="137" xfId="16" applyNumberFormat="1" applyFont="1" applyFill="1" applyBorder="1" applyProtection="1"/>
    <xf numFmtId="6" fontId="12" fillId="3" borderId="164" xfId="16" applyNumberFormat="1" applyFont="1" applyFill="1" applyBorder="1" applyProtection="1"/>
    <xf numFmtId="165" fontId="12" fillId="0" borderId="136" xfId="16" applyNumberFormat="1" applyFont="1" applyFill="1" applyBorder="1" applyProtection="1"/>
    <xf numFmtId="170" fontId="12" fillId="3" borderId="134" xfId="16" applyNumberFormat="1" applyFont="1" applyFill="1" applyBorder="1" applyProtection="1"/>
    <xf numFmtId="170" fontId="12" fillId="3" borderId="99" xfId="16" applyNumberFormat="1" applyFont="1" applyFill="1" applyBorder="1" applyProtection="1"/>
    <xf numFmtId="173" fontId="12" fillId="0" borderId="164" xfId="16" applyFont="1" applyFill="1" applyBorder="1" applyProtection="1"/>
    <xf numFmtId="173" fontId="12" fillId="0" borderId="147" xfId="16" applyFont="1" applyFill="1" applyBorder="1" applyProtection="1"/>
    <xf numFmtId="6" fontId="12" fillId="3" borderId="148" xfId="16" applyNumberFormat="1" applyFont="1" applyFill="1" applyBorder="1" applyProtection="1"/>
    <xf numFmtId="6" fontId="12" fillId="3" borderId="152" xfId="16" applyNumberFormat="1" applyFont="1" applyFill="1" applyBorder="1" applyProtection="1"/>
    <xf numFmtId="173" fontId="12" fillId="0" borderId="123" xfId="16" applyFont="1" applyBorder="1" applyProtection="1"/>
    <xf numFmtId="43" fontId="12" fillId="3" borderId="148" xfId="1" applyFont="1" applyFill="1" applyBorder="1" applyProtection="1"/>
    <xf numFmtId="184" fontId="12" fillId="3" borderId="148" xfId="16" applyNumberFormat="1" applyFont="1" applyFill="1" applyBorder="1" applyProtection="1"/>
    <xf numFmtId="173" fontId="12" fillId="0" borderId="64" xfId="16" applyFont="1" applyBorder="1" applyProtection="1"/>
    <xf numFmtId="173" fontId="2" fillId="0" borderId="165" xfId="16" applyFont="1" applyFill="1" applyBorder="1" applyProtection="1"/>
    <xf numFmtId="173" fontId="2" fillId="0" borderId="144" xfId="16" applyFont="1" applyFill="1" applyBorder="1" applyProtection="1"/>
    <xf numFmtId="0" fontId="4" fillId="20" borderId="168" xfId="0" applyFont="1" applyFill="1" applyBorder="1"/>
    <xf numFmtId="165" fontId="0" fillId="19" borderId="8" xfId="0" applyNumberFormat="1" applyFill="1" applyBorder="1"/>
    <xf numFmtId="7" fontId="2" fillId="5" borderId="57" xfId="0" applyNumberFormat="1" applyFont="1" applyFill="1" applyBorder="1" applyAlignment="1">
      <alignment vertical="top" wrapText="1"/>
    </xf>
    <xf numFmtId="9" fontId="0" fillId="19" borderId="55" xfId="0" applyNumberFormat="1" applyFill="1" applyBorder="1"/>
    <xf numFmtId="0" fontId="4" fillId="19" borderId="8" xfId="0" applyFont="1" applyFill="1" applyBorder="1" applyAlignment="1">
      <alignment horizontal="center" wrapText="1"/>
    </xf>
    <xf numFmtId="0" fontId="2" fillId="19" borderId="8" xfId="0" applyFont="1" applyFill="1" applyBorder="1" applyAlignment="1">
      <alignment wrapText="1"/>
    </xf>
    <xf numFmtId="0" fontId="4" fillId="19" borderId="8" xfId="0" applyFont="1" applyFill="1" applyBorder="1" applyAlignment="1">
      <alignment wrapText="1"/>
    </xf>
    <xf numFmtId="14" fontId="2" fillId="6" borderId="8" xfId="0" applyNumberFormat="1" applyFont="1" applyFill="1" applyBorder="1" applyAlignment="1" applyProtection="1">
      <alignment wrapText="1"/>
      <protection locked="0"/>
    </xf>
    <xf numFmtId="185" fontId="12" fillId="3" borderId="30" xfId="16" applyNumberFormat="1" applyFont="1" applyFill="1" applyBorder="1" applyProtection="1"/>
    <xf numFmtId="185" fontId="12" fillId="3" borderId="166" xfId="16" applyNumberFormat="1" applyFont="1" applyFill="1" applyBorder="1" applyProtection="1"/>
    <xf numFmtId="185" fontId="12" fillId="0" borderId="29" xfId="16" applyNumberFormat="1" applyFont="1" applyBorder="1" applyProtection="1"/>
    <xf numFmtId="185" fontId="12" fillId="0" borderId="30" xfId="16" applyNumberFormat="1" applyFont="1" applyBorder="1" applyProtection="1"/>
    <xf numFmtId="185" fontId="12" fillId="3" borderId="135" xfId="16" applyNumberFormat="1" applyFont="1" applyFill="1" applyBorder="1" applyProtection="1"/>
    <xf numFmtId="185" fontId="12" fillId="3" borderId="101" xfId="16" applyNumberFormat="1" applyFont="1" applyFill="1" applyBorder="1" applyProtection="1"/>
    <xf numFmtId="185" fontId="12" fillId="0" borderId="103" xfId="16" applyNumberFormat="1" applyFont="1" applyBorder="1" applyProtection="1"/>
    <xf numFmtId="185" fontId="12" fillId="0" borderId="135" xfId="16" applyNumberFormat="1" applyFont="1" applyBorder="1" applyProtection="1"/>
    <xf numFmtId="174" fontId="4" fillId="3" borderId="19" xfId="16" applyNumberFormat="1" applyFont="1" applyFill="1" applyBorder="1" applyAlignment="1" applyProtection="1">
      <alignment horizontal="center"/>
    </xf>
    <xf numFmtId="0" fontId="0" fillId="19" borderId="30" xfId="0" applyFill="1" applyBorder="1" applyAlignment="1">
      <alignment horizontal="center"/>
    </xf>
    <xf numFmtId="9" fontId="0" fillId="19" borderId="30" xfId="17" applyFont="1" applyFill="1" applyBorder="1"/>
    <xf numFmtId="44" fontId="2" fillId="19" borderId="30" xfId="3" applyFont="1" applyFill="1" applyBorder="1"/>
    <xf numFmtId="44" fontId="0" fillId="19" borderId="30" xfId="3" applyFont="1" applyFill="1" applyBorder="1"/>
    <xf numFmtId="0" fontId="0" fillId="18" borderId="169" xfId="0" applyFill="1" applyBorder="1" applyAlignment="1">
      <alignment horizontal="center"/>
    </xf>
    <xf numFmtId="9" fontId="0" fillId="19" borderId="169" xfId="17" applyFont="1" applyFill="1" applyBorder="1"/>
    <xf numFmtId="0" fontId="0" fillId="20" borderId="168" xfId="0" applyFill="1" applyBorder="1"/>
    <xf numFmtId="44" fontId="2" fillId="19" borderId="169" xfId="3" applyFont="1" applyFill="1" applyBorder="1"/>
    <xf numFmtId="44" fontId="0" fillId="19" borderId="169" xfId="3" applyFont="1" applyFill="1" applyBorder="1"/>
    <xf numFmtId="0" fontId="2" fillId="20" borderId="8" xfId="0" applyFont="1" applyFill="1" applyBorder="1"/>
    <xf numFmtId="0" fontId="0" fillId="20" borderId="8" xfId="0" applyFill="1" applyBorder="1"/>
    <xf numFmtId="44" fontId="12" fillId="3" borderId="128" xfId="3" applyFont="1" applyFill="1" applyBorder="1" applyAlignment="1" applyProtection="1">
      <alignment horizontal="center"/>
    </xf>
    <xf numFmtId="44" fontId="12" fillId="3" borderId="108" xfId="3" applyFont="1" applyFill="1" applyBorder="1" applyAlignment="1" applyProtection="1">
      <alignment horizontal="center"/>
    </xf>
    <xf numFmtId="44" fontId="12" fillId="3" borderId="132" xfId="3" applyFont="1" applyFill="1" applyBorder="1" applyAlignment="1" applyProtection="1">
      <alignment horizontal="center"/>
    </xf>
    <xf numFmtId="44" fontId="12" fillId="0" borderId="82" xfId="3" applyFont="1" applyFill="1" applyBorder="1" applyAlignment="1" applyProtection="1">
      <alignment horizontal="center"/>
    </xf>
    <xf numFmtId="44" fontId="0" fillId="20" borderId="0" xfId="0" applyNumberFormat="1" applyFill="1"/>
    <xf numFmtId="0" fontId="58" fillId="20" borderId="0" xfId="0" applyFont="1" applyFill="1"/>
    <xf numFmtId="0" fontId="2" fillId="0" borderId="126" xfId="0" applyFont="1" applyBorder="1" applyAlignment="1">
      <alignment horizontal="centerContinuous" vertical="top" wrapText="1"/>
    </xf>
    <xf numFmtId="0" fontId="2" fillId="6" borderId="6" xfId="7" applyFont="1" applyFill="1" applyBorder="1" applyAlignment="1">
      <alignment horizontal="center"/>
    </xf>
    <xf numFmtId="4" fontId="2" fillId="6" borderId="7" xfId="14" applyNumberFormat="1" applyFont="1" applyFill="1" applyBorder="1"/>
    <xf numFmtId="39" fontId="2" fillId="6" borderId="7" xfId="0" applyNumberFormat="1" applyFont="1" applyFill="1" applyBorder="1"/>
    <xf numFmtId="166" fontId="2" fillId="6" borderId="7" xfId="0" applyNumberFormat="1" applyFont="1" applyFill="1" applyBorder="1" applyAlignment="1">
      <alignment horizontal="right"/>
    </xf>
    <xf numFmtId="166" fontId="8" fillId="6" borderId="7" xfId="9" applyNumberFormat="1" applyFont="1" applyFill="1" applyBorder="1"/>
    <xf numFmtId="0" fontId="12" fillId="20" borderId="1" xfId="0" applyFont="1" applyFill="1" applyBorder="1"/>
    <xf numFmtId="0" fontId="0" fillId="20" borderId="4" xfId="0" applyFill="1" applyBorder="1"/>
    <xf numFmtId="0" fontId="12" fillId="20" borderId="4" xfId="0" applyFont="1" applyFill="1" applyBorder="1"/>
    <xf numFmtId="0" fontId="12" fillId="20" borderId="143" xfId="0" applyFont="1" applyFill="1" applyBorder="1"/>
    <xf numFmtId="167" fontId="12" fillId="20" borderId="0" xfId="0" applyNumberFormat="1" applyFont="1" applyFill="1" applyBorder="1"/>
    <xf numFmtId="167" fontId="0" fillId="20" borderId="0" xfId="0" applyNumberFormat="1" applyFill="1" applyBorder="1"/>
    <xf numFmtId="167" fontId="12" fillId="20" borderId="2" xfId="7" applyNumberFormat="1" applyFill="1" applyBorder="1"/>
    <xf numFmtId="167" fontId="12" fillId="20" borderId="0" xfId="7" applyNumberFormat="1" applyFill="1" applyBorder="1"/>
    <xf numFmtId="167" fontId="12" fillId="20" borderId="59" xfId="7" applyNumberFormat="1" applyFill="1" applyBorder="1"/>
    <xf numFmtId="0" fontId="4" fillId="20" borderId="65" xfId="0" applyFont="1" applyFill="1" applyBorder="1"/>
    <xf numFmtId="0" fontId="4" fillId="20" borderId="59" xfId="0" applyFont="1" applyFill="1" applyBorder="1" applyAlignment="1">
      <alignment wrapText="1"/>
    </xf>
    <xf numFmtId="0" fontId="0" fillId="20" borderId="79" xfId="0" applyFill="1" applyBorder="1"/>
    <xf numFmtId="0" fontId="0" fillId="20" borderId="6" xfId="0" applyFill="1" applyBorder="1"/>
    <xf numFmtId="0" fontId="12" fillId="20" borderId="6" xfId="0" applyFont="1" applyFill="1" applyBorder="1" applyAlignment="1">
      <alignment horizontal="left"/>
    </xf>
    <xf numFmtId="0" fontId="2" fillId="20" borderId="4" xfId="0" applyFont="1" applyFill="1" applyBorder="1"/>
    <xf numFmtId="0" fontId="2" fillId="20" borderId="6" xfId="0" applyFont="1" applyFill="1" applyBorder="1"/>
    <xf numFmtId="0" fontId="2" fillId="6" borderId="100" xfId="0" applyFont="1" applyFill="1" applyBorder="1" applyAlignment="1" applyProtection="1">
      <alignment wrapText="1"/>
      <protection locked="0"/>
    </xf>
    <xf numFmtId="0" fontId="2" fillId="0" borderId="0" xfId="0" applyFont="1" applyFill="1" applyBorder="1" applyAlignment="1" applyProtection="1">
      <alignment wrapText="1"/>
      <protection locked="0"/>
    </xf>
    <xf numFmtId="0" fontId="2" fillId="6" borderId="8" xfId="0" applyFont="1" applyFill="1" applyBorder="1" applyAlignment="1" applyProtection="1">
      <alignment wrapText="1"/>
      <protection locked="0"/>
    </xf>
    <xf numFmtId="169" fontId="15" fillId="3" borderId="57" xfId="0" applyNumberFormat="1" applyFont="1" applyFill="1" applyBorder="1" applyAlignment="1">
      <alignment vertical="center" wrapText="1"/>
    </xf>
    <xf numFmtId="0" fontId="2" fillId="5" borderId="137" xfId="0" applyFont="1" applyFill="1" applyBorder="1" applyAlignment="1" applyProtection="1">
      <alignment horizontal="left" wrapText="1"/>
      <protection locked="0"/>
    </xf>
    <xf numFmtId="2" fontId="2" fillId="5" borderId="140" xfId="0" applyNumberFormat="1" applyFont="1" applyFill="1" applyBorder="1" applyAlignment="1" applyProtection="1">
      <alignment wrapText="1"/>
      <protection locked="0"/>
    </xf>
    <xf numFmtId="0" fontId="2" fillId="0" borderId="0" xfId="0" applyFont="1" applyAlignment="1">
      <alignment vertical="top" wrapText="1"/>
    </xf>
    <xf numFmtId="0" fontId="2" fillId="0" borderId="0" xfId="0" applyFont="1" applyAlignment="1">
      <alignment wrapText="1"/>
    </xf>
    <xf numFmtId="186" fontId="8" fillId="0" borderId="0" xfId="20" applyNumberFormat="1" applyFont="1" applyFill="1" applyAlignment="1">
      <alignment horizontal="right"/>
    </xf>
    <xf numFmtId="10" fontId="0" fillId="0" borderId="0" xfId="17" applyNumberFormat="1" applyFont="1"/>
    <xf numFmtId="2" fontId="15" fillId="3" borderId="37" xfId="0" applyNumberFormat="1" applyFont="1" applyFill="1" applyBorder="1" applyAlignment="1">
      <alignment vertical="top" wrapText="1"/>
    </xf>
    <xf numFmtId="186" fontId="8" fillId="0" borderId="0" xfId="20" applyNumberFormat="1" applyFont="1" applyFill="1" applyAlignment="1">
      <alignment horizontal="right"/>
    </xf>
    <xf numFmtId="0" fontId="54" fillId="0" borderId="0" xfId="0" applyFont="1"/>
    <xf numFmtId="170" fontId="60" fillId="0" borderId="0" xfId="0" applyNumberFormat="1" applyFont="1" applyFill="1" applyBorder="1" applyAlignment="1">
      <alignment vertical="top" wrapText="1"/>
    </xf>
    <xf numFmtId="187" fontId="8" fillId="0" borderId="0" xfId="20" applyNumberFormat="1" applyFont="1" applyFill="1" applyAlignment="1">
      <alignment horizontal="right"/>
    </xf>
    <xf numFmtId="0" fontId="2" fillId="0" borderId="0" xfId="0" applyFont="1" applyAlignment="1">
      <alignment horizontal="right"/>
    </xf>
    <xf numFmtId="0" fontId="15" fillId="20" borderId="98" xfId="0" applyFont="1" applyFill="1" applyBorder="1" applyAlignment="1">
      <alignment vertical="top" wrapText="1"/>
    </xf>
    <xf numFmtId="0" fontId="15" fillId="20" borderId="108" xfId="0" applyFont="1" applyFill="1" applyBorder="1" applyAlignment="1">
      <alignment vertical="top" wrapText="1"/>
    </xf>
    <xf numFmtId="0" fontId="6" fillId="20" borderId="108" xfId="0" applyFont="1" applyFill="1" applyBorder="1" applyAlignment="1">
      <alignment vertical="top" wrapText="1"/>
    </xf>
    <xf numFmtId="178" fontId="15" fillId="22" borderId="98" xfId="0" applyNumberFormat="1" applyFont="1" applyFill="1" applyBorder="1" applyAlignment="1">
      <alignment vertical="top" wrapText="1"/>
    </xf>
    <xf numFmtId="169" fontId="15" fillId="22" borderId="128" xfId="0" applyNumberFormat="1" applyFont="1" applyFill="1" applyBorder="1" applyAlignment="1">
      <alignment vertical="top" wrapText="1"/>
    </xf>
    <xf numFmtId="169" fontId="15" fillId="22" borderId="108" xfId="0" applyNumberFormat="1" applyFont="1" applyFill="1" applyBorder="1" applyAlignment="1">
      <alignment vertical="top" wrapText="1"/>
    </xf>
    <xf numFmtId="0" fontId="0" fillId="0" borderId="0" xfId="0" applyBorder="1"/>
    <xf numFmtId="169" fontId="15" fillId="22" borderId="110" xfId="0" applyNumberFormat="1" applyFont="1" applyFill="1" applyBorder="1" applyAlignment="1">
      <alignment vertical="top" wrapText="1"/>
    </xf>
    <xf numFmtId="169" fontId="15" fillId="22" borderId="174" xfId="0" applyNumberFormat="1" applyFont="1" applyFill="1" applyBorder="1" applyAlignment="1">
      <alignment vertical="top" wrapText="1"/>
    </xf>
    <xf numFmtId="0" fontId="4" fillId="0" borderId="1" xfId="0" applyFont="1" applyFill="1" applyBorder="1"/>
    <xf numFmtId="0" fontId="4" fillId="0" borderId="2" xfId="0" applyFont="1" applyFill="1" applyBorder="1"/>
    <xf numFmtId="0" fontId="4" fillId="20" borderId="2" xfId="0" applyFont="1" applyFill="1" applyBorder="1"/>
    <xf numFmtId="0" fontId="0" fillId="0" borderId="2" xfId="0" applyBorder="1"/>
    <xf numFmtId="0" fontId="2" fillId="16" borderId="2" xfId="0" applyFont="1" applyFill="1" applyBorder="1"/>
    <xf numFmtId="0" fontId="0" fillId="16" borderId="2" xfId="0" applyFill="1" applyBorder="1"/>
    <xf numFmtId="0" fontId="0" fillId="16" borderId="3" xfId="0" applyFill="1" applyBorder="1"/>
    <xf numFmtId="0" fontId="4" fillId="0" borderId="58" xfId="0" applyFont="1" applyFill="1" applyBorder="1"/>
    <xf numFmtId="0" fontId="4" fillId="0" borderId="5" xfId="0" applyFont="1" applyFill="1" applyBorder="1"/>
    <xf numFmtId="0" fontId="0" fillId="0" borderId="142" xfId="0" applyFill="1" applyBorder="1"/>
    <xf numFmtId="0" fontId="0" fillId="0" borderId="3" xfId="0" applyFill="1" applyBorder="1"/>
    <xf numFmtId="0" fontId="4" fillId="0" borderId="4" xfId="0" applyFont="1" applyFill="1" applyBorder="1"/>
    <xf numFmtId="0" fontId="12" fillId="0" borderId="4" xfId="0" applyFont="1" applyFill="1" applyBorder="1" applyAlignment="1">
      <alignment horizontal="left"/>
    </xf>
    <xf numFmtId="0" fontId="12" fillId="0" borderId="58" xfId="0" applyFont="1" applyFill="1" applyBorder="1"/>
    <xf numFmtId="167" fontId="0" fillId="0" borderId="59" xfId="0" applyNumberFormat="1" applyFill="1" applyBorder="1"/>
    <xf numFmtId="0" fontId="12" fillId="20" borderId="58" xfId="0" applyFont="1" applyFill="1" applyBorder="1"/>
    <xf numFmtId="0" fontId="0" fillId="0" borderId="58" xfId="0" applyBorder="1"/>
    <xf numFmtId="0" fontId="19" fillId="0" borderId="59" xfId="0" applyFont="1" applyFill="1" applyBorder="1"/>
    <xf numFmtId="39" fontId="4" fillId="6" borderId="7" xfId="0" applyNumberFormat="1" applyFont="1" applyFill="1" applyBorder="1"/>
    <xf numFmtId="0" fontId="2" fillId="0" borderId="0" xfId="0" applyFont="1" applyFill="1" applyBorder="1"/>
    <xf numFmtId="0" fontId="0" fillId="23" borderId="0" xfId="0" applyFill="1" applyBorder="1"/>
    <xf numFmtId="0" fontId="4" fillId="23" borderId="0" xfId="0" applyFont="1" applyFill="1" applyBorder="1"/>
    <xf numFmtId="0" fontId="0" fillId="0" borderId="1" xfId="0" applyBorder="1" applyAlignment="1">
      <alignment wrapText="1"/>
    </xf>
    <xf numFmtId="0" fontId="0" fillId="0" borderId="2" xfId="0" applyBorder="1" applyAlignment="1">
      <alignment wrapText="1"/>
    </xf>
    <xf numFmtId="0" fontId="0" fillId="0" borderId="3" xfId="0" applyBorder="1" applyAlignment="1">
      <alignment wrapText="1"/>
    </xf>
    <xf numFmtId="0" fontId="4" fillId="0" borderId="4" xfId="0" applyFont="1" applyBorder="1"/>
    <xf numFmtId="0" fontId="4" fillId="0" borderId="0" xfId="0" applyFont="1" applyBorder="1"/>
    <xf numFmtId="0" fontId="4" fillId="0" borderId="5" xfId="0" applyFont="1" applyBorder="1"/>
    <xf numFmtId="0" fontId="0" fillId="24" borderId="136" xfId="0" applyFill="1" applyBorder="1"/>
    <xf numFmtId="0" fontId="0" fillId="24" borderId="170" xfId="0" applyFill="1" applyBorder="1"/>
    <xf numFmtId="0" fontId="0" fillId="24" borderId="134" xfId="0" applyFill="1" applyBorder="1"/>
    <xf numFmtId="0" fontId="0" fillId="24" borderId="99" xfId="0" applyFill="1" applyBorder="1"/>
    <xf numFmtId="0" fontId="0" fillId="24" borderId="137" xfId="0" applyFill="1" applyBorder="1"/>
    <xf numFmtId="0" fontId="0" fillId="24" borderId="55" xfId="0" applyFill="1" applyBorder="1"/>
    <xf numFmtId="0" fontId="0" fillId="24" borderId="8" xfId="0" applyFill="1" applyBorder="1"/>
    <xf numFmtId="0" fontId="0" fillId="24" borderId="100" xfId="0" applyFill="1" applyBorder="1"/>
    <xf numFmtId="0" fontId="0" fillId="24" borderId="144" xfId="0" applyFill="1" applyBorder="1"/>
    <xf numFmtId="0" fontId="0" fillId="24" borderId="171" xfId="0" applyFill="1" applyBorder="1"/>
    <xf numFmtId="0" fontId="0" fillId="24" borderId="135" xfId="0" applyFill="1" applyBorder="1"/>
    <xf numFmtId="0" fontId="0" fillId="24" borderId="101" xfId="0" applyFill="1" applyBorder="1"/>
    <xf numFmtId="0" fontId="2" fillId="0" borderId="98" xfId="0" applyFont="1" applyBorder="1"/>
    <xf numFmtId="3" fontId="2" fillId="0" borderId="115" xfId="0" applyNumberFormat="1" applyFont="1" applyBorder="1"/>
    <xf numFmtId="3" fontId="2" fillId="0" borderId="98" xfId="0" applyNumberFormat="1" applyFont="1" applyBorder="1"/>
    <xf numFmtId="3" fontId="2" fillId="0" borderId="116" xfId="0" applyNumberFormat="1" applyFont="1" applyBorder="1"/>
    <xf numFmtId="165" fontId="2" fillId="0" borderId="98" xfId="0" applyNumberFormat="1" applyFont="1" applyBorder="1"/>
    <xf numFmtId="0" fontId="4" fillId="0" borderId="1" xfId="0" applyFont="1" applyBorder="1" applyAlignment="1">
      <alignment wrapText="1"/>
    </xf>
    <xf numFmtId="0" fontId="4" fillId="0" borderId="62" xfId="0" applyFont="1" applyBorder="1" applyAlignment="1">
      <alignment horizontal="center" vertical="center" wrapText="1"/>
    </xf>
    <xf numFmtId="0" fontId="4" fillId="0" borderId="89" xfId="0" applyFont="1" applyFill="1" applyBorder="1" applyProtection="1"/>
    <xf numFmtId="0" fontId="0" fillId="3" borderId="112" xfId="0" applyFill="1" applyBorder="1"/>
    <xf numFmtId="165" fontId="0" fillId="3" borderId="145" xfId="0" applyNumberFormat="1" applyFill="1" applyBorder="1"/>
    <xf numFmtId="0" fontId="0" fillId="3" borderId="115" xfId="0" applyFill="1" applyBorder="1"/>
    <xf numFmtId="165" fontId="0" fillId="3" borderId="140" xfId="0" applyNumberFormat="1" applyFill="1" applyBorder="1"/>
    <xf numFmtId="0" fontId="2" fillId="3" borderId="115" xfId="0" applyFont="1" applyFill="1" applyBorder="1"/>
    <xf numFmtId="165" fontId="2" fillId="3" borderId="140" xfId="0" applyNumberFormat="1" applyFont="1" applyFill="1" applyBorder="1"/>
    <xf numFmtId="0" fontId="0" fillId="3" borderId="117" xfId="0" applyFill="1" applyBorder="1"/>
    <xf numFmtId="0" fontId="0" fillId="0" borderId="119" xfId="0" applyBorder="1"/>
    <xf numFmtId="3" fontId="0" fillId="0" borderId="118" xfId="0" applyNumberFormat="1" applyBorder="1"/>
    <xf numFmtId="165" fontId="0" fillId="0" borderId="117" xfId="0" applyNumberFormat="1" applyBorder="1"/>
    <xf numFmtId="165" fontId="0" fillId="0" borderId="118" xfId="0" applyNumberFormat="1" applyBorder="1"/>
    <xf numFmtId="165" fontId="0" fillId="0" borderId="119" xfId="0" applyNumberFormat="1" applyBorder="1"/>
    <xf numFmtId="165" fontId="0" fillId="3" borderId="146" xfId="0" applyNumberFormat="1" applyFill="1" applyBorder="1"/>
    <xf numFmtId="0" fontId="6" fillId="0" borderId="142" xfId="0" applyFont="1" applyBorder="1" applyAlignment="1">
      <alignment horizontal="centerContinuous" wrapText="1"/>
    </xf>
    <xf numFmtId="0" fontId="6" fillId="0" borderId="79" xfId="0" applyFont="1" applyBorder="1" applyAlignment="1">
      <alignment horizontal="centerContinuous" wrapText="1"/>
    </xf>
    <xf numFmtId="0" fontId="6" fillId="0" borderId="64" xfId="0" applyFont="1" applyBorder="1" applyAlignment="1">
      <alignment horizontal="centerContinuous" wrapText="1"/>
    </xf>
    <xf numFmtId="15" fontId="2" fillId="0" borderId="0" xfId="0" applyNumberFormat="1" applyFont="1" applyFill="1" applyBorder="1" applyAlignment="1" applyProtection="1">
      <alignment horizontal="left" wrapText="1"/>
      <protection locked="0"/>
    </xf>
    <xf numFmtId="0" fontId="2" fillId="0" borderId="0" xfId="0" applyFont="1" applyFill="1" applyBorder="1" applyProtection="1">
      <protection locked="0"/>
    </xf>
    <xf numFmtId="0" fontId="2" fillId="0" borderId="0" xfId="0" applyFont="1" applyProtection="1">
      <protection locked="0"/>
    </xf>
    <xf numFmtId="0" fontId="2" fillId="6" borderId="8" xfId="0" applyFont="1" applyFill="1" applyBorder="1" applyProtection="1">
      <protection locked="0"/>
    </xf>
    <xf numFmtId="0" fontId="4" fillId="0" borderId="137" xfId="0" applyFont="1" applyBorder="1" applyProtection="1">
      <protection locked="0"/>
    </xf>
    <xf numFmtId="0" fontId="4" fillId="0" borderId="100" xfId="0" applyFont="1" applyBorder="1" applyAlignment="1" applyProtection="1">
      <alignment wrapText="1"/>
      <protection locked="0"/>
    </xf>
    <xf numFmtId="9" fontId="0" fillId="20" borderId="0" xfId="0" applyNumberFormat="1" applyFill="1"/>
    <xf numFmtId="9" fontId="0" fillId="20" borderId="0" xfId="0" quotePrefix="1" applyNumberFormat="1" applyFill="1"/>
    <xf numFmtId="0" fontId="2" fillId="21" borderId="8" xfId="0" applyFont="1" applyFill="1" applyBorder="1"/>
    <xf numFmtId="9" fontId="0" fillId="21" borderId="8" xfId="0" applyNumberFormat="1" applyFill="1" applyBorder="1"/>
    <xf numFmtId="0" fontId="0" fillId="21" borderId="8" xfId="0" applyFill="1" applyBorder="1"/>
    <xf numFmtId="9" fontId="2" fillId="19" borderId="8" xfId="17" applyFont="1" applyFill="1" applyBorder="1"/>
    <xf numFmtId="0" fontId="0" fillId="18" borderId="55" xfId="0" applyFill="1" applyBorder="1" applyAlignment="1">
      <alignment horizontal="center"/>
    </xf>
    <xf numFmtId="172" fontId="0" fillId="20" borderId="0" xfId="0" applyNumberFormat="1" applyFill="1"/>
    <xf numFmtId="172" fontId="0" fillId="20" borderId="0" xfId="1" applyNumberFormat="1" applyFont="1" applyFill="1"/>
    <xf numFmtId="10" fontId="0" fillId="20" borderId="0" xfId="0" applyNumberFormat="1" applyFill="1"/>
    <xf numFmtId="9" fontId="0" fillId="19" borderId="8" xfId="17" applyNumberFormat="1" applyFont="1" applyFill="1" applyBorder="1"/>
    <xf numFmtId="9" fontId="2" fillId="25" borderId="8" xfId="17" applyNumberFormat="1" applyFont="1" applyFill="1" applyBorder="1"/>
    <xf numFmtId="183" fontId="2" fillId="25" borderId="8" xfId="1" applyNumberFormat="1" applyFont="1" applyFill="1" applyBorder="1"/>
    <xf numFmtId="0" fontId="61" fillId="20" borderId="0" xfId="0" applyFont="1" applyFill="1"/>
    <xf numFmtId="173" fontId="18" fillId="0" borderId="12" xfId="16" applyFont="1" applyBorder="1" applyAlignment="1" applyProtection="1"/>
    <xf numFmtId="173" fontId="2" fillId="3" borderId="18" xfId="16" applyFont="1" applyFill="1" applyBorder="1" applyProtection="1"/>
    <xf numFmtId="170" fontId="2" fillId="3" borderId="19" xfId="16" applyNumberFormat="1" applyFont="1" applyFill="1" applyBorder="1" applyProtection="1"/>
    <xf numFmtId="173" fontId="2" fillId="3" borderId="20" xfId="16" applyFont="1" applyFill="1" applyBorder="1" applyProtection="1"/>
    <xf numFmtId="173" fontId="2" fillId="3" borderId="21" xfId="16" applyFont="1" applyFill="1" applyBorder="1" applyProtection="1"/>
    <xf numFmtId="170" fontId="2" fillId="3" borderId="22" xfId="16" applyNumberFormat="1" applyFont="1" applyFill="1" applyBorder="1" applyProtection="1"/>
    <xf numFmtId="170" fontId="2" fillId="3" borderId="23" xfId="16" applyNumberFormat="1" applyFont="1" applyFill="1" applyBorder="1" applyProtection="1"/>
    <xf numFmtId="0" fontId="0" fillId="17" borderId="0" xfId="0" applyFill="1"/>
    <xf numFmtId="0" fontId="19" fillId="4" borderId="0" xfId="0" applyFont="1" applyFill="1" applyBorder="1" applyAlignment="1">
      <alignment horizontal="center" vertical="top" wrapText="1"/>
    </xf>
    <xf numFmtId="0" fontId="4" fillId="0" borderId="0" xfId="0" applyFont="1" applyAlignment="1" applyProtection="1">
      <alignment horizontal="left" vertical="center" wrapText="1"/>
      <protection locked="0"/>
    </xf>
    <xf numFmtId="0" fontId="2" fillId="0" borderId="0" xfId="0" applyFont="1" applyAlignment="1" applyProtection="1">
      <alignment wrapText="1"/>
      <protection locked="0"/>
    </xf>
    <xf numFmtId="0" fontId="0" fillId="20" borderId="0" xfId="0" applyFill="1" applyProtection="1">
      <protection locked="0"/>
    </xf>
    <xf numFmtId="0" fontId="4" fillId="20" borderId="0" xfId="0" applyFont="1" applyFill="1" applyProtection="1">
      <protection locked="0"/>
    </xf>
    <xf numFmtId="173" fontId="41" fillId="20" borderId="0" xfId="16" applyFont="1" applyFill="1" applyAlignment="1">
      <alignment horizontal="left"/>
    </xf>
    <xf numFmtId="0" fontId="63" fillId="6" borderId="67" xfId="7" applyFont="1" applyFill="1" applyBorder="1" applyAlignment="1">
      <alignment horizontal="center"/>
    </xf>
    <xf numFmtId="4" fontId="63" fillId="6" borderId="110" xfId="14" applyNumberFormat="1" applyFont="1" applyFill="1" applyBorder="1"/>
    <xf numFmtId="0" fontId="63" fillId="6" borderId="6" xfId="7" applyFont="1" applyFill="1" applyBorder="1" applyAlignment="1">
      <alignment horizontal="center"/>
    </xf>
    <xf numFmtId="4" fontId="64" fillId="6" borderId="7" xfId="14" applyNumberFormat="1" applyFont="1" applyFill="1" applyBorder="1"/>
    <xf numFmtId="0" fontId="5" fillId="0" borderId="0" xfId="5" applyAlignment="1" applyProtection="1"/>
    <xf numFmtId="39" fontId="65" fillId="6" borderId="7" xfId="9" applyNumberFormat="1" applyFont="1" applyFill="1" applyBorder="1"/>
    <xf numFmtId="39" fontId="65" fillId="6" borderId="110" xfId="9" applyNumberFormat="1" applyFont="1" applyFill="1" applyBorder="1"/>
    <xf numFmtId="0" fontId="63" fillId="6" borderId="6" xfId="0" applyFont="1" applyFill="1" applyBorder="1" applyAlignment="1">
      <alignment horizontal="center"/>
    </xf>
    <xf numFmtId="180" fontId="63" fillId="6" borderId="7" xfId="0" applyNumberFormat="1" applyFont="1" applyFill="1" applyBorder="1" applyAlignment="1">
      <alignment horizontal="center"/>
    </xf>
    <xf numFmtId="0" fontId="63" fillId="6" borderId="67" xfId="0" applyFont="1" applyFill="1" applyBorder="1" applyAlignment="1">
      <alignment horizontal="center"/>
    </xf>
    <xf numFmtId="180" fontId="63" fillId="6" borderId="110" xfId="0" applyNumberFormat="1" applyFont="1" applyFill="1" applyBorder="1" applyAlignment="1">
      <alignment horizontal="center"/>
    </xf>
    <xf numFmtId="0" fontId="5" fillId="0" borderId="0" xfId="5" applyFill="1" applyBorder="1" applyAlignment="1" applyProtection="1"/>
    <xf numFmtId="166" fontId="63" fillId="6" borderId="7" xfId="9" applyNumberFormat="1" applyFont="1" applyFill="1" applyBorder="1"/>
    <xf numFmtId="166" fontId="63" fillId="6" borderId="110" xfId="9" applyNumberFormat="1" applyFont="1" applyFill="1" applyBorder="1"/>
    <xf numFmtId="0" fontId="2" fillId="6" borderId="18" xfId="0" applyFont="1" applyFill="1" applyBorder="1" applyAlignment="1" applyProtection="1">
      <alignment wrapText="1"/>
      <protection locked="0"/>
    </xf>
    <xf numFmtId="178" fontId="2" fillId="5" borderId="100" xfId="3" applyNumberFormat="1" applyFont="1" applyFill="1" applyBorder="1" applyAlignment="1" applyProtection="1">
      <alignment wrapText="1"/>
      <protection locked="0"/>
    </xf>
    <xf numFmtId="0" fontId="2" fillId="6" borderId="0" xfId="0" applyFont="1" applyFill="1" applyBorder="1" applyAlignment="1">
      <alignment vertical="top" wrapText="1"/>
    </xf>
    <xf numFmtId="0" fontId="2" fillId="6" borderId="134" xfId="0" applyFont="1" applyFill="1" applyBorder="1" applyAlignment="1" applyProtection="1">
      <alignment wrapText="1"/>
      <protection locked="0"/>
    </xf>
    <xf numFmtId="44" fontId="0" fillId="0" borderId="0" xfId="0" applyNumberFormat="1" applyProtection="1">
      <protection locked="0"/>
    </xf>
    <xf numFmtId="170" fontId="2" fillId="5" borderId="136" xfId="0" applyNumberFormat="1" applyFont="1" applyFill="1" applyBorder="1" applyAlignment="1">
      <alignment vertical="top" wrapText="1"/>
    </xf>
    <xf numFmtId="9" fontId="2" fillId="5" borderId="89" xfId="17" applyFont="1" applyFill="1" applyBorder="1" applyAlignment="1">
      <alignment vertical="top" wrapText="1"/>
    </xf>
    <xf numFmtId="9" fontId="2" fillId="5" borderId="57" xfId="17" applyFont="1" applyFill="1" applyBorder="1" applyAlignment="1">
      <alignment vertical="top" wrapText="1"/>
    </xf>
    <xf numFmtId="0" fontId="2" fillId="6" borderId="19" xfId="0" applyFont="1" applyFill="1" applyBorder="1" applyAlignment="1" applyProtection="1">
      <alignment horizontal="left" wrapText="1"/>
      <protection locked="0"/>
    </xf>
    <xf numFmtId="0" fontId="2" fillId="6" borderId="19" xfId="0" applyFont="1" applyFill="1" applyBorder="1" applyAlignment="1" applyProtection="1">
      <alignment wrapText="1"/>
      <protection locked="0"/>
    </xf>
    <xf numFmtId="0" fontId="2" fillId="6" borderId="23" xfId="0" applyFont="1" applyFill="1" applyBorder="1" applyAlignment="1" applyProtection="1">
      <alignment wrapText="1"/>
      <protection locked="0"/>
    </xf>
    <xf numFmtId="10" fontId="2" fillId="3" borderId="88" xfId="0" applyNumberFormat="1" applyFont="1" applyFill="1" applyBorder="1" applyAlignment="1">
      <alignment vertical="top" wrapText="1"/>
    </xf>
    <xf numFmtId="3" fontId="2" fillId="3" borderId="88" xfId="0" applyNumberFormat="1" applyFont="1" applyFill="1" applyBorder="1" applyAlignment="1">
      <alignment vertical="top" wrapText="1"/>
    </xf>
    <xf numFmtId="0" fontId="2" fillId="4" borderId="0" xfId="0" applyFont="1" applyFill="1" applyBorder="1" applyAlignment="1">
      <alignment vertical="top" wrapText="1"/>
    </xf>
    <xf numFmtId="3" fontId="2" fillId="3" borderId="62" xfId="0" applyNumberFormat="1" applyFont="1" applyFill="1" applyBorder="1" applyAlignment="1">
      <alignment vertical="top" wrapText="1"/>
    </xf>
    <xf numFmtId="0" fontId="13" fillId="2" borderId="95" xfId="0" applyFont="1" applyFill="1" applyBorder="1" applyAlignment="1">
      <alignment vertical="top" wrapText="1"/>
    </xf>
    <xf numFmtId="0" fontId="28" fillId="2" borderId="95" xfId="0" applyFont="1" applyFill="1" applyBorder="1" applyAlignment="1">
      <alignment vertical="top" wrapText="1"/>
    </xf>
    <xf numFmtId="9" fontId="2" fillId="4" borderId="0" xfId="0" applyNumberFormat="1" applyFont="1" applyFill="1" applyBorder="1" applyAlignment="1">
      <alignment vertical="top" wrapText="1"/>
    </xf>
    <xf numFmtId="0" fontId="2" fillId="4" borderId="0" xfId="0" applyFont="1" applyFill="1" applyAlignment="1">
      <alignment vertical="top" wrapText="1"/>
    </xf>
    <xf numFmtId="0" fontId="4" fillId="2" borderId="0" xfId="0" applyFont="1" applyFill="1" applyBorder="1" applyAlignment="1">
      <alignment vertical="top" wrapText="1"/>
    </xf>
    <xf numFmtId="0" fontId="2" fillId="2" borderId="95" xfId="0" applyFont="1" applyFill="1" applyBorder="1" applyAlignment="1">
      <alignment vertical="top" wrapText="1"/>
    </xf>
    <xf numFmtId="0" fontId="2" fillId="2" borderId="96" xfId="0" applyFont="1" applyFill="1" applyBorder="1" applyAlignment="1">
      <alignment vertical="top" wrapText="1"/>
    </xf>
    <xf numFmtId="0" fontId="2" fillId="0" borderId="0" xfId="0" applyFont="1" applyFill="1" applyBorder="1" applyAlignment="1">
      <alignment vertical="top" wrapText="1"/>
    </xf>
    <xf numFmtId="0" fontId="2" fillId="0" borderId="5" xfId="0" applyFont="1" applyFill="1" applyBorder="1" applyAlignment="1">
      <alignment vertical="top" wrapText="1"/>
    </xf>
    <xf numFmtId="0" fontId="2" fillId="0" borderId="0" xfId="0" applyFont="1" applyFill="1" applyBorder="1" applyAlignment="1">
      <alignment vertical="center" wrapText="1"/>
    </xf>
    <xf numFmtId="0" fontId="2" fillId="0" borderId="0" xfId="0" applyFont="1" applyFill="1" applyBorder="1" applyAlignment="1">
      <alignment horizontal="center" vertical="center" wrapText="1"/>
    </xf>
    <xf numFmtId="0" fontId="2" fillId="0" borderId="59" xfId="0" applyFont="1" applyFill="1" applyBorder="1"/>
    <xf numFmtId="0" fontId="2" fillId="0" borderId="87" xfId="0" applyFont="1" applyFill="1" applyBorder="1"/>
    <xf numFmtId="0" fontId="2" fillId="2" borderId="0" xfId="0" applyFont="1" applyFill="1" applyAlignment="1">
      <alignment vertical="top" wrapText="1"/>
    </xf>
    <xf numFmtId="0" fontId="2" fillId="2" borderId="0" xfId="0" applyFont="1" applyFill="1"/>
    <xf numFmtId="0" fontId="2" fillId="2" borderId="0" xfId="0" applyFont="1" applyFill="1" applyBorder="1" applyAlignment="1">
      <alignment horizontal="center" vertical="top" wrapText="1"/>
    </xf>
    <xf numFmtId="0" fontId="2" fillId="2" borderId="5" xfId="0" applyFont="1" applyFill="1" applyBorder="1" applyAlignment="1">
      <alignment vertical="top"/>
    </xf>
    <xf numFmtId="170" fontId="2" fillId="3" borderId="57" xfId="0" applyNumberFormat="1" applyFont="1" applyFill="1" applyBorder="1" applyAlignment="1">
      <alignment horizontal="right" vertical="top" wrapText="1"/>
    </xf>
    <xf numFmtId="0" fontId="2" fillId="2" borderId="0" xfId="0" applyFont="1" applyFill="1" applyBorder="1" applyAlignment="1">
      <alignment vertical="top" wrapText="1"/>
    </xf>
    <xf numFmtId="0" fontId="13" fillId="20" borderId="0" xfId="0" applyFont="1" applyFill="1" applyBorder="1" applyAlignment="1">
      <alignment vertical="top" wrapText="1"/>
    </xf>
    <xf numFmtId="170" fontId="2" fillId="3" borderId="57" xfId="0" applyNumberFormat="1" applyFont="1" applyFill="1" applyBorder="1" applyAlignment="1">
      <alignment vertical="top" wrapText="1"/>
    </xf>
    <xf numFmtId="0" fontId="2" fillId="0" borderId="5" xfId="0" applyFont="1" applyFill="1" applyBorder="1"/>
    <xf numFmtId="2" fontId="2" fillId="3" borderId="134" xfId="0" applyNumberFormat="1" applyFont="1" applyFill="1" applyBorder="1" applyAlignment="1">
      <alignment vertical="top" wrapText="1"/>
    </xf>
    <xf numFmtId="170" fontId="2" fillId="3" borderId="99" xfId="0" applyNumberFormat="1" applyFont="1" applyFill="1" applyBorder="1" applyAlignment="1">
      <alignment vertical="top" wrapText="1"/>
    </xf>
    <xf numFmtId="2" fontId="2" fillId="3" borderId="8" xfId="0" applyNumberFormat="1" applyFont="1" applyFill="1" applyBorder="1" applyAlignment="1">
      <alignment vertical="top" wrapText="1"/>
    </xf>
    <xf numFmtId="170" fontId="2" fillId="3" borderId="100" xfId="0" applyNumberFormat="1" applyFont="1" applyFill="1" applyBorder="1" applyAlignment="1">
      <alignment vertical="top" wrapText="1"/>
    </xf>
    <xf numFmtId="0" fontId="2" fillId="0" borderId="0" xfId="0" applyFont="1" applyFill="1" applyAlignment="1">
      <alignment vertical="top" wrapText="1"/>
    </xf>
    <xf numFmtId="170" fontId="2" fillId="5" borderId="137" xfId="0" applyNumberFormat="1" applyFont="1" applyFill="1" applyBorder="1" applyAlignment="1">
      <alignment vertical="top" wrapText="1"/>
    </xf>
    <xf numFmtId="2" fontId="2" fillId="3" borderId="135" xfId="0" applyNumberFormat="1" applyFont="1" applyFill="1" applyBorder="1" applyAlignment="1">
      <alignment vertical="top" wrapText="1"/>
    </xf>
    <xf numFmtId="170" fontId="2" fillId="3" borderId="101" xfId="0" applyNumberFormat="1" applyFont="1" applyFill="1" applyBorder="1" applyAlignment="1">
      <alignment vertical="top" wrapText="1"/>
    </xf>
    <xf numFmtId="170" fontId="2" fillId="3" borderId="89" xfId="0" applyNumberFormat="1" applyFont="1" applyFill="1" applyBorder="1" applyAlignment="1">
      <alignment vertical="top" wrapText="1"/>
    </xf>
    <xf numFmtId="170" fontId="2" fillId="6" borderId="0" xfId="0" applyNumberFormat="1" applyFont="1" applyFill="1" applyBorder="1" applyAlignment="1">
      <alignment horizontal="left" vertical="top" wrapText="1"/>
    </xf>
    <xf numFmtId="170" fontId="2" fillId="6" borderId="5" xfId="0" applyNumberFormat="1" applyFont="1" applyFill="1" applyBorder="1" applyAlignment="1">
      <alignment horizontal="left" vertical="top" wrapText="1"/>
    </xf>
    <xf numFmtId="0" fontId="2" fillId="6" borderId="5" xfId="0" applyFont="1" applyFill="1" applyBorder="1" applyAlignment="1">
      <alignment vertical="top" wrapText="1"/>
    </xf>
    <xf numFmtId="7" fontId="2" fillId="3" borderId="62" xfId="0" applyNumberFormat="1" applyFont="1" applyFill="1" applyBorder="1" applyAlignment="1">
      <alignment vertical="top" wrapText="1"/>
    </xf>
    <xf numFmtId="0" fontId="2" fillId="3" borderId="8" xfId="0" applyNumberFormat="1" applyFont="1" applyFill="1" applyBorder="1" applyAlignment="1">
      <alignment vertical="top" wrapText="1"/>
    </xf>
    <xf numFmtId="0" fontId="2" fillId="3" borderId="57" xfId="0" applyFont="1" applyFill="1" applyBorder="1" applyAlignment="1">
      <alignment vertical="top" wrapText="1"/>
    </xf>
    <xf numFmtId="0" fontId="2" fillId="0" borderId="0" xfId="14" applyFont="1"/>
    <xf numFmtId="7" fontId="2" fillId="3" borderId="57" xfId="0" applyNumberFormat="1" applyFont="1" applyFill="1" applyBorder="1" applyAlignment="1">
      <alignment vertical="top" wrapText="1"/>
    </xf>
    <xf numFmtId="0" fontId="2" fillId="6" borderId="0" xfId="0" quotePrefix="1" applyFont="1" applyFill="1" applyBorder="1" applyAlignment="1">
      <alignment vertical="top" wrapText="1"/>
    </xf>
    <xf numFmtId="0" fontId="2" fillId="3" borderId="134" xfId="0" applyNumberFormat="1" applyFont="1" applyFill="1" applyBorder="1" applyAlignment="1">
      <alignment vertical="top" wrapText="1"/>
    </xf>
    <xf numFmtId="0" fontId="2" fillId="3" borderId="62" xfId="0" applyNumberFormat="1" applyFont="1" applyFill="1" applyBorder="1" applyAlignment="1">
      <alignment vertical="top" wrapText="1"/>
    </xf>
    <xf numFmtId="169" fontId="2" fillId="3" borderId="57" xfId="0" applyNumberFormat="1" applyFont="1" applyFill="1" applyBorder="1" applyAlignment="1">
      <alignment vertical="top" wrapText="1"/>
    </xf>
    <xf numFmtId="170" fontId="2" fillId="3" borderId="88" xfId="0" quotePrefix="1" applyNumberFormat="1" applyFont="1" applyFill="1" applyBorder="1" applyAlignment="1">
      <alignment vertical="top" wrapText="1"/>
    </xf>
    <xf numFmtId="170" fontId="2" fillId="3" borderId="88" xfId="0" applyNumberFormat="1" applyFont="1" applyFill="1" applyBorder="1" applyAlignment="1">
      <alignment vertical="top" wrapText="1"/>
    </xf>
    <xf numFmtId="2" fontId="2" fillId="0" borderId="0" xfId="14" applyNumberFormat="1" applyFont="1"/>
    <xf numFmtId="178" fontId="2" fillId="3" borderId="88" xfId="3" applyNumberFormat="1" applyFont="1" applyFill="1" applyBorder="1" applyAlignment="1">
      <alignment vertical="top" wrapText="1"/>
    </xf>
    <xf numFmtId="170" fontId="2" fillId="3" borderId="62" xfId="0" applyNumberFormat="1" applyFont="1" applyFill="1" applyBorder="1" applyAlignment="1">
      <alignment vertical="top" wrapText="1"/>
    </xf>
    <xf numFmtId="44" fontId="2" fillId="0" borderId="0" xfId="0" applyNumberFormat="1" applyFont="1" applyAlignment="1">
      <alignment vertical="top" wrapText="1"/>
    </xf>
    <xf numFmtId="0" fontId="2" fillId="6" borderId="5" xfId="0" quotePrefix="1" applyFont="1" applyFill="1" applyBorder="1" applyAlignment="1">
      <alignment vertical="top" wrapText="1"/>
    </xf>
    <xf numFmtId="170" fontId="2" fillId="2" borderId="0" xfId="0" applyNumberFormat="1" applyFont="1" applyFill="1" applyBorder="1" applyAlignment="1">
      <alignment vertical="top" wrapText="1"/>
    </xf>
    <xf numFmtId="0" fontId="2" fillId="2" borderId="5" xfId="0" applyFont="1" applyFill="1" applyBorder="1" applyAlignment="1">
      <alignment vertical="top" wrapText="1"/>
    </xf>
    <xf numFmtId="0" fontId="4" fillId="2" borderId="92" xfId="0" applyFont="1" applyFill="1" applyBorder="1" applyAlignment="1">
      <alignment vertical="top" wrapText="1"/>
    </xf>
    <xf numFmtId="0" fontId="2" fillId="2" borderId="92" xfId="0" applyFont="1" applyFill="1" applyBorder="1" applyAlignment="1">
      <alignment vertical="top" wrapText="1"/>
    </xf>
    <xf numFmtId="0" fontId="13" fillId="2" borderId="92" xfId="0" applyFont="1" applyFill="1" applyBorder="1" applyAlignment="1">
      <alignment vertical="top" wrapText="1"/>
    </xf>
    <xf numFmtId="0" fontId="2" fillId="2" borderId="93" xfId="0" applyFont="1" applyFill="1" applyBorder="1" applyAlignment="1">
      <alignment vertical="top" wrapText="1"/>
    </xf>
    <xf numFmtId="0" fontId="2" fillId="2" borderId="95" xfId="0" applyFont="1" applyFill="1" applyBorder="1" applyAlignment="1">
      <alignment horizontal="center" vertical="top" wrapText="1"/>
    </xf>
    <xf numFmtId="0" fontId="2" fillId="2" borderId="96" xfId="0" applyFont="1" applyFill="1" applyBorder="1" applyAlignment="1">
      <alignment vertical="top"/>
    </xf>
    <xf numFmtId="0" fontId="2" fillId="0" borderId="0" xfId="0" applyFont="1" applyFill="1" applyBorder="1" applyAlignment="1">
      <alignment horizontal="center" vertical="top" wrapText="1"/>
    </xf>
    <xf numFmtId="0" fontId="2" fillId="0" borderId="59" xfId="0" applyFont="1" applyFill="1" applyBorder="1" applyAlignment="1">
      <alignment horizontal="center" vertical="top" wrapText="1"/>
    </xf>
    <xf numFmtId="170" fontId="2" fillId="2" borderId="0" xfId="0" applyNumberFormat="1" applyFont="1" applyFill="1" applyBorder="1" applyAlignment="1">
      <alignment horizontal="center" vertical="top" wrapText="1"/>
    </xf>
    <xf numFmtId="0" fontId="2" fillId="2" borderId="0" xfId="0" applyFont="1" applyFill="1" applyAlignment="1">
      <alignment horizontal="center" vertical="top"/>
    </xf>
    <xf numFmtId="3" fontId="2" fillId="2" borderId="0" xfId="0" applyNumberFormat="1" applyFont="1" applyFill="1" applyAlignment="1">
      <alignment horizontal="center" vertical="top"/>
    </xf>
    <xf numFmtId="170" fontId="2" fillId="4" borderId="0" xfId="0" applyNumberFormat="1" applyFont="1" applyFill="1" applyBorder="1" applyAlignment="1">
      <alignment horizontal="right" vertical="top" wrapText="1"/>
    </xf>
    <xf numFmtId="0" fontId="2" fillId="2" borderId="96" xfId="0" applyFont="1" applyFill="1" applyBorder="1"/>
    <xf numFmtId="164" fontId="2" fillId="5" borderId="136" xfId="17" applyNumberFormat="1" applyFont="1" applyFill="1" applyBorder="1" applyAlignment="1">
      <alignment vertical="top" wrapText="1"/>
    </xf>
    <xf numFmtId="2" fontId="2" fillId="0" borderId="0" xfId="0" applyNumberFormat="1" applyFont="1"/>
    <xf numFmtId="5" fontId="2" fillId="3" borderId="57" xfId="0" applyNumberFormat="1" applyFont="1" applyFill="1" applyBorder="1" applyAlignment="1">
      <alignment vertical="top" wrapText="1"/>
    </xf>
    <xf numFmtId="0" fontId="2" fillId="0" borderId="129" xfId="0" applyFont="1" applyBorder="1"/>
    <xf numFmtId="0" fontId="2" fillId="0" borderId="151" xfId="0" applyFont="1" applyBorder="1"/>
    <xf numFmtId="0" fontId="2" fillId="0" borderId="59" xfId="0" applyFont="1" applyBorder="1"/>
    <xf numFmtId="0" fontId="2" fillId="0" borderId="87" xfId="0" applyFont="1" applyBorder="1"/>
    <xf numFmtId="5" fontId="2" fillId="3" borderId="57" xfId="0" applyNumberFormat="1" applyFont="1" applyFill="1" applyBorder="1"/>
    <xf numFmtId="0" fontId="2" fillId="6" borderId="59" xfId="0" applyFont="1" applyFill="1" applyBorder="1" applyAlignment="1">
      <alignment vertical="top" wrapText="1"/>
    </xf>
    <xf numFmtId="0" fontId="26" fillId="2" borderId="0" xfId="0" applyFont="1" applyFill="1" applyBorder="1" applyAlignment="1">
      <alignment horizontal="right" vertical="center" wrapText="1"/>
    </xf>
    <xf numFmtId="0" fontId="13" fillId="0" borderId="0" xfId="0" applyFont="1" applyAlignment="1">
      <alignment horizontal="right"/>
    </xf>
    <xf numFmtId="0" fontId="2" fillId="3" borderId="137" xfId="0" applyNumberFormat="1" applyFont="1" applyFill="1" applyBorder="1" applyAlignment="1" applyProtection="1">
      <alignment wrapText="1"/>
      <protection locked="0"/>
    </xf>
    <xf numFmtId="165" fontId="2" fillId="3" borderId="137" xfId="0" applyNumberFormat="1" applyFont="1" applyFill="1" applyBorder="1" applyAlignment="1" applyProtection="1">
      <alignment wrapText="1"/>
      <protection locked="0"/>
    </xf>
    <xf numFmtId="165" fontId="2" fillId="3" borderId="144" xfId="0" applyNumberFormat="1" applyFont="1" applyFill="1" applyBorder="1" applyAlignment="1" applyProtection="1">
      <alignment wrapText="1"/>
      <protection locked="0"/>
    </xf>
    <xf numFmtId="0" fontId="13" fillId="2" borderId="9" xfId="0" applyFont="1" applyFill="1" applyBorder="1" applyAlignment="1" applyProtection="1">
      <protection locked="0"/>
    </xf>
    <xf numFmtId="0" fontId="13" fillId="2" borderId="10" xfId="0" applyFont="1" applyFill="1" applyBorder="1" applyAlignment="1" applyProtection="1">
      <protection locked="0"/>
    </xf>
    <xf numFmtId="0" fontId="13" fillId="2" borderId="11" xfId="0" applyFont="1" applyFill="1" applyBorder="1" applyAlignment="1" applyProtection="1">
      <protection locked="0"/>
    </xf>
    <xf numFmtId="0" fontId="13" fillId="2" borderId="41" xfId="0" applyFont="1" applyFill="1" applyBorder="1" applyAlignment="1" applyProtection="1">
      <alignment horizontal="right" wrapText="1"/>
      <protection locked="0"/>
    </xf>
    <xf numFmtId="0" fontId="4" fillId="2" borderId="42" xfId="0" applyFont="1" applyFill="1" applyBorder="1" applyAlignment="1" applyProtection="1">
      <alignment horizontal="center" wrapText="1"/>
      <protection locked="0"/>
    </xf>
    <xf numFmtId="0" fontId="4" fillId="2" borderId="15" xfId="0" applyFont="1" applyFill="1" applyBorder="1" applyAlignment="1" applyProtection="1">
      <alignment horizontal="center" wrapText="1"/>
      <protection locked="0"/>
    </xf>
    <xf numFmtId="0" fontId="4" fillId="2" borderId="71" xfId="0" applyFont="1" applyFill="1" applyBorder="1" applyAlignment="1" applyProtection="1">
      <alignment horizontal="center" wrapText="1"/>
      <protection locked="0"/>
    </xf>
    <xf numFmtId="42" fontId="2" fillId="3" borderId="98" xfId="0" applyNumberFormat="1" applyFont="1" applyFill="1" applyBorder="1" applyAlignment="1" applyProtection="1">
      <alignment wrapText="1"/>
      <protection locked="0"/>
    </xf>
    <xf numFmtId="0" fontId="2" fillId="6" borderId="102" xfId="0" applyFont="1" applyFill="1" applyBorder="1" applyAlignment="1" applyProtection="1">
      <alignment wrapText="1"/>
      <protection locked="0"/>
    </xf>
    <xf numFmtId="0" fontId="2" fillId="5" borderId="140" xfId="0" applyFont="1" applyFill="1" applyBorder="1" applyAlignment="1" applyProtection="1">
      <alignment wrapText="1"/>
      <protection locked="0"/>
    </xf>
    <xf numFmtId="0" fontId="2" fillId="5" borderId="144" xfId="0" applyFont="1" applyFill="1" applyBorder="1" applyAlignment="1" applyProtection="1">
      <alignment horizontal="left" wrapText="1"/>
      <protection locked="0"/>
    </xf>
    <xf numFmtId="2" fontId="2" fillId="5" borderId="146" xfId="0" applyNumberFormat="1" applyFont="1" applyFill="1" applyBorder="1" applyAlignment="1" applyProtection="1">
      <alignment wrapText="1"/>
      <protection locked="0"/>
    </xf>
    <xf numFmtId="0" fontId="2" fillId="6" borderId="103" xfId="0" applyFont="1" applyFill="1" applyBorder="1" applyAlignment="1" applyProtection="1">
      <alignment wrapText="1"/>
      <protection locked="0"/>
    </xf>
    <xf numFmtId="0" fontId="2" fillId="6" borderId="133" xfId="0" applyFont="1" applyFill="1" applyBorder="1" applyAlignment="1" applyProtection="1">
      <alignment wrapText="1"/>
      <protection locked="0"/>
    </xf>
    <xf numFmtId="0" fontId="2" fillId="2" borderId="97" xfId="0" applyFont="1" applyFill="1" applyBorder="1" applyAlignment="1" applyProtection="1">
      <alignment horizontal="left" wrapText="1"/>
      <protection locked="0"/>
    </xf>
    <xf numFmtId="172" fontId="2" fillId="3" borderId="69" xfId="0" applyNumberFormat="1" applyFont="1" applyFill="1" applyBorder="1" applyAlignment="1" applyProtection="1">
      <alignment wrapText="1"/>
      <protection locked="0"/>
    </xf>
    <xf numFmtId="42" fontId="2" fillId="3" borderId="22" xfId="0" applyNumberFormat="1" applyFont="1" applyFill="1" applyBorder="1" applyAlignment="1" applyProtection="1">
      <alignment wrapText="1"/>
      <protection locked="0"/>
    </xf>
    <xf numFmtId="2" fontId="2" fillId="2" borderId="69" xfId="0" applyNumberFormat="1" applyFont="1" applyFill="1" applyBorder="1" applyAlignment="1" applyProtection="1">
      <alignment wrapText="1"/>
      <protection locked="0"/>
    </xf>
    <xf numFmtId="0" fontId="2" fillId="2" borderId="69" xfId="0" applyFont="1" applyFill="1" applyBorder="1" applyAlignment="1" applyProtection="1">
      <alignment wrapText="1"/>
      <protection locked="0"/>
    </xf>
    <xf numFmtId="0" fontId="2" fillId="2" borderId="70" xfId="0" applyFont="1" applyFill="1" applyBorder="1" applyAlignment="1" applyProtection="1">
      <alignment wrapText="1"/>
      <protection locked="0"/>
    </xf>
    <xf numFmtId="172" fontId="2" fillId="0" borderId="0" xfId="0" applyNumberFormat="1" applyFont="1"/>
    <xf numFmtId="43" fontId="2" fillId="0" borderId="0" xfId="0" applyNumberFormat="1" applyFont="1"/>
    <xf numFmtId="4" fontId="15" fillId="5" borderId="89" xfId="0" applyNumberFormat="1" applyFont="1" applyFill="1" applyBorder="1"/>
    <xf numFmtId="4" fontId="15" fillId="5" borderId="89" xfId="0" applyNumberFormat="1" applyFont="1" applyFill="1" applyBorder="1" applyAlignment="1">
      <alignment horizontal="right" vertical="top" wrapText="1"/>
    </xf>
    <xf numFmtId="172" fontId="2" fillId="5" borderId="8" xfId="1" applyNumberFormat="1" applyFont="1" applyFill="1" applyBorder="1" applyAlignment="1" applyProtection="1">
      <alignment wrapText="1"/>
      <protection locked="0"/>
    </xf>
    <xf numFmtId="0" fontId="2" fillId="20" borderId="0" xfId="0" applyFont="1" applyFill="1" applyAlignment="1">
      <alignment vertical="top" wrapText="1"/>
    </xf>
    <xf numFmtId="189" fontId="2" fillId="5" borderId="8" xfId="1" applyNumberFormat="1" applyFont="1" applyFill="1" applyBorder="1" applyAlignment="1" applyProtection="1">
      <alignment wrapText="1"/>
      <protection locked="0"/>
    </xf>
    <xf numFmtId="0" fontId="2" fillId="20" borderId="8" xfId="0" applyFont="1" applyFill="1" applyBorder="1" applyAlignment="1">
      <alignment vertical="top" wrapText="1"/>
    </xf>
    <xf numFmtId="189" fontId="4" fillId="5" borderId="8" xfId="1" applyNumberFormat="1" applyFont="1" applyFill="1" applyBorder="1" applyAlignment="1" applyProtection="1">
      <alignment wrapText="1"/>
      <protection locked="0"/>
    </xf>
    <xf numFmtId="0" fontId="15" fillId="20" borderId="17" xfId="0" applyFont="1" applyFill="1" applyBorder="1" applyAlignment="1">
      <alignment horizontal="left" vertical="top" wrapText="1" indent="1"/>
    </xf>
    <xf numFmtId="0" fontId="15" fillId="20" borderId="20" xfId="0" applyFont="1" applyFill="1" applyBorder="1" applyAlignment="1">
      <alignment horizontal="left" vertical="top" wrapText="1" indent="1"/>
    </xf>
    <xf numFmtId="0" fontId="6" fillId="20" borderId="81" xfId="0" applyFont="1" applyFill="1" applyBorder="1" applyAlignment="1">
      <alignment vertical="top" wrapText="1"/>
    </xf>
    <xf numFmtId="0" fontId="13" fillId="20" borderId="0" xfId="0" applyFont="1" applyFill="1" applyAlignment="1">
      <alignment vertical="top" wrapText="1"/>
    </xf>
    <xf numFmtId="0" fontId="2" fillId="20" borderId="137" xfId="0" applyFont="1" applyFill="1" applyBorder="1" applyAlignment="1" applyProtection="1">
      <alignment horizontal="left" wrapText="1"/>
      <protection locked="0"/>
    </xf>
    <xf numFmtId="0" fontId="2" fillId="20" borderId="175" xfId="0" applyFont="1" applyFill="1" applyBorder="1" applyAlignment="1" applyProtection="1">
      <alignment horizontal="left" wrapText="1"/>
      <protection locked="0"/>
    </xf>
    <xf numFmtId="0" fontId="2" fillId="20" borderId="8" xfId="0" applyFont="1" applyFill="1" applyBorder="1" applyAlignment="1" applyProtection="1">
      <alignment horizontal="left" wrapText="1"/>
      <protection locked="0"/>
    </xf>
    <xf numFmtId="0" fontId="15" fillId="20" borderId="115" xfId="0" applyFont="1" applyFill="1" applyBorder="1" applyAlignment="1">
      <alignment vertical="top" wrapText="1"/>
    </xf>
    <xf numFmtId="0" fontId="15" fillId="20" borderId="176" xfId="0" applyFont="1" applyFill="1" applyBorder="1" applyAlignment="1">
      <alignment vertical="top" wrapText="1"/>
    </xf>
    <xf numFmtId="0" fontId="15" fillId="20" borderId="117" xfId="0" applyFont="1" applyFill="1" applyBorder="1" applyAlignment="1">
      <alignment vertical="top" wrapText="1"/>
    </xf>
    <xf numFmtId="2" fontId="15" fillId="3" borderId="135" xfId="0" applyNumberFormat="1" applyFont="1" applyFill="1" applyBorder="1" applyAlignment="1">
      <alignment vertical="top" wrapText="1"/>
    </xf>
    <xf numFmtId="0" fontId="2" fillId="6" borderId="4" xfId="0" quotePrefix="1" applyFont="1" applyFill="1" applyBorder="1" applyAlignment="1">
      <alignment vertical="top" wrapText="1"/>
    </xf>
    <xf numFmtId="0" fontId="2" fillId="6" borderId="5" xfId="0" applyFont="1" applyFill="1" applyBorder="1" applyAlignment="1">
      <alignment horizontal="left" vertical="top" wrapText="1"/>
    </xf>
    <xf numFmtId="0" fontId="4" fillId="6" borderId="0" xfId="0" applyFont="1" applyFill="1" applyBorder="1" applyAlignment="1">
      <alignment horizontal="left" vertical="top" wrapText="1"/>
    </xf>
    <xf numFmtId="0" fontId="2" fillId="6" borderId="5" xfId="0" quotePrefix="1" applyFont="1" applyFill="1" applyBorder="1" applyAlignment="1">
      <alignment horizontal="left" vertical="top" wrapText="1"/>
    </xf>
    <xf numFmtId="0" fontId="2" fillId="6" borderId="0" xfId="0" applyFont="1" applyFill="1" applyBorder="1" applyAlignment="1">
      <alignment horizontal="left" vertical="top" wrapText="1"/>
    </xf>
    <xf numFmtId="0" fontId="2" fillId="6" borderId="0" xfId="0" quotePrefix="1" applyFont="1" applyFill="1" applyBorder="1" applyAlignment="1">
      <alignment horizontal="left" vertical="top" wrapText="1"/>
    </xf>
    <xf numFmtId="10" fontId="2" fillId="5" borderId="8" xfId="17" applyNumberFormat="1" applyFont="1" applyFill="1" applyBorder="1" applyAlignment="1" applyProtection="1">
      <alignment wrapText="1"/>
      <protection locked="0"/>
    </xf>
    <xf numFmtId="172" fontId="2" fillId="5" borderId="169" xfId="1" applyNumberFormat="1" applyFont="1" applyFill="1" applyBorder="1" applyAlignment="1" applyProtection="1">
      <alignment wrapText="1"/>
      <protection locked="0"/>
    </xf>
    <xf numFmtId="10" fontId="2" fillId="5" borderId="169" xfId="17" applyNumberFormat="1" applyFont="1" applyFill="1" applyBorder="1" applyAlignment="1" applyProtection="1">
      <alignment wrapText="1"/>
      <protection locked="0"/>
    </xf>
    <xf numFmtId="42" fontId="2" fillId="3" borderId="100" xfId="0" applyNumberFormat="1" applyFont="1" applyFill="1" applyBorder="1" applyAlignment="1" applyProtection="1">
      <alignment wrapText="1"/>
      <protection locked="0"/>
    </xf>
    <xf numFmtId="42" fontId="2" fillId="3" borderId="101" xfId="0" applyNumberFormat="1" applyFont="1" applyFill="1" applyBorder="1" applyAlignment="1" applyProtection="1">
      <alignment wrapText="1"/>
      <protection locked="0"/>
    </xf>
    <xf numFmtId="0" fontId="2" fillId="20" borderId="0" xfId="0" applyFont="1" applyFill="1" applyAlignment="1">
      <alignment vertical="top"/>
    </xf>
    <xf numFmtId="0" fontId="6" fillId="20" borderId="177" xfId="0" applyFont="1" applyFill="1" applyBorder="1" applyAlignment="1">
      <alignment horizontal="left" vertical="top" wrapText="1"/>
    </xf>
    <xf numFmtId="0" fontId="6" fillId="20" borderId="178" xfId="0" applyFont="1" applyFill="1" applyBorder="1" applyAlignment="1">
      <alignment horizontal="left" vertical="top" wrapText="1"/>
    </xf>
    <xf numFmtId="0" fontId="15" fillId="20" borderId="114" xfId="0" applyFont="1" applyFill="1" applyBorder="1" applyAlignment="1">
      <alignment vertical="top" wrapText="1"/>
    </xf>
    <xf numFmtId="0" fontId="15" fillId="20" borderId="116" xfId="0" applyFont="1" applyFill="1" applyBorder="1" applyAlignment="1">
      <alignment vertical="top" wrapText="1"/>
    </xf>
    <xf numFmtId="0" fontId="15" fillId="20" borderId="117" xfId="0" applyFont="1" applyFill="1" applyBorder="1" applyAlignment="1">
      <alignment horizontal="left" vertical="top" wrapText="1"/>
    </xf>
    <xf numFmtId="0" fontId="15" fillId="20" borderId="118" xfId="0" applyFont="1" applyFill="1" applyBorder="1" applyAlignment="1">
      <alignment horizontal="left" vertical="top" wrapText="1"/>
    </xf>
    <xf numFmtId="0" fontId="6" fillId="20" borderId="119" xfId="0" applyFont="1" applyFill="1" applyBorder="1" applyAlignment="1">
      <alignment vertical="top" wrapText="1"/>
    </xf>
    <xf numFmtId="0" fontId="6" fillId="20" borderId="125" xfId="0" applyFont="1" applyFill="1" applyBorder="1" applyAlignment="1">
      <alignment vertical="top" wrapText="1"/>
    </xf>
    <xf numFmtId="0" fontId="6" fillId="20" borderId="174" xfId="0" applyFont="1" applyFill="1" applyBorder="1" applyAlignment="1">
      <alignment vertical="top" wrapText="1"/>
    </xf>
    <xf numFmtId="178" fontId="15" fillId="22" borderId="139" xfId="0" applyNumberFormat="1" applyFont="1" applyFill="1" applyBorder="1" applyAlignment="1">
      <alignment vertical="top" wrapText="1"/>
    </xf>
    <xf numFmtId="0" fontId="6" fillId="20" borderId="117" xfId="0" applyFont="1" applyFill="1" applyBorder="1" applyAlignment="1">
      <alignment horizontal="left" vertical="top" wrapText="1"/>
    </xf>
    <xf numFmtId="0" fontId="6" fillId="20" borderId="118" xfId="0" applyFont="1" applyFill="1" applyBorder="1" applyAlignment="1">
      <alignment horizontal="left" vertical="top" wrapText="1"/>
    </xf>
    <xf numFmtId="178" fontId="15" fillId="22" borderId="118" xfId="0" applyNumberFormat="1" applyFont="1" applyFill="1" applyBorder="1" applyAlignment="1">
      <alignment vertical="top" wrapText="1"/>
    </xf>
    <xf numFmtId="0" fontId="2" fillId="6" borderId="55" xfId="0" applyFont="1" applyFill="1" applyBorder="1" applyAlignment="1">
      <alignment vertical="top" wrapText="1"/>
    </xf>
    <xf numFmtId="0" fontId="2" fillId="6" borderId="108" xfId="0" applyFont="1" applyFill="1" applyBorder="1" applyAlignment="1">
      <alignment vertical="top" wrapText="1"/>
    </xf>
    <xf numFmtId="0" fontId="2" fillId="6" borderId="55" xfId="0" applyFont="1" applyFill="1" applyBorder="1" applyAlignment="1">
      <alignment horizontal="left" vertical="top"/>
    </xf>
    <xf numFmtId="0" fontId="2" fillId="6" borderId="108" xfId="0" applyFont="1" applyFill="1" applyBorder="1" applyAlignment="1">
      <alignment horizontal="left" vertical="top"/>
    </xf>
    <xf numFmtId="0" fontId="13" fillId="20" borderId="161" xfId="0" applyFont="1" applyFill="1" applyBorder="1" applyAlignment="1" applyProtection="1">
      <alignment horizontal="left" wrapText="1"/>
      <protection locked="0"/>
    </xf>
    <xf numFmtId="0" fontId="4" fillId="20" borderId="149" xfId="0" applyFont="1" applyFill="1" applyBorder="1" applyAlignment="1" applyProtection="1">
      <alignment horizontal="center" wrapText="1"/>
      <protection locked="0"/>
    </xf>
    <xf numFmtId="0" fontId="2" fillId="20" borderId="136" xfId="0" applyFont="1" applyFill="1" applyBorder="1" applyAlignment="1" applyProtection="1">
      <alignment horizontal="left" wrapText="1"/>
      <protection locked="0"/>
    </xf>
    <xf numFmtId="42" fontId="2" fillId="3" borderId="99" xfId="0" applyNumberFormat="1" applyFont="1" applyFill="1" applyBorder="1" applyAlignment="1" applyProtection="1">
      <alignment wrapText="1"/>
      <protection locked="0"/>
    </xf>
    <xf numFmtId="42" fontId="2" fillId="3" borderId="179" xfId="0" applyNumberFormat="1" applyFont="1" applyFill="1" applyBorder="1" applyAlignment="1" applyProtection="1">
      <alignment wrapText="1"/>
      <protection locked="0"/>
    </xf>
    <xf numFmtId="178" fontId="15" fillId="22" borderId="79" xfId="0" applyNumberFormat="1" applyFont="1" applyFill="1" applyBorder="1" applyAlignment="1">
      <alignment vertical="top" wrapText="1"/>
    </xf>
    <xf numFmtId="0" fontId="6" fillId="20" borderId="64" xfId="0" applyFont="1" applyFill="1" applyBorder="1" applyAlignment="1">
      <alignment vertical="top" wrapText="1"/>
    </xf>
    <xf numFmtId="172" fontId="4" fillId="20" borderId="136" xfId="1" applyNumberFormat="1" applyFont="1" applyFill="1" applyBorder="1" applyAlignment="1" applyProtection="1">
      <alignment wrapText="1"/>
      <protection locked="0"/>
    </xf>
    <xf numFmtId="0" fontId="2" fillId="20" borderId="100" xfId="0" applyFont="1" applyFill="1" applyBorder="1" applyAlignment="1">
      <alignment vertical="top" wrapText="1"/>
    </xf>
    <xf numFmtId="172" fontId="4" fillId="5" borderId="137" xfId="1" applyNumberFormat="1" applyFont="1" applyFill="1" applyBorder="1" applyAlignment="1" applyProtection="1">
      <alignment wrapText="1"/>
      <protection locked="0"/>
    </xf>
    <xf numFmtId="172" fontId="2" fillId="5" borderId="135" xfId="1" applyNumberFormat="1" applyFont="1" applyFill="1" applyBorder="1" applyAlignment="1" applyProtection="1">
      <alignment wrapText="1"/>
      <protection locked="0"/>
    </xf>
    <xf numFmtId="0" fontId="4" fillId="20" borderId="136" xfId="0" applyFont="1" applyFill="1" applyBorder="1" applyAlignment="1">
      <alignment vertical="top" wrapText="1"/>
    </xf>
    <xf numFmtId="10" fontId="2" fillId="5" borderId="100" xfId="17" applyNumberFormat="1" applyFont="1" applyFill="1" applyBorder="1" applyAlignment="1" applyProtection="1">
      <alignment wrapText="1"/>
      <protection locked="0"/>
    </xf>
    <xf numFmtId="10" fontId="2" fillId="5" borderId="179" xfId="17" applyNumberFormat="1" applyFont="1" applyFill="1" applyBorder="1" applyAlignment="1" applyProtection="1">
      <alignment wrapText="1"/>
      <protection locked="0"/>
    </xf>
    <xf numFmtId="0" fontId="2" fillId="20" borderId="137" xfId="0" applyFont="1" applyFill="1" applyBorder="1" applyAlignment="1">
      <alignment vertical="top" wrapText="1"/>
    </xf>
    <xf numFmtId="0" fontId="2" fillId="20" borderId="4" xfId="0" applyFont="1" applyFill="1" applyBorder="1" applyAlignment="1">
      <alignment vertical="top" wrapText="1"/>
    </xf>
    <xf numFmtId="0" fontId="2" fillId="20" borderId="4" xfId="0" applyFont="1" applyFill="1" applyBorder="1" applyAlignment="1" applyProtection="1">
      <alignment horizontal="left" wrapText="1"/>
      <protection locked="0"/>
    </xf>
    <xf numFmtId="0" fontId="2" fillId="20" borderId="144" xfId="0" applyFont="1" applyFill="1" applyBorder="1" applyAlignment="1">
      <alignment vertical="top" wrapText="1"/>
    </xf>
    <xf numFmtId="0" fontId="2" fillId="20" borderId="165" xfId="0" applyFont="1" applyFill="1" applyBorder="1" applyAlignment="1">
      <alignment vertical="top"/>
    </xf>
    <xf numFmtId="7" fontId="2" fillId="0" borderId="57" xfId="0" applyNumberFormat="1" applyFont="1" applyFill="1" applyBorder="1" applyAlignment="1">
      <alignment vertical="top" wrapText="1"/>
    </xf>
    <xf numFmtId="0" fontId="26" fillId="2" borderId="4" xfId="0" applyFont="1" applyFill="1" applyBorder="1" applyAlignment="1">
      <alignment horizontal="center" vertical="center" wrapText="1"/>
    </xf>
    <xf numFmtId="0" fontId="68" fillId="2" borderId="94" xfId="0" applyFont="1" applyFill="1" applyBorder="1" applyAlignment="1">
      <alignment horizontal="left" vertical="center" wrapText="1"/>
    </xf>
    <xf numFmtId="0" fontId="26" fillId="2" borderId="95" xfId="0" applyFont="1" applyFill="1" applyBorder="1" applyAlignment="1">
      <alignment horizontal="center" vertical="top" wrapText="1"/>
    </xf>
    <xf numFmtId="0" fontId="26" fillId="2" borderId="95" xfId="0" applyFont="1" applyFill="1" applyBorder="1" applyAlignment="1">
      <alignment horizontal="right" vertical="center" wrapText="1"/>
    </xf>
    <xf numFmtId="0" fontId="13" fillId="2" borderId="4" xfId="0" applyFont="1" applyFill="1" applyBorder="1" applyAlignment="1">
      <alignment horizontal="left" vertical="center" wrapText="1"/>
    </xf>
    <xf numFmtId="0" fontId="13" fillId="2" borderId="0" xfId="0" applyFont="1" applyFill="1" applyBorder="1" applyAlignment="1">
      <alignment vertical="center" wrapText="1"/>
    </xf>
    <xf numFmtId="0" fontId="26" fillId="2" borderId="4" xfId="0" applyFont="1" applyFill="1" applyBorder="1" applyAlignment="1">
      <alignment horizontal="left" vertical="center" wrapText="1"/>
    </xf>
    <xf numFmtId="0" fontId="29" fillId="2" borderId="4" xfId="5" applyFont="1" applyFill="1" applyBorder="1" applyAlignment="1" applyProtection="1">
      <alignment horizontal="left" vertical="center" wrapText="1"/>
    </xf>
    <xf numFmtId="0" fontId="6" fillId="2" borderId="4" xfId="0" applyFont="1" applyFill="1" applyBorder="1" applyAlignment="1">
      <alignment horizontal="left" vertical="center" wrapText="1"/>
    </xf>
    <xf numFmtId="0" fontId="13" fillId="2" borderId="94" xfId="0" applyFont="1" applyFill="1" applyBorder="1" applyAlignment="1">
      <alignment vertical="top" wrapText="1"/>
    </xf>
    <xf numFmtId="0" fontId="6" fillId="2" borderId="94" xfId="0" applyFont="1" applyFill="1" applyBorder="1" applyAlignment="1">
      <alignment wrapText="1"/>
    </xf>
    <xf numFmtId="7" fontId="2" fillId="0" borderId="142" xfId="0" applyNumberFormat="1" applyFont="1" applyFill="1" applyBorder="1" applyAlignment="1">
      <alignment vertical="top" wrapText="1"/>
    </xf>
    <xf numFmtId="0" fontId="6" fillId="0" borderId="58" xfId="0" applyFont="1" applyFill="1" applyBorder="1"/>
    <xf numFmtId="170" fontId="4" fillId="5" borderId="136" xfId="0" applyNumberFormat="1" applyFont="1" applyFill="1" applyBorder="1" applyAlignment="1">
      <alignment vertical="top" wrapText="1"/>
    </xf>
    <xf numFmtId="0" fontId="4" fillId="5" borderId="137" xfId="1" applyNumberFormat="1" applyFont="1" applyFill="1" applyBorder="1" applyAlignment="1">
      <alignment vertical="top" wrapText="1"/>
    </xf>
    <xf numFmtId="0" fontId="2" fillId="5" borderId="136" xfId="0" applyNumberFormat="1" applyFont="1" applyFill="1" applyBorder="1" applyAlignment="1">
      <alignment vertical="top" wrapText="1"/>
    </xf>
    <xf numFmtId="0" fontId="13" fillId="2" borderId="91" xfId="0" applyFont="1" applyFill="1" applyBorder="1" applyAlignment="1">
      <alignment vertical="top" wrapText="1"/>
    </xf>
    <xf numFmtId="0" fontId="2" fillId="0" borderId="4" xfId="0" applyFont="1" applyFill="1" applyBorder="1" applyAlignment="1">
      <alignment horizontal="center" vertical="top" wrapText="1"/>
    </xf>
    <xf numFmtId="0" fontId="6" fillId="3" borderId="57" xfId="0" applyFont="1" applyFill="1" applyBorder="1" applyAlignment="1">
      <alignment vertical="top" wrapText="1"/>
    </xf>
    <xf numFmtId="0" fontId="2" fillId="2" borderId="4" xfId="0" applyFont="1" applyFill="1" applyBorder="1" applyAlignment="1">
      <alignment horizontal="center" vertical="top" wrapText="1"/>
    </xf>
    <xf numFmtId="0" fontId="2" fillId="2" borderId="4" xfId="0" applyFont="1" applyFill="1" applyBorder="1" applyAlignment="1">
      <alignment horizontal="left" vertical="top" wrapText="1"/>
    </xf>
    <xf numFmtId="0" fontId="69" fillId="20" borderId="8" xfId="0" applyFont="1" applyFill="1" applyBorder="1" applyAlignment="1">
      <alignment vertical="center" wrapText="1"/>
    </xf>
    <xf numFmtId="44" fontId="69" fillId="20" borderId="8" xfId="3" applyFont="1" applyFill="1" applyBorder="1" applyAlignment="1">
      <alignment vertical="center" wrapText="1"/>
    </xf>
    <xf numFmtId="0" fontId="2" fillId="5" borderId="136" xfId="0" applyFont="1" applyFill="1" applyBorder="1" applyAlignment="1" applyProtection="1">
      <alignment horizontal="left" wrapText="1"/>
      <protection locked="0"/>
    </xf>
    <xf numFmtId="2" fontId="2" fillId="5" borderId="145" xfId="0" applyNumberFormat="1" applyFont="1" applyFill="1" applyBorder="1" applyAlignment="1" applyProtection="1">
      <alignment wrapText="1"/>
      <protection locked="0"/>
    </xf>
    <xf numFmtId="172" fontId="2" fillId="5" borderId="147" xfId="1" applyNumberFormat="1" applyFont="1" applyFill="1" applyBorder="1" applyAlignment="1" applyProtection="1">
      <alignment wrapText="1"/>
      <protection locked="0"/>
    </xf>
    <xf numFmtId="0" fontId="2" fillId="5" borderId="105" xfId="0" applyNumberFormat="1" applyFont="1" applyFill="1" applyBorder="1" applyAlignment="1" applyProtection="1">
      <alignment wrapText="1"/>
      <protection locked="0"/>
    </xf>
    <xf numFmtId="2" fontId="2" fillId="5" borderId="134" xfId="0" applyNumberFormat="1" applyFont="1" applyFill="1" applyBorder="1" applyAlignment="1" applyProtection="1">
      <alignment wrapText="1"/>
      <protection locked="0"/>
    </xf>
    <xf numFmtId="2" fontId="2" fillId="5" borderId="8" xfId="1" applyNumberFormat="1" applyFont="1" applyFill="1" applyBorder="1" applyAlignment="1" applyProtection="1">
      <alignment wrapText="1"/>
      <protection locked="0"/>
    </xf>
    <xf numFmtId="0" fontId="31" fillId="20" borderId="0" xfId="0" applyFont="1" applyFill="1" applyAlignment="1">
      <alignment vertical="top" wrapText="1"/>
    </xf>
    <xf numFmtId="0" fontId="2" fillId="20" borderId="0" xfId="0" applyFont="1" applyFill="1" applyAlignment="1">
      <alignment horizontal="left" vertical="top" wrapText="1"/>
    </xf>
    <xf numFmtId="0" fontId="31" fillId="20" borderId="0" xfId="0" applyFont="1" applyFill="1" applyAlignment="1">
      <alignment horizontal="left" vertical="top" wrapText="1"/>
    </xf>
    <xf numFmtId="0" fontId="13" fillId="20" borderId="0" xfId="0" applyFont="1" applyFill="1" applyAlignment="1">
      <alignment horizontal="right" vertical="top" wrapText="1"/>
    </xf>
    <xf numFmtId="0" fontId="29" fillId="20" borderId="0" xfId="5" applyFont="1" applyFill="1" applyAlignment="1" applyProtection="1">
      <alignment horizontal="left" vertical="top" wrapText="1"/>
    </xf>
    <xf numFmtId="0" fontId="17" fillId="20" borderId="112" xfId="0" applyFont="1" applyFill="1" applyBorder="1" applyAlignment="1">
      <alignment vertical="center" wrapText="1"/>
    </xf>
    <xf numFmtId="0" fontId="2" fillId="20" borderId="113" xfId="0" applyFont="1" applyFill="1" applyBorder="1" applyAlignment="1">
      <alignment vertical="center" wrapText="1"/>
    </xf>
    <xf numFmtId="0" fontId="2" fillId="20" borderId="114" xfId="0" applyFont="1" applyFill="1" applyBorder="1" applyAlignment="1">
      <alignment vertical="center" wrapText="1"/>
    </xf>
    <xf numFmtId="0" fontId="2" fillId="20" borderId="98" xfId="0" applyFont="1" applyFill="1" applyBorder="1" applyAlignment="1">
      <alignment vertical="top" wrapText="1"/>
    </xf>
    <xf numFmtId="0" fontId="2" fillId="20" borderId="116" xfId="0" applyFont="1" applyFill="1" applyBorder="1" applyAlignment="1">
      <alignment vertical="top" wrapText="1"/>
    </xf>
    <xf numFmtId="0" fontId="2" fillId="20" borderId="129" xfId="0" applyFont="1" applyFill="1" applyBorder="1" applyAlignment="1">
      <alignment vertical="top" wrapText="1"/>
    </xf>
    <xf numFmtId="0" fontId="2" fillId="20" borderId="151" xfId="0" applyFont="1" applyFill="1" applyBorder="1" applyAlignment="1">
      <alignment vertical="top" wrapText="1"/>
    </xf>
    <xf numFmtId="172" fontId="2" fillId="20" borderId="0" xfId="1" applyNumberFormat="1" applyFont="1" applyFill="1" applyAlignment="1">
      <alignment vertical="top" wrapText="1"/>
    </xf>
    <xf numFmtId="178" fontId="15" fillId="22" borderId="173" xfId="0" applyNumberFormat="1" applyFont="1" applyFill="1" applyBorder="1" applyAlignment="1">
      <alignment vertical="top" wrapText="1"/>
    </xf>
    <xf numFmtId="0" fontId="17" fillId="20" borderId="24" xfId="0" applyFont="1" applyFill="1" applyBorder="1" applyAlignment="1">
      <alignment horizontal="left" vertical="center" wrapText="1"/>
    </xf>
    <xf numFmtId="0" fontId="2" fillId="20" borderId="76" xfId="0" applyFont="1" applyFill="1" applyBorder="1" applyAlignment="1">
      <alignment vertical="center" wrapText="1"/>
    </xf>
    <xf numFmtId="0" fontId="2" fillId="20" borderId="65" xfId="0" applyFont="1" applyFill="1" applyBorder="1" applyAlignment="1">
      <alignment vertical="center" wrapText="1"/>
    </xf>
    <xf numFmtId="0" fontId="2" fillId="20" borderId="66" xfId="0" applyFont="1" applyFill="1" applyBorder="1" applyAlignment="1">
      <alignment vertical="center" wrapText="1"/>
    </xf>
    <xf numFmtId="0" fontId="2" fillId="20" borderId="2" xfId="0" applyFont="1" applyFill="1" applyBorder="1" applyAlignment="1">
      <alignment vertical="top" wrapText="1"/>
    </xf>
    <xf numFmtId="0" fontId="2" fillId="20" borderId="82" xfId="0" applyFont="1" applyFill="1" applyBorder="1" applyAlignment="1">
      <alignment vertical="top" wrapText="1"/>
    </xf>
    <xf numFmtId="0" fontId="2" fillId="4" borderId="8" xfId="0" applyFont="1" applyFill="1" applyBorder="1" applyAlignment="1">
      <alignment vertical="top" wrapText="1"/>
    </xf>
    <xf numFmtId="0" fontId="2" fillId="4" borderId="22" xfId="0" applyFont="1" applyFill="1" applyBorder="1" applyAlignment="1">
      <alignment vertical="top" wrapText="1"/>
    </xf>
    <xf numFmtId="0" fontId="2" fillId="20" borderId="3" xfId="0" applyFont="1" applyFill="1" applyBorder="1" applyAlignment="1">
      <alignment vertical="top" wrapText="1"/>
    </xf>
    <xf numFmtId="0" fontId="2" fillId="20" borderId="0" xfId="0" applyFont="1" applyFill="1" applyBorder="1" applyAlignment="1">
      <alignment vertical="top"/>
    </xf>
    <xf numFmtId="0" fontId="2" fillId="20" borderId="5" xfId="0" applyFont="1" applyFill="1" applyBorder="1" applyAlignment="1">
      <alignment vertical="top" wrapText="1"/>
    </xf>
    <xf numFmtId="0" fontId="2" fillId="20" borderId="137" xfId="0" applyFont="1" applyFill="1" applyBorder="1" applyAlignment="1">
      <alignment vertical="top"/>
    </xf>
    <xf numFmtId="0" fontId="2" fillId="20" borderId="59" xfId="0" applyFont="1" applyFill="1" applyBorder="1" applyAlignment="1">
      <alignment vertical="top"/>
    </xf>
    <xf numFmtId="0" fontId="2" fillId="20" borderId="87" xfId="0" applyFont="1" applyFill="1" applyBorder="1" applyAlignment="1">
      <alignment vertical="top" wrapText="1"/>
    </xf>
    <xf numFmtId="0" fontId="2" fillId="20" borderId="0" xfId="0" applyFont="1" applyFill="1" applyBorder="1" applyAlignment="1">
      <alignment vertical="top" wrapText="1"/>
    </xf>
    <xf numFmtId="43" fontId="2" fillId="20" borderId="0" xfId="0" applyNumberFormat="1" applyFont="1" applyFill="1" applyAlignment="1">
      <alignment vertical="top" wrapText="1"/>
    </xf>
    <xf numFmtId="0" fontId="2" fillId="0" borderId="0" xfId="0" applyFont="1" applyBorder="1" applyAlignment="1">
      <alignment vertical="top" wrapText="1"/>
    </xf>
    <xf numFmtId="172" fontId="2" fillId="3" borderId="8" xfId="1" applyNumberFormat="1" applyFont="1" applyFill="1" applyBorder="1" applyAlignment="1" applyProtection="1">
      <alignment horizontal="center"/>
    </xf>
    <xf numFmtId="172" fontId="2" fillId="3" borderId="100" xfId="1" applyNumberFormat="1" applyFont="1" applyFill="1" applyBorder="1" applyAlignment="1" applyProtection="1">
      <alignment horizontal="center"/>
    </xf>
    <xf numFmtId="0" fontId="2" fillId="20" borderId="180" xfId="0" applyFont="1" applyFill="1" applyBorder="1" applyAlignment="1">
      <alignment vertical="top" wrapText="1"/>
    </xf>
    <xf numFmtId="0" fontId="2" fillId="20" borderId="166" xfId="0" applyFont="1" applyFill="1" applyBorder="1" applyAlignment="1">
      <alignment vertical="top" wrapText="1"/>
    </xf>
    <xf numFmtId="172" fontId="2" fillId="20" borderId="0" xfId="1" applyNumberFormat="1" applyFont="1" applyFill="1" applyBorder="1" applyAlignment="1">
      <alignment vertical="top" wrapText="1"/>
    </xf>
    <xf numFmtId="43" fontId="2" fillId="20" borderId="4" xfId="0" applyNumberFormat="1" applyFont="1" applyFill="1" applyBorder="1" applyAlignment="1">
      <alignment vertical="top" wrapText="1"/>
    </xf>
    <xf numFmtId="189" fontId="2" fillId="3" borderId="8" xfId="1" applyNumberFormat="1" applyFont="1" applyFill="1" applyBorder="1" applyAlignment="1" applyProtection="1">
      <alignment horizontal="center"/>
    </xf>
    <xf numFmtId="189" fontId="2" fillId="3" borderId="100" xfId="1" applyNumberFormat="1" applyFont="1" applyFill="1" applyBorder="1" applyAlignment="1" applyProtection="1">
      <alignment horizontal="center"/>
    </xf>
    <xf numFmtId="189" fontId="2" fillId="20" borderId="180" xfId="0" applyNumberFormat="1" applyFont="1" applyFill="1" applyBorder="1" applyAlignment="1">
      <alignment vertical="top" wrapText="1"/>
    </xf>
    <xf numFmtId="189" fontId="2" fillId="20" borderId="166" xfId="0" applyNumberFormat="1" applyFont="1" applyFill="1" applyBorder="1" applyAlignment="1">
      <alignment vertical="top" wrapText="1"/>
    </xf>
    <xf numFmtId="0" fontId="2" fillId="0" borderId="5" xfId="0" applyFont="1" applyBorder="1" applyAlignment="1">
      <alignment vertical="top" wrapText="1"/>
    </xf>
    <xf numFmtId="0" fontId="2" fillId="20" borderId="58" xfId="0" applyFont="1" applyFill="1" applyBorder="1" applyAlignment="1">
      <alignment vertical="top" wrapText="1"/>
    </xf>
    <xf numFmtId="0" fontId="2" fillId="0" borderId="59" xfId="0" applyFont="1" applyBorder="1" applyAlignment="1">
      <alignment vertical="top" wrapText="1"/>
    </xf>
    <xf numFmtId="172" fontId="2" fillId="3" borderId="135" xfId="1" applyNumberFormat="1" applyFont="1" applyFill="1" applyBorder="1" applyAlignment="1" applyProtection="1">
      <alignment horizontal="center"/>
    </xf>
    <xf numFmtId="0" fontId="2" fillId="20" borderId="181" xfId="0" applyFont="1" applyFill="1" applyBorder="1" applyAlignment="1">
      <alignment vertical="top" wrapText="1"/>
    </xf>
    <xf numFmtId="0" fontId="2" fillId="20" borderId="59" xfId="0" applyFont="1" applyFill="1" applyBorder="1" applyAlignment="1">
      <alignment vertical="top" wrapText="1"/>
    </xf>
    <xf numFmtId="43" fontId="2" fillId="20" borderId="165" xfId="1" applyFont="1" applyFill="1" applyBorder="1" applyAlignment="1">
      <alignment horizontal="right" vertical="top" wrapText="1"/>
    </xf>
    <xf numFmtId="43" fontId="2" fillId="20" borderId="115" xfId="1" applyFont="1" applyFill="1" applyBorder="1" applyAlignment="1">
      <alignment vertical="top" wrapText="1"/>
    </xf>
    <xf numFmtId="172" fontId="2" fillId="20" borderId="37" xfId="1" applyNumberFormat="1" applyFont="1" applyFill="1" applyBorder="1" applyAlignment="1">
      <alignment vertical="top" wrapText="1"/>
    </xf>
    <xf numFmtId="172" fontId="2" fillId="20" borderId="159" xfId="1" applyNumberFormat="1" applyFont="1" applyFill="1" applyBorder="1" applyAlignment="1">
      <alignment vertical="top" wrapText="1"/>
    </xf>
    <xf numFmtId="43" fontId="2" fillId="20" borderId="176" xfId="1" applyFont="1" applyFill="1" applyBorder="1" applyAlignment="1">
      <alignment vertical="top" wrapText="1"/>
    </xf>
    <xf numFmtId="172" fontId="4" fillId="20" borderId="137" xfId="1" applyNumberFormat="1" applyFont="1" applyFill="1" applyBorder="1" applyAlignment="1" applyProtection="1">
      <alignment wrapText="1"/>
      <protection locked="0"/>
    </xf>
    <xf numFmtId="172" fontId="15" fillId="3" borderId="8" xfId="1" applyNumberFormat="1" applyFont="1" applyFill="1" applyBorder="1" applyAlignment="1">
      <alignment vertical="top" wrapText="1"/>
    </xf>
    <xf numFmtId="0" fontId="2" fillId="6" borderId="99" xfId="0" applyFont="1" applyFill="1" applyBorder="1" applyAlignment="1" applyProtection="1">
      <alignment horizontal="left" wrapText="1"/>
      <protection locked="0"/>
    </xf>
    <xf numFmtId="15" fontId="2" fillId="6" borderId="100" xfId="0" applyNumberFormat="1" applyFont="1" applyFill="1" applyBorder="1" applyAlignment="1" applyProtection="1">
      <alignment horizontal="left" wrapText="1"/>
      <protection locked="0"/>
    </xf>
    <xf numFmtId="170" fontId="2" fillId="5" borderId="144" xfId="0" applyNumberFormat="1" applyFont="1" applyFill="1" applyBorder="1" applyAlignment="1">
      <alignment vertical="top" wrapText="1"/>
    </xf>
    <xf numFmtId="0" fontId="70" fillId="20" borderId="0" xfId="0" applyFont="1" applyFill="1" applyAlignment="1">
      <alignment vertical="top" wrapText="1"/>
    </xf>
    <xf numFmtId="0" fontId="70" fillId="20" borderId="0" xfId="0" applyFont="1" applyFill="1" applyBorder="1" applyAlignment="1">
      <alignment vertical="top" wrapText="1"/>
    </xf>
    <xf numFmtId="0" fontId="70" fillId="20" borderId="0" xfId="0" applyFont="1" applyFill="1"/>
    <xf numFmtId="0" fontId="70" fillId="20" borderId="5" xfId="0" applyFont="1" applyFill="1" applyBorder="1" applyAlignment="1">
      <alignment vertical="top" wrapText="1"/>
    </xf>
    <xf numFmtId="0" fontId="70" fillId="20" borderId="0" xfId="0" applyFont="1" applyFill="1" applyAlignment="1">
      <alignment vertical="top"/>
    </xf>
    <xf numFmtId="15" fontId="2" fillId="6" borderId="17" xfId="0" applyNumberFormat="1" applyFont="1" applyFill="1" applyBorder="1" applyAlignment="1" applyProtection="1">
      <alignment wrapText="1"/>
      <protection locked="0"/>
    </xf>
    <xf numFmtId="0" fontId="4" fillId="6" borderId="17" xfId="0" applyFont="1" applyFill="1" applyBorder="1" applyProtection="1">
      <protection locked="0"/>
    </xf>
    <xf numFmtId="14" fontId="4" fillId="6" borderId="17" xfId="0" applyNumberFormat="1" applyFont="1" applyFill="1" applyBorder="1" applyProtection="1">
      <protection locked="0"/>
    </xf>
    <xf numFmtId="14" fontId="2" fillId="6" borderId="17" xfId="0" applyNumberFormat="1" applyFont="1" applyFill="1" applyBorder="1" applyProtection="1">
      <protection locked="0"/>
    </xf>
    <xf numFmtId="15" fontId="2" fillId="6" borderId="17" xfId="0" applyNumberFormat="1" applyFont="1" applyFill="1" applyBorder="1" applyAlignment="1" applyProtection="1">
      <alignment horizontal="right" wrapText="1"/>
      <protection locked="0"/>
    </xf>
    <xf numFmtId="15" fontId="2" fillId="6" borderId="20" xfId="0" applyNumberFormat="1" applyFont="1" applyFill="1" applyBorder="1" applyProtection="1">
      <protection locked="0"/>
    </xf>
    <xf numFmtId="14" fontId="2" fillId="6" borderId="22" xfId="0" applyNumberFormat="1" applyFont="1" applyFill="1" applyBorder="1" applyAlignment="1" applyProtection="1">
      <alignment wrapText="1"/>
      <protection locked="0"/>
    </xf>
    <xf numFmtId="0" fontId="0" fillId="20" borderId="0" xfId="0" applyFill="1" applyAlignment="1" applyProtection="1">
      <alignment wrapText="1"/>
      <protection locked="0"/>
    </xf>
    <xf numFmtId="0" fontId="16" fillId="20" borderId="0" xfId="0" applyFont="1" applyFill="1" applyProtection="1">
      <protection locked="0"/>
    </xf>
    <xf numFmtId="0" fontId="16" fillId="20" borderId="0" xfId="0" applyFont="1" applyFill="1"/>
    <xf numFmtId="2" fontId="2" fillId="5" borderId="182" xfId="0" applyNumberFormat="1" applyFont="1" applyFill="1" applyBorder="1" applyAlignment="1" applyProtection="1">
      <alignment wrapText="1"/>
      <protection locked="0"/>
    </xf>
    <xf numFmtId="0" fontId="2" fillId="6" borderId="183" xfId="0" applyFont="1" applyFill="1" applyBorder="1" applyAlignment="1" applyProtection="1">
      <alignment wrapText="1"/>
      <protection locked="0"/>
    </xf>
    <xf numFmtId="0" fontId="2" fillId="6" borderId="38" xfId="0" applyFont="1" applyFill="1" applyBorder="1" applyAlignment="1" applyProtection="1">
      <alignment wrapText="1"/>
      <protection locked="0"/>
    </xf>
    <xf numFmtId="42" fontId="2" fillId="5" borderId="99" xfId="0" applyNumberFormat="1" applyFont="1" applyFill="1" applyBorder="1" applyAlignment="1" applyProtection="1">
      <alignment wrapText="1"/>
      <protection locked="0"/>
    </xf>
    <xf numFmtId="42" fontId="2" fillId="5" borderId="100" xfId="0" applyNumberFormat="1" applyFont="1" applyFill="1" applyBorder="1" applyAlignment="1" applyProtection="1">
      <alignment wrapText="1"/>
      <protection locked="0"/>
    </xf>
    <xf numFmtId="0" fontId="2" fillId="0" borderId="4" xfId="0" applyFont="1" applyBorder="1"/>
    <xf numFmtId="0" fontId="19" fillId="0" borderId="0" xfId="0" applyFont="1"/>
    <xf numFmtId="0" fontId="0" fillId="0" borderId="5" xfId="0" applyBorder="1"/>
    <xf numFmtId="0" fontId="2" fillId="0" borderId="63" xfId="0" applyFont="1" applyBorder="1" applyAlignment="1">
      <alignment horizontal="left" vertical="top" wrapText="1"/>
    </xf>
    <xf numFmtId="0" fontId="2" fillId="6" borderId="98" xfId="5" applyNumberFormat="1" applyFont="1" applyFill="1" applyBorder="1" applyAlignment="1" applyProtection="1">
      <alignment horizontal="left" vertical="top" wrapText="1"/>
    </xf>
    <xf numFmtId="0" fontId="2" fillId="6" borderId="98" xfId="0" applyFont="1" applyFill="1" applyBorder="1" applyAlignment="1">
      <alignment horizontal="left" vertical="top" wrapText="1"/>
    </xf>
    <xf numFmtId="0" fontId="2" fillId="0" borderId="98" xfId="0" applyFont="1" applyBorder="1" applyAlignment="1">
      <alignment horizontal="left" vertical="top" wrapText="1"/>
    </xf>
    <xf numFmtId="167" fontId="0" fillId="0" borderId="98" xfId="0" applyNumberFormat="1" applyBorder="1" applyAlignment="1">
      <alignment horizontal="left" vertical="top" wrapText="1"/>
    </xf>
    <xf numFmtId="0" fontId="0" fillId="0" borderId="98" xfId="0" applyBorder="1" applyAlignment="1">
      <alignment horizontal="left" vertical="top" wrapText="1"/>
    </xf>
    <xf numFmtId="2" fontId="0" fillId="0" borderId="49" xfId="0" applyNumberFormat="1" applyBorder="1" applyAlignment="1">
      <alignment horizontal="center" vertical="top"/>
    </xf>
    <xf numFmtId="9" fontId="0" fillId="5" borderId="15" xfId="17" applyFont="1" applyFill="1" applyBorder="1" applyAlignment="1" applyProtection="1">
      <alignment horizontal="center" vertical="center" wrapText="1"/>
      <protection locked="0"/>
    </xf>
    <xf numFmtId="9" fontId="0" fillId="5" borderId="8" xfId="17" applyFont="1" applyFill="1" applyBorder="1" applyAlignment="1" applyProtection="1">
      <alignment horizontal="center" vertical="center" wrapText="1"/>
      <protection locked="0"/>
    </xf>
    <xf numFmtId="3" fontId="12" fillId="2" borderId="15" xfId="0" applyNumberFormat="1" applyFont="1" applyFill="1" applyBorder="1" applyAlignment="1" applyProtection="1">
      <alignment horizontal="left" vertical="center" wrapText="1"/>
      <protection locked="0"/>
    </xf>
    <xf numFmtId="0" fontId="2" fillId="0" borderId="116" xfId="0" applyFont="1" applyBorder="1"/>
    <xf numFmtId="172" fontId="12" fillId="0" borderId="0" xfId="1" applyNumberFormat="1" applyFont="1" applyProtection="1"/>
    <xf numFmtId="164" fontId="2" fillId="5" borderId="62" xfId="0" applyNumberFormat="1" applyFont="1" applyFill="1" applyBorder="1" applyAlignment="1">
      <alignment vertical="top" wrapText="1"/>
    </xf>
    <xf numFmtId="3" fontId="2" fillId="5" borderId="57" xfId="0" applyNumberFormat="1" applyFont="1" applyFill="1" applyBorder="1" applyAlignment="1">
      <alignment vertical="top" wrapText="1"/>
    </xf>
    <xf numFmtId="0" fontId="2" fillId="5" borderId="62" xfId="0" applyFont="1" applyFill="1" applyBorder="1" applyAlignment="1">
      <alignment vertical="top" wrapText="1"/>
    </xf>
    <xf numFmtId="9" fontId="2" fillId="5" borderId="62" xfId="17" applyFont="1" applyFill="1" applyBorder="1" applyAlignment="1">
      <alignment vertical="top" wrapText="1"/>
    </xf>
    <xf numFmtId="0" fontId="2" fillId="5" borderId="62" xfId="0" applyFont="1" applyFill="1" applyBorder="1" applyAlignment="1">
      <alignment horizontal="right" vertical="top" wrapText="1"/>
    </xf>
    <xf numFmtId="9" fontId="2" fillId="5" borderId="62" xfId="0" applyNumberFormat="1" applyFont="1" applyFill="1" applyBorder="1" applyAlignment="1">
      <alignment vertical="top" wrapText="1"/>
    </xf>
    <xf numFmtId="10" fontId="2" fillId="5" borderId="62" xfId="0" applyNumberFormat="1" applyFont="1" applyFill="1" applyBorder="1" applyAlignment="1">
      <alignment vertical="top" wrapText="1"/>
    </xf>
    <xf numFmtId="188" fontId="2" fillId="5" borderId="62" xfId="0" applyNumberFormat="1" applyFont="1" applyFill="1" applyBorder="1" applyAlignment="1">
      <alignment vertical="top" wrapText="1"/>
    </xf>
    <xf numFmtId="164" fontId="2" fillId="5" borderId="57" xfId="0" applyNumberFormat="1" applyFont="1" applyFill="1" applyBorder="1" applyAlignment="1">
      <alignment vertical="top" wrapText="1"/>
    </xf>
    <xf numFmtId="166" fontId="2" fillId="5" borderId="62" xfId="0" applyNumberFormat="1" applyFont="1" applyFill="1" applyBorder="1" applyAlignment="1">
      <alignment vertical="top" wrapText="1"/>
    </xf>
    <xf numFmtId="0" fontId="14" fillId="0" borderId="136" xfId="0" applyFont="1" applyBorder="1" applyAlignment="1" applyProtection="1">
      <alignment horizontal="left"/>
      <protection locked="0"/>
    </xf>
    <xf numFmtId="0" fontId="0" fillId="0" borderId="134" xfId="0" applyBorder="1" applyAlignment="1" applyProtection="1">
      <protection locked="0"/>
    </xf>
    <xf numFmtId="0" fontId="0" fillId="0" borderId="99" xfId="0" applyBorder="1" applyAlignment="1" applyProtection="1">
      <protection locked="0"/>
    </xf>
    <xf numFmtId="0" fontId="2" fillId="6" borderId="0" xfId="0" applyFont="1" applyFill="1" applyBorder="1" applyAlignment="1">
      <alignment horizontal="left" vertical="top" wrapText="1"/>
    </xf>
    <xf numFmtId="0" fontId="2" fillId="6" borderId="5" xfId="0" applyFont="1" applyFill="1" applyBorder="1" applyAlignment="1">
      <alignment horizontal="left" vertical="top" wrapText="1"/>
    </xf>
    <xf numFmtId="0" fontId="13" fillId="2" borderId="95" xfId="0" applyFont="1" applyFill="1" applyBorder="1" applyAlignment="1">
      <alignment horizontal="left" vertical="top" wrapText="1"/>
    </xf>
    <xf numFmtId="0" fontId="13" fillId="2" borderId="96" xfId="0" applyFont="1" applyFill="1" applyBorder="1" applyAlignment="1">
      <alignment horizontal="left" vertical="top" wrapText="1"/>
    </xf>
    <xf numFmtId="0" fontId="2" fillId="0" borderId="0" xfId="0" applyFont="1" applyFill="1" applyBorder="1" applyAlignment="1">
      <alignment horizontal="left" vertical="center" wrapText="1"/>
    </xf>
    <xf numFmtId="0" fontId="4" fillId="6" borderId="0" xfId="0" applyFont="1" applyFill="1" applyBorder="1" applyAlignment="1">
      <alignment horizontal="left" vertical="top" wrapText="1"/>
    </xf>
    <xf numFmtId="0" fontId="4" fillId="6" borderId="5" xfId="0" applyFont="1" applyFill="1" applyBorder="1" applyAlignment="1">
      <alignment horizontal="left" vertical="top" wrapText="1"/>
    </xf>
    <xf numFmtId="0" fontId="2" fillId="6" borderId="0" xfId="0" quotePrefix="1" applyFont="1" applyFill="1" applyBorder="1" applyAlignment="1">
      <alignment horizontal="left" vertical="top" wrapText="1"/>
    </xf>
    <xf numFmtId="0" fontId="2" fillId="6" borderId="154" xfId="0" applyFont="1" applyFill="1" applyBorder="1" applyAlignment="1">
      <alignment horizontal="left" vertical="top" wrapText="1"/>
    </xf>
    <xf numFmtId="0" fontId="2" fillId="6" borderId="155" xfId="0" applyFont="1" applyFill="1" applyBorder="1" applyAlignment="1">
      <alignment horizontal="left" vertical="top" wrapText="1"/>
    </xf>
    <xf numFmtId="0" fontId="32" fillId="2" borderId="1" xfId="0" applyFont="1" applyFill="1" applyBorder="1" applyAlignment="1">
      <alignment horizontal="center" vertical="top" wrapText="1"/>
    </xf>
    <xf numFmtId="0" fontId="26" fillId="2" borderId="2" xfId="0" applyFont="1" applyFill="1" applyBorder="1" applyAlignment="1">
      <alignment horizontal="center" vertical="top" wrapText="1"/>
    </xf>
    <xf numFmtId="0" fontId="26" fillId="2" borderId="79" xfId="0" applyFont="1" applyFill="1" applyBorder="1" applyAlignment="1">
      <alignment horizontal="center" vertical="top" wrapText="1"/>
    </xf>
    <xf numFmtId="0" fontId="26" fillId="2" borderId="64" xfId="0" applyFont="1" applyFill="1" applyBorder="1" applyAlignment="1">
      <alignment horizontal="center" vertical="top" wrapText="1"/>
    </xf>
    <xf numFmtId="0" fontId="13" fillId="5" borderId="142" xfId="0" applyFont="1" applyFill="1" applyBorder="1" applyAlignment="1">
      <alignment horizontal="left" vertical="center" wrapText="1"/>
    </xf>
    <xf numFmtId="0" fontId="13" fillId="5" borderId="79" xfId="0" applyFont="1" applyFill="1" applyBorder="1" applyAlignment="1">
      <alignment horizontal="left" vertical="center" wrapText="1"/>
    </xf>
    <xf numFmtId="0" fontId="13" fillId="5" borderId="64" xfId="0" applyFont="1" applyFill="1" applyBorder="1" applyAlignment="1">
      <alignment horizontal="left" vertical="center" wrapText="1"/>
    </xf>
    <xf numFmtId="0" fontId="26" fillId="2" borderId="0" xfId="0" applyFont="1" applyFill="1" applyBorder="1" applyAlignment="1">
      <alignment horizontal="right" vertical="center" wrapText="1"/>
    </xf>
    <xf numFmtId="0" fontId="2" fillId="4" borderId="4" xfId="0" applyFont="1" applyFill="1" applyBorder="1" applyAlignment="1">
      <alignment horizontal="left" vertical="top" wrapText="1"/>
    </xf>
    <xf numFmtId="0" fontId="2" fillId="6" borderId="87" xfId="0" applyFont="1" applyFill="1" applyBorder="1" applyAlignment="1">
      <alignment horizontal="left" vertical="top" wrapText="1"/>
    </xf>
    <xf numFmtId="7" fontId="6" fillId="3" borderId="62" xfId="0" applyNumberFormat="1" applyFont="1" applyFill="1" applyBorder="1" applyAlignment="1">
      <alignment horizontal="left" vertical="top" wrapText="1"/>
    </xf>
    <xf numFmtId="0" fontId="6" fillId="3" borderId="57" xfId="0" applyFont="1" applyFill="1" applyBorder="1" applyAlignment="1">
      <alignment horizontal="left" vertical="top" wrapText="1"/>
    </xf>
    <xf numFmtId="0" fontId="2" fillId="6" borderId="0" xfId="0" quotePrefix="1" applyFont="1" applyFill="1" applyAlignment="1">
      <alignment horizontal="left"/>
    </xf>
    <xf numFmtId="0" fontId="2" fillId="6" borderId="5" xfId="0" quotePrefix="1" applyFont="1" applyFill="1" applyBorder="1" applyAlignment="1">
      <alignment horizontal="left"/>
    </xf>
    <xf numFmtId="0" fontId="4" fillId="0" borderId="0" xfId="0" applyFont="1" applyAlignment="1">
      <alignment horizontal="center" wrapText="1"/>
    </xf>
    <xf numFmtId="0" fontId="4" fillId="0" borderId="59" xfId="0" applyFont="1" applyBorder="1" applyAlignment="1">
      <alignment horizontal="center" wrapText="1"/>
    </xf>
    <xf numFmtId="0" fontId="2" fillId="6" borderId="0" xfId="0" applyFont="1" applyFill="1" applyAlignment="1">
      <alignment horizontal="left" vertical="top" wrapText="1"/>
    </xf>
    <xf numFmtId="0" fontId="4" fillId="6" borderId="0" xfId="0" applyFont="1" applyFill="1" applyBorder="1" applyAlignment="1">
      <alignment horizontal="right" vertical="top" wrapText="1"/>
    </xf>
    <xf numFmtId="0" fontId="4" fillId="6" borderId="5" xfId="0" applyFont="1" applyFill="1" applyBorder="1" applyAlignment="1">
      <alignment horizontal="right" vertical="top" wrapText="1"/>
    </xf>
    <xf numFmtId="0" fontId="2" fillId="6" borderId="0" xfId="0" quotePrefix="1" applyFont="1" applyFill="1" applyAlignment="1">
      <alignment horizontal="left" vertical="top" wrapText="1"/>
    </xf>
    <xf numFmtId="0" fontId="2" fillId="6" borderId="5" xfId="0" quotePrefix="1" applyFont="1" applyFill="1" applyBorder="1" applyAlignment="1">
      <alignment horizontal="left" vertical="top" wrapText="1"/>
    </xf>
    <xf numFmtId="0" fontId="2" fillId="6" borderId="4" xfId="0" quotePrefix="1" applyFont="1" applyFill="1" applyBorder="1" applyAlignment="1">
      <alignment horizontal="left" vertical="top" wrapText="1" indent="1"/>
    </xf>
    <xf numFmtId="0" fontId="2" fillId="6" borderId="5" xfId="0" quotePrefix="1" applyFont="1" applyFill="1" applyBorder="1" applyAlignment="1">
      <alignment horizontal="left" vertical="top" wrapText="1" indent="1"/>
    </xf>
    <xf numFmtId="0" fontId="2" fillId="6" borderId="4" xfId="0" applyFont="1" applyFill="1" applyBorder="1" applyAlignment="1">
      <alignment horizontal="left" vertical="top" wrapText="1"/>
    </xf>
    <xf numFmtId="0" fontId="2" fillId="6" borderId="184" xfId="0" applyFont="1" applyFill="1" applyBorder="1" applyAlignment="1" applyProtection="1">
      <alignment horizontal="left" vertical="top" wrapText="1"/>
      <protection locked="0"/>
    </xf>
    <xf numFmtId="0" fontId="2" fillId="6" borderId="45" xfId="0" applyFont="1" applyFill="1" applyBorder="1" applyAlignment="1" applyProtection="1">
      <alignment horizontal="left" vertical="top" wrapText="1"/>
      <protection locked="0"/>
    </xf>
    <xf numFmtId="0" fontId="2" fillId="6" borderId="31" xfId="0" applyFont="1" applyFill="1" applyBorder="1" applyAlignment="1" applyProtection="1">
      <alignment horizontal="left" vertical="top" wrapText="1"/>
      <protection locked="0"/>
    </xf>
    <xf numFmtId="0" fontId="2" fillId="6" borderId="44" xfId="0" applyFont="1" applyFill="1" applyBorder="1" applyAlignment="1" applyProtection="1">
      <alignment wrapText="1"/>
      <protection locked="0"/>
    </xf>
    <xf numFmtId="0" fontId="2" fillId="0" borderId="0" xfId="0" applyFont="1" applyBorder="1" applyAlignment="1"/>
    <xf numFmtId="0" fontId="2" fillId="0" borderId="5" xfId="0" applyFont="1" applyBorder="1" applyAlignment="1"/>
    <xf numFmtId="0" fontId="2" fillId="6" borderId="156" xfId="0" applyFont="1" applyFill="1" applyBorder="1" applyAlignment="1" applyProtection="1">
      <alignment wrapText="1"/>
      <protection locked="0"/>
    </xf>
    <xf numFmtId="0" fontId="2" fillId="0" borderId="59" xfId="0" applyFont="1" applyBorder="1" applyAlignment="1"/>
    <xf numFmtId="0" fontId="2" fillId="0" borderId="87" xfId="0" applyFont="1" applyBorder="1" applyAlignment="1"/>
    <xf numFmtId="0" fontId="4" fillId="2" borderId="59" xfId="0" applyFont="1" applyFill="1" applyBorder="1" applyAlignment="1" applyProtection="1">
      <alignment horizontal="center" wrapText="1"/>
      <protection locked="0"/>
    </xf>
    <xf numFmtId="0" fontId="2" fillId="0" borderId="0" xfId="0" applyFont="1" applyAlignment="1">
      <alignment horizontal="left" wrapText="1"/>
    </xf>
    <xf numFmtId="0" fontId="2" fillId="6" borderId="148" xfId="0" applyFont="1" applyFill="1" applyBorder="1" applyAlignment="1" applyProtection="1">
      <alignment wrapText="1"/>
      <protection locked="0"/>
    </xf>
    <xf numFmtId="0" fontId="2" fillId="0" borderId="148" xfId="0" applyFont="1" applyBorder="1" applyAlignment="1"/>
    <xf numFmtId="0" fontId="2" fillId="0" borderId="152" xfId="0" applyFont="1" applyBorder="1" applyAlignment="1"/>
    <xf numFmtId="0" fontId="2" fillId="6" borderId="157" xfId="0" applyFont="1" applyFill="1" applyBorder="1" applyAlignment="1" applyProtection="1">
      <alignment wrapText="1"/>
      <protection locked="0"/>
    </xf>
    <xf numFmtId="0" fontId="2" fillId="0" borderId="2" xfId="0" applyFont="1" applyBorder="1" applyAlignment="1"/>
    <xf numFmtId="0" fontId="2" fillId="0" borderId="3" xfId="0" applyFont="1" applyBorder="1" applyAlignment="1"/>
    <xf numFmtId="2" fontId="5" fillId="2" borderId="4" xfId="5" applyNumberFormat="1" applyFill="1" applyBorder="1" applyAlignment="1" applyProtection="1">
      <alignment horizontal="left" vertical="top" wrapText="1"/>
      <protection locked="0"/>
    </xf>
    <xf numFmtId="2" fontId="5" fillId="2" borderId="0" xfId="5" applyNumberFormat="1" applyFill="1" applyBorder="1" applyAlignment="1" applyProtection="1">
      <alignment horizontal="left" vertical="top" wrapText="1"/>
      <protection locked="0"/>
    </xf>
    <xf numFmtId="0" fontId="12" fillId="2" borderId="0" xfId="0" applyFont="1" applyFill="1" applyBorder="1" applyAlignment="1" applyProtection="1">
      <alignment horizontal="left" vertical="top" wrapText="1"/>
      <protection locked="0"/>
    </xf>
    <xf numFmtId="2" fontId="12" fillId="2" borderId="0" xfId="0" applyNumberFormat="1" applyFont="1" applyFill="1" applyBorder="1" applyAlignment="1" applyProtection="1">
      <alignment horizontal="left" vertical="top" wrapText="1"/>
      <protection locked="0"/>
    </xf>
    <xf numFmtId="2" fontId="5" fillId="0" borderId="4" xfId="5" applyNumberFormat="1" applyFill="1" applyBorder="1" applyAlignment="1" applyProtection="1">
      <alignment horizontal="left" vertical="top" wrapText="1"/>
      <protection locked="0"/>
    </xf>
    <xf numFmtId="2" fontId="12" fillId="0" borderId="0" xfId="0" applyNumberFormat="1" applyFont="1" applyFill="1" applyBorder="1" applyAlignment="1" applyProtection="1">
      <alignment horizontal="left" vertical="top" wrapText="1"/>
      <protection locked="0"/>
    </xf>
    <xf numFmtId="0" fontId="15" fillId="20" borderId="0" xfId="0" applyFont="1" applyFill="1" applyAlignment="1">
      <alignment horizontal="left" vertical="top" wrapText="1"/>
    </xf>
    <xf numFmtId="0" fontId="2" fillId="6" borderId="55" xfId="0" applyFont="1" applyFill="1" applyBorder="1" applyAlignment="1" applyProtection="1">
      <alignment horizontal="left" vertical="top" wrapText="1"/>
      <protection locked="0"/>
    </xf>
    <xf numFmtId="0" fontId="2" fillId="6" borderId="98" xfId="0" applyFont="1" applyFill="1" applyBorder="1" applyAlignment="1" applyProtection="1">
      <alignment horizontal="left" vertical="top" wrapText="1"/>
      <protection locked="0"/>
    </xf>
    <xf numFmtId="0" fontId="2" fillId="6" borderId="18" xfId="0" applyFont="1" applyFill="1" applyBorder="1" applyAlignment="1" applyProtection="1">
      <alignment horizontal="left" vertical="top" wrapText="1"/>
      <protection locked="0"/>
    </xf>
    <xf numFmtId="0" fontId="6" fillId="20" borderId="63" xfId="0" applyFont="1" applyFill="1" applyBorder="1" applyAlignment="1">
      <alignment horizontal="left" vertical="top" wrapText="1"/>
    </xf>
    <xf numFmtId="0" fontId="6" fillId="20" borderId="98" xfId="0" applyFont="1" applyFill="1" applyBorder="1" applyAlignment="1">
      <alignment horizontal="left" vertical="top" wrapText="1"/>
    </xf>
    <xf numFmtId="0" fontId="15" fillId="22" borderId="63" xfId="0" applyFont="1" applyFill="1" applyBorder="1" applyAlignment="1">
      <alignment horizontal="left" vertical="top" wrapText="1"/>
    </xf>
    <xf numFmtId="0" fontId="15" fillId="22" borderId="98" xfId="0" applyFont="1" applyFill="1" applyBorder="1" applyAlignment="1">
      <alignment horizontal="left" vertical="top" wrapText="1"/>
    </xf>
    <xf numFmtId="0" fontId="2" fillId="20" borderId="118" xfId="0" applyFont="1" applyFill="1" applyBorder="1" applyAlignment="1">
      <alignment horizontal="left" vertical="top" wrapText="1"/>
    </xf>
    <xf numFmtId="0" fontId="2" fillId="20" borderId="119" xfId="0" applyFont="1" applyFill="1" applyBorder="1" applyAlignment="1">
      <alignment horizontal="left" vertical="top" wrapText="1"/>
    </xf>
    <xf numFmtId="0" fontId="17" fillId="20" borderId="40" xfId="0" applyFont="1" applyFill="1" applyBorder="1" applyAlignment="1">
      <alignment horizontal="left" vertical="top" wrapText="1"/>
    </xf>
    <xf numFmtId="0" fontId="17" fillId="20" borderId="106" xfId="0" applyFont="1" applyFill="1" applyBorder="1" applyAlignment="1">
      <alignment horizontal="left" vertical="top" wrapText="1"/>
    </xf>
    <xf numFmtId="0" fontId="2" fillId="20" borderId="107" xfId="0" applyFont="1" applyFill="1" applyBorder="1" applyAlignment="1">
      <alignment vertical="top" wrapText="1"/>
    </xf>
    <xf numFmtId="0" fontId="2" fillId="20" borderId="98" xfId="0" applyFont="1" applyFill="1" applyBorder="1" applyAlignment="1">
      <alignment horizontal="left" vertical="top" wrapText="1"/>
    </xf>
    <xf numFmtId="0" fontId="2" fillId="20" borderId="116" xfId="0" applyFont="1" applyFill="1" applyBorder="1" applyAlignment="1">
      <alignment horizontal="left" vertical="top" wrapText="1"/>
    </xf>
    <xf numFmtId="0" fontId="2" fillId="20" borderId="129" xfId="0" applyFont="1" applyFill="1" applyBorder="1" applyAlignment="1">
      <alignment horizontal="left" vertical="top" wrapText="1"/>
    </xf>
    <xf numFmtId="0" fontId="2" fillId="20" borderId="151" xfId="0" applyFont="1" applyFill="1" applyBorder="1" applyAlignment="1">
      <alignment horizontal="left" vertical="top" wrapText="1"/>
    </xf>
    <xf numFmtId="0" fontId="15" fillId="22" borderId="63" xfId="0" applyFont="1" applyFill="1" applyBorder="1" applyAlignment="1">
      <alignment horizontal="left" vertical="top"/>
    </xf>
    <xf numFmtId="0" fontId="15" fillId="22" borderId="98" xfId="0" applyFont="1" applyFill="1" applyBorder="1" applyAlignment="1">
      <alignment horizontal="left" vertical="top"/>
    </xf>
    <xf numFmtId="0" fontId="2" fillId="6" borderId="55" xfId="0" applyFont="1" applyFill="1" applyBorder="1" applyAlignment="1">
      <alignment horizontal="left" vertical="top" wrapText="1"/>
    </xf>
    <xf numFmtId="0" fontId="2" fillId="6" borderId="108" xfId="0" applyFont="1" applyFill="1" applyBorder="1" applyAlignment="1">
      <alignment horizontal="left" vertical="top" wrapText="1"/>
    </xf>
    <xf numFmtId="0" fontId="2" fillId="6" borderId="116" xfId="0" applyFont="1" applyFill="1" applyBorder="1" applyAlignment="1">
      <alignment horizontal="left" vertical="top" wrapText="1"/>
    </xf>
    <xf numFmtId="0" fontId="2" fillId="6" borderId="61" xfId="0" applyFont="1" applyFill="1" applyBorder="1" applyAlignment="1">
      <alignment horizontal="left" vertical="top" wrapText="1"/>
    </xf>
    <xf numFmtId="0" fontId="2" fillId="6" borderId="111" xfId="0" applyFont="1" applyFill="1" applyBorder="1" applyAlignment="1">
      <alignment horizontal="left" vertical="top" wrapText="1"/>
    </xf>
    <xf numFmtId="0" fontId="15" fillId="22" borderId="172" xfId="0" applyFont="1" applyFill="1" applyBorder="1" applyAlignment="1">
      <alignment horizontal="left" vertical="top"/>
    </xf>
    <xf numFmtId="0" fontId="15" fillId="22" borderId="173" xfId="0" applyFont="1" applyFill="1" applyBorder="1" applyAlignment="1">
      <alignment horizontal="left" vertical="top"/>
    </xf>
    <xf numFmtId="0" fontId="6" fillId="20" borderId="112" xfId="0" applyFont="1" applyFill="1" applyBorder="1" applyAlignment="1">
      <alignment horizontal="left" vertical="top" wrapText="1"/>
    </xf>
    <xf numFmtId="0" fontId="6" fillId="20" borderId="113" xfId="0" applyFont="1" applyFill="1" applyBorder="1" applyAlignment="1">
      <alignment horizontal="left" vertical="top" wrapText="1"/>
    </xf>
    <xf numFmtId="0" fontId="15" fillId="22" borderId="115" xfId="0" applyFont="1" applyFill="1" applyBorder="1" applyAlignment="1">
      <alignment horizontal="left" vertical="top" wrapText="1"/>
    </xf>
    <xf numFmtId="0" fontId="15" fillId="22" borderId="138" xfId="0" applyFont="1" applyFill="1" applyBorder="1" applyAlignment="1">
      <alignment horizontal="left" vertical="top" wrapText="1"/>
    </xf>
    <xf numFmtId="0" fontId="15" fillId="22" borderId="139" xfId="0" applyFont="1" applyFill="1" applyBorder="1" applyAlignment="1">
      <alignment horizontal="left" vertical="top" wrapText="1"/>
    </xf>
    <xf numFmtId="0" fontId="15" fillId="22" borderId="127" xfId="0" applyFont="1" applyFill="1" applyBorder="1" applyAlignment="1">
      <alignment horizontal="left" vertical="top" wrapText="1"/>
    </xf>
    <xf numFmtId="0" fontId="15" fillId="22" borderId="113" xfId="0" applyFont="1" applyFill="1" applyBorder="1" applyAlignment="1">
      <alignment horizontal="left" vertical="top" wrapText="1"/>
    </xf>
    <xf numFmtId="0" fontId="15" fillId="22" borderId="172" xfId="0" applyFont="1" applyFill="1" applyBorder="1" applyAlignment="1">
      <alignment horizontal="left" vertical="top" wrapText="1"/>
    </xf>
    <xf numFmtId="0" fontId="15" fillId="22" borderId="173" xfId="0" applyFont="1" applyFill="1" applyBorder="1" applyAlignment="1">
      <alignment horizontal="left" vertical="top" wrapText="1"/>
    </xf>
    <xf numFmtId="0" fontId="15" fillId="22" borderId="142" xfId="0" applyFont="1" applyFill="1" applyBorder="1" applyAlignment="1">
      <alignment horizontal="left" vertical="top" wrapText="1"/>
    </xf>
    <xf numFmtId="0" fontId="15" fillId="22" borderId="79" xfId="0" applyFont="1" applyFill="1" applyBorder="1" applyAlignment="1">
      <alignment horizontal="left" vertical="top" wrapText="1"/>
    </xf>
    <xf numFmtId="0" fontId="2" fillId="6" borderId="142" xfId="0" applyFont="1" applyFill="1" applyBorder="1" applyAlignment="1">
      <alignment horizontal="left" vertical="top" wrapText="1"/>
    </xf>
    <xf numFmtId="173" fontId="18" fillId="0" borderId="75" xfId="16" applyFont="1" applyBorder="1" applyAlignment="1" applyProtection="1">
      <alignment horizontal="left"/>
    </xf>
    <xf numFmtId="173" fontId="18" fillId="0" borderId="76" xfId="16" applyFont="1" applyBorder="1" applyAlignment="1" applyProtection="1">
      <alignment horizontal="left"/>
    </xf>
    <xf numFmtId="173" fontId="12" fillId="0" borderId="63" xfId="16" applyFont="1" applyBorder="1" applyAlignment="1" applyProtection="1">
      <alignment horizontal="left" vertical="center" wrapText="1"/>
    </xf>
    <xf numFmtId="173" fontId="12" fillId="0" borderId="98" xfId="16" applyFont="1" applyBorder="1" applyAlignment="1" applyProtection="1">
      <alignment horizontal="left" vertical="center" wrapText="1"/>
    </xf>
    <xf numFmtId="173" fontId="12" fillId="0" borderId="127" xfId="16" applyFont="1" applyBorder="1" applyAlignment="1" applyProtection="1">
      <alignment horizontal="left" vertical="center" wrapText="1"/>
    </xf>
    <xf numFmtId="173" fontId="12" fillId="0" borderId="113" xfId="16" applyFont="1" applyBorder="1" applyAlignment="1" applyProtection="1">
      <alignment horizontal="left" vertical="center" wrapText="1"/>
    </xf>
    <xf numFmtId="173" fontId="12" fillId="0" borderId="109" xfId="16" applyFont="1" applyBorder="1" applyAlignment="1" applyProtection="1">
      <alignment horizontal="left" vertical="center" wrapText="1"/>
    </xf>
    <xf numFmtId="173" fontId="12" fillId="0" borderId="120" xfId="16" applyFont="1" applyBorder="1" applyAlignment="1" applyProtection="1">
      <alignment horizontal="left" vertical="center" wrapText="1"/>
    </xf>
    <xf numFmtId="0" fontId="0" fillId="0" borderId="65" xfId="0" applyBorder="1" applyAlignment="1">
      <alignment horizontal="left" wrapText="1"/>
    </xf>
    <xf numFmtId="173" fontId="18" fillId="0" borderId="142" xfId="16" applyFont="1" applyBorder="1" applyAlignment="1" applyProtection="1">
      <alignment horizontal="left"/>
    </xf>
    <xf numFmtId="173" fontId="18" fillId="0" borderId="79" xfId="16" applyFont="1" applyBorder="1" applyAlignment="1" applyProtection="1">
      <alignment horizontal="left"/>
    </xf>
    <xf numFmtId="0" fontId="2" fillId="19" borderId="8" xfId="0" applyFont="1" applyFill="1" applyBorder="1" applyAlignment="1">
      <alignment horizontal="left"/>
    </xf>
    <xf numFmtId="9" fontId="0" fillId="5" borderId="8" xfId="17" applyFont="1" applyFill="1" applyBorder="1" applyAlignment="1">
      <alignment horizontal="center" vertical="top" wrapText="1"/>
    </xf>
    <xf numFmtId="173" fontId="18" fillId="0" borderId="9" xfId="16" applyFont="1" applyBorder="1" applyAlignment="1" applyProtection="1">
      <alignment wrapText="1"/>
    </xf>
    <xf numFmtId="173" fontId="18" fillId="0" borderId="167" xfId="16" applyFont="1" applyBorder="1" applyAlignment="1" applyProtection="1">
      <alignment wrapText="1"/>
    </xf>
    <xf numFmtId="173" fontId="18" fillId="20" borderId="46" xfId="16" applyFont="1" applyFill="1" applyBorder="1" applyAlignment="1" applyProtection="1">
      <alignment wrapText="1"/>
    </xf>
    <xf numFmtId="0" fontId="0" fillId="20" borderId="47" xfId="0" applyFill="1" applyBorder="1" applyAlignment="1" applyProtection="1">
      <alignment wrapText="1"/>
    </xf>
    <xf numFmtId="0" fontId="43" fillId="13" borderId="0" xfId="0" applyFont="1" applyFill="1" applyAlignment="1">
      <alignment horizontal="left"/>
    </xf>
    <xf numFmtId="0" fontId="44" fillId="0" borderId="0" xfId="0" applyFont="1" applyFill="1" applyBorder="1" applyAlignment="1" applyProtection="1">
      <alignment horizontal="left"/>
    </xf>
    <xf numFmtId="0" fontId="44" fillId="0" borderId="59" xfId="0" applyFont="1" applyFill="1" applyBorder="1" applyAlignment="1" applyProtection="1">
      <alignment horizontal="left"/>
    </xf>
    <xf numFmtId="0" fontId="44" fillId="3" borderId="4" xfId="0" applyFont="1" applyFill="1" applyBorder="1" applyAlignment="1">
      <alignment horizontal="left"/>
    </xf>
    <xf numFmtId="0" fontId="44" fillId="3" borderId="0" xfId="0" applyFont="1" applyFill="1" applyBorder="1" applyAlignment="1">
      <alignment horizontal="left"/>
    </xf>
    <xf numFmtId="0" fontId="44" fillId="3" borderId="5" xfId="0" applyFont="1" applyFill="1" applyBorder="1" applyAlignment="1">
      <alignment horizontal="left"/>
    </xf>
    <xf numFmtId="0" fontId="0" fillId="8" borderId="8" xfId="0" applyFill="1" applyBorder="1" applyAlignment="1">
      <alignment horizontal="center"/>
    </xf>
    <xf numFmtId="0" fontId="29" fillId="4" borderId="90" xfId="0" applyFont="1" applyFill="1" applyBorder="1" applyAlignment="1">
      <alignment wrapText="1"/>
    </xf>
    <xf numFmtId="0" fontId="0" fillId="0" borderId="90" xfId="0" applyBorder="1" applyAlignment="1">
      <alignment wrapText="1"/>
    </xf>
    <xf numFmtId="0" fontId="0" fillId="7" borderId="2" xfId="0" applyFill="1" applyBorder="1" applyAlignment="1">
      <alignment horizontal="left" vertical="top" wrapText="1"/>
    </xf>
    <xf numFmtId="0" fontId="0" fillId="7" borderId="0" xfId="0" applyNumberFormat="1" applyFill="1" applyBorder="1" applyAlignment="1">
      <alignment horizontal="left" wrapText="1"/>
    </xf>
    <xf numFmtId="0" fontId="12" fillId="0" borderId="2" xfId="0" applyFont="1" applyFill="1" applyBorder="1" applyAlignment="1">
      <alignment horizontal="left" wrapText="1"/>
    </xf>
    <xf numFmtId="0" fontId="46" fillId="0" borderId="2" xfId="0" applyFont="1" applyFill="1" applyBorder="1" applyAlignment="1">
      <alignment horizontal="left" wrapText="1"/>
    </xf>
    <xf numFmtId="0" fontId="46" fillId="0" borderId="0" xfId="0" applyFont="1" applyFill="1" applyBorder="1" applyAlignment="1">
      <alignment horizontal="left" wrapText="1"/>
    </xf>
    <xf numFmtId="0" fontId="43" fillId="13" borderId="0" xfId="0" applyFont="1" applyFill="1" applyBorder="1" applyAlignment="1">
      <alignment horizontal="left" wrapText="1"/>
    </xf>
    <xf numFmtId="0" fontId="0" fillId="0" borderId="59" xfId="0" applyBorder="1" applyAlignment="1">
      <alignment horizontal="left"/>
    </xf>
    <xf numFmtId="0" fontId="4" fillId="0" borderId="2" xfId="0" applyFont="1" applyFill="1" applyBorder="1" applyAlignment="1">
      <alignment horizontal="center"/>
    </xf>
    <xf numFmtId="0" fontId="4" fillId="0" borderId="0" xfId="0" applyFont="1" applyFill="1" applyBorder="1" applyAlignment="1">
      <alignment horizontal="center"/>
    </xf>
    <xf numFmtId="0" fontId="4" fillId="0" borderId="2" xfId="0" applyFont="1" applyFill="1" applyBorder="1" applyAlignment="1">
      <alignment horizontal="left" vertical="center" wrapText="1"/>
    </xf>
    <xf numFmtId="0" fontId="4" fillId="0" borderId="3" xfId="0" applyFont="1" applyFill="1" applyBorder="1" applyAlignment="1">
      <alignment horizontal="left" vertical="center" wrapText="1"/>
    </xf>
    <xf numFmtId="0" fontId="4" fillId="0" borderId="5" xfId="0" applyFont="1" applyFill="1" applyBorder="1" applyAlignment="1">
      <alignment horizontal="center"/>
    </xf>
    <xf numFmtId="0" fontId="46" fillId="0" borderId="4" xfId="0" applyFont="1" applyFill="1" applyBorder="1" applyAlignment="1">
      <alignment horizontal="center"/>
    </xf>
    <xf numFmtId="0" fontId="46" fillId="0" borderId="0" xfId="0" applyFont="1" applyFill="1" applyBorder="1" applyAlignment="1">
      <alignment horizontal="center"/>
    </xf>
    <xf numFmtId="0" fontId="5" fillId="0" borderId="58" xfId="5" applyBorder="1" applyAlignment="1" applyProtection="1">
      <alignment horizontal="left"/>
    </xf>
    <xf numFmtId="0" fontId="5" fillId="0" borderId="59" xfId="5" applyBorder="1" applyAlignment="1" applyProtection="1">
      <alignment horizontal="left"/>
    </xf>
    <xf numFmtId="0" fontId="5" fillId="0" borderId="87" xfId="5" applyBorder="1" applyAlignment="1" applyProtection="1">
      <alignment horizontal="left"/>
    </xf>
    <xf numFmtId="0" fontId="4" fillId="3" borderId="4" xfId="0" applyFont="1" applyFill="1" applyBorder="1" applyAlignment="1">
      <alignment horizontal="center"/>
    </xf>
    <xf numFmtId="0" fontId="4" fillId="3" borderId="0" xfId="0" applyFont="1" applyFill="1" applyBorder="1" applyAlignment="1">
      <alignment horizontal="center"/>
    </xf>
    <xf numFmtId="0" fontId="4" fillId="0" borderId="0" xfId="0" applyFont="1" applyFill="1" applyBorder="1" applyAlignment="1">
      <alignment horizontal="center" vertical="center" wrapText="1"/>
    </xf>
    <xf numFmtId="0" fontId="4" fillId="0" borderId="5" xfId="0" applyFont="1" applyFill="1" applyBorder="1" applyAlignment="1">
      <alignment horizontal="center" vertical="center" wrapText="1"/>
    </xf>
    <xf numFmtId="0" fontId="46" fillId="0" borderId="4" xfId="0" applyFont="1" applyFill="1" applyBorder="1" applyAlignment="1">
      <alignment horizontal="left" wrapText="1"/>
    </xf>
    <xf numFmtId="0" fontId="46" fillId="0" borderId="5" xfId="0" applyFont="1" applyFill="1" applyBorder="1" applyAlignment="1">
      <alignment horizontal="left" wrapText="1"/>
    </xf>
    <xf numFmtId="0" fontId="46" fillId="0" borderId="4" xfId="0" applyFont="1" applyFill="1" applyBorder="1" applyAlignment="1">
      <alignment horizontal="left"/>
    </xf>
    <xf numFmtId="0" fontId="46" fillId="0" borderId="0" xfId="0" applyFont="1" applyFill="1" applyBorder="1" applyAlignment="1">
      <alignment horizontal="left"/>
    </xf>
    <xf numFmtId="0" fontId="46" fillId="0" borderId="5" xfId="0" applyFont="1" applyFill="1" applyBorder="1" applyAlignment="1">
      <alignment horizontal="left"/>
    </xf>
    <xf numFmtId="0" fontId="2" fillId="0" borderId="126" xfId="0" applyFont="1" applyBorder="1" applyAlignment="1">
      <alignment horizontal="left" vertical="top" wrapText="1"/>
    </xf>
    <xf numFmtId="0" fontId="0" fillId="0" borderId="153" xfId="0" applyBorder="1" applyAlignment="1">
      <alignment horizontal="left" vertical="top" wrapText="1"/>
    </xf>
    <xf numFmtId="0" fontId="6" fillId="0" borderId="24" xfId="0" applyFont="1" applyBorder="1" applyAlignment="1">
      <alignment horizontal="left"/>
    </xf>
    <xf numFmtId="0" fontId="6" fillId="0" borderId="66" xfId="0" applyFont="1" applyBorder="1" applyAlignment="1">
      <alignment horizontal="left"/>
    </xf>
    <xf numFmtId="0" fontId="8" fillId="2" borderId="4" xfId="0" applyFont="1" applyFill="1" applyBorder="1" applyAlignment="1">
      <alignment horizontal="left" wrapText="1"/>
    </xf>
    <xf numFmtId="0" fontId="8" fillId="2" borderId="0" xfId="0" applyFont="1" applyFill="1" applyBorder="1" applyAlignment="1">
      <alignment horizontal="left" wrapText="1"/>
    </xf>
    <xf numFmtId="0" fontId="8" fillId="2" borderId="5" xfId="0" applyFont="1" applyFill="1" applyBorder="1" applyAlignment="1">
      <alignment horizontal="left" wrapText="1"/>
    </xf>
    <xf numFmtId="0" fontId="4" fillId="0" borderId="2" xfId="0" applyFont="1" applyBorder="1" applyAlignment="1">
      <alignment horizontal="center" vertical="center" wrapText="1"/>
    </xf>
    <xf numFmtId="0" fontId="4" fillId="0" borderId="1" xfId="0" applyFont="1" applyBorder="1" applyAlignment="1">
      <alignment horizontal="center" vertical="center" wrapText="1"/>
    </xf>
    <xf numFmtId="0" fontId="4" fillId="0" borderId="3" xfId="0" applyFont="1" applyBorder="1" applyAlignment="1">
      <alignment horizontal="center" vertical="center" wrapText="1"/>
    </xf>
    <xf numFmtId="0" fontId="39" fillId="2" borderId="58" xfId="5" applyFont="1" applyFill="1" applyBorder="1" applyAlignment="1" applyProtection="1">
      <alignment horizontal="left" wrapText="1"/>
    </xf>
    <xf numFmtId="0" fontId="39" fillId="2" borderId="59" xfId="5" applyFont="1" applyFill="1" applyBorder="1" applyAlignment="1" applyProtection="1">
      <alignment horizontal="left" wrapText="1"/>
    </xf>
    <xf numFmtId="0" fontId="39" fillId="2" borderId="87" xfId="5" applyFont="1" applyFill="1" applyBorder="1" applyAlignment="1" applyProtection="1">
      <alignment horizontal="left" wrapText="1"/>
    </xf>
    <xf numFmtId="0" fontId="6" fillId="0" borderId="24" xfId="0" applyFont="1" applyBorder="1" applyAlignment="1">
      <alignment horizontal="left" wrapText="1"/>
    </xf>
    <xf numFmtId="0" fontId="6" fillId="0" borderId="66" xfId="0" applyFont="1" applyBorder="1" applyAlignment="1">
      <alignment horizontal="left" wrapText="1"/>
    </xf>
    <xf numFmtId="0" fontId="8" fillId="0" borderId="4" xfId="0" applyFont="1" applyFill="1" applyBorder="1" applyAlignment="1">
      <alignment wrapText="1"/>
    </xf>
    <xf numFmtId="0" fontId="8" fillId="0" borderId="0" xfId="0" applyFont="1" applyFill="1" applyBorder="1" applyAlignment="1">
      <alignment wrapText="1"/>
    </xf>
    <xf numFmtId="0" fontId="8" fillId="0" borderId="5" xfId="0" applyFont="1" applyFill="1" applyBorder="1" applyAlignment="1">
      <alignment wrapText="1"/>
    </xf>
    <xf numFmtId="0" fontId="9" fillId="3" borderId="4" xfId="0" applyFont="1" applyFill="1" applyBorder="1" applyAlignment="1">
      <alignment horizontal="left" vertical="center" wrapText="1"/>
    </xf>
    <xf numFmtId="0" fontId="9" fillId="3" borderId="0" xfId="0" applyFont="1" applyFill="1" applyBorder="1" applyAlignment="1">
      <alignment horizontal="left" vertical="center" wrapText="1"/>
    </xf>
    <xf numFmtId="0" fontId="9" fillId="3" borderId="5" xfId="0" applyFont="1" applyFill="1" applyBorder="1" applyAlignment="1">
      <alignment horizontal="left" vertical="center" wrapText="1"/>
    </xf>
    <xf numFmtId="0" fontId="7" fillId="13" borderId="0" xfId="0" applyFont="1" applyFill="1" applyBorder="1" applyAlignment="1">
      <alignment wrapText="1"/>
    </xf>
    <xf numFmtId="0" fontId="0" fillId="0" borderId="0" xfId="0" applyBorder="1"/>
    <xf numFmtId="0" fontId="8" fillId="0" borderId="59" xfId="0" applyFont="1" applyFill="1" applyBorder="1" applyAlignment="1">
      <alignment horizontal="left" wrapText="1"/>
    </xf>
    <xf numFmtId="0" fontId="9" fillId="2" borderId="2" xfId="0" applyFont="1" applyFill="1" applyBorder="1" applyAlignment="1">
      <alignment horizontal="center" vertical="center" wrapText="1"/>
    </xf>
    <xf numFmtId="0" fontId="8" fillId="2" borderId="4" xfId="0" applyFont="1" applyFill="1" applyBorder="1" applyAlignment="1">
      <alignment wrapText="1"/>
    </xf>
    <xf numFmtId="0" fontId="8" fillId="2" borderId="0" xfId="0" applyFont="1" applyFill="1" applyBorder="1" applyAlignment="1">
      <alignment wrapText="1"/>
    </xf>
    <xf numFmtId="0" fontId="8" fillId="2" borderId="5" xfId="0" applyFont="1" applyFill="1" applyBorder="1" applyAlignment="1">
      <alignment wrapText="1"/>
    </xf>
    <xf numFmtId="173" fontId="18" fillId="0" borderId="12" xfId="16" applyFont="1" applyBorder="1" applyAlignment="1" applyProtection="1"/>
    <xf numFmtId="0" fontId="0" fillId="0" borderId="12" xfId="0" applyBorder="1" applyAlignment="1" applyProtection="1"/>
    <xf numFmtId="0" fontId="0" fillId="3" borderId="26" xfId="0" applyFill="1" applyBorder="1" applyAlignment="1" applyProtection="1">
      <alignment horizontal="center"/>
    </xf>
    <xf numFmtId="0" fontId="0" fillId="3" borderId="27" xfId="0" applyFill="1" applyBorder="1" applyAlignment="1" applyProtection="1">
      <alignment horizontal="center"/>
    </xf>
    <xf numFmtId="0" fontId="18" fillId="3" borderId="13" xfId="0" applyFont="1" applyFill="1" applyBorder="1" applyAlignment="1" applyProtection="1">
      <alignment wrapText="1"/>
    </xf>
    <xf numFmtId="0" fontId="19" fillId="3" borderId="16" xfId="0" applyFont="1" applyFill="1" applyBorder="1" applyAlignment="1" applyProtection="1">
      <alignment wrapText="1"/>
    </xf>
    <xf numFmtId="0" fontId="2" fillId="6" borderId="101" xfId="0" applyFont="1" applyFill="1" applyBorder="1" applyAlignment="1" applyProtection="1">
      <alignment wrapText="1"/>
      <protection locked="0"/>
    </xf>
    <xf numFmtId="0" fontId="2" fillId="6" borderId="16" xfId="0" applyFont="1" applyFill="1" applyBorder="1" applyAlignment="1" applyProtection="1">
      <alignment horizontal="left" wrapText="1"/>
      <protection locked="0"/>
    </xf>
    <xf numFmtId="170" fontId="2" fillId="5" borderId="57" xfId="0" applyNumberFormat="1" applyFont="1" applyFill="1" applyBorder="1" applyAlignment="1">
      <alignment vertical="top" wrapText="1"/>
    </xf>
    <xf numFmtId="170" fontId="2" fillId="5" borderId="62" xfId="0" applyNumberFormat="1" applyFont="1" applyFill="1" applyBorder="1" applyAlignment="1">
      <alignment vertical="top" wrapText="1"/>
    </xf>
    <xf numFmtId="173" fontId="18" fillId="7" borderId="40" xfId="16" applyFont="1" applyFill="1" applyBorder="1" applyAlignment="1" applyProtection="1">
      <alignment horizontal="left"/>
    </xf>
    <xf numFmtId="173" fontId="18" fillId="7" borderId="106" xfId="16" applyFont="1" applyFill="1" applyBorder="1" applyAlignment="1" applyProtection="1">
      <alignment horizontal="left"/>
    </xf>
    <xf numFmtId="173" fontId="18" fillId="7" borderId="107" xfId="16" applyFont="1" applyFill="1" applyBorder="1" applyAlignment="1" applyProtection="1">
      <alignment horizontal="left"/>
    </xf>
    <xf numFmtId="173" fontId="6" fillId="7" borderId="63" xfId="16" applyFont="1" applyFill="1" applyBorder="1" applyAlignment="1" applyProtection="1">
      <alignment vertical="top" wrapText="1"/>
    </xf>
    <xf numFmtId="0" fontId="6" fillId="7" borderId="98" xfId="0" applyFont="1" applyFill="1" applyBorder="1" applyAlignment="1">
      <alignment vertical="top" wrapText="1"/>
    </xf>
    <xf numFmtId="0" fontId="6" fillId="7" borderId="108" xfId="0" applyFont="1" applyFill="1" applyBorder="1" applyAlignment="1">
      <alignment vertical="top" wrapText="1"/>
    </xf>
    <xf numFmtId="173" fontId="40" fillId="7" borderId="63" xfId="16" applyFont="1" applyFill="1" applyBorder="1" applyAlignment="1" applyProtection="1">
      <alignment horizontal="right"/>
    </xf>
    <xf numFmtId="169" fontId="40" fillId="7" borderId="98" xfId="0" applyNumberFormat="1" applyFont="1" applyFill="1" applyBorder="1" applyAlignment="1">
      <alignment vertical="top" wrapText="1"/>
    </xf>
    <xf numFmtId="169" fontId="40" fillId="7" borderId="108" xfId="0" applyNumberFormat="1" applyFont="1" applyFill="1" applyBorder="1" applyAlignment="1">
      <alignment vertical="top" wrapText="1"/>
    </xf>
    <xf numFmtId="173" fontId="6" fillId="7" borderId="109" xfId="16" applyFont="1" applyFill="1" applyBorder="1" applyProtection="1"/>
    <xf numFmtId="169" fontId="40" fillId="7" borderId="120" xfId="0" applyNumberFormat="1" applyFont="1" applyFill="1" applyBorder="1" applyAlignment="1">
      <alignment vertical="top" wrapText="1"/>
    </xf>
    <xf numFmtId="169" fontId="40" fillId="7" borderId="111" xfId="0" applyNumberFormat="1" applyFont="1" applyFill="1" applyBorder="1" applyAlignment="1">
      <alignment vertical="top" wrapText="1"/>
    </xf>
    <xf numFmtId="172" fontId="15" fillId="7" borderId="8" xfId="1" applyNumberFormat="1" applyFont="1" applyFill="1" applyBorder="1" applyAlignment="1">
      <alignment vertical="top" wrapText="1"/>
    </xf>
    <xf numFmtId="10" fontId="15" fillId="7" borderId="8" xfId="0" applyNumberFormat="1" applyFont="1" applyFill="1" applyBorder="1" applyAlignment="1">
      <alignment vertical="top" wrapText="1"/>
    </xf>
    <xf numFmtId="169" fontId="15" fillId="7" borderId="8" xfId="0" applyNumberFormat="1" applyFont="1" applyFill="1" applyBorder="1" applyAlignment="1">
      <alignment vertical="top" wrapText="1"/>
    </xf>
    <xf numFmtId="165" fontId="15" fillId="7" borderId="22" xfId="0" applyNumberFormat="1" applyFont="1" applyFill="1" applyBorder="1" applyAlignment="1">
      <alignment vertical="top" wrapText="1"/>
    </xf>
    <xf numFmtId="0" fontId="2" fillId="7" borderId="0" xfId="0" applyFont="1" applyFill="1" applyAlignment="1">
      <alignment vertical="top" wrapText="1"/>
    </xf>
    <xf numFmtId="0" fontId="4" fillId="7" borderId="162" xfId="0" applyFont="1" applyFill="1" applyBorder="1" applyAlignment="1" applyProtection="1">
      <alignment horizontal="center" wrapText="1"/>
      <protection locked="0"/>
    </xf>
    <xf numFmtId="178" fontId="2" fillId="7" borderId="134" xfId="3" applyNumberFormat="1" applyFont="1" applyFill="1" applyBorder="1" applyAlignment="1" applyProtection="1">
      <alignment wrapText="1"/>
      <protection locked="0"/>
    </xf>
    <xf numFmtId="178" fontId="2" fillId="7" borderId="8" xfId="3" applyNumberFormat="1" applyFont="1" applyFill="1" applyBorder="1" applyAlignment="1" applyProtection="1">
      <alignment wrapText="1"/>
      <protection locked="0"/>
    </xf>
    <xf numFmtId="178" fontId="2" fillId="7" borderId="169" xfId="3" applyNumberFormat="1" applyFont="1" applyFill="1" applyBorder="1" applyAlignment="1" applyProtection="1">
      <alignment wrapText="1"/>
      <protection locked="0"/>
    </xf>
    <xf numFmtId="0" fontId="2" fillId="7" borderId="30" xfId="0" applyFont="1" applyFill="1" applyBorder="1" applyAlignment="1">
      <alignment vertical="top"/>
    </xf>
    <xf numFmtId="0" fontId="2" fillId="7" borderId="8" xfId="0" applyFont="1" applyFill="1" applyBorder="1" applyAlignment="1">
      <alignment vertical="top"/>
    </xf>
    <xf numFmtId="0" fontId="2" fillId="7" borderId="135" xfId="0" applyFont="1" applyFill="1" applyBorder="1" applyAlignment="1">
      <alignment vertical="top" wrapText="1"/>
    </xf>
    <xf numFmtId="0" fontId="2" fillId="7" borderId="8" xfId="0" applyFont="1" applyFill="1" applyBorder="1" applyAlignment="1" applyProtection="1">
      <alignment horizontal="right" wrapText="1"/>
      <protection locked="0"/>
    </xf>
    <xf numFmtId="191" fontId="2" fillId="7" borderId="8" xfId="0" applyNumberFormat="1" applyFont="1" applyFill="1" applyBorder="1" applyAlignment="1" applyProtection="1">
      <alignment horizontal="right" wrapText="1"/>
      <protection locked="0"/>
    </xf>
    <xf numFmtId="172" fontId="2" fillId="7" borderId="8" xfId="1" applyNumberFormat="1" applyFont="1" applyFill="1" applyBorder="1" applyAlignment="1" applyProtection="1">
      <alignment wrapText="1"/>
      <protection locked="0"/>
    </xf>
    <xf numFmtId="43" fontId="2" fillId="7" borderId="8" xfId="1" applyNumberFormat="1" applyFont="1" applyFill="1" applyBorder="1" applyAlignment="1" applyProtection="1">
      <alignment wrapText="1"/>
      <protection locked="0"/>
    </xf>
    <xf numFmtId="9" fontId="2" fillId="7" borderId="8" xfId="17" applyFont="1" applyFill="1" applyBorder="1" applyAlignment="1" applyProtection="1">
      <alignment wrapText="1"/>
      <protection locked="0"/>
    </xf>
    <xf numFmtId="190" fontId="2" fillId="7" borderId="8" xfId="1" applyNumberFormat="1" applyFont="1" applyFill="1" applyBorder="1" applyAlignment="1" applyProtection="1">
      <alignment wrapText="1"/>
      <protection locked="0"/>
    </xf>
    <xf numFmtId="0" fontId="2" fillId="7" borderId="64" xfId="0" applyFont="1" applyFill="1" applyBorder="1" applyAlignment="1">
      <alignment horizontal="left" vertical="top" wrapText="1"/>
    </xf>
    <xf numFmtId="0" fontId="2" fillId="7" borderId="2" xfId="0" applyFont="1" applyFill="1" applyBorder="1" applyAlignment="1">
      <alignment vertical="top"/>
    </xf>
    <xf numFmtId="172" fontId="2" fillId="7" borderId="37" xfId="1" applyNumberFormat="1" applyFont="1" applyFill="1" applyBorder="1" applyAlignment="1">
      <alignment vertical="top" wrapText="1"/>
    </xf>
    <xf numFmtId="0" fontId="2" fillId="7" borderId="0" xfId="0" applyFont="1" applyFill="1" applyBorder="1" applyAlignment="1">
      <alignment vertical="top" wrapText="1"/>
    </xf>
    <xf numFmtId="189" fontId="2" fillId="7" borderId="8" xfId="1" applyNumberFormat="1" applyFont="1" applyFill="1" applyBorder="1" applyAlignment="1" applyProtection="1">
      <alignment wrapText="1"/>
      <protection locked="0"/>
    </xf>
    <xf numFmtId="189" fontId="4" fillId="7" borderId="8" xfId="1" applyNumberFormat="1" applyFont="1" applyFill="1" applyBorder="1" applyAlignment="1" applyProtection="1">
      <alignment wrapText="1"/>
      <protection locked="0"/>
    </xf>
    <xf numFmtId="172" fontId="2" fillId="7" borderId="135" xfId="1" applyNumberFormat="1" applyFont="1" applyFill="1" applyBorder="1" applyAlignment="1" applyProtection="1">
      <alignment wrapText="1"/>
      <protection locked="0"/>
    </xf>
    <xf numFmtId="172" fontId="2" fillId="7" borderId="169" xfId="1" applyNumberFormat="1" applyFont="1" applyFill="1" applyBorder="1" applyAlignment="1" applyProtection="1">
      <alignment wrapText="1"/>
      <protection locked="0"/>
    </xf>
    <xf numFmtId="0" fontId="2" fillId="7" borderId="0" xfId="0" applyFont="1" applyFill="1" applyBorder="1" applyAlignment="1" applyProtection="1">
      <alignment horizontal="left" wrapText="1"/>
      <protection locked="0"/>
    </xf>
    <xf numFmtId="0" fontId="2" fillId="7" borderId="0" xfId="0" applyFont="1" applyFill="1" applyAlignment="1">
      <alignment vertical="top"/>
    </xf>
  </cellXfs>
  <cellStyles count="22">
    <cellStyle name="Comma" xfId="1" builtinId="3"/>
    <cellStyle name="Comma 2" xfId="2" xr:uid="{00000000-0005-0000-0000-000001000000}"/>
    <cellStyle name="Currency" xfId="3" builtinId="4"/>
    <cellStyle name="Currency 2" xfId="4" xr:uid="{00000000-0005-0000-0000-000003000000}"/>
    <cellStyle name="Hyperlink" xfId="5" builtinId="8"/>
    <cellStyle name="Hyperlink 2" xfId="6" xr:uid="{00000000-0005-0000-0000-000005000000}"/>
    <cellStyle name="Normal" xfId="0" builtinId="0"/>
    <cellStyle name="Normal 2" xfId="20" xr:uid="{00000000-0005-0000-0000-000007000000}"/>
    <cellStyle name="Normal 2 19" xfId="7" xr:uid="{00000000-0005-0000-0000-000008000000}"/>
    <cellStyle name="Normal 23" xfId="8" xr:uid="{00000000-0005-0000-0000-000009000000}"/>
    <cellStyle name="Normal 23 3" xfId="9" xr:uid="{00000000-0005-0000-0000-00000A000000}"/>
    <cellStyle name="Normal 24" xfId="10" xr:uid="{00000000-0005-0000-0000-00000B000000}"/>
    <cellStyle name="Normal 26" xfId="11" xr:uid="{00000000-0005-0000-0000-00000C000000}"/>
    <cellStyle name="Normal 3" xfId="21" xr:uid="{4A5DBA91-CF31-4E57-B105-1F3A7CDACD5F}"/>
    <cellStyle name="Normal 33" xfId="12" xr:uid="{00000000-0005-0000-0000-00000D000000}"/>
    <cellStyle name="Normal 33 2" xfId="13" xr:uid="{00000000-0005-0000-0000-00000E000000}"/>
    <cellStyle name="Normal 34" xfId="14" xr:uid="{00000000-0005-0000-0000-00000F000000}"/>
    <cellStyle name="Normal 34 2" xfId="15" xr:uid="{00000000-0005-0000-0000-000010000000}"/>
    <cellStyle name="Normal_DCFROR for large plant" xfId="16" xr:uid="{00000000-0005-0000-0000-000011000000}"/>
    <cellStyle name="Percent" xfId="17" builtinId="5"/>
    <cellStyle name="Percent 2" xfId="18" xr:uid="{00000000-0005-0000-0000-000013000000}"/>
    <cellStyle name="Percent 3" xfId="19" xr:uid="{00000000-0005-0000-0000-000014000000}"/>
  </cellStyles>
  <dxfs count="4">
    <dxf>
      <font>
        <strike val="0"/>
        <condense val="0"/>
        <extend val="0"/>
        <color indexed="22"/>
      </font>
    </dxf>
    <dxf>
      <font>
        <b/>
        <i val="0"/>
        <strike val="0"/>
        <condense val="0"/>
        <extend val="0"/>
        <color auto="1"/>
      </font>
    </dxf>
    <dxf>
      <font>
        <b val="0"/>
        <i val="0"/>
        <color auto="1"/>
      </font>
      <numFmt numFmtId="0" formatCode="General"/>
    </dxf>
    <dxf>
      <font>
        <b/>
        <i val="0"/>
        <color rgb="FFFFFF00"/>
      </font>
      <fill>
        <patternFill>
          <bgColor rgb="FFFF0000"/>
        </patternFill>
      </fill>
    </dxf>
  </dxfs>
  <tableStyles count="0" defaultTableStyle="TableStyleMedium9" defaultPivotStyle="PivotStyleLight16"/>
  <colors>
    <mruColors>
      <color rgb="FFFF3300"/>
      <color rgb="FF0000FF"/>
      <color rgb="FFFFA2A1"/>
      <color rgb="FFFFFF66"/>
      <color rgb="FFFFCC99"/>
      <color rgb="FF97B757"/>
      <color rgb="FFB54E4B"/>
      <color rgb="FFF5FFE6"/>
      <color rgb="FFE4FDC2"/>
      <color rgb="FFDAFDA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1.xml"/><Relationship Id="rId1" Type="http://schemas.microsoft.com/office/2011/relationships/chartStyle" Target="style1.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12.xml"/><Relationship Id="rId2" Type="http://schemas.microsoft.com/office/2011/relationships/chartColorStyle" Target="colors2.xml"/><Relationship Id="rId1" Type="http://schemas.microsoft.com/office/2011/relationships/chartStyle" Target="style2.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7.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15.xml"/><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 b="1" i="0" u="none" strike="noStrike" baseline="0">
                <a:solidFill>
                  <a:srgbClr val="000000"/>
                </a:solidFill>
                <a:latin typeface="Arial"/>
                <a:ea typeface="Arial"/>
                <a:cs typeface="Arial"/>
              </a:defRPr>
            </a:pPr>
            <a:r>
              <a:rPr lang="en-US"/>
              <a:t>H2A</a:t>
            </a:r>
          </a:p>
        </c:rich>
      </c:tx>
      <c:overlay val="0"/>
      <c:spPr>
        <a:noFill/>
        <a:ln w="25400">
          <a:noFill/>
        </a:ln>
      </c:spPr>
    </c:title>
    <c:autoTitleDeleted val="0"/>
    <c:plotArea>
      <c:layout/>
      <c:barChart>
        <c:barDir val="col"/>
        <c:grouping val="stacked"/>
        <c:varyColors val="0"/>
        <c:ser>
          <c:idx val="0"/>
          <c:order val="0"/>
          <c:spPr>
            <a:solidFill>
              <a:srgbClr val="9999FF"/>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0-4AFA-458C-B8E5-ABC7134934EC}"/>
            </c:ext>
          </c:extLst>
        </c:ser>
        <c:ser>
          <c:idx val="1"/>
          <c:order val="1"/>
          <c:spPr>
            <a:solidFill>
              <a:srgbClr val="993366"/>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1-4AFA-458C-B8E5-ABC7134934EC}"/>
            </c:ext>
          </c:extLst>
        </c:ser>
        <c:ser>
          <c:idx val="2"/>
          <c:order val="2"/>
          <c:spPr>
            <a:solidFill>
              <a:srgbClr val="FFFFCC"/>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2-4AFA-458C-B8E5-ABC7134934EC}"/>
            </c:ext>
          </c:extLst>
        </c:ser>
        <c:dLbls>
          <c:showLegendKey val="0"/>
          <c:showVal val="0"/>
          <c:showCatName val="0"/>
          <c:showSerName val="0"/>
          <c:showPercent val="0"/>
          <c:showBubbleSize val="0"/>
        </c:dLbls>
        <c:gapWidth val="150"/>
        <c:overlap val="100"/>
        <c:axId val="228857728"/>
        <c:axId val="229040896"/>
      </c:barChart>
      <c:catAx>
        <c:axId val="2288577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29040896"/>
        <c:crosses val="autoZero"/>
        <c:auto val="1"/>
        <c:lblAlgn val="ctr"/>
        <c:lblOffset val="100"/>
        <c:tickLblSkip val="1"/>
        <c:tickMarkSkip val="1"/>
        <c:noMultiLvlLbl val="0"/>
      </c:catAx>
      <c:valAx>
        <c:axId val="229040896"/>
        <c:scaling>
          <c:orientation val="minMax"/>
          <c:max val="0.24"/>
          <c:min val="0"/>
        </c:scaling>
        <c:delete val="0"/>
        <c:axPos val="l"/>
        <c:majorGridlines>
          <c:spPr>
            <a:ln w="3175">
              <a:solidFill>
                <a:srgbClr val="000000"/>
              </a:solidFill>
              <a:prstDash val="solid"/>
            </a:ln>
          </c:spPr>
        </c:majorGridlines>
        <c:title>
          <c:tx>
            <c:rich>
              <a:bodyPr/>
              <a:lstStyle/>
              <a:p>
                <a:pPr>
                  <a:defRPr sz="175"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28857728"/>
        <c:crosses val="autoZero"/>
        <c:crossBetween val="between"/>
        <c:majorUnit val="2.4E-2"/>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4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 b="1" i="0" u="none" strike="noStrike" baseline="0">
                <a:solidFill>
                  <a:srgbClr val="000000"/>
                </a:solidFill>
                <a:latin typeface="Arial"/>
                <a:ea typeface="Arial"/>
                <a:cs typeface="Arial"/>
              </a:defRPr>
            </a:pPr>
            <a:r>
              <a:rPr lang="en-US"/>
              <a:t>E3</a:t>
            </a:r>
          </a:p>
        </c:rich>
      </c:tx>
      <c:overlay val="0"/>
      <c:spPr>
        <a:noFill/>
        <a:ln w="25400">
          <a:noFill/>
        </a:ln>
      </c:spPr>
    </c:title>
    <c:autoTitleDeleted val="0"/>
    <c:plotArea>
      <c:layout/>
      <c:barChart>
        <c:barDir val="col"/>
        <c:grouping val="stacked"/>
        <c:varyColors val="0"/>
        <c:ser>
          <c:idx val="0"/>
          <c:order val="0"/>
          <c:spPr>
            <a:solidFill>
              <a:srgbClr val="9999FF"/>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0-C6B9-4F9C-BAE3-F7AAC4D071FA}"/>
            </c:ext>
          </c:extLst>
        </c:ser>
        <c:ser>
          <c:idx val="1"/>
          <c:order val="1"/>
          <c:spPr>
            <a:solidFill>
              <a:srgbClr val="993366"/>
            </a:solidFill>
            <a:ln w="12700">
              <a:solidFill>
                <a:srgbClr val="000000"/>
              </a:solidFill>
              <a:prstDash val="solid"/>
            </a:ln>
          </c:spPr>
          <c:invertIfNegative val="0"/>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1-C6B9-4F9C-BAE3-F7AAC4D071FA}"/>
            </c:ext>
          </c:extLst>
        </c:ser>
        <c:ser>
          <c:idx val="2"/>
          <c:order val="2"/>
          <c:spPr>
            <a:solidFill>
              <a:srgbClr val="FFFFCC"/>
            </a:solidFill>
            <a:ln w="12700">
              <a:solidFill>
                <a:srgbClr val="000000"/>
              </a:solidFill>
              <a:prstDash val="solid"/>
            </a:ln>
          </c:spPr>
          <c:invertIfNegative val="0"/>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2-C6B9-4F9C-BAE3-F7AAC4D071FA}"/>
            </c:ext>
          </c:extLst>
        </c:ser>
        <c:dLbls>
          <c:showLegendKey val="0"/>
          <c:showVal val="0"/>
          <c:showCatName val="0"/>
          <c:showSerName val="0"/>
          <c:showPercent val="0"/>
          <c:showBubbleSize val="0"/>
        </c:dLbls>
        <c:gapWidth val="150"/>
        <c:overlap val="100"/>
        <c:axId val="232644608"/>
        <c:axId val="232646528"/>
      </c:barChart>
      <c:catAx>
        <c:axId val="2326446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32646528"/>
        <c:crosses val="autoZero"/>
        <c:auto val="1"/>
        <c:lblAlgn val="ctr"/>
        <c:lblOffset val="100"/>
        <c:tickLblSkip val="1"/>
        <c:tickMarkSkip val="1"/>
        <c:noMultiLvlLbl val="0"/>
      </c:catAx>
      <c:valAx>
        <c:axId val="232646528"/>
        <c:scaling>
          <c:orientation val="minMax"/>
          <c:max val="0.2"/>
          <c:min val="0"/>
        </c:scaling>
        <c:delete val="0"/>
        <c:axPos val="l"/>
        <c:majorGridlines>
          <c:spPr>
            <a:ln w="3175">
              <a:solidFill>
                <a:srgbClr val="000000"/>
              </a:solidFill>
              <a:prstDash val="solid"/>
            </a:ln>
          </c:spPr>
        </c:majorGridlines>
        <c:title>
          <c:tx>
            <c:rich>
              <a:bodyPr/>
              <a:lstStyle/>
              <a:p>
                <a:pPr>
                  <a:defRPr sz="15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0.00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32644608"/>
        <c:crosses val="autoZero"/>
        <c:crossBetween val="between"/>
        <c:majorUnit val="0.02"/>
      </c:valAx>
      <c:spPr>
        <a:solidFill>
          <a:srgbClr val="C0C0C0"/>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4921259845" footer="0.492125984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spPr>
            <a:solidFill>
              <a:srgbClr val="CCFFCC"/>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0-636C-421C-A164-D787DAEF9993}"/>
            </c:ext>
          </c:extLst>
        </c:ser>
        <c:ser>
          <c:idx val="1"/>
          <c:order val="1"/>
          <c:spPr>
            <a:solidFill>
              <a:srgbClr val="99CCFF"/>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1-636C-421C-A164-D787DAEF9993}"/>
            </c:ext>
          </c:extLst>
        </c:ser>
        <c:ser>
          <c:idx val="2"/>
          <c:order val="2"/>
          <c:spPr>
            <a:solidFill>
              <a:srgbClr val="FFFF99"/>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2-636C-421C-A164-D787DAEF9993}"/>
            </c:ext>
          </c:extLst>
        </c:ser>
        <c:dLbls>
          <c:showLegendKey val="0"/>
          <c:showVal val="0"/>
          <c:showCatName val="0"/>
          <c:showSerName val="0"/>
          <c:showPercent val="0"/>
          <c:showBubbleSize val="0"/>
        </c:dLbls>
        <c:gapWidth val="150"/>
        <c:overlap val="100"/>
        <c:axId val="243065216"/>
        <c:axId val="249264000"/>
      </c:barChart>
      <c:barChart>
        <c:barDir val="col"/>
        <c:grouping val="stacked"/>
        <c:varyColors val="0"/>
        <c:ser>
          <c:idx val="3"/>
          <c:order val="3"/>
          <c:spPr>
            <a:solidFill>
              <a:srgbClr val="CCFFCC"/>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3-636C-421C-A164-D787DAEF9993}"/>
            </c:ext>
          </c:extLst>
        </c:ser>
        <c:ser>
          <c:idx val="4"/>
          <c:order val="4"/>
          <c:spPr>
            <a:solidFill>
              <a:srgbClr val="99CCFF"/>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4-636C-421C-A164-D787DAEF9993}"/>
            </c:ext>
          </c:extLst>
        </c:ser>
        <c:ser>
          <c:idx val="5"/>
          <c:order val="5"/>
          <c:spPr>
            <a:solidFill>
              <a:srgbClr val="FFFF99"/>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5-636C-421C-A164-D787DAEF9993}"/>
            </c:ext>
          </c:extLst>
        </c:ser>
        <c:dLbls>
          <c:showLegendKey val="0"/>
          <c:showVal val="0"/>
          <c:showCatName val="0"/>
          <c:showSerName val="0"/>
          <c:showPercent val="0"/>
          <c:showBubbleSize val="0"/>
        </c:dLbls>
        <c:gapWidth val="150"/>
        <c:overlap val="100"/>
        <c:axId val="249712640"/>
        <c:axId val="249714176"/>
      </c:barChart>
      <c:catAx>
        <c:axId val="2430652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49264000"/>
        <c:crosses val="autoZero"/>
        <c:auto val="1"/>
        <c:lblAlgn val="ctr"/>
        <c:lblOffset val="100"/>
        <c:tickLblSkip val="1"/>
        <c:tickMarkSkip val="1"/>
        <c:noMultiLvlLbl val="0"/>
      </c:catAx>
      <c:valAx>
        <c:axId val="249264000"/>
        <c:scaling>
          <c:orientation val="minMax"/>
        </c:scaling>
        <c:delete val="0"/>
        <c:axPos val="l"/>
        <c:majorGridlines>
          <c:spPr>
            <a:ln w="3175">
              <a:solidFill>
                <a:srgbClr val="000000"/>
              </a:solidFill>
              <a:prstDash val="solid"/>
            </a:ln>
          </c:spPr>
        </c:majorGridlines>
        <c:title>
          <c:tx>
            <c:rich>
              <a:bodyPr/>
              <a:lstStyle/>
              <a:p>
                <a:pPr>
                  <a:defRPr sz="10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43065216"/>
        <c:crosses val="autoZero"/>
        <c:crossBetween val="between"/>
      </c:valAx>
      <c:catAx>
        <c:axId val="249712640"/>
        <c:scaling>
          <c:orientation val="minMax"/>
        </c:scaling>
        <c:delete val="1"/>
        <c:axPos val="b"/>
        <c:majorTickMark val="out"/>
        <c:minorTickMark val="none"/>
        <c:tickLblPos val="nextTo"/>
        <c:crossAx val="249714176"/>
        <c:crossesAt val="0"/>
        <c:auto val="1"/>
        <c:lblAlgn val="ctr"/>
        <c:lblOffset val="100"/>
        <c:noMultiLvlLbl val="0"/>
      </c:catAx>
      <c:valAx>
        <c:axId val="249714176"/>
        <c:scaling>
          <c:orientation val="minMax"/>
          <c:max val="0.1"/>
          <c:min val="0"/>
        </c:scaling>
        <c:delete val="0"/>
        <c:axPos val="r"/>
        <c:title>
          <c:tx>
            <c:rich>
              <a:bodyPr/>
              <a:lstStyle/>
              <a:p>
                <a:pPr>
                  <a:defRPr sz="10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49712640"/>
        <c:crosses val="max"/>
        <c:crossBetween val="between"/>
      </c:valAx>
      <c:spPr>
        <a:noFill/>
        <a:ln w="12700">
          <a:solidFill>
            <a:srgbClr val="808080"/>
          </a:solidFill>
          <a:prstDash val="solid"/>
        </a:ln>
      </c:spPr>
    </c:plotArea>
    <c:legend>
      <c:legendPos val="r"/>
      <c:legendEntry>
        <c:idx val="3"/>
        <c:delete val="1"/>
      </c:legendEntry>
      <c:legendEntry>
        <c:idx val="4"/>
        <c:delete val="1"/>
      </c:legendEntry>
      <c:legendEntry>
        <c:idx val="5"/>
        <c:delete val="1"/>
      </c:legendEntry>
      <c:overlay val="0"/>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7500559682674273"/>
          <c:y val="0.11838313090035042"/>
          <c:w val="0.5806490022887536"/>
          <c:h val="0.82796828234341768"/>
        </c:manualLayout>
      </c:layout>
      <c:barChart>
        <c:barDir val="bar"/>
        <c:grouping val="clustered"/>
        <c:varyColors val="0"/>
        <c:ser>
          <c:idx val="0"/>
          <c:order val="0"/>
          <c:tx>
            <c:strRef>
              <c:f>'Tornado Charts &amp; Risk Analysis'!$I$154</c:f>
              <c:strCache>
                <c:ptCount val="1"/>
                <c:pt idx="0">
                  <c:v>Sorted values</c:v>
                </c:pt>
              </c:strCache>
            </c:strRef>
          </c:tx>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w="9525" cap="flat" cmpd="sng" algn="ctr">
              <a:solidFill>
                <a:schemeClr val="accent1">
                  <a:shade val="95000"/>
                </a:schemeClr>
              </a:solidFill>
              <a:round/>
            </a:ln>
            <a:effectLst/>
          </c:spPr>
          <c:invertIfNegative val="0"/>
          <c:dPt>
            <c:idx val="0"/>
            <c:invertIfNegative val="0"/>
            <c:bubble3D val="0"/>
            <c:spPr>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w="9525" cap="flat" cmpd="sng" algn="ctr">
                <a:solidFill>
                  <a:schemeClr val="accent3">
                    <a:lumMod val="50000"/>
                  </a:schemeClr>
                </a:solidFill>
                <a:round/>
              </a:ln>
              <a:effectLst/>
            </c:spPr>
            <c:extLst>
              <c:ext xmlns:c16="http://schemas.microsoft.com/office/drawing/2014/chart" uri="{C3380CC4-5D6E-409C-BE32-E72D297353CC}">
                <c16:uniqueId val="{00000001-719D-44D2-BA2B-89782D674259}"/>
              </c:ext>
            </c:extLst>
          </c:dPt>
          <c:dPt>
            <c:idx val="1"/>
            <c:invertIfNegative val="0"/>
            <c:bubble3D val="0"/>
            <c:spPr>
              <a:gradFill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gradFill>
              <a:ln w="9525" cap="flat" cmpd="sng" algn="ctr">
                <a:solidFill>
                  <a:schemeClr val="accent3">
                    <a:lumMod val="50000"/>
                  </a:schemeClr>
                </a:solidFill>
                <a:round/>
              </a:ln>
              <a:effectLst/>
            </c:spPr>
            <c:extLst>
              <c:ext xmlns:c16="http://schemas.microsoft.com/office/drawing/2014/chart" uri="{C3380CC4-5D6E-409C-BE32-E72D297353CC}">
                <c16:uniqueId val="{00000003-719D-44D2-BA2B-89782D674259}"/>
              </c:ext>
            </c:extLst>
          </c:dPt>
          <c:dPt>
            <c:idx val="2"/>
            <c:invertIfNegative val="0"/>
            <c:bubble3D val="0"/>
            <c:spPr>
              <a:gradFill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gradFill>
              <a:ln w="9525" cap="flat" cmpd="sng" algn="ctr">
                <a:solidFill>
                  <a:schemeClr val="accent3">
                    <a:lumMod val="50000"/>
                  </a:schemeClr>
                </a:solidFill>
                <a:round/>
              </a:ln>
              <a:effectLst/>
            </c:spPr>
            <c:extLst>
              <c:ext xmlns:c16="http://schemas.microsoft.com/office/drawing/2014/chart" uri="{C3380CC4-5D6E-409C-BE32-E72D297353CC}">
                <c16:uniqueId val="{00000005-719D-44D2-BA2B-89782D674259}"/>
              </c:ext>
            </c:extLst>
          </c:dPt>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'Tornado Charts &amp; Risk Analysis'!$H$155:$H$170</c:f>
              <c:strCache>
                <c:ptCount val="16"/>
                <c:pt idx="0">
                  <c:v>Cost of Hydrogen</c:v>
                </c:pt>
                <c:pt idx="1">
                  <c:v>Salvage Value</c:v>
                </c:pt>
                <c:pt idx="2">
                  <c:v>Byproduct Sales</c:v>
                </c:pt>
                <c:pt idx="4">
                  <c:v>Feedstock Cost</c:v>
                </c:pt>
                <c:pt idx="5">
                  <c:v>Fixed Operating Cost</c:v>
                </c:pt>
                <c:pt idx="6">
                  <c:v>Initial Equity Depreciable Capital</c:v>
                </c:pt>
                <c:pt idx="7">
                  <c:v>Yearly Replacement Costs</c:v>
                </c:pt>
                <c:pt idx="8">
                  <c:v>Debt Interest</c:v>
                </c:pt>
                <c:pt idx="9">
                  <c:v>Principal Payment</c:v>
                </c:pt>
                <c:pt idx="10">
                  <c:v>Other Variable Operating Costs</c:v>
                </c:pt>
                <c:pt idx="11">
                  <c:v>Cash for Working Capital Reserve</c:v>
                </c:pt>
                <c:pt idx="12">
                  <c:v>Decommissioning Costs</c:v>
                </c:pt>
                <c:pt idx="13">
                  <c:v>Other Raw Material Cost</c:v>
                </c:pt>
                <c:pt idx="14">
                  <c:v>Other Non-Depreciable Capital Costs</c:v>
                </c:pt>
                <c:pt idx="15">
                  <c:v>Taxes</c:v>
                </c:pt>
              </c:strCache>
            </c:strRef>
          </c:cat>
          <c:val>
            <c:numRef>
              <c:f>'Tornado Charts &amp; Risk Analysis'!$I$155:$I$170</c:f>
              <c:numCache>
                <c:formatCode>_("$"* #,##0.00_);_("$"* \(#,##0.00\);_("$"* "-"??_);_(@_)</c:formatCode>
                <c:ptCount val="16"/>
                <c:pt idx="0">
                  <c:v>1.5026131500439255</c:v>
                </c:pt>
                <c:pt idx="1">
                  <c:v>8.3985124791984E-3</c:v>
                </c:pt>
                <c:pt idx="2">
                  <c:v>0</c:v>
                </c:pt>
                <c:pt idx="4">
                  <c:v>0.89987697572220759</c:v>
                </c:pt>
                <c:pt idx="5">
                  <c:v>0.21707557110629894</c:v>
                </c:pt>
                <c:pt idx="6">
                  <c:v>0.15658042695050911</c:v>
                </c:pt>
                <c:pt idx="7">
                  <c:v>9.7098374803344725E-2</c:v>
                </c:pt>
                <c:pt idx="8">
                  <c:v>8.2413067395405215E-2</c:v>
                </c:pt>
                <c:pt idx="9">
                  <c:v>3.4583579509844455E-2</c:v>
                </c:pt>
                <c:pt idx="10">
                  <c:v>1.9155093650587738E-2</c:v>
                </c:pt>
                <c:pt idx="11">
                  <c:v>1.5173573137579138E-2</c:v>
                </c:pt>
                <c:pt idx="12">
                  <c:v>8.3985124791984E-3</c:v>
                </c:pt>
                <c:pt idx="13">
                  <c:v>0</c:v>
                </c:pt>
                <c:pt idx="14">
                  <c:v>0</c:v>
                </c:pt>
                <c:pt idx="15">
                  <c:v>-1.934351223185217E-2</c:v>
                </c:pt>
              </c:numCache>
            </c:numRef>
          </c:val>
          <c:extLst>
            <c:ext xmlns:c16="http://schemas.microsoft.com/office/drawing/2014/chart" uri="{C3380CC4-5D6E-409C-BE32-E72D297353CC}">
              <c16:uniqueId val="{00000006-719D-44D2-BA2B-89782D674259}"/>
            </c:ext>
          </c:extLst>
        </c:ser>
        <c:dLbls>
          <c:showLegendKey val="0"/>
          <c:showVal val="0"/>
          <c:showCatName val="0"/>
          <c:showSerName val="0"/>
          <c:showPercent val="0"/>
          <c:showBubbleSize val="0"/>
        </c:dLbls>
        <c:gapWidth val="15"/>
        <c:axId val="254924288"/>
        <c:axId val="255255680"/>
      </c:barChart>
      <c:catAx>
        <c:axId val="254924288"/>
        <c:scaling>
          <c:orientation val="maxMin"/>
        </c:scaling>
        <c:delete val="1"/>
        <c:axPos val="l"/>
        <c:numFmt formatCode="0.000;;" sourceLinked="0"/>
        <c:majorTickMark val="none"/>
        <c:minorTickMark val="none"/>
        <c:tickLblPos val="nextTo"/>
        <c:crossAx val="255255680"/>
        <c:crosses val="autoZero"/>
        <c:auto val="1"/>
        <c:lblAlgn val="ctr"/>
        <c:lblOffset val="100"/>
        <c:noMultiLvlLbl val="0"/>
      </c:catAx>
      <c:valAx>
        <c:axId val="255255680"/>
        <c:scaling>
          <c:orientation val="minMax"/>
        </c:scaling>
        <c:delete val="0"/>
        <c:axPos val="b"/>
        <c:majorGridlines>
          <c:spPr>
            <a:ln w="9525" cap="flat" cmpd="sng" algn="ctr">
              <a:solidFill>
                <a:schemeClr val="bg1">
                  <a:lumMod val="9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t" anchorCtr="0"/>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254924288"/>
        <c:crosses val="max"/>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261473718427289"/>
          <c:y val="9.391989230914588E-2"/>
          <c:w val="0.78497440944881891"/>
          <c:h val="0.31475063124231972"/>
        </c:manualLayout>
      </c:layout>
      <c:barChart>
        <c:barDir val="bar"/>
        <c:grouping val="stacked"/>
        <c:varyColors val="0"/>
        <c:ser>
          <c:idx val="0"/>
          <c:order val="0"/>
          <c:tx>
            <c:strRef>
              <c:f>'Tornado Charts &amp; Risk Analysis'!$K$155</c:f>
              <c:strCache>
                <c:ptCount val="1"/>
                <c:pt idx="0">
                  <c:v>Cost of Hydrogen</c:v>
                </c:pt>
              </c:strCache>
            </c:strRef>
          </c:tx>
          <c:spPr>
            <a:solidFill>
              <a:srgbClr val="303C1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Analysis'!$L$154:$M$154</c:f>
              <c:strCache>
                <c:ptCount val="2"/>
                <c:pt idx="0">
                  <c:v>Revenues
 $/kg H2</c:v>
                </c:pt>
                <c:pt idx="1">
                  <c:v>Expenses
 $/kg H2</c:v>
                </c:pt>
              </c:strCache>
            </c:strRef>
          </c:cat>
          <c:val>
            <c:numRef>
              <c:f>'Tornado Charts &amp; Risk Analysis'!$L$155:$M$155</c:f>
              <c:numCache>
                <c:formatCode>General</c:formatCode>
                <c:ptCount val="2"/>
                <c:pt idx="0" formatCode="_(&quot;$&quot;* #,##0.00_);_(&quot;$&quot;* \(#,##0.00\);_(&quot;$&quot;* &quot;-&quot;??_);_(@_)">
                  <c:v>1.5026131500439255</c:v>
                </c:pt>
              </c:numCache>
            </c:numRef>
          </c:val>
          <c:extLst>
            <c:ext xmlns:c16="http://schemas.microsoft.com/office/drawing/2014/chart" uri="{C3380CC4-5D6E-409C-BE32-E72D297353CC}">
              <c16:uniqueId val="{00000000-8F09-4F3E-8E88-9B9B44EDCDF1}"/>
            </c:ext>
          </c:extLst>
        </c:ser>
        <c:ser>
          <c:idx val="1"/>
          <c:order val="1"/>
          <c:tx>
            <c:strRef>
              <c:f>'Tornado Charts &amp; Risk Analysis'!$K$156</c:f>
              <c:strCache>
                <c:ptCount val="1"/>
                <c:pt idx="0">
                  <c:v>Salvage Value</c:v>
                </c:pt>
              </c:strCache>
            </c:strRef>
          </c:tx>
          <c:spPr>
            <a:solidFill>
              <a:srgbClr val="586D2D"/>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Analysis'!$L$156:$M$156</c:f>
              <c:numCache>
                <c:formatCode>General</c:formatCode>
                <c:ptCount val="2"/>
                <c:pt idx="0" formatCode="_(&quot;$&quot;* #,##0.00_);_(&quot;$&quot;* \(#,##0.00\);_(&quot;$&quot;* &quot;-&quot;??_);_(@_)">
                  <c:v>8.3985124791984E-3</c:v>
                </c:pt>
              </c:numCache>
            </c:numRef>
          </c:val>
          <c:extLst>
            <c:ext xmlns:c16="http://schemas.microsoft.com/office/drawing/2014/chart" uri="{C3380CC4-5D6E-409C-BE32-E72D297353CC}">
              <c16:uniqueId val="{00000001-8F09-4F3E-8E88-9B9B44EDCDF1}"/>
            </c:ext>
          </c:extLst>
        </c:ser>
        <c:ser>
          <c:idx val="2"/>
          <c:order val="2"/>
          <c:tx>
            <c:strRef>
              <c:f>'Tornado Charts &amp; Risk Analysis'!$K$157</c:f>
              <c:strCache>
                <c:ptCount val="1"/>
                <c:pt idx="0">
                  <c:v>Byproduct Sales</c:v>
                </c:pt>
              </c:strCache>
            </c:strRef>
          </c:tx>
          <c:spPr>
            <a:solidFill>
              <a:srgbClr val="A0BF61"/>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Analysis'!$L$157:$M$157</c:f>
              <c:numCache>
                <c:formatCode>General</c:formatCode>
                <c:ptCount val="2"/>
                <c:pt idx="0" formatCode="_(&quot;$&quot;* #,##0.00_);_(&quot;$&quot;* \(#,##0.00\);_(&quot;$&quot;* &quot;-&quot;??_);_(@_)">
                  <c:v>0</c:v>
                </c:pt>
              </c:numCache>
            </c:numRef>
          </c:val>
          <c:extLst>
            <c:ext xmlns:c16="http://schemas.microsoft.com/office/drawing/2014/chart" uri="{C3380CC4-5D6E-409C-BE32-E72D297353CC}">
              <c16:uniqueId val="{00000002-8F09-4F3E-8E88-9B9B44EDCDF1}"/>
            </c:ext>
          </c:extLst>
        </c:ser>
        <c:ser>
          <c:idx val="3"/>
          <c:order val="3"/>
          <c:tx>
            <c:strRef>
              <c:f>'Tornado Charts &amp; Risk Analysis'!$K$158</c:f>
              <c:strCache>
                <c:ptCount val="1"/>
              </c:strCache>
            </c:strRef>
          </c:tx>
          <c:spPr>
            <a:solidFill>
              <a:schemeClr val="accent4"/>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Analysis'!$L$158:$M$158</c:f>
              <c:numCache>
                <c:formatCode>_("$"* #,##0.00_);_("$"* \(#,##0.00\);_("$"* "-"??_);_(@_)</c:formatCode>
                <c:ptCount val="2"/>
              </c:numCache>
            </c:numRef>
          </c:val>
          <c:extLst>
            <c:ext xmlns:c16="http://schemas.microsoft.com/office/drawing/2014/chart" uri="{C3380CC4-5D6E-409C-BE32-E72D297353CC}">
              <c16:uniqueId val="{00000003-8F09-4F3E-8E88-9B9B44EDCDF1}"/>
            </c:ext>
          </c:extLst>
        </c:ser>
        <c:ser>
          <c:idx val="4"/>
          <c:order val="4"/>
          <c:tx>
            <c:strRef>
              <c:f>'Tornado Charts &amp; Risk Analysis'!$K$159</c:f>
              <c:strCache>
                <c:ptCount val="1"/>
                <c:pt idx="0">
                  <c:v>Feedstock Cost</c:v>
                </c:pt>
              </c:strCache>
            </c:strRef>
          </c:tx>
          <c:spPr>
            <a:solidFill>
              <a:srgbClr val="0000FF"/>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Analysis'!$L$159:$M$159</c:f>
              <c:numCache>
                <c:formatCode>_("$"* #,##0.00_);_("$"* \(#,##0.00\);_("$"* "-"??_);_(@_)</c:formatCode>
                <c:ptCount val="2"/>
                <c:pt idx="1">
                  <c:v>0.89987697572220759</c:v>
                </c:pt>
              </c:numCache>
            </c:numRef>
          </c:val>
          <c:extLst>
            <c:ext xmlns:c16="http://schemas.microsoft.com/office/drawing/2014/chart" uri="{C3380CC4-5D6E-409C-BE32-E72D297353CC}">
              <c16:uniqueId val="{00000004-8F09-4F3E-8E88-9B9B44EDCDF1}"/>
            </c:ext>
          </c:extLst>
        </c:ser>
        <c:ser>
          <c:idx val="5"/>
          <c:order val="5"/>
          <c:tx>
            <c:strRef>
              <c:f>'Tornado Charts &amp; Risk Analysis'!$K$160</c:f>
              <c:strCache>
                <c:ptCount val="1"/>
                <c:pt idx="0">
                  <c:v>Fixed Operating Cost</c:v>
                </c:pt>
              </c:strCache>
            </c:strRef>
          </c:tx>
          <c:spPr>
            <a:solidFill>
              <a:srgbClr val="D60000"/>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Analysis'!$L$160:$M$160</c:f>
              <c:numCache>
                <c:formatCode>_("$"* #,##0.00_);_("$"* \(#,##0.00\);_("$"* "-"??_);_(@_)</c:formatCode>
                <c:ptCount val="2"/>
                <c:pt idx="1">
                  <c:v>0.21707557110629894</c:v>
                </c:pt>
              </c:numCache>
            </c:numRef>
          </c:val>
          <c:extLst>
            <c:ext xmlns:c16="http://schemas.microsoft.com/office/drawing/2014/chart" uri="{C3380CC4-5D6E-409C-BE32-E72D297353CC}">
              <c16:uniqueId val="{00000005-8F09-4F3E-8E88-9B9B44EDCDF1}"/>
            </c:ext>
          </c:extLst>
        </c:ser>
        <c:ser>
          <c:idx val="6"/>
          <c:order val="6"/>
          <c:tx>
            <c:strRef>
              <c:f>'Tornado Charts &amp; Risk Analysis'!$K$161</c:f>
              <c:strCache>
                <c:ptCount val="1"/>
                <c:pt idx="0">
                  <c:v>Initial Equity Depreciable Capital</c:v>
                </c:pt>
              </c:strCache>
            </c:strRef>
          </c:tx>
          <c:spPr>
            <a:solidFill>
              <a:srgbClr val="00AC00"/>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Analysis'!$L$161:$M$161</c:f>
              <c:numCache>
                <c:formatCode>_("$"* #,##0.00_);_("$"* \(#,##0.00\);_("$"* "-"??_);_(@_)</c:formatCode>
                <c:ptCount val="2"/>
                <c:pt idx="1">
                  <c:v>0.15658042695050911</c:v>
                </c:pt>
              </c:numCache>
            </c:numRef>
          </c:val>
          <c:extLst>
            <c:ext xmlns:c16="http://schemas.microsoft.com/office/drawing/2014/chart" uri="{C3380CC4-5D6E-409C-BE32-E72D297353CC}">
              <c16:uniqueId val="{00000006-8F09-4F3E-8E88-9B9B44EDCDF1}"/>
            </c:ext>
          </c:extLst>
        </c:ser>
        <c:ser>
          <c:idx val="7"/>
          <c:order val="7"/>
          <c:tx>
            <c:strRef>
              <c:f>'Tornado Charts &amp; Risk Analysis'!$K$162</c:f>
              <c:strCache>
                <c:ptCount val="1"/>
                <c:pt idx="0">
                  <c:v>Yearly Replacement Costs</c:v>
                </c:pt>
              </c:strCache>
            </c:strRef>
          </c:tx>
          <c:spPr>
            <a:solidFill>
              <a:srgbClr val="000096"/>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Analysis'!$L$162:$M$162</c:f>
              <c:numCache>
                <c:formatCode>_("$"* #,##0.00_);_("$"* \(#,##0.00\);_("$"* "-"??_);_(@_)</c:formatCode>
                <c:ptCount val="2"/>
                <c:pt idx="1">
                  <c:v>9.7098374803344725E-2</c:v>
                </c:pt>
              </c:numCache>
            </c:numRef>
          </c:val>
          <c:extLst>
            <c:ext xmlns:c16="http://schemas.microsoft.com/office/drawing/2014/chart" uri="{C3380CC4-5D6E-409C-BE32-E72D297353CC}">
              <c16:uniqueId val="{00000007-8F09-4F3E-8E88-9B9B44EDCDF1}"/>
            </c:ext>
          </c:extLst>
        </c:ser>
        <c:ser>
          <c:idx val="8"/>
          <c:order val="8"/>
          <c:tx>
            <c:strRef>
              <c:f>'Tornado Charts &amp; Risk Analysis'!$K$163</c:f>
              <c:strCache>
                <c:ptCount val="1"/>
                <c:pt idx="0">
                  <c:v>Debt Interest</c:v>
                </c:pt>
              </c:strCache>
            </c:strRef>
          </c:tx>
          <c:spPr>
            <a:solidFill>
              <a:srgbClr val="E6009F"/>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Analysis'!$L$163:$M$163</c:f>
              <c:numCache>
                <c:formatCode>_("$"* #,##0.00_);_("$"* \(#,##0.00\);_("$"* "-"??_);_(@_)</c:formatCode>
                <c:ptCount val="2"/>
                <c:pt idx="1">
                  <c:v>8.2413067395405215E-2</c:v>
                </c:pt>
              </c:numCache>
            </c:numRef>
          </c:val>
          <c:extLst>
            <c:ext xmlns:c16="http://schemas.microsoft.com/office/drawing/2014/chart" uri="{C3380CC4-5D6E-409C-BE32-E72D297353CC}">
              <c16:uniqueId val="{00000008-8F09-4F3E-8E88-9B9B44EDCDF1}"/>
            </c:ext>
          </c:extLst>
        </c:ser>
        <c:ser>
          <c:idx val="9"/>
          <c:order val="9"/>
          <c:tx>
            <c:strRef>
              <c:f>'Tornado Charts &amp; Risk Analysis'!$K$164</c:f>
              <c:strCache>
                <c:ptCount val="1"/>
                <c:pt idx="0">
                  <c:v>Principal Payment</c:v>
                </c:pt>
              </c:strCache>
            </c:strRef>
          </c:tx>
          <c:spPr>
            <a:solidFill>
              <a:srgbClr val="B7AB11"/>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Analysis'!$L$164:$M$164</c:f>
              <c:numCache>
                <c:formatCode>_("$"* #,##0.00_);_("$"* \(#,##0.00\);_("$"* "-"??_);_(@_)</c:formatCode>
                <c:ptCount val="2"/>
                <c:pt idx="1">
                  <c:v>3.4583579509844455E-2</c:v>
                </c:pt>
              </c:numCache>
            </c:numRef>
          </c:val>
          <c:extLst>
            <c:ext xmlns:c16="http://schemas.microsoft.com/office/drawing/2014/chart" uri="{C3380CC4-5D6E-409C-BE32-E72D297353CC}">
              <c16:uniqueId val="{00000009-8F09-4F3E-8E88-9B9B44EDCDF1}"/>
            </c:ext>
          </c:extLst>
        </c:ser>
        <c:ser>
          <c:idx val="10"/>
          <c:order val="10"/>
          <c:tx>
            <c:strRef>
              <c:f>'Tornado Charts &amp; Risk Analysis'!$K$165</c:f>
              <c:strCache>
                <c:ptCount val="1"/>
                <c:pt idx="0">
                  <c:v>Other Variable Operating Costs</c:v>
                </c:pt>
              </c:strCache>
            </c:strRef>
          </c:tx>
          <c:spPr>
            <a:solidFill>
              <a:srgbClr val="A800D0"/>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Analysis'!$L$165:$M$165</c:f>
              <c:numCache>
                <c:formatCode>_("$"* #,##0.00_);_("$"* \(#,##0.00\);_("$"* "-"??_);_(@_)</c:formatCode>
                <c:ptCount val="2"/>
                <c:pt idx="1">
                  <c:v>1.9155093650587738E-2</c:v>
                </c:pt>
              </c:numCache>
            </c:numRef>
          </c:val>
          <c:extLst>
            <c:ext xmlns:c16="http://schemas.microsoft.com/office/drawing/2014/chart" uri="{C3380CC4-5D6E-409C-BE32-E72D297353CC}">
              <c16:uniqueId val="{0000000A-8F09-4F3E-8E88-9B9B44EDCDF1}"/>
            </c:ext>
          </c:extLst>
        </c:ser>
        <c:ser>
          <c:idx val="11"/>
          <c:order val="11"/>
          <c:tx>
            <c:strRef>
              <c:f>'Tornado Charts &amp; Risk Analysis'!$K$166</c:f>
              <c:strCache>
                <c:ptCount val="1"/>
                <c:pt idx="0">
                  <c:v>Cash for Working Capital Reserve</c:v>
                </c:pt>
              </c:strCache>
            </c:strRef>
          </c:tx>
          <c:spPr>
            <a:solidFill>
              <a:srgbClr val="8484FF"/>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Analysis'!$L$166:$M$166</c:f>
              <c:numCache>
                <c:formatCode>_("$"* #,##0.00_);_("$"* \(#,##0.00\);_("$"* "-"??_);_(@_)</c:formatCode>
                <c:ptCount val="2"/>
                <c:pt idx="1">
                  <c:v>1.5173573137579138E-2</c:v>
                </c:pt>
              </c:numCache>
            </c:numRef>
          </c:val>
          <c:extLst>
            <c:ext xmlns:c16="http://schemas.microsoft.com/office/drawing/2014/chart" uri="{C3380CC4-5D6E-409C-BE32-E72D297353CC}">
              <c16:uniqueId val="{0000000B-8F09-4F3E-8E88-9B9B44EDCDF1}"/>
            </c:ext>
          </c:extLst>
        </c:ser>
        <c:ser>
          <c:idx val="12"/>
          <c:order val="12"/>
          <c:tx>
            <c:strRef>
              <c:f>'Tornado Charts &amp; Risk Analysis'!$K$167</c:f>
              <c:strCache>
                <c:ptCount val="1"/>
                <c:pt idx="0">
                  <c:v>Decommissioning Costs</c:v>
                </c:pt>
              </c:strCache>
            </c:strRef>
          </c:tx>
          <c:spPr>
            <a:solidFill>
              <a:srgbClr val="82413A"/>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Analysis'!$L$167:$M$167</c:f>
              <c:numCache>
                <c:formatCode>_("$"* #,##0.00_);_("$"* \(#,##0.00\);_("$"* "-"??_);_(@_)</c:formatCode>
                <c:ptCount val="2"/>
                <c:pt idx="1">
                  <c:v>8.3985124791984E-3</c:v>
                </c:pt>
              </c:numCache>
            </c:numRef>
          </c:val>
          <c:extLst>
            <c:ext xmlns:c16="http://schemas.microsoft.com/office/drawing/2014/chart" uri="{C3380CC4-5D6E-409C-BE32-E72D297353CC}">
              <c16:uniqueId val="{0000000C-8F09-4F3E-8E88-9B9B44EDCDF1}"/>
            </c:ext>
          </c:extLst>
        </c:ser>
        <c:ser>
          <c:idx val="13"/>
          <c:order val="13"/>
          <c:tx>
            <c:strRef>
              <c:f>'Tornado Charts &amp; Risk Analysis'!$K$168</c:f>
              <c:strCache>
                <c:ptCount val="1"/>
                <c:pt idx="0">
                  <c:v>Other Raw Material Cost</c:v>
                </c:pt>
              </c:strCache>
            </c:strRef>
          </c:tx>
          <c:spPr>
            <a:solidFill>
              <a:srgbClr val="00C898"/>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Analysis'!$L$168:$M$168</c:f>
              <c:numCache>
                <c:formatCode>_("$"* #,##0.00_);_("$"* \(#,##0.00\);_("$"* "-"??_);_(@_)</c:formatCode>
                <c:ptCount val="2"/>
                <c:pt idx="1">
                  <c:v>0</c:v>
                </c:pt>
              </c:numCache>
            </c:numRef>
          </c:val>
          <c:extLst>
            <c:ext xmlns:c16="http://schemas.microsoft.com/office/drawing/2014/chart" uri="{C3380CC4-5D6E-409C-BE32-E72D297353CC}">
              <c16:uniqueId val="{0000000D-8F09-4F3E-8E88-9B9B44EDCDF1}"/>
            </c:ext>
          </c:extLst>
        </c:ser>
        <c:ser>
          <c:idx val="14"/>
          <c:order val="14"/>
          <c:tx>
            <c:strRef>
              <c:f>'Tornado Charts &amp; Risk Analysis'!$K$169</c:f>
              <c:strCache>
                <c:ptCount val="1"/>
                <c:pt idx="0">
                  <c:v>Other Non-Depreciable Capital Costs</c:v>
                </c:pt>
              </c:strCache>
            </c:strRef>
          </c:tx>
          <c:spPr>
            <a:solidFill>
              <a:srgbClr val="006876"/>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Analysis'!$L$169:$M$169</c:f>
              <c:numCache>
                <c:formatCode>_("$"* #,##0.00_);_("$"* \(#,##0.00\);_("$"* "-"??_);_(@_)</c:formatCode>
                <c:ptCount val="2"/>
                <c:pt idx="1">
                  <c:v>0</c:v>
                </c:pt>
              </c:numCache>
            </c:numRef>
          </c:val>
          <c:extLst>
            <c:ext xmlns:c16="http://schemas.microsoft.com/office/drawing/2014/chart" uri="{C3380CC4-5D6E-409C-BE32-E72D297353CC}">
              <c16:uniqueId val="{0000000E-8F09-4F3E-8E88-9B9B44EDCDF1}"/>
            </c:ext>
          </c:extLst>
        </c:ser>
        <c:ser>
          <c:idx val="15"/>
          <c:order val="15"/>
          <c:tx>
            <c:strRef>
              <c:f>'Tornado Charts &amp; Risk Analysis'!$K$170</c:f>
              <c:strCache>
                <c:ptCount val="1"/>
                <c:pt idx="0">
                  <c:v>Taxes</c:v>
                </c:pt>
              </c:strCache>
            </c:strRef>
          </c:tx>
          <c:spPr>
            <a:solidFill>
              <a:srgbClr val="A2BF37"/>
            </a:solidFill>
            <a:ln>
              <a:noFill/>
            </a:ln>
            <a:effectLst/>
          </c:spPr>
          <c:invertIfNegative val="0"/>
          <c:cat>
            <c:strRef>
              <c:f>'Tornado Charts &amp; Risk Analysis'!$L$154:$M$154</c:f>
              <c:strCache>
                <c:ptCount val="2"/>
                <c:pt idx="0">
                  <c:v>Revenues
 $/kg H2</c:v>
                </c:pt>
                <c:pt idx="1">
                  <c:v>Expenses
 $/kg H2</c:v>
                </c:pt>
              </c:strCache>
            </c:strRef>
          </c:cat>
          <c:val>
            <c:numRef>
              <c:f>'Tornado Charts &amp; Risk Analysis'!$L$170:$M$170</c:f>
              <c:numCache>
                <c:formatCode>_("$"* #,##0.00_);_("$"* \(#,##0.00\);_("$"* "-"??_);_(@_)</c:formatCode>
                <c:ptCount val="2"/>
                <c:pt idx="1">
                  <c:v>-1.934351223185217E-2</c:v>
                </c:pt>
              </c:numCache>
            </c:numRef>
          </c:val>
          <c:extLst>
            <c:ext xmlns:c16="http://schemas.microsoft.com/office/drawing/2014/chart" uri="{C3380CC4-5D6E-409C-BE32-E72D297353CC}">
              <c16:uniqueId val="{0000000F-8F09-4F3E-8E88-9B9B44EDCDF1}"/>
            </c:ext>
          </c:extLst>
        </c:ser>
        <c:dLbls>
          <c:showLegendKey val="0"/>
          <c:showVal val="0"/>
          <c:showCatName val="0"/>
          <c:showSerName val="0"/>
          <c:showPercent val="0"/>
          <c:showBubbleSize val="0"/>
        </c:dLbls>
        <c:gapWidth val="20"/>
        <c:overlap val="100"/>
        <c:axId val="267054464"/>
        <c:axId val="267056256"/>
      </c:barChart>
      <c:scatterChart>
        <c:scatterStyle val="lineMarker"/>
        <c:varyColors val="0"/>
        <c:ser>
          <c:idx val="16"/>
          <c:order val="16"/>
          <c:tx>
            <c:v>Totals</c:v>
          </c:tx>
          <c:spPr>
            <a:ln w="2540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'Tornado Charts &amp; Risk Analysis'!$L$171:$M$171</c:f>
              <c:numCache>
                <c:formatCode>_("$"* #,##0.00_);_("$"* \(#,##0.00\);_("$"* "-"??_);_(@_)</c:formatCode>
                <c:ptCount val="2"/>
                <c:pt idx="0">
                  <c:v>1.5110116625231238</c:v>
                </c:pt>
                <c:pt idx="1">
                  <c:v>1.5110116625231227</c:v>
                </c:pt>
              </c:numCache>
            </c:numRef>
          </c:xVal>
          <c:yVal>
            <c:numLit>
              <c:formatCode>General</c:formatCode>
              <c:ptCount val="2"/>
              <c:pt idx="0">
                <c:v>1</c:v>
              </c:pt>
              <c:pt idx="1">
                <c:v>2</c:v>
              </c:pt>
            </c:numLit>
          </c:yVal>
          <c:smooth val="0"/>
          <c:extLst>
            <c:ext xmlns:c16="http://schemas.microsoft.com/office/drawing/2014/chart" uri="{C3380CC4-5D6E-409C-BE32-E72D297353CC}">
              <c16:uniqueId val="{00000010-8F09-4F3E-8E88-9B9B44EDCDF1}"/>
            </c:ext>
          </c:extLst>
        </c:ser>
        <c:dLbls>
          <c:showLegendKey val="0"/>
          <c:showVal val="0"/>
          <c:showCatName val="0"/>
          <c:showSerName val="0"/>
          <c:showPercent val="0"/>
          <c:showBubbleSize val="0"/>
        </c:dLbls>
        <c:axId val="267365376"/>
        <c:axId val="267363840"/>
      </c:scatterChart>
      <c:catAx>
        <c:axId val="26705446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67056256"/>
        <c:crosses val="autoZero"/>
        <c:auto val="1"/>
        <c:lblAlgn val="ctr"/>
        <c:lblOffset val="100"/>
        <c:noMultiLvlLbl val="0"/>
      </c:catAx>
      <c:valAx>
        <c:axId val="267056256"/>
        <c:scaling>
          <c:orientation val="minMax"/>
        </c:scaling>
        <c:delete val="0"/>
        <c:axPos val="b"/>
        <c:majorGridlines>
          <c:spPr>
            <a:ln w="0" cap="flat" cmpd="sng" algn="ctr">
              <a:solidFill>
                <a:schemeClr val="bg1">
                  <a:lumMod val="95000"/>
                </a:schemeClr>
              </a:solidFill>
              <a:round/>
            </a:ln>
            <a:effectLst/>
          </c:spPr>
        </c:majorGridlines>
        <c:numFmt formatCode="_(&quot;$&quot;* #,##0.00_);;" sourceLinked="0"/>
        <c:majorTickMark val="out"/>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67054464"/>
        <c:crosses val="max"/>
        <c:crossBetween val="between"/>
      </c:valAx>
      <c:valAx>
        <c:axId val="267363840"/>
        <c:scaling>
          <c:orientation val="maxMin"/>
          <c:max val="2.5"/>
          <c:min val="0.5"/>
        </c:scaling>
        <c:delete val="1"/>
        <c:axPos val="r"/>
        <c:numFmt formatCode="General" sourceLinked="1"/>
        <c:majorTickMark val="out"/>
        <c:minorTickMark val="none"/>
        <c:tickLblPos val="nextTo"/>
        <c:crossAx val="267365376"/>
        <c:crosses val="max"/>
        <c:crossBetween val="midCat"/>
      </c:valAx>
      <c:valAx>
        <c:axId val="267365376"/>
        <c:scaling>
          <c:orientation val="minMax"/>
        </c:scaling>
        <c:delete val="1"/>
        <c:axPos val="t"/>
        <c:numFmt formatCode="_(&quot;$&quot;* #,##0.00_);_(&quot;$&quot;* \(#,##0.00\);_(&quot;$&quot;* &quot;-&quot;??_);_(@_)" sourceLinked="1"/>
        <c:majorTickMark val="out"/>
        <c:minorTickMark val="none"/>
        <c:tickLblPos val="nextTo"/>
        <c:crossAx val="267363840"/>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615551426533869"/>
          <c:y val="4.9523465153666311E-2"/>
          <c:w val="0.60875437728064841"/>
          <c:h val="0.84603484367494597"/>
        </c:manualLayout>
      </c:layout>
      <c:barChart>
        <c:barDir val="bar"/>
        <c:grouping val="stacked"/>
        <c:varyColors val="0"/>
        <c:ser>
          <c:idx val="0"/>
          <c:order val="0"/>
          <c:tx>
            <c:strRef>
              <c:f>'Tornado Charts &amp; Risk Analysis'!$H$100</c:f>
              <c:strCache>
                <c:ptCount val="1"/>
                <c:pt idx="0">
                  <c:v>dL0</c:v>
                </c:pt>
              </c:strCache>
            </c:strRef>
          </c:tx>
          <c:spPr>
            <a:noFill/>
            <a:ln w="9525" cap="flat" cmpd="sng" algn="ctr">
              <a:noFill/>
              <a:round/>
            </a:ln>
            <a:effectLst/>
          </c:spPr>
          <c:invertIfNegative val="0"/>
          <c:cat>
            <c:strRef>
              <c:f>'Tornado Charts &amp; Risk Analysis'!$D$101:$D$107</c:f>
              <c:strCache>
                <c:ptCount val="7"/>
                <c:pt idx="0">
                  <c:v>Operating Capacity Factor
(90%, 86%, 82%)</c:v>
                </c:pt>
                <c:pt idx="1">
                  <c:v>Total Capital Investment
($1,672K, $1,760K, $1,848K) </c:v>
                </c:pt>
                <c:pt idx="2">
                  <c:v>Total Fixed Operating Cost
($0,096K, $0,101K, $0,106K) </c:v>
                </c:pt>
                <c:pt idx="3">
                  <c:v>Plant Design Capacity (kg of H2/day)
(1,575, 1,500, 1,425) </c:v>
                </c:pt>
                <c:pt idx="4">
                  <c:v>After-tax Real IRR
(8%, 8%, 8%)</c:v>
                </c:pt>
                <c:pt idx="5">
                  <c:v>Feedstock Consumption (% of baseline)
(95%, 100%, 105%)</c:v>
                </c:pt>
                <c:pt idx="6">
                  <c:v>Utilities Consumption (% of baseline)
(95%, 100%, 105%)</c:v>
                </c:pt>
              </c:strCache>
            </c:strRef>
          </c:cat>
          <c:val>
            <c:numRef>
              <c:f>'Tornado Charts &amp; Risk Analysis'!$H$101:$H$107</c:f>
              <c:numCache>
                <c:formatCode>General</c:formatCode>
                <c:ptCount val="7"/>
                <c:pt idx="0">
                  <c:v>6.7104490271023414</c:v>
                </c:pt>
                <c:pt idx="1">
                  <c:v>6.7245082073347655</c:v>
                </c:pt>
                <c:pt idx="2">
                  <c:v>6.7305856385198117</c:v>
                </c:pt>
                <c:pt idx="3">
                  <c:v>6.7351314435808316</c:v>
                </c:pt>
                <c:pt idx="4">
                  <c:v>6.7398361443768522</c:v>
                </c:pt>
                <c:pt idx="5">
                  <c:v>6.7415777638161085</c:v>
                </c:pt>
                <c:pt idx="6">
                  <c:v>6.744328582053198</c:v>
                </c:pt>
              </c:numCache>
            </c:numRef>
          </c:val>
          <c:extLst>
            <c:ext xmlns:c16="http://schemas.microsoft.com/office/drawing/2014/chart" uri="{C3380CC4-5D6E-409C-BE32-E72D297353CC}">
              <c16:uniqueId val="{00000000-FD9E-48E0-BDF2-1E9EFCB1BA06}"/>
            </c:ext>
          </c:extLst>
        </c:ser>
        <c:ser>
          <c:idx val="1"/>
          <c:order val="1"/>
          <c:tx>
            <c:strRef>
              <c:f>'Tornado Charts &amp; Risk Analysis'!$I$100</c:f>
              <c:strCache>
                <c:ptCount val="1"/>
                <c:pt idx="0">
                  <c:v>dL1</c:v>
                </c:pt>
              </c:strCache>
            </c:strRef>
          </c:tx>
          <c:spPr>
            <a:gradFill rotWithShape="1">
              <a:gsLst>
                <a:gs pos="0">
                  <a:srgbClr val="DAFDA7"/>
                </a:gs>
                <a:gs pos="35000">
                  <a:srgbClr val="E4FDC2"/>
                </a:gs>
                <a:gs pos="100000">
                  <a:srgbClr val="F5FFE6"/>
                </a:gs>
              </a:gsLst>
              <a:lin ang="16200000" scaled="1"/>
            </a:gradFill>
            <a:ln w="9525" cap="flat" cmpd="sng" algn="ctr">
              <a:solidFill>
                <a:srgbClr val="97B757"/>
              </a:solidFill>
              <a:round/>
            </a:ln>
            <a:effectLst>
              <a:outerShdw blurRad="40000" dist="20000" dir="5400000" rotWithShape="0">
                <a:srgbClr val="000000">
                  <a:alpha val="38000"/>
                </a:srgbClr>
              </a:outerShdw>
            </a:effectLst>
          </c:spPr>
          <c:invertIfNegative val="0"/>
          <c:cat>
            <c:strRef>
              <c:f>'Tornado Charts &amp; Risk Analysis'!$D$101:$D$107</c:f>
              <c:strCache>
                <c:ptCount val="7"/>
                <c:pt idx="0">
                  <c:v>Operating Capacity Factor
(90%, 86%, 82%)</c:v>
                </c:pt>
                <c:pt idx="1">
                  <c:v>Total Capital Investment
($1,672K, $1,760K, $1,848K) </c:v>
                </c:pt>
                <c:pt idx="2">
                  <c:v>Total Fixed Operating Cost
($0,096K, $0,101K, $0,106K) </c:v>
                </c:pt>
                <c:pt idx="3">
                  <c:v>Plant Design Capacity (kg of H2/day)
(1,575, 1,500, 1,425) </c:v>
                </c:pt>
                <c:pt idx="4">
                  <c:v>After-tax Real IRR
(8%, 8%, 8%)</c:v>
                </c:pt>
                <c:pt idx="5">
                  <c:v>Feedstock Consumption (% of baseline)
(95%, 100%, 105%)</c:v>
                </c:pt>
                <c:pt idx="6">
                  <c:v>Utilities Consumption (% of baseline)
(95%, 100%, 105%)</c:v>
                </c:pt>
              </c:strCache>
            </c:strRef>
          </c:cat>
          <c:val>
            <c:numRef>
              <c:f>'Tornado Charts &amp; Risk Analysis'!$I$101:$I$107</c:f>
              <c:numCache>
                <c:formatCode>General</c:formatCode>
                <c:ptCount val="7"/>
                <c:pt idx="0">
                  <c:v>3.3879554950856594E-2</c:v>
                </c:pt>
                <c:pt idx="1">
                  <c:v>1.9820374718432454E-2</c:v>
                </c:pt>
                <c:pt idx="2">
                  <c:v>1.3742943533386232E-2</c:v>
                </c:pt>
                <c:pt idx="3">
                  <c:v>9.1971384723663618E-3</c:v>
                </c:pt>
                <c:pt idx="4">
                  <c:v>4.492437676345773E-3</c:v>
                </c:pt>
                <c:pt idx="5">
                  <c:v>2.7508182370894474E-3</c:v>
                </c:pt>
                <c:pt idx="6">
                  <c:v>0</c:v>
                </c:pt>
              </c:numCache>
            </c:numRef>
          </c:val>
          <c:extLst>
            <c:ext xmlns:c16="http://schemas.microsoft.com/office/drawing/2014/chart" uri="{C3380CC4-5D6E-409C-BE32-E72D297353CC}">
              <c16:uniqueId val="{00000001-FD9E-48E0-BDF2-1E9EFCB1BA06}"/>
            </c:ext>
          </c:extLst>
        </c:ser>
        <c:ser>
          <c:idx val="2"/>
          <c:order val="2"/>
          <c:tx>
            <c:strRef>
              <c:f>'Tornado Charts &amp; Risk Analysis'!$J$100</c:f>
              <c:strCache>
                <c:ptCount val="1"/>
                <c:pt idx="0">
                  <c:v>dL2</c:v>
                </c:pt>
              </c:strCache>
            </c:strRef>
          </c:tx>
          <c:spPr>
            <a:gradFill rotWithShape="1">
              <a:gsLst>
                <a:gs pos="0">
                  <a:srgbClr val="FFA2A1"/>
                </a:gs>
                <a:gs pos="35000">
                  <a:srgbClr val="FFBEBD"/>
                </a:gs>
                <a:gs pos="100000">
                  <a:srgbClr val="FFE5E5"/>
                </a:gs>
              </a:gsLst>
              <a:lin ang="16200000" scaled="1"/>
            </a:gradFill>
            <a:ln w="9525" cap="flat" cmpd="sng" algn="ctr">
              <a:solidFill>
                <a:srgbClr val="B54E4B"/>
              </a:solidFill>
              <a:round/>
            </a:ln>
            <a:effectLst>
              <a:outerShdw blurRad="40000" dist="20000" dir="5400000" rotWithShape="0">
                <a:srgbClr val="000000">
                  <a:alpha val="38000"/>
                </a:srgbClr>
              </a:outerShdw>
            </a:effectLst>
          </c:spPr>
          <c:invertIfNegative val="0"/>
          <c:cat>
            <c:strRef>
              <c:f>'Tornado Charts &amp; Risk Analysis'!$D$101:$D$107</c:f>
              <c:strCache>
                <c:ptCount val="7"/>
                <c:pt idx="0">
                  <c:v>Operating Capacity Factor
(90%, 86%, 82%)</c:v>
                </c:pt>
                <c:pt idx="1">
                  <c:v>Total Capital Investment
($1,672K, $1,760K, $1,848K) </c:v>
                </c:pt>
                <c:pt idx="2">
                  <c:v>Total Fixed Operating Cost
($0,096K, $0,101K, $0,106K) </c:v>
                </c:pt>
                <c:pt idx="3">
                  <c:v>Plant Design Capacity (kg of H2/day)
(1,575, 1,500, 1,425) </c:v>
                </c:pt>
                <c:pt idx="4">
                  <c:v>After-tax Real IRR
(8%, 8%, 8%)</c:v>
                </c:pt>
                <c:pt idx="5">
                  <c:v>Feedstock Consumption (% of baseline)
(95%, 100%, 105%)</c:v>
                </c:pt>
                <c:pt idx="6">
                  <c:v>Utilities Consumption (% of baseline)
(95%, 100%, 105%)</c:v>
                </c:pt>
              </c:strCache>
            </c:strRef>
          </c:cat>
          <c:val>
            <c:numRef>
              <c:f>'Tornado Charts &amp; Risk Analysis'!$J$101:$J$107</c:f>
              <c:numCache>
                <c:formatCode>General</c:formatCode>
                <c:ptCount val="7"/>
                <c:pt idx="0">
                  <c:v>3.7445823893055952E-2</c:v>
                </c:pt>
                <c:pt idx="1">
                  <c:v>1.9820374718433342E-2</c:v>
                </c:pt>
                <c:pt idx="2">
                  <c:v>1.374294353338712E-2</c:v>
                </c:pt>
                <c:pt idx="3">
                  <c:v>9.9467597105782346E-3</c:v>
                </c:pt>
                <c:pt idx="4">
                  <c:v>4.5043244582885222E-3</c:v>
                </c:pt>
                <c:pt idx="5">
                  <c:v>2.7508182370894474E-3</c:v>
                </c:pt>
                <c:pt idx="6">
                  <c:v>0</c:v>
                </c:pt>
              </c:numCache>
            </c:numRef>
          </c:val>
          <c:extLst>
            <c:ext xmlns:c16="http://schemas.microsoft.com/office/drawing/2014/chart" uri="{C3380CC4-5D6E-409C-BE32-E72D297353CC}">
              <c16:uniqueId val="{00000002-FD9E-48E0-BDF2-1E9EFCB1BA06}"/>
            </c:ext>
          </c:extLst>
        </c:ser>
        <c:dLbls>
          <c:showLegendKey val="0"/>
          <c:showVal val="0"/>
          <c:showCatName val="0"/>
          <c:showSerName val="0"/>
          <c:showPercent val="0"/>
          <c:showBubbleSize val="0"/>
        </c:dLbls>
        <c:gapWidth val="50"/>
        <c:overlap val="100"/>
        <c:axId val="276383616"/>
        <c:axId val="278454272"/>
      </c:barChart>
      <c:scatterChart>
        <c:scatterStyle val="lineMarker"/>
        <c:varyColors val="0"/>
        <c:ser>
          <c:idx val="3"/>
          <c:order val="3"/>
          <c:spPr>
            <a:ln w="25400" cap="flat" cmpd="sng" algn="ctr">
              <a:noFill/>
              <a:round/>
            </a:ln>
            <a:effectLst>
              <a:outerShdw blurRad="40000" dist="20000" dir="5400000" rotWithShape="0">
                <a:srgbClr val="000000">
                  <a:alpha val="38000"/>
                </a:srgbClr>
              </a:outerShdw>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l"/>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 &amp; Risk Analysis'!$E$101:$E$107</c:f>
              <c:numCache>
                <c:formatCode>0.000</c:formatCode>
                <c:ptCount val="7"/>
                <c:pt idx="0">
                  <c:v>6.7104490271023414</c:v>
                </c:pt>
                <c:pt idx="1">
                  <c:v>6.7245082073347655</c:v>
                </c:pt>
                <c:pt idx="2">
                  <c:v>6.7305856385198117</c:v>
                </c:pt>
                <c:pt idx="3">
                  <c:v>6.7351314435808316</c:v>
                </c:pt>
                <c:pt idx="4">
                  <c:v>6.7398361443768522</c:v>
                </c:pt>
                <c:pt idx="5">
                  <c:v>6.7415777638161085</c:v>
                </c:pt>
                <c:pt idx="6">
                  <c:v>6.744328582053198</c:v>
                </c:pt>
              </c:numCache>
            </c:numRef>
          </c:xVal>
          <c:yVal>
            <c:numRef>
              <c:f>'Tornado Charts &amp; Risk Analysis'!$C$101:$C$107</c:f>
              <c:numCache>
                <c:formatCode>General</c:formatCode>
                <c:ptCount val="7"/>
                <c:pt idx="0">
                  <c:v>1</c:v>
                </c:pt>
                <c:pt idx="1">
                  <c:v>2</c:v>
                </c:pt>
                <c:pt idx="2">
                  <c:v>3</c:v>
                </c:pt>
                <c:pt idx="3">
                  <c:v>4</c:v>
                </c:pt>
                <c:pt idx="4">
                  <c:v>5</c:v>
                </c:pt>
                <c:pt idx="5">
                  <c:v>6</c:v>
                </c:pt>
                <c:pt idx="6">
                  <c:v>7</c:v>
                </c:pt>
              </c:numCache>
            </c:numRef>
          </c:yVal>
          <c:smooth val="0"/>
          <c:extLst>
            <c:ext xmlns:c16="http://schemas.microsoft.com/office/drawing/2014/chart" uri="{C3380CC4-5D6E-409C-BE32-E72D297353CC}">
              <c16:uniqueId val="{00000003-FD9E-48E0-BDF2-1E9EFCB1BA06}"/>
            </c:ext>
          </c:extLst>
        </c:ser>
        <c:ser>
          <c:idx val="4"/>
          <c:order val="4"/>
          <c:spPr>
            <a:ln w="25400" cap="rnd">
              <a:noFill/>
              <a:round/>
            </a:ln>
            <a:effectLst>
              <a:outerShdw blurRad="40000" dist="20000" dir="5400000" rotWithShape="0">
                <a:srgbClr val="000000">
                  <a:alpha val="38000"/>
                </a:srgbClr>
              </a:outerShdw>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 &amp; Risk Analysis'!$G$101:$G$107</c:f>
              <c:numCache>
                <c:formatCode>0.000</c:formatCode>
                <c:ptCount val="7"/>
                <c:pt idx="0">
                  <c:v>6.7817744059462539</c:v>
                </c:pt>
                <c:pt idx="1">
                  <c:v>6.7641489567716313</c:v>
                </c:pt>
                <c:pt idx="2">
                  <c:v>6.7580715255865851</c:v>
                </c:pt>
                <c:pt idx="3">
                  <c:v>6.7542753417637762</c:v>
                </c:pt>
                <c:pt idx="4">
                  <c:v>6.7488329065114865</c:v>
                </c:pt>
                <c:pt idx="5">
                  <c:v>6.7470794002902874</c:v>
                </c:pt>
                <c:pt idx="6">
                  <c:v>6.744328582053198</c:v>
                </c:pt>
              </c:numCache>
            </c:numRef>
          </c:xVal>
          <c:yVal>
            <c:numRef>
              <c:f>'Tornado Charts &amp; Risk Analysis'!$C$101:$C$107</c:f>
              <c:numCache>
                <c:formatCode>General</c:formatCode>
                <c:ptCount val="7"/>
                <c:pt idx="0">
                  <c:v>1</c:v>
                </c:pt>
                <c:pt idx="1">
                  <c:v>2</c:v>
                </c:pt>
                <c:pt idx="2">
                  <c:v>3</c:v>
                </c:pt>
                <c:pt idx="3">
                  <c:v>4</c:v>
                </c:pt>
                <c:pt idx="4">
                  <c:v>5</c:v>
                </c:pt>
                <c:pt idx="5">
                  <c:v>6</c:v>
                </c:pt>
                <c:pt idx="6">
                  <c:v>7</c:v>
                </c:pt>
              </c:numCache>
            </c:numRef>
          </c:yVal>
          <c:smooth val="0"/>
          <c:extLst>
            <c:ext xmlns:c16="http://schemas.microsoft.com/office/drawing/2014/chart" uri="{C3380CC4-5D6E-409C-BE32-E72D297353CC}">
              <c16:uniqueId val="{00000004-FD9E-48E0-BDF2-1E9EFCB1BA06}"/>
            </c:ext>
          </c:extLst>
        </c:ser>
        <c:ser>
          <c:idx val="5"/>
          <c:order val="5"/>
          <c:spPr>
            <a:ln w="25400" cap="rnd">
              <a:noFill/>
              <a:round/>
            </a:ln>
            <a:effectLst>
              <a:outerShdw blurRad="40000" dist="20000" dir="5400000" rotWithShape="0">
                <a:srgbClr val="000000">
                  <a:alpha val="38000"/>
                </a:srgbClr>
              </a:outerShdw>
            </a:effectLst>
          </c:spPr>
          <c:marker>
            <c:symbol val="none"/>
          </c:marker>
          <c:dLbls>
            <c:numFmt formatCode="#,##0.00" sourceLinked="0"/>
            <c:spPr>
              <a:solidFill>
                <a:schemeClr val="bg1"/>
              </a:solidFill>
              <a:ln>
                <a:solidFill>
                  <a:schemeClr val="bg1">
                    <a:lumMod val="65000"/>
                  </a:schemeClr>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ct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 &amp; Risk Analysis'!$F$101</c:f>
              <c:numCache>
                <c:formatCode>0.000</c:formatCode>
                <c:ptCount val="1"/>
                <c:pt idx="0">
                  <c:v>6.744328582053198</c:v>
                </c:pt>
              </c:numCache>
            </c:numRef>
          </c:xVal>
          <c:yVal>
            <c:numRef>
              <c:f>'Tornado Charts &amp; Risk Analysis'!$C$101</c:f>
              <c:numCache>
                <c:formatCode>General</c:formatCode>
                <c:ptCount val="1"/>
                <c:pt idx="0">
                  <c:v>1</c:v>
                </c:pt>
              </c:numCache>
            </c:numRef>
          </c:yVal>
          <c:smooth val="0"/>
          <c:extLst>
            <c:ext xmlns:c16="http://schemas.microsoft.com/office/drawing/2014/chart" uri="{C3380CC4-5D6E-409C-BE32-E72D297353CC}">
              <c16:uniqueId val="{00000005-FD9E-48E0-BDF2-1E9EFCB1BA06}"/>
            </c:ext>
          </c:extLst>
        </c:ser>
        <c:dLbls>
          <c:showLegendKey val="0"/>
          <c:showVal val="0"/>
          <c:showCatName val="0"/>
          <c:showSerName val="0"/>
          <c:showPercent val="0"/>
          <c:showBubbleSize val="0"/>
        </c:dLbls>
        <c:axId val="280497536"/>
        <c:axId val="278457728"/>
      </c:scatterChart>
      <c:catAx>
        <c:axId val="276383616"/>
        <c:scaling>
          <c:orientation val="maxMin"/>
        </c:scaling>
        <c:delete val="1"/>
        <c:axPos val="l"/>
        <c:majorGridlines>
          <c:spPr>
            <a:ln w="9525" cap="flat" cmpd="sng" algn="ctr">
              <a:solidFill>
                <a:schemeClr val="bg1">
                  <a:lumMod val="95000"/>
                </a:schemeClr>
              </a:solidFill>
              <a:round/>
            </a:ln>
            <a:effectLst/>
          </c:spPr>
        </c:majorGridlines>
        <c:numFmt formatCode="General" sourceLinked="1"/>
        <c:majorTickMark val="none"/>
        <c:minorTickMark val="none"/>
        <c:tickLblPos val="nextTo"/>
        <c:crossAx val="278454272"/>
        <c:crosses val="autoZero"/>
        <c:auto val="1"/>
        <c:lblAlgn val="ctr"/>
        <c:lblOffset val="100"/>
        <c:noMultiLvlLbl val="0"/>
      </c:catAx>
      <c:valAx>
        <c:axId val="278454272"/>
        <c:scaling>
          <c:orientation val="minMax"/>
        </c:scaling>
        <c:delete val="0"/>
        <c:axPos val="b"/>
        <c:majorGridlines>
          <c:spPr>
            <a:ln w="9525" cap="flat" cmpd="sng" algn="ctr">
              <a:solidFill>
                <a:schemeClr val="bg1">
                  <a:lumMod val="95000"/>
                </a:schemeClr>
              </a:solidFill>
              <a:round/>
            </a:ln>
            <a:effectLst/>
          </c:spPr>
        </c:majorGridlines>
        <c:numFmt formatCode="&quot;$&quot;#,##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276383616"/>
        <c:crosses val="max"/>
        <c:crossBetween val="between"/>
      </c:valAx>
      <c:valAx>
        <c:axId val="278457728"/>
        <c:scaling>
          <c:orientation val="maxMin"/>
          <c:min val="0.5"/>
        </c:scaling>
        <c:delete val="1"/>
        <c:axPos val="r"/>
        <c:numFmt formatCode="General" sourceLinked="1"/>
        <c:majorTickMark val="out"/>
        <c:minorTickMark val="none"/>
        <c:tickLblPos val="nextTo"/>
        <c:crossAx val="280497536"/>
        <c:crosses val="max"/>
        <c:crossBetween val="midCat"/>
      </c:valAx>
      <c:valAx>
        <c:axId val="280497536"/>
        <c:scaling>
          <c:orientation val="minMax"/>
        </c:scaling>
        <c:delete val="1"/>
        <c:axPos val="t"/>
        <c:numFmt formatCode="0.000" sourceLinked="1"/>
        <c:majorTickMark val="out"/>
        <c:minorTickMark val="none"/>
        <c:tickLblPos val="nextTo"/>
        <c:crossAx val="278457728"/>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'Tornado Charts &amp; Risk Analysis'!$E$174</c:f>
              <c:strCache>
                <c:ptCount val="1"/>
                <c:pt idx="0">
                  <c:v>Base</c:v>
                </c:pt>
              </c:strCache>
            </c:strRef>
          </c:tx>
          <c:spPr>
            <a:noFill/>
            <a:ln>
              <a:noFill/>
            </a:ln>
            <a:effectLst/>
          </c:spPr>
          <c:invertIfNegative val="0"/>
          <c:dPt>
            <c:idx val="0"/>
            <c:invertIfNegative val="0"/>
            <c:bubble3D val="0"/>
            <c:spPr>
              <a:gradFill flip="none" rotWithShape="1">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lin ang="0" scaled="1"/>
                <a:tileRect/>
              </a:gradFill>
              <a:ln>
                <a:noFill/>
              </a:ln>
              <a:effectLst/>
            </c:spPr>
            <c:extLst>
              <c:ext xmlns:c16="http://schemas.microsoft.com/office/drawing/2014/chart" uri="{C3380CC4-5D6E-409C-BE32-E72D297353CC}">
                <c16:uniqueId val="{00000001-C08B-4218-8268-DEA2742113BE}"/>
              </c:ext>
            </c:extLst>
          </c:dPt>
          <c:dPt>
            <c:idx val="6"/>
            <c:invertIfNegative val="0"/>
            <c:bubble3D val="0"/>
            <c:spPr>
              <a:gradFill>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lin ang="0" scaled="1"/>
              </a:gradFill>
              <a:ln>
                <a:noFill/>
              </a:ln>
              <a:effectLst/>
            </c:spPr>
            <c:extLst>
              <c:ext xmlns:c16="http://schemas.microsoft.com/office/drawing/2014/chart" uri="{C3380CC4-5D6E-409C-BE32-E72D297353CC}">
                <c16:uniqueId val="{00000003-C08B-4218-8268-DEA2742113BE}"/>
              </c:ext>
            </c:extLst>
          </c:dPt>
          <c:dLbls>
            <c:dLbl>
              <c:idx val="1"/>
              <c:delete val="1"/>
              <c:extLst>
                <c:ext xmlns:c15="http://schemas.microsoft.com/office/drawing/2012/chart" uri="{CE6537A1-D6FC-4f65-9D91-7224C49458BB}"/>
                <c:ext xmlns:c16="http://schemas.microsoft.com/office/drawing/2014/chart" uri="{C3380CC4-5D6E-409C-BE32-E72D297353CC}">
                  <c16:uniqueId val="{00000004-C08B-4218-8268-DEA2742113BE}"/>
                </c:ext>
              </c:extLst>
            </c:dLbl>
            <c:dLbl>
              <c:idx val="2"/>
              <c:delete val="1"/>
              <c:extLst>
                <c:ext xmlns:c15="http://schemas.microsoft.com/office/drawing/2012/chart" uri="{CE6537A1-D6FC-4f65-9D91-7224C49458BB}"/>
                <c:ext xmlns:c16="http://schemas.microsoft.com/office/drawing/2014/chart" uri="{C3380CC4-5D6E-409C-BE32-E72D297353CC}">
                  <c16:uniqueId val="{00000005-C08B-4218-8268-DEA2742113BE}"/>
                </c:ext>
              </c:extLst>
            </c:dLbl>
            <c:dLbl>
              <c:idx val="3"/>
              <c:delete val="1"/>
              <c:extLst>
                <c:ext xmlns:c15="http://schemas.microsoft.com/office/drawing/2012/chart" uri="{CE6537A1-D6FC-4f65-9D91-7224C49458BB}"/>
                <c:ext xmlns:c16="http://schemas.microsoft.com/office/drawing/2014/chart" uri="{C3380CC4-5D6E-409C-BE32-E72D297353CC}">
                  <c16:uniqueId val="{00000006-C08B-4218-8268-DEA2742113BE}"/>
                </c:ext>
              </c:extLst>
            </c:dLbl>
            <c:dLbl>
              <c:idx val="4"/>
              <c:delete val="1"/>
              <c:extLst>
                <c:ext xmlns:c15="http://schemas.microsoft.com/office/drawing/2012/chart" uri="{CE6537A1-D6FC-4f65-9D91-7224C49458BB}"/>
                <c:ext xmlns:c16="http://schemas.microsoft.com/office/drawing/2014/chart" uri="{C3380CC4-5D6E-409C-BE32-E72D297353CC}">
                  <c16:uniqueId val="{00000007-C08B-4218-8268-DEA2742113BE}"/>
                </c:ext>
              </c:extLst>
            </c:dLbl>
            <c:dLbl>
              <c:idx val="5"/>
              <c:delete val="1"/>
              <c:extLst>
                <c:ext xmlns:c15="http://schemas.microsoft.com/office/drawing/2012/chart" uri="{CE6537A1-D6FC-4f65-9D91-7224C49458BB}"/>
                <c:ext xmlns:c16="http://schemas.microsoft.com/office/drawing/2014/chart" uri="{C3380CC4-5D6E-409C-BE32-E72D297353CC}">
                  <c16:uniqueId val="{00000008-C08B-4218-8268-DEA2742113BE}"/>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Analysis'!$C$175:$C$181</c:f>
              <c:strCache>
                <c:ptCount val="7"/>
                <c:pt idx="0">
                  <c:v>Baseline</c:v>
                </c:pt>
                <c:pt idx="1">
                  <c:v>Operating capacity factor
= +5%</c:v>
                </c:pt>
                <c:pt idx="2">
                  <c:v>Total capital investment ($)
= -5%</c:v>
                </c:pt>
                <c:pt idx="3">
                  <c:v>Total fixed operating cost ($/year)
= -5%</c:v>
                </c:pt>
                <c:pt idx="4">
                  <c:v>Feedstock consumption (% of most likely value)
= -5%</c:v>
                </c:pt>
                <c:pt idx="5">
                  <c:v>Utilities consumption (% of most likely value)
= -5%</c:v>
                </c:pt>
                <c:pt idx="6">
                  <c:v>Adjusted</c:v>
                </c:pt>
              </c:strCache>
            </c:strRef>
          </c:cat>
          <c:val>
            <c:numRef>
              <c:f>'Tornado Charts &amp; Risk Analysis'!$E$175:$E$181</c:f>
              <c:numCache>
                <c:formatCode>_("$"* #,##0.00_);_("$"* \(#,##0.00\);_("$"* "-"??_);_(@_)</c:formatCode>
                <c:ptCount val="7"/>
                <c:pt idx="0">
                  <c:v>6.744328582053198</c:v>
                </c:pt>
                <c:pt idx="1">
                  <c:v>6.7104490271023414</c:v>
                </c:pt>
                <c:pt idx="2">
                  <c:v>6.6915724797514544</c:v>
                </c:pt>
                <c:pt idx="3">
                  <c:v>6.6787124539104976</c:v>
                </c:pt>
                <c:pt idx="4">
                  <c:v>6.6759616356734073</c:v>
                </c:pt>
                <c:pt idx="5">
                  <c:v>6.6759616356734073</c:v>
                </c:pt>
                <c:pt idx="6">
                  <c:v>6.6759616356734073</c:v>
                </c:pt>
              </c:numCache>
            </c:numRef>
          </c:val>
          <c:extLst>
            <c:ext xmlns:c16="http://schemas.microsoft.com/office/drawing/2014/chart" uri="{C3380CC4-5D6E-409C-BE32-E72D297353CC}">
              <c16:uniqueId val="{00000009-C08B-4218-8268-DEA2742113BE}"/>
            </c:ext>
          </c:extLst>
        </c:ser>
        <c:ser>
          <c:idx val="1"/>
          <c:order val="1"/>
          <c:tx>
            <c:strRef>
              <c:f>'Tornado Charts &amp; Risk Analysis'!$F$174</c:f>
              <c:strCache>
                <c:ptCount val="1"/>
                <c:pt idx="0">
                  <c:v>Decrease</c:v>
                </c:pt>
              </c:strCache>
            </c:strRef>
          </c:tx>
          <c:spPr>
            <a:gradFill flip="none" rotWithShape="1">
              <a:gsLst>
                <a:gs pos="31000">
                  <a:schemeClr val="accent3">
                    <a:lumMod val="60000"/>
                    <a:lumOff val="40000"/>
                  </a:schemeClr>
                </a:gs>
                <a:gs pos="0">
                  <a:schemeClr val="accent3">
                    <a:lumMod val="97000"/>
                    <a:lumOff val="3000"/>
                  </a:schemeClr>
                </a:gs>
                <a:gs pos="100000">
                  <a:schemeClr val="accent3">
                    <a:lumMod val="60000"/>
                    <a:lumOff val="40000"/>
                  </a:schemeClr>
                </a:gs>
              </a:gsLst>
              <a:lin ang="10800000" scaled="1"/>
              <a:tileRect/>
            </a:gra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3">
                        <a:lumMod val="50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Analysis'!$C$175:$C$181</c:f>
              <c:strCache>
                <c:ptCount val="7"/>
                <c:pt idx="0">
                  <c:v>Baseline</c:v>
                </c:pt>
                <c:pt idx="1">
                  <c:v>Operating capacity factor
= +5%</c:v>
                </c:pt>
                <c:pt idx="2">
                  <c:v>Total capital investment ($)
= -5%</c:v>
                </c:pt>
                <c:pt idx="3">
                  <c:v>Total fixed operating cost ($/year)
= -5%</c:v>
                </c:pt>
                <c:pt idx="4">
                  <c:v>Feedstock consumption (% of most likely value)
= -5%</c:v>
                </c:pt>
                <c:pt idx="5">
                  <c:v>Utilities consumption (% of most likely value)
= -5%</c:v>
                </c:pt>
                <c:pt idx="6">
                  <c:v>Adjusted</c:v>
                </c:pt>
              </c:strCache>
            </c:strRef>
          </c:cat>
          <c:val>
            <c:numRef>
              <c:f>'Tornado Charts &amp; Risk Analysis'!$F$175:$F$181</c:f>
              <c:numCache>
                <c:formatCode>_("$"* #,##0.00_);_("$"* \(#,##0.00\);_("$"* "-"??_);_(@_)</c:formatCode>
                <c:ptCount val="7"/>
                <c:pt idx="1">
                  <c:v>3.3879554950856594E-2</c:v>
                </c:pt>
                <c:pt idx="2">
                  <c:v>1.8876547350886952E-2</c:v>
                </c:pt>
                <c:pt idx="3">
                  <c:v>1.2860025840956801E-2</c:v>
                </c:pt>
                <c:pt idx="4">
                  <c:v>2.7508182370903356E-3</c:v>
                </c:pt>
                <c:pt idx="5">
                  <c:v>0</c:v>
                </c:pt>
              </c:numCache>
            </c:numRef>
          </c:val>
          <c:extLst>
            <c:ext xmlns:c16="http://schemas.microsoft.com/office/drawing/2014/chart" uri="{C3380CC4-5D6E-409C-BE32-E72D297353CC}">
              <c16:uniqueId val="{0000000A-C08B-4218-8268-DEA2742113BE}"/>
            </c:ext>
          </c:extLst>
        </c:ser>
        <c:ser>
          <c:idx val="2"/>
          <c:order val="2"/>
          <c:tx>
            <c:strRef>
              <c:f>'Tornado Charts &amp; Risk Analysis'!$G$174</c:f>
              <c:strCache>
                <c:ptCount val="1"/>
                <c:pt idx="0">
                  <c:v>Increase</c:v>
                </c:pt>
              </c:strCache>
            </c:strRef>
          </c:tx>
          <c:spPr>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0800000" scaled="1"/>
              <a:tileRect/>
            </a:gra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7A0000"/>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 &amp; Risk Analysis'!$C$175:$C$181</c:f>
              <c:strCache>
                <c:ptCount val="7"/>
                <c:pt idx="0">
                  <c:v>Baseline</c:v>
                </c:pt>
                <c:pt idx="1">
                  <c:v>Operating capacity factor
= +5%</c:v>
                </c:pt>
                <c:pt idx="2">
                  <c:v>Total capital investment ($)
= -5%</c:v>
                </c:pt>
                <c:pt idx="3">
                  <c:v>Total fixed operating cost ($/year)
= -5%</c:v>
                </c:pt>
                <c:pt idx="4">
                  <c:v>Feedstock consumption (% of most likely value)
= -5%</c:v>
                </c:pt>
                <c:pt idx="5">
                  <c:v>Utilities consumption (% of most likely value)
= -5%</c:v>
                </c:pt>
                <c:pt idx="6">
                  <c:v>Adjusted</c:v>
                </c:pt>
              </c:strCache>
            </c:strRef>
          </c:cat>
          <c:val>
            <c:numRef>
              <c:f>'Tornado Charts &amp; Risk Analysis'!$G$175:$G$181</c:f>
              <c:numCache>
                <c:formatCode>_("$"* #,##0.00_);_("$"* \(#,##0.00\);_("$"* "-"??_);_(@_)</c:formatCode>
                <c:ptCount val="7"/>
                <c:pt idx="1">
                  <c:v>0</c:v>
                </c:pt>
                <c:pt idx="2">
                  <c:v>0</c:v>
                </c:pt>
                <c:pt idx="3">
                  <c:v>0</c:v>
                </c:pt>
                <c:pt idx="4">
                  <c:v>0</c:v>
                </c:pt>
                <c:pt idx="5">
                  <c:v>0</c:v>
                </c:pt>
              </c:numCache>
            </c:numRef>
          </c:val>
          <c:extLst>
            <c:ext xmlns:c16="http://schemas.microsoft.com/office/drawing/2014/chart" uri="{C3380CC4-5D6E-409C-BE32-E72D297353CC}">
              <c16:uniqueId val="{0000000B-C08B-4218-8268-DEA2742113BE}"/>
            </c:ext>
          </c:extLst>
        </c:ser>
        <c:dLbls>
          <c:showLegendKey val="0"/>
          <c:showVal val="0"/>
          <c:showCatName val="0"/>
          <c:showSerName val="0"/>
          <c:showPercent val="0"/>
          <c:showBubbleSize val="0"/>
        </c:dLbls>
        <c:gapWidth val="5"/>
        <c:overlap val="100"/>
        <c:axId val="343819008"/>
        <c:axId val="343825408"/>
      </c:barChart>
      <c:catAx>
        <c:axId val="343819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crossAx val="343825408"/>
        <c:crosses val="autoZero"/>
        <c:auto val="1"/>
        <c:lblAlgn val="ctr"/>
        <c:lblOffset val="100"/>
        <c:noMultiLvlLbl val="0"/>
      </c:catAx>
      <c:valAx>
        <c:axId val="343825408"/>
        <c:scaling>
          <c:orientation val="minMax"/>
        </c:scaling>
        <c:delete val="0"/>
        <c:axPos val="l"/>
        <c:majorGridlines>
          <c:spPr>
            <a:ln w="9525" cap="flat" cmpd="sng" algn="ctr">
              <a:solidFill>
                <a:schemeClr val="bg1">
                  <a:lumMod val="95000"/>
                </a:schemeClr>
              </a:solidFill>
              <a:round/>
            </a:ln>
            <a:effectLst>
              <a:outerShdw blurRad="50800" dist="50800" dir="5400000" algn="ctr" rotWithShape="0">
                <a:schemeClr val="bg1">
                  <a:lumMod val="95000"/>
                </a:schemeClr>
              </a:outerShdw>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343819008"/>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736021523921218"/>
          <c:y val="4.7928894869667373E-2"/>
          <c:w val="0.77171885593131795"/>
          <c:h val="0.69950877377025256"/>
        </c:manualLayout>
      </c:layout>
      <c:scatterChart>
        <c:scatterStyle val="lineMarker"/>
        <c:varyColors val="0"/>
        <c:ser>
          <c:idx val="1"/>
          <c:order val="1"/>
          <c:tx>
            <c:strRef>
              <c:f>'Tornado Charts &amp; Risk Analysis'!$I$201</c:f>
              <c:strCache>
                <c:ptCount val="1"/>
                <c:pt idx="0">
                  <c:v>Cumulative probability</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'Tornado Charts &amp; Risk Analysis'!$G$202:$G$221</c:f>
              <c:numCache>
                <c:formatCode>_(* #,##0_);_(* \(#,##0\);_(* "-"??_);_(@_)</c:formatCode>
                <c:ptCount val="20"/>
                <c:pt idx="0">
                  <c:v>6.6975640257816753</c:v>
                </c:pt>
                <c:pt idx="1">
                  <c:v>6.7029302843526057</c:v>
                </c:pt>
                <c:pt idx="2">
                  <c:v>6.7082965429235362</c:v>
                </c:pt>
                <c:pt idx="3">
                  <c:v>6.7136628014944666</c:v>
                </c:pt>
                <c:pt idx="4">
                  <c:v>6.719029060065397</c:v>
                </c:pt>
                <c:pt idx="5">
                  <c:v>6.7243953186363274</c:v>
                </c:pt>
                <c:pt idx="6">
                  <c:v>6.7297615772072579</c:v>
                </c:pt>
                <c:pt idx="7">
                  <c:v>6.7351278357781883</c:v>
                </c:pt>
                <c:pt idx="8">
                  <c:v>6.7404940943491187</c:v>
                </c:pt>
                <c:pt idx="9">
                  <c:v>6.7458603529200492</c:v>
                </c:pt>
                <c:pt idx="10">
                  <c:v>6.7512266114909796</c:v>
                </c:pt>
                <c:pt idx="11">
                  <c:v>6.75659287006191</c:v>
                </c:pt>
                <c:pt idx="12">
                  <c:v>6.7619591286328404</c:v>
                </c:pt>
                <c:pt idx="13">
                  <c:v>6.7673253872037709</c:v>
                </c:pt>
                <c:pt idx="14">
                  <c:v>6.7726916457747013</c:v>
                </c:pt>
                <c:pt idx="15">
                  <c:v>6.7780579043456317</c:v>
                </c:pt>
                <c:pt idx="16">
                  <c:v>6.7834241629165621</c:v>
                </c:pt>
                <c:pt idx="17">
                  <c:v>6.7887904214874926</c:v>
                </c:pt>
                <c:pt idx="18">
                  <c:v>6.794156680058423</c:v>
                </c:pt>
                <c:pt idx="19">
                  <c:v>6.7995234386293539</c:v>
                </c:pt>
              </c:numCache>
            </c:numRef>
          </c:xVal>
          <c:yVal>
            <c:numRef>
              <c:f>'Tornado Charts &amp; Risk Analysis'!$I$202:$I$221</c:f>
              <c:numCache>
                <c:formatCode>General</c:formatCode>
                <c:ptCount val="20"/>
                <c:pt idx="0">
                  <c:v>1.5E-3</c:v>
                </c:pt>
                <c:pt idx="1">
                  <c:v>8.0000000000000002E-3</c:v>
                </c:pt>
                <c:pt idx="2">
                  <c:v>2.5000000000000001E-2</c:v>
                </c:pt>
                <c:pt idx="3">
                  <c:v>5.5500000000000001E-2</c:v>
                </c:pt>
                <c:pt idx="4">
                  <c:v>0.11</c:v>
                </c:pt>
                <c:pt idx="5">
                  <c:v>0.17699999999999999</c:v>
                </c:pt>
                <c:pt idx="6">
                  <c:v>0.26700000000000002</c:v>
                </c:pt>
                <c:pt idx="7">
                  <c:v>0.36850000000000005</c:v>
                </c:pt>
                <c:pt idx="8">
                  <c:v>0.47450000000000003</c:v>
                </c:pt>
                <c:pt idx="9">
                  <c:v>0.58900000000000008</c:v>
                </c:pt>
                <c:pt idx="10">
                  <c:v>0.70650000000000013</c:v>
                </c:pt>
                <c:pt idx="11">
                  <c:v>0.79600000000000015</c:v>
                </c:pt>
                <c:pt idx="12">
                  <c:v>0.8620000000000001</c:v>
                </c:pt>
                <c:pt idx="13">
                  <c:v>0.91500000000000015</c:v>
                </c:pt>
                <c:pt idx="14">
                  <c:v>0.94650000000000012</c:v>
                </c:pt>
                <c:pt idx="15">
                  <c:v>0.97450000000000014</c:v>
                </c:pt>
                <c:pt idx="16">
                  <c:v>0.98550000000000015</c:v>
                </c:pt>
                <c:pt idx="17">
                  <c:v>0.99150000000000016</c:v>
                </c:pt>
                <c:pt idx="18">
                  <c:v>0.99750000000000016</c:v>
                </c:pt>
                <c:pt idx="19">
                  <c:v>1.0000000000000002</c:v>
                </c:pt>
              </c:numCache>
            </c:numRef>
          </c:yVal>
          <c:smooth val="0"/>
          <c:extLst>
            <c:ext xmlns:c16="http://schemas.microsoft.com/office/drawing/2014/chart" uri="{C3380CC4-5D6E-409C-BE32-E72D297353CC}">
              <c16:uniqueId val="{00000002-4B22-4F8D-99CE-30F97D5C7E97}"/>
            </c:ext>
          </c:extLst>
        </c:ser>
        <c:dLbls>
          <c:showLegendKey val="0"/>
          <c:showVal val="0"/>
          <c:showCatName val="0"/>
          <c:showSerName val="0"/>
          <c:showPercent val="0"/>
          <c:showBubbleSize val="0"/>
        </c:dLbls>
        <c:axId val="784145800"/>
        <c:axId val="784139568"/>
      </c:scatterChart>
      <c:scatterChart>
        <c:scatterStyle val="lineMarker"/>
        <c:varyColors val="0"/>
        <c:ser>
          <c:idx val="0"/>
          <c:order val="0"/>
          <c:tx>
            <c:strRef>
              <c:f>'Tornado Charts &amp; Risk Analysis'!$H$201</c:f>
              <c:strCache>
                <c:ptCount val="1"/>
                <c:pt idx="0">
                  <c:v>Probability</c:v>
                </c:pt>
              </c:strCache>
            </c:strRef>
          </c:tx>
          <c:spPr>
            <a:ln w="19050" cap="rnd">
              <a:noFill/>
              <a:round/>
            </a:ln>
            <a:effectLst/>
          </c:spPr>
          <c:marker>
            <c:symbol val="diamond"/>
            <c:size val="5"/>
            <c:spPr>
              <a:solidFill>
                <a:schemeClr val="accent1">
                  <a:lumMod val="50000"/>
                </a:schemeClr>
              </a:solidFill>
              <a:ln w="9525">
                <a:solidFill>
                  <a:schemeClr val="tx1"/>
                </a:solidFill>
              </a:ln>
              <a:effectLst/>
            </c:spPr>
          </c:marker>
          <c:errBars>
            <c:errDir val="y"/>
            <c:errBarType val="minus"/>
            <c:errValType val="percentage"/>
            <c:noEndCap val="0"/>
            <c:val val="100"/>
            <c:spPr>
              <a:noFill/>
              <a:ln w="120650" cap="flat" cmpd="sng" algn="ctr">
                <a:solidFill>
                  <a:schemeClr val="tx2">
                    <a:lumMod val="60000"/>
                    <a:lumOff val="40000"/>
                    <a:alpha val="30000"/>
                  </a:schemeClr>
                </a:solidFill>
                <a:round/>
              </a:ln>
              <a:effectLst/>
            </c:spPr>
          </c:errBars>
          <c:xVal>
            <c:numRef>
              <c:f>'Tornado Charts &amp; Risk Analysis'!$G$202:$G$221</c:f>
              <c:numCache>
                <c:formatCode>_(* #,##0_);_(* \(#,##0\);_(* "-"??_);_(@_)</c:formatCode>
                <c:ptCount val="20"/>
                <c:pt idx="0">
                  <c:v>6.6975640257816753</c:v>
                </c:pt>
                <c:pt idx="1">
                  <c:v>6.7029302843526057</c:v>
                </c:pt>
                <c:pt idx="2">
                  <c:v>6.7082965429235362</c:v>
                </c:pt>
                <c:pt idx="3">
                  <c:v>6.7136628014944666</c:v>
                </c:pt>
                <c:pt idx="4">
                  <c:v>6.719029060065397</c:v>
                </c:pt>
                <c:pt idx="5">
                  <c:v>6.7243953186363274</c:v>
                </c:pt>
                <c:pt idx="6">
                  <c:v>6.7297615772072579</c:v>
                </c:pt>
                <c:pt idx="7">
                  <c:v>6.7351278357781883</c:v>
                </c:pt>
                <c:pt idx="8">
                  <c:v>6.7404940943491187</c:v>
                </c:pt>
                <c:pt idx="9">
                  <c:v>6.7458603529200492</c:v>
                </c:pt>
                <c:pt idx="10">
                  <c:v>6.7512266114909796</c:v>
                </c:pt>
                <c:pt idx="11">
                  <c:v>6.75659287006191</c:v>
                </c:pt>
                <c:pt idx="12">
                  <c:v>6.7619591286328404</c:v>
                </c:pt>
                <c:pt idx="13">
                  <c:v>6.7673253872037709</c:v>
                </c:pt>
                <c:pt idx="14">
                  <c:v>6.7726916457747013</c:v>
                </c:pt>
                <c:pt idx="15">
                  <c:v>6.7780579043456317</c:v>
                </c:pt>
                <c:pt idx="16">
                  <c:v>6.7834241629165621</c:v>
                </c:pt>
                <c:pt idx="17">
                  <c:v>6.7887904214874926</c:v>
                </c:pt>
                <c:pt idx="18">
                  <c:v>6.794156680058423</c:v>
                </c:pt>
                <c:pt idx="19">
                  <c:v>6.7995234386293539</c:v>
                </c:pt>
              </c:numCache>
            </c:numRef>
          </c:xVal>
          <c:yVal>
            <c:numRef>
              <c:f>'Tornado Charts &amp; Risk Analysis'!$H$202:$H$221</c:f>
              <c:numCache>
                <c:formatCode>General</c:formatCode>
                <c:ptCount val="20"/>
                <c:pt idx="0">
                  <c:v>1.5E-3</c:v>
                </c:pt>
                <c:pt idx="1">
                  <c:v>6.4999999999999997E-3</c:v>
                </c:pt>
                <c:pt idx="2">
                  <c:v>1.7000000000000001E-2</c:v>
                </c:pt>
                <c:pt idx="3">
                  <c:v>3.0499999999999999E-2</c:v>
                </c:pt>
                <c:pt idx="4">
                  <c:v>5.45E-2</c:v>
                </c:pt>
                <c:pt idx="5">
                  <c:v>6.7000000000000004E-2</c:v>
                </c:pt>
                <c:pt idx="6">
                  <c:v>0.09</c:v>
                </c:pt>
                <c:pt idx="7">
                  <c:v>0.10150000000000001</c:v>
                </c:pt>
                <c:pt idx="8">
                  <c:v>0.106</c:v>
                </c:pt>
                <c:pt idx="9">
                  <c:v>0.1145</c:v>
                </c:pt>
                <c:pt idx="10">
                  <c:v>0.11749999999999999</c:v>
                </c:pt>
                <c:pt idx="11">
                  <c:v>8.9499999999999996E-2</c:v>
                </c:pt>
                <c:pt idx="12">
                  <c:v>6.6000000000000003E-2</c:v>
                </c:pt>
                <c:pt idx="13">
                  <c:v>5.2999999999999999E-2</c:v>
                </c:pt>
                <c:pt idx="14">
                  <c:v>3.15E-2</c:v>
                </c:pt>
                <c:pt idx="15">
                  <c:v>2.8000000000000001E-2</c:v>
                </c:pt>
                <c:pt idx="16">
                  <c:v>1.0999999999999999E-2</c:v>
                </c:pt>
                <c:pt idx="17">
                  <c:v>6.0000000000000001E-3</c:v>
                </c:pt>
                <c:pt idx="18">
                  <c:v>6.0000000000000001E-3</c:v>
                </c:pt>
                <c:pt idx="19">
                  <c:v>2.5000000000000001E-3</c:v>
                </c:pt>
              </c:numCache>
            </c:numRef>
          </c:yVal>
          <c:smooth val="0"/>
          <c:extLst>
            <c:ext xmlns:c16="http://schemas.microsoft.com/office/drawing/2014/chart" uri="{C3380CC4-5D6E-409C-BE32-E72D297353CC}">
              <c16:uniqueId val="{00000000-4B22-4F8D-99CE-30F97D5C7E97}"/>
            </c:ext>
          </c:extLst>
        </c:ser>
        <c:dLbls>
          <c:showLegendKey val="0"/>
          <c:showVal val="0"/>
          <c:showCatName val="0"/>
          <c:showSerName val="0"/>
          <c:showPercent val="0"/>
          <c:showBubbleSize val="0"/>
        </c:dLbls>
        <c:axId val="749827128"/>
        <c:axId val="749826144"/>
      </c:scatterChart>
      <c:valAx>
        <c:axId val="7841458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4139568"/>
        <c:crosses val="autoZero"/>
        <c:crossBetween val="midCat"/>
      </c:valAx>
      <c:valAx>
        <c:axId val="784139568"/>
        <c:scaling>
          <c:orientation val="minMax"/>
          <c:max val="1"/>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784145800"/>
        <c:crosses val="autoZero"/>
        <c:crossBetween val="midCat"/>
      </c:valAx>
      <c:valAx>
        <c:axId val="749826144"/>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749827128"/>
        <c:crosses val="max"/>
        <c:crossBetween val="midCat"/>
      </c:valAx>
      <c:valAx>
        <c:axId val="749827128"/>
        <c:scaling>
          <c:orientation val="minMax"/>
        </c:scaling>
        <c:delete val="1"/>
        <c:axPos val="b"/>
        <c:numFmt formatCode="_(* #,##0_);_(* \(#,##0\);_(* &quot;-&quot;??_);_(@_)" sourceLinked="1"/>
        <c:majorTickMark val="out"/>
        <c:minorTickMark val="none"/>
        <c:tickLblPos val="nextTo"/>
        <c:crossAx val="749826144"/>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9">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Lists!$Q$4" lockText="1"/>
</file>

<file path=xl/ctrlProps/ctrlProp2.xml><?xml version="1.0" encoding="utf-8"?>
<formControlPr xmlns="http://schemas.microsoft.com/office/spreadsheetml/2009/9/main" objectType="CheckBox" checked="Checked" fmlaLink="Lists!$Q$5" lockText="1"/>
</file>

<file path=xl/ctrlProps/ctrlProp3.xml><?xml version="1.0" encoding="utf-8"?>
<formControlPr xmlns="http://schemas.microsoft.com/office/spreadsheetml/2009/9/main" objectType="CheckBox" checked="Checked" fmlaLink="Lists!$Q$6" lockText="1"/>
</file>

<file path=xl/ctrlProps/ctrlProp4.xml><?xml version="1.0" encoding="utf-8"?>
<formControlPr xmlns="http://schemas.microsoft.com/office/spreadsheetml/2009/9/main" objectType="CheckBox" checked="Checked" fmlaLink="Lists!$Q$7" lockText="1"/>
</file>

<file path=xl/ctrlProps/ctrlProp5.xml><?xml version="1.0" encoding="utf-8"?>
<formControlPr xmlns="http://schemas.microsoft.com/office/spreadsheetml/2009/9/main" objectType="CheckBox" checked="Checked" fmlaLink="Lists!$Q$8" lockText="1"/>
</file>

<file path=xl/ctrlProps/ctrlProp6.xml><?xml version="1.0" encoding="utf-8"?>
<formControlPr xmlns="http://schemas.microsoft.com/office/spreadsheetml/2009/9/main" objectType="CheckBox" checked="Checked" fmlaLink="Lists!$Q$9" lockText="1"/>
</file>

<file path=xl/ctrlProps/ctrlProp7.xml><?xml version="1.0" encoding="utf-8"?>
<formControlPr xmlns="http://schemas.microsoft.com/office/spreadsheetml/2009/9/main" objectType="CheckBox" checked="Checked" fmlaLink="Lists!$Q$10" lockText="1"/>
</file>

<file path=xl/ctrlProps/ctrlProp8.xml><?xml version="1.0" encoding="utf-8"?>
<formControlPr xmlns="http://schemas.microsoft.com/office/spreadsheetml/2009/9/main" objectType="CheckBox" checked="Checked" fmlaLink="Lists!$Q$11" lockText="1"/>
</file>

<file path=xl/ctrlProps/ctrlProp9.xml><?xml version="1.0" encoding="utf-8"?>
<formControlPr xmlns="http://schemas.microsoft.com/office/spreadsheetml/2009/9/main" objectType="CheckBox" checked="Checked" fmlaLink="Lists!$Q$12" lockText="1"/>
</file>

<file path=xl/ctrlProps/ctrlProp10.xml><?xml version="1.0" encoding="utf-8"?>
<formControlPr xmlns="http://schemas.microsoft.com/office/spreadsheetml/2009/9/main" objectType="CheckBox" checked="Checked" fmlaLink="Lists!$Q$13" lockText="1"/>
</file>

<file path=xl/ctrlProps/ctrlProp11.xml><?xml version="1.0" encoding="utf-8"?>
<formControlPr xmlns="http://schemas.microsoft.com/office/spreadsheetml/2009/9/main" objectType="CheckBox" checked="Checked" fmlaLink="Lists!$Q$14" lockText="1"/>
</file>

<file path=xl/ctrlProps/ctrlProp12.xml><?xml version="1.0" encoding="utf-8"?>
<formControlPr xmlns="http://schemas.microsoft.com/office/spreadsheetml/2009/9/main" objectType="CheckBox" checked="Checked" fmlaLink="Lists!$Q$15" lockText="1"/>
</file>

<file path=xl/ctrlProps/ctrlProp13.xml><?xml version="1.0" encoding="utf-8"?>
<formControlPr xmlns="http://schemas.microsoft.com/office/spreadsheetml/2009/9/main" objectType="CheckBox" checked="Checked" fmlaLink="Lists!$AA$7"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11.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3</xdr:col>
      <xdr:colOff>167640</xdr:colOff>
      <xdr:row>1</xdr:row>
      <xdr:rowOff>60960</xdr:rowOff>
    </xdr:from>
    <xdr:to>
      <xdr:col>3</xdr:col>
      <xdr:colOff>1569720</xdr:colOff>
      <xdr:row>1</xdr:row>
      <xdr:rowOff>419100</xdr:rowOff>
    </xdr:to>
    <xdr:sp macro="[0]!InputSheet" textlink="">
      <xdr:nvSpPr>
        <xdr:cNvPr id="3" name="Rounded Rectangle 2">
          <a:extLst>
            <a:ext uri="{FF2B5EF4-FFF2-40B4-BE49-F238E27FC236}">
              <a16:creationId xmlns:a16="http://schemas.microsoft.com/office/drawing/2014/main" id="{00000000-0008-0000-0000-000003000000}"/>
            </a:ext>
          </a:extLst>
        </xdr:cNvPr>
        <xdr:cNvSpPr/>
      </xdr:nvSpPr>
      <xdr:spPr>
        <a:xfrm>
          <a:off x="6370320" y="228600"/>
          <a:ext cx="1402080" cy="35814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6522720</xdr:colOff>
      <xdr:row>0</xdr:row>
      <xdr:rowOff>160020</xdr:rowOff>
    </xdr:from>
    <xdr:to>
      <xdr:col>1</xdr:col>
      <xdr:colOff>7924800</xdr:colOff>
      <xdr:row>2</xdr:row>
      <xdr:rowOff>83820</xdr:rowOff>
    </xdr:to>
    <xdr:sp macro="[0]!InputSheet" textlink="">
      <xdr:nvSpPr>
        <xdr:cNvPr id="5" name="Rounded Rectangle 4">
          <a:extLst>
            <a:ext uri="{FF2B5EF4-FFF2-40B4-BE49-F238E27FC236}">
              <a16:creationId xmlns:a16="http://schemas.microsoft.com/office/drawing/2014/main" id="{00000000-0008-0000-0100-000005000000}"/>
            </a:ext>
          </a:extLst>
        </xdr:cNvPr>
        <xdr:cNvSpPr/>
      </xdr:nvSpPr>
      <xdr:spPr>
        <a:xfrm>
          <a:off x="7132320" y="160020"/>
          <a:ext cx="1402080" cy="35814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1986643</xdr:colOff>
      <xdr:row>2</xdr:row>
      <xdr:rowOff>32640</xdr:rowOff>
    </xdr:from>
    <xdr:to>
      <xdr:col>1</xdr:col>
      <xdr:colOff>5364209</xdr:colOff>
      <xdr:row>4</xdr:row>
      <xdr:rowOff>96332</xdr:rowOff>
    </xdr:to>
    <xdr:sp macro="[0]!InputSheet" textlink="">
      <xdr:nvSpPr>
        <xdr:cNvPr id="5" name="Rounded Rectangle 4">
          <a:extLst>
            <a:ext uri="{FF2B5EF4-FFF2-40B4-BE49-F238E27FC236}">
              <a16:creationId xmlns:a16="http://schemas.microsoft.com/office/drawing/2014/main" id="{00000000-0008-0000-0200-000005000000}"/>
            </a:ext>
          </a:extLst>
        </xdr:cNvPr>
        <xdr:cNvSpPr/>
      </xdr:nvSpPr>
      <xdr:spPr>
        <a:xfrm flipH="1">
          <a:off x="2562859" y="461992"/>
          <a:ext cx="3460254" cy="39365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editAs="oneCell">
    <xdr:from>
      <xdr:col>1</xdr:col>
      <xdr:colOff>1480457</xdr:colOff>
      <xdr:row>7</xdr:row>
      <xdr:rowOff>43543</xdr:rowOff>
    </xdr:from>
    <xdr:to>
      <xdr:col>2</xdr:col>
      <xdr:colOff>51163</xdr:colOff>
      <xdr:row>44</xdr:row>
      <xdr:rowOff>148046</xdr:rowOff>
    </xdr:to>
    <xdr:pic>
      <xdr:nvPicPr>
        <xdr:cNvPr id="6" name="Picture 2">
          <a:extLst>
            <a:ext uri="{FF2B5EF4-FFF2-40B4-BE49-F238E27FC236}">
              <a16:creationId xmlns:a16="http://schemas.microsoft.com/office/drawing/2014/main" id="{031C19EB-6259-4DDF-B5E2-0B87CFC83D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0057" y="1295400"/>
          <a:ext cx="9761220" cy="61569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51</xdr:row>
      <xdr:rowOff>0</xdr:rowOff>
    </xdr:from>
    <xdr:to>
      <xdr:col>4</xdr:col>
      <xdr:colOff>0</xdr:colOff>
      <xdr:row>51</xdr:row>
      <xdr:rowOff>0</xdr:rowOff>
    </xdr:to>
    <xdr:graphicFrame macro="">
      <xdr:nvGraphicFramePr>
        <xdr:cNvPr id="1261975" name="Chart 7">
          <a:extLst>
            <a:ext uri="{FF2B5EF4-FFF2-40B4-BE49-F238E27FC236}">
              <a16:creationId xmlns:a16="http://schemas.microsoft.com/office/drawing/2014/main" id="{00000000-0008-0000-0300-000097411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51</xdr:row>
      <xdr:rowOff>0</xdr:rowOff>
    </xdr:from>
    <xdr:to>
      <xdr:col>4</xdr:col>
      <xdr:colOff>0</xdr:colOff>
      <xdr:row>51</xdr:row>
      <xdr:rowOff>0</xdr:rowOff>
    </xdr:to>
    <xdr:graphicFrame macro="">
      <xdr:nvGraphicFramePr>
        <xdr:cNvPr id="1261976" name="Chart 8">
          <a:extLst>
            <a:ext uri="{FF2B5EF4-FFF2-40B4-BE49-F238E27FC236}">
              <a16:creationId xmlns:a16="http://schemas.microsoft.com/office/drawing/2014/main" id="{00000000-0008-0000-0300-000098411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51</xdr:row>
      <xdr:rowOff>0</xdr:rowOff>
    </xdr:from>
    <xdr:to>
      <xdr:col>4</xdr:col>
      <xdr:colOff>0</xdr:colOff>
      <xdr:row>51</xdr:row>
      <xdr:rowOff>0</xdr:rowOff>
    </xdr:to>
    <xdr:graphicFrame macro="">
      <xdr:nvGraphicFramePr>
        <xdr:cNvPr id="1261977" name="Chart 13">
          <a:extLst>
            <a:ext uri="{FF2B5EF4-FFF2-40B4-BE49-F238E27FC236}">
              <a16:creationId xmlns:a16="http://schemas.microsoft.com/office/drawing/2014/main" id="{00000000-0008-0000-0300-000099411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xdr:col>
      <xdr:colOff>0</xdr:colOff>
      <xdr:row>223</xdr:row>
      <xdr:rowOff>0</xdr:rowOff>
    </xdr:from>
    <xdr:to>
      <xdr:col>2</xdr:col>
      <xdr:colOff>76200</xdr:colOff>
      <xdr:row>224</xdr:row>
      <xdr:rowOff>36438</xdr:rowOff>
    </xdr:to>
    <xdr:sp macro="" textlink="">
      <xdr:nvSpPr>
        <xdr:cNvPr id="1261978" name="Text Box 14">
          <a:extLst>
            <a:ext uri="{FF2B5EF4-FFF2-40B4-BE49-F238E27FC236}">
              <a16:creationId xmlns:a16="http://schemas.microsoft.com/office/drawing/2014/main" id="{00000000-0008-0000-0300-00009A411300}"/>
            </a:ext>
          </a:extLst>
        </xdr:cNvPr>
        <xdr:cNvSpPr txBox="1">
          <a:spLocks noChangeArrowheads="1"/>
        </xdr:cNvSpPr>
      </xdr:nvSpPr>
      <xdr:spPr bwMode="auto">
        <a:xfrm>
          <a:off x="4602480" y="52920900"/>
          <a:ext cx="76200" cy="2040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4</xdr:col>
      <xdr:colOff>798195</xdr:colOff>
      <xdr:row>56</xdr:row>
      <xdr:rowOff>114300</xdr:rowOff>
    </xdr:from>
    <xdr:to>
      <xdr:col>4</xdr:col>
      <xdr:colOff>1557721</xdr:colOff>
      <xdr:row>71</xdr:row>
      <xdr:rowOff>161925</xdr:rowOff>
    </xdr:to>
    <xdr:sp macro="" textlink="">
      <xdr:nvSpPr>
        <xdr:cNvPr id="6" name="Right Brace 5">
          <a:extLst>
            <a:ext uri="{FF2B5EF4-FFF2-40B4-BE49-F238E27FC236}">
              <a16:creationId xmlns:a16="http://schemas.microsoft.com/office/drawing/2014/main" id="{00000000-0008-0000-0300-000006000000}"/>
            </a:ext>
          </a:extLst>
        </xdr:cNvPr>
        <xdr:cNvSpPr/>
      </xdr:nvSpPr>
      <xdr:spPr>
        <a:xfrm>
          <a:off x="7524750" y="12639675"/>
          <a:ext cx="733425" cy="3829050"/>
        </a:xfrm>
        <a:prstGeom prst="rightBrace">
          <a:avLst>
            <a:gd name="adj1" fmla="val 8333"/>
            <a:gd name="adj2" fmla="val 49735"/>
          </a:avLst>
        </a:prstGeom>
        <a:ln w="38100"/>
      </xdr:spPr>
      <xdr:style>
        <a:lnRef idx="1">
          <a:schemeClr val="accent1"/>
        </a:lnRef>
        <a:fillRef idx="0">
          <a:schemeClr val="accent1"/>
        </a:fillRef>
        <a:effectRef idx="0">
          <a:schemeClr val="accent1"/>
        </a:effectRef>
        <a:fontRef idx="minor">
          <a:schemeClr val="tx1"/>
        </a:fontRef>
      </xdr:style>
      <xdr:txBody>
        <a:bodyPr vertOverflow="clip" rtlCol="0" anchor="ctr"/>
        <a:lstStyle/>
        <a:p>
          <a:endParaRPr lang="en-US"/>
        </a:p>
      </xdr:txBody>
    </xdr:sp>
    <xdr:clientData/>
  </xdr:twoCellAnchor>
  <xdr:twoCellAnchor>
    <xdr:from>
      <xdr:col>2</xdr:col>
      <xdr:colOff>887505</xdr:colOff>
      <xdr:row>4</xdr:row>
      <xdr:rowOff>35859</xdr:rowOff>
    </xdr:from>
    <xdr:to>
      <xdr:col>6</xdr:col>
      <xdr:colOff>1045029</xdr:colOff>
      <xdr:row>22</xdr:row>
      <xdr:rowOff>32933</xdr:rowOff>
    </xdr:to>
    <xdr:graphicFrame macro="">
      <xdr:nvGraphicFramePr>
        <xdr:cNvPr id="43" name="Chart 42">
          <a:extLst>
            <a:ext uri="{FF2B5EF4-FFF2-40B4-BE49-F238E27FC236}">
              <a16:creationId xmlns:a16="http://schemas.microsoft.com/office/drawing/2014/main" id="{00000000-0008-0000-03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3537856</xdr:colOff>
      <xdr:row>5</xdr:row>
      <xdr:rowOff>21771</xdr:rowOff>
    </xdr:from>
    <xdr:to>
      <xdr:col>2</xdr:col>
      <xdr:colOff>598713</xdr:colOff>
      <xdr:row>6</xdr:row>
      <xdr:rowOff>161108</xdr:rowOff>
    </xdr:to>
    <xdr:sp macro="[0]!ProjInfo" textlink="">
      <xdr:nvSpPr>
        <xdr:cNvPr id="2" name="Rounded Rectangle 1">
          <a:extLst>
            <a:ext uri="{FF2B5EF4-FFF2-40B4-BE49-F238E27FC236}">
              <a16:creationId xmlns:a16="http://schemas.microsoft.com/office/drawing/2014/main" id="{00000000-0008-0000-0300-000002000000}"/>
            </a:ext>
          </a:extLst>
        </xdr:cNvPr>
        <xdr:cNvSpPr/>
      </xdr:nvSpPr>
      <xdr:spPr>
        <a:xfrm>
          <a:off x="3842656" y="1088571"/>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Project</a:t>
          </a:r>
          <a:r>
            <a:rPr lang="en-US" sz="1200" b="1" i="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 Info</a:t>
          </a:r>
          <a:endPar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endParaRPr>
        </a:p>
      </xdr:txBody>
    </xdr:sp>
    <xdr:clientData/>
  </xdr:twoCellAnchor>
  <xdr:twoCellAnchor>
    <xdr:from>
      <xdr:col>1</xdr:col>
      <xdr:colOff>3537856</xdr:colOff>
      <xdr:row>7</xdr:row>
      <xdr:rowOff>97971</xdr:rowOff>
    </xdr:from>
    <xdr:to>
      <xdr:col>2</xdr:col>
      <xdr:colOff>598713</xdr:colOff>
      <xdr:row>8</xdr:row>
      <xdr:rowOff>139337</xdr:rowOff>
    </xdr:to>
    <xdr:sp macro="[0]!ShowKey" textlink="">
      <xdr:nvSpPr>
        <xdr:cNvPr id="3" name="Rounded Rectangle 2">
          <a:extLst>
            <a:ext uri="{FF2B5EF4-FFF2-40B4-BE49-F238E27FC236}">
              <a16:creationId xmlns:a16="http://schemas.microsoft.com/office/drawing/2014/main" id="{00000000-0008-0000-0300-000003000000}"/>
            </a:ext>
          </a:extLst>
        </xdr:cNvPr>
        <xdr:cNvSpPr/>
      </xdr:nvSpPr>
      <xdr:spPr>
        <a:xfrm>
          <a:off x="3842656" y="1709057"/>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twoCellAnchor>
    <xdr:from>
      <xdr:col>1</xdr:col>
      <xdr:colOff>3537856</xdr:colOff>
      <xdr:row>9</xdr:row>
      <xdr:rowOff>32656</xdr:rowOff>
    </xdr:from>
    <xdr:to>
      <xdr:col>2</xdr:col>
      <xdr:colOff>598713</xdr:colOff>
      <xdr:row>11</xdr:row>
      <xdr:rowOff>-1</xdr:rowOff>
    </xdr:to>
    <xdr:sp macro="[0]!UseDefaultValues" textlink="">
      <xdr:nvSpPr>
        <xdr:cNvPr id="47" name="Rounded Rectangle 46">
          <a:extLst>
            <a:ext uri="{FF2B5EF4-FFF2-40B4-BE49-F238E27FC236}">
              <a16:creationId xmlns:a16="http://schemas.microsoft.com/office/drawing/2014/main" id="{00000000-0008-0000-0300-00002F000000}"/>
            </a:ext>
          </a:extLst>
        </xdr:cNvPr>
        <xdr:cNvSpPr/>
      </xdr:nvSpPr>
      <xdr:spPr>
        <a:xfrm>
          <a:off x="3842656" y="2285999"/>
          <a:ext cx="1371600" cy="511629"/>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Default Values</a:t>
          </a:r>
        </a:p>
      </xdr:txBody>
    </xdr:sp>
    <xdr:clientData/>
  </xdr:twoCellAnchor>
  <xdr:twoCellAnchor>
    <xdr:from>
      <xdr:col>3</xdr:col>
      <xdr:colOff>468087</xdr:colOff>
      <xdr:row>65</xdr:row>
      <xdr:rowOff>152004</xdr:rowOff>
    </xdr:from>
    <xdr:to>
      <xdr:col>4</xdr:col>
      <xdr:colOff>1110343</xdr:colOff>
      <xdr:row>67</xdr:row>
      <xdr:rowOff>32657</xdr:rowOff>
    </xdr:to>
    <xdr:sp macro="[0]!EnterPrice" textlink="">
      <xdr:nvSpPr>
        <xdr:cNvPr id="48" name="Rounded Rectangle 47">
          <a:extLst>
            <a:ext uri="{FF2B5EF4-FFF2-40B4-BE49-F238E27FC236}">
              <a16:creationId xmlns:a16="http://schemas.microsoft.com/office/drawing/2014/main" id="{00000000-0008-0000-0300-000030000000}"/>
            </a:ext>
          </a:extLst>
        </xdr:cNvPr>
        <xdr:cNvSpPr/>
      </xdr:nvSpPr>
      <xdr:spPr>
        <a:xfrm>
          <a:off x="6531430" y="15370233"/>
          <a:ext cx="2024742" cy="359624"/>
        </a:xfrm>
        <a:prstGeom prst="roundRect">
          <a:avLst/>
        </a:prstGeom>
        <a:solidFill>
          <a:srgbClr val="FFCC99"/>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rgbClr val="000000"/>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Enter Cost Manually</a:t>
          </a:r>
        </a:p>
      </xdr:txBody>
    </xdr:sp>
    <xdr:clientData/>
  </xdr:twoCellAnchor>
  <xdr:twoCellAnchor>
    <xdr:from>
      <xdr:col>5</xdr:col>
      <xdr:colOff>239485</xdr:colOff>
      <xdr:row>70</xdr:row>
      <xdr:rowOff>152401</xdr:rowOff>
    </xdr:from>
    <xdr:to>
      <xdr:col>5</xdr:col>
      <xdr:colOff>1338942</xdr:colOff>
      <xdr:row>71</xdr:row>
      <xdr:rowOff>315686</xdr:rowOff>
    </xdr:to>
    <xdr:sp macro="[0]!Delete" textlink="">
      <xdr:nvSpPr>
        <xdr:cNvPr id="49" name="Rounded Rectangle 48">
          <a:extLst>
            <a:ext uri="{FF2B5EF4-FFF2-40B4-BE49-F238E27FC236}">
              <a16:creationId xmlns:a16="http://schemas.microsoft.com/office/drawing/2014/main" id="{00000000-0008-0000-0300-000031000000}"/>
            </a:ext>
          </a:extLst>
        </xdr:cNvPr>
        <xdr:cNvSpPr/>
      </xdr:nvSpPr>
      <xdr:spPr>
        <a:xfrm>
          <a:off x="9350828" y="16568058"/>
          <a:ext cx="1099457" cy="402771"/>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Delete</a:t>
          </a:r>
        </a:p>
      </xdr:txBody>
    </xdr:sp>
    <xdr:clientData/>
  </xdr:twoCellAnchor>
  <xdr:twoCellAnchor>
    <xdr:from>
      <xdr:col>2</xdr:col>
      <xdr:colOff>228601</xdr:colOff>
      <xdr:row>70</xdr:row>
      <xdr:rowOff>163286</xdr:rowOff>
    </xdr:from>
    <xdr:to>
      <xdr:col>2</xdr:col>
      <xdr:colOff>1186544</xdr:colOff>
      <xdr:row>71</xdr:row>
      <xdr:rowOff>315685</xdr:rowOff>
    </xdr:to>
    <xdr:sp macro="[0]!Add" textlink="">
      <xdr:nvSpPr>
        <xdr:cNvPr id="50" name="Rounded Rectangle 49">
          <a:extLst>
            <a:ext uri="{FF2B5EF4-FFF2-40B4-BE49-F238E27FC236}">
              <a16:creationId xmlns:a16="http://schemas.microsoft.com/office/drawing/2014/main" id="{00000000-0008-0000-0300-000032000000}"/>
            </a:ext>
          </a:extLst>
        </xdr:cNvPr>
        <xdr:cNvSpPr/>
      </xdr:nvSpPr>
      <xdr:spPr>
        <a:xfrm>
          <a:off x="4844144" y="16578943"/>
          <a:ext cx="957943" cy="39188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Add</a:t>
          </a:r>
        </a:p>
      </xdr:txBody>
    </xdr:sp>
    <xdr:clientData/>
  </xdr:twoCellAnchor>
  <xdr:twoCellAnchor>
    <xdr:from>
      <xdr:col>3</xdr:col>
      <xdr:colOff>806184</xdr:colOff>
      <xdr:row>130</xdr:row>
      <xdr:rowOff>190373</xdr:rowOff>
    </xdr:from>
    <xdr:to>
      <xdr:col>5</xdr:col>
      <xdr:colOff>681318</xdr:colOff>
      <xdr:row>132</xdr:row>
      <xdr:rowOff>26895</xdr:rowOff>
    </xdr:to>
    <xdr:sp macro="[0]!EnterPrices2" textlink="">
      <xdr:nvSpPr>
        <xdr:cNvPr id="51" name="Rounded Rectangle 50">
          <a:extLst>
            <a:ext uri="{FF2B5EF4-FFF2-40B4-BE49-F238E27FC236}">
              <a16:creationId xmlns:a16="http://schemas.microsoft.com/office/drawing/2014/main" id="{00000000-0008-0000-0300-000033000000}"/>
            </a:ext>
          </a:extLst>
        </xdr:cNvPr>
        <xdr:cNvSpPr/>
      </xdr:nvSpPr>
      <xdr:spPr>
        <a:xfrm>
          <a:off x="6871704" y="34030793"/>
          <a:ext cx="2938374" cy="377542"/>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rgbClr val="FFFFFF"/>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Cost Tables</a:t>
          </a:r>
        </a:p>
      </xdr:txBody>
    </xdr:sp>
    <xdr:clientData/>
  </xdr:twoCellAnchor>
  <xdr:twoCellAnchor>
    <xdr:from>
      <xdr:col>3</xdr:col>
      <xdr:colOff>789535</xdr:colOff>
      <xdr:row>133</xdr:row>
      <xdr:rowOff>143435</xdr:rowOff>
    </xdr:from>
    <xdr:to>
      <xdr:col>4</xdr:col>
      <xdr:colOff>645460</xdr:colOff>
      <xdr:row>134</xdr:row>
      <xdr:rowOff>295836</xdr:rowOff>
    </xdr:to>
    <xdr:sp macro="[0]!AddTwo" textlink="">
      <xdr:nvSpPr>
        <xdr:cNvPr id="52" name="Rounded Rectangle 51">
          <a:extLst>
            <a:ext uri="{FF2B5EF4-FFF2-40B4-BE49-F238E27FC236}">
              <a16:creationId xmlns:a16="http://schemas.microsoft.com/office/drawing/2014/main" id="{00000000-0008-0000-0300-000034000000}"/>
            </a:ext>
          </a:extLst>
        </xdr:cNvPr>
        <xdr:cNvSpPr/>
      </xdr:nvSpPr>
      <xdr:spPr>
        <a:xfrm>
          <a:off x="6855055" y="34753475"/>
          <a:ext cx="1250385" cy="396241"/>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Add</a:t>
          </a:r>
        </a:p>
      </xdr:txBody>
    </xdr:sp>
    <xdr:clientData/>
  </xdr:twoCellAnchor>
  <xdr:twoCellAnchor>
    <xdr:from>
      <xdr:col>5</xdr:col>
      <xdr:colOff>152401</xdr:colOff>
      <xdr:row>133</xdr:row>
      <xdr:rowOff>152400</xdr:rowOff>
    </xdr:from>
    <xdr:to>
      <xdr:col>5</xdr:col>
      <xdr:colOff>1156447</xdr:colOff>
      <xdr:row>135</xdr:row>
      <xdr:rowOff>3841</xdr:rowOff>
    </xdr:to>
    <xdr:sp macro="[0]!DeleteTwo" textlink="">
      <xdr:nvSpPr>
        <xdr:cNvPr id="53" name="Rounded Rectangle 52">
          <a:extLst>
            <a:ext uri="{FF2B5EF4-FFF2-40B4-BE49-F238E27FC236}">
              <a16:creationId xmlns:a16="http://schemas.microsoft.com/office/drawing/2014/main" id="{00000000-0008-0000-0300-000035000000}"/>
            </a:ext>
          </a:extLst>
        </xdr:cNvPr>
        <xdr:cNvSpPr/>
      </xdr:nvSpPr>
      <xdr:spPr>
        <a:xfrm>
          <a:off x="9281161" y="34762440"/>
          <a:ext cx="1004046" cy="400081"/>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Delete</a:t>
          </a:r>
        </a:p>
      </xdr:txBody>
    </xdr:sp>
    <xdr:clientData/>
  </xdr:twoCellAnchor>
  <xdr:twoCellAnchor>
    <xdr:from>
      <xdr:col>3</xdr:col>
      <xdr:colOff>35860</xdr:colOff>
      <xdr:row>151</xdr:row>
      <xdr:rowOff>17930</xdr:rowOff>
    </xdr:from>
    <xdr:to>
      <xdr:col>4</xdr:col>
      <xdr:colOff>762001</xdr:colOff>
      <xdr:row>151</xdr:row>
      <xdr:rowOff>209775</xdr:rowOff>
    </xdr:to>
    <xdr:sp macro="[0]!EnterSpecificCosts" textlink="">
      <xdr:nvSpPr>
        <xdr:cNvPr id="54" name="Rounded Rectangle 53">
          <a:extLst>
            <a:ext uri="{FF2B5EF4-FFF2-40B4-BE49-F238E27FC236}">
              <a16:creationId xmlns:a16="http://schemas.microsoft.com/office/drawing/2014/main" id="{00000000-0008-0000-0300-000036000000}"/>
            </a:ext>
          </a:extLst>
        </xdr:cNvPr>
        <xdr:cNvSpPr/>
      </xdr:nvSpPr>
      <xdr:spPr>
        <a:xfrm>
          <a:off x="6101380" y="40190570"/>
          <a:ext cx="2120601" cy="19184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Enter Specific Costs</a:t>
          </a:r>
        </a:p>
      </xdr:txBody>
    </xdr:sp>
    <xdr:clientData/>
  </xdr:twoCellAnchor>
  <xdr:twoCellAnchor>
    <xdr:from>
      <xdr:col>4</xdr:col>
      <xdr:colOff>87085</xdr:colOff>
      <xdr:row>2</xdr:row>
      <xdr:rowOff>32658</xdr:rowOff>
    </xdr:from>
    <xdr:to>
      <xdr:col>5</xdr:col>
      <xdr:colOff>424542</xdr:colOff>
      <xdr:row>3</xdr:row>
      <xdr:rowOff>54429</xdr:rowOff>
    </xdr:to>
    <xdr:sp macro="[0]!ViewDescription" textlink="">
      <xdr:nvSpPr>
        <xdr:cNvPr id="5" name="Rounded Rectangle 4">
          <a:extLst>
            <a:ext uri="{FF2B5EF4-FFF2-40B4-BE49-F238E27FC236}">
              <a16:creationId xmlns:a16="http://schemas.microsoft.com/office/drawing/2014/main" id="{00000000-0008-0000-0300-000005000000}"/>
            </a:ext>
          </a:extLst>
        </xdr:cNvPr>
        <xdr:cNvSpPr/>
      </xdr:nvSpPr>
      <xdr:spPr>
        <a:xfrm>
          <a:off x="7532914" y="489858"/>
          <a:ext cx="2002971" cy="272142"/>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View Description</a:t>
          </a:r>
        </a:p>
      </xdr:txBody>
    </xdr:sp>
    <xdr:clientData/>
  </xdr:twoCellAnchor>
  <xdr:twoCellAnchor>
    <xdr:from>
      <xdr:col>3</xdr:col>
      <xdr:colOff>33129</xdr:colOff>
      <xdr:row>86</xdr:row>
      <xdr:rowOff>205408</xdr:rowOff>
    </xdr:from>
    <xdr:to>
      <xdr:col>3</xdr:col>
      <xdr:colOff>1351721</xdr:colOff>
      <xdr:row>88</xdr:row>
      <xdr:rowOff>6625</xdr:rowOff>
    </xdr:to>
    <xdr:sp macro="[0]!ViewEdit" textlink="">
      <xdr:nvSpPr>
        <xdr:cNvPr id="56" name="Rounded Rectangle 55">
          <a:extLst>
            <a:ext uri="{FF2B5EF4-FFF2-40B4-BE49-F238E27FC236}">
              <a16:creationId xmlns:a16="http://schemas.microsoft.com/office/drawing/2014/main" id="{00000000-0008-0000-0300-000038000000}"/>
            </a:ext>
          </a:extLst>
        </xdr:cNvPr>
        <xdr:cNvSpPr/>
      </xdr:nvSpPr>
      <xdr:spPr>
        <a:xfrm>
          <a:off x="6098649" y="21709048"/>
          <a:ext cx="1318592" cy="266037"/>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View</a:t>
          </a:r>
          <a:r>
            <a:rPr lang="en-US" sz="1200" b="1" i="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/Edit</a:t>
          </a:r>
          <a:endPar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endParaRPr>
        </a:p>
      </xdr:txBody>
    </xdr:sp>
    <xdr:clientData/>
  </xdr:twoCellAnchor>
  <xdr:twoCellAnchor>
    <xdr:from>
      <xdr:col>3</xdr:col>
      <xdr:colOff>26030</xdr:colOff>
      <xdr:row>88</xdr:row>
      <xdr:rowOff>20351</xdr:rowOff>
    </xdr:from>
    <xdr:to>
      <xdr:col>3</xdr:col>
      <xdr:colOff>1364974</xdr:colOff>
      <xdr:row>90</xdr:row>
      <xdr:rowOff>0</xdr:rowOff>
    </xdr:to>
    <xdr:sp macro="[0]!LinkToDetailedSheet" textlink="">
      <xdr:nvSpPr>
        <xdr:cNvPr id="57" name="Rounded Rectangle 56">
          <a:extLst>
            <a:ext uri="{FF2B5EF4-FFF2-40B4-BE49-F238E27FC236}">
              <a16:creationId xmlns:a16="http://schemas.microsoft.com/office/drawing/2014/main" id="{00000000-0008-0000-0300-000039000000}"/>
            </a:ext>
          </a:extLst>
        </xdr:cNvPr>
        <xdr:cNvSpPr/>
      </xdr:nvSpPr>
      <xdr:spPr>
        <a:xfrm>
          <a:off x="6091550" y="21988811"/>
          <a:ext cx="1338944" cy="619729"/>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Link to Detail Sheet</a:t>
          </a:r>
        </a:p>
      </xdr:txBody>
    </xdr:sp>
    <xdr:clientData/>
  </xdr:twoCellAnchor>
  <mc:AlternateContent xmlns:mc="http://schemas.openxmlformats.org/markup-compatibility/2006">
    <mc:Choice xmlns:a14="http://schemas.microsoft.com/office/drawing/2010/main" Requires="a14">
      <xdr:twoCellAnchor editAs="oneCell">
        <xdr:from>
          <xdr:col>3</xdr:col>
          <xdr:colOff>152400</xdr:colOff>
          <xdr:row>29</xdr:row>
          <xdr:rowOff>0</xdr:rowOff>
        </xdr:from>
        <xdr:to>
          <xdr:col>3</xdr:col>
          <xdr:colOff>1066800</xdr:colOff>
          <xdr:row>30</xdr:row>
          <xdr:rowOff>0</xdr:rowOff>
        </xdr:to>
        <xdr:sp macro="" textlink="">
          <xdr:nvSpPr>
            <xdr:cNvPr id="1225" name="Check Box 201" descr="H2A default" hidden="1">
              <a:extLst>
                <a:ext uri="{63B3BB69-23CF-44E3-9099-C40C66FF867C}">
                  <a14:compatExt spid="_x0000_s1225"/>
                </a:ext>
                <a:ext uri="{FF2B5EF4-FFF2-40B4-BE49-F238E27FC236}">
                  <a16:creationId xmlns:a16="http://schemas.microsoft.com/office/drawing/2014/main" id="{00000000-0008-0000-0300-0000C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40</xdr:row>
          <xdr:rowOff>213360</xdr:rowOff>
        </xdr:from>
        <xdr:to>
          <xdr:col>3</xdr:col>
          <xdr:colOff>1066800</xdr:colOff>
          <xdr:row>42</xdr:row>
          <xdr:rowOff>0</xdr:rowOff>
        </xdr:to>
        <xdr:sp macro="" textlink="">
          <xdr:nvSpPr>
            <xdr:cNvPr id="1226" name="Check Box 202" descr="H2A default" hidden="1">
              <a:extLst>
                <a:ext uri="{63B3BB69-23CF-44E3-9099-C40C66FF867C}">
                  <a14:compatExt spid="_x0000_s1226"/>
                </a:ext>
                <a:ext uri="{FF2B5EF4-FFF2-40B4-BE49-F238E27FC236}">
                  <a16:creationId xmlns:a16="http://schemas.microsoft.com/office/drawing/2014/main" id="{00000000-0008-0000-0300-0000C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42</xdr:row>
          <xdr:rowOff>0</xdr:rowOff>
        </xdr:from>
        <xdr:to>
          <xdr:col>3</xdr:col>
          <xdr:colOff>1066800</xdr:colOff>
          <xdr:row>43</xdr:row>
          <xdr:rowOff>0</xdr:rowOff>
        </xdr:to>
        <xdr:sp macro="" textlink="">
          <xdr:nvSpPr>
            <xdr:cNvPr id="1231" name="Check Box 203" descr="H2A default" hidden="1">
              <a:extLst>
                <a:ext uri="{63B3BB69-23CF-44E3-9099-C40C66FF867C}">
                  <a14:compatExt spid="_x0000_s1231"/>
                </a:ext>
                <a:ext uri="{FF2B5EF4-FFF2-40B4-BE49-F238E27FC236}">
                  <a16:creationId xmlns:a16="http://schemas.microsoft.com/office/drawing/2014/main" id="{00000000-0008-0000-0300-0000C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47</xdr:row>
          <xdr:rowOff>213360</xdr:rowOff>
        </xdr:from>
        <xdr:to>
          <xdr:col>3</xdr:col>
          <xdr:colOff>1066800</xdr:colOff>
          <xdr:row>49</xdr:row>
          <xdr:rowOff>0</xdr:rowOff>
        </xdr:to>
        <xdr:sp macro="" textlink="">
          <xdr:nvSpPr>
            <xdr:cNvPr id="1233" name="Check Box 204" descr="H2A default" hidden="1">
              <a:extLst>
                <a:ext uri="{63B3BB69-23CF-44E3-9099-C40C66FF867C}">
                  <a14:compatExt spid="_x0000_s1233"/>
                </a:ext>
                <a:ext uri="{FF2B5EF4-FFF2-40B4-BE49-F238E27FC236}">
                  <a16:creationId xmlns:a16="http://schemas.microsoft.com/office/drawing/2014/main" id="{00000000-0008-0000-0300-0000D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49</xdr:row>
          <xdr:rowOff>0</xdr:rowOff>
        </xdr:from>
        <xdr:to>
          <xdr:col>3</xdr:col>
          <xdr:colOff>1066800</xdr:colOff>
          <xdr:row>50</xdr:row>
          <xdr:rowOff>0</xdr:rowOff>
        </xdr:to>
        <xdr:sp macro="" textlink="">
          <xdr:nvSpPr>
            <xdr:cNvPr id="1234" name="Check Box 205" descr="H2A default" hidden="1">
              <a:extLst>
                <a:ext uri="{63B3BB69-23CF-44E3-9099-C40C66FF867C}">
                  <a14:compatExt spid="_x0000_s1234"/>
                </a:ext>
                <a:ext uri="{FF2B5EF4-FFF2-40B4-BE49-F238E27FC236}">
                  <a16:creationId xmlns:a16="http://schemas.microsoft.com/office/drawing/2014/main" id="{00000000-0008-0000-0300-0000D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50</xdr:row>
          <xdr:rowOff>0</xdr:rowOff>
        </xdr:from>
        <xdr:to>
          <xdr:col>3</xdr:col>
          <xdr:colOff>1066800</xdr:colOff>
          <xdr:row>51</xdr:row>
          <xdr:rowOff>0</xdr:rowOff>
        </xdr:to>
        <xdr:sp macro="" textlink="">
          <xdr:nvSpPr>
            <xdr:cNvPr id="1235" name="Check Box 206" descr="H2A default" hidden="1">
              <a:extLst>
                <a:ext uri="{63B3BB69-23CF-44E3-9099-C40C66FF867C}">
                  <a14:compatExt spid="_x0000_s1235"/>
                </a:ext>
                <a:ext uri="{FF2B5EF4-FFF2-40B4-BE49-F238E27FC236}">
                  <a16:creationId xmlns:a16="http://schemas.microsoft.com/office/drawing/2014/main" id="{00000000-0008-0000-0300-0000D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51</xdr:row>
          <xdr:rowOff>0</xdr:rowOff>
        </xdr:from>
        <xdr:to>
          <xdr:col>3</xdr:col>
          <xdr:colOff>1066800</xdr:colOff>
          <xdr:row>52</xdr:row>
          <xdr:rowOff>0</xdr:rowOff>
        </xdr:to>
        <xdr:sp macro="" textlink="">
          <xdr:nvSpPr>
            <xdr:cNvPr id="1236" name="Check Box 207" descr="H2A default" hidden="1">
              <a:extLst>
                <a:ext uri="{63B3BB69-23CF-44E3-9099-C40C66FF867C}">
                  <a14:compatExt spid="_x0000_s1236"/>
                </a:ext>
                <a:ext uri="{FF2B5EF4-FFF2-40B4-BE49-F238E27FC236}">
                  <a16:creationId xmlns:a16="http://schemas.microsoft.com/office/drawing/2014/main" id="{00000000-0008-0000-0300-0000D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52</xdr:row>
          <xdr:rowOff>0</xdr:rowOff>
        </xdr:from>
        <xdr:to>
          <xdr:col>3</xdr:col>
          <xdr:colOff>1066800</xdr:colOff>
          <xdr:row>53</xdr:row>
          <xdr:rowOff>0</xdr:rowOff>
        </xdr:to>
        <xdr:sp macro="" textlink="">
          <xdr:nvSpPr>
            <xdr:cNvPr id="1237" name="Check Box 208" descr="H2A default" hidden="1">
              <a:extLst>
                <a:ext uri="{63B3BB69-23CF-44E3-9099-C40C66FF867C}">
                  <a14:compatExt spid="_x0000_s1237"/>
                </a:ext>
                <a:ext uri="{FF2B5EF4-FFF2-40B4-BE49-F238E27FC236}">
                  <a16:creationId xmlns:a16="http://schemas.microsoft.com/office/drawing/2014/main" id="{00000000-0008-0000-0300-0000D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53</xdr:row>
          <xdr:rowOff>0</xdr:rowOff>
        </xdr:from>
        <xdr:to>
          <xdr:col>3</xdr:col>
          <xdr:colOff>1066800</xdr:colOff>
          <xdr:row>54</xdr:row>
          <xdr:rowOff>0</xdr:rowOff>
        </xdr:to>
        <xdr:sp macro="" textlink="">
          <xdr:nvSpPr>
            <xdr:cNvPr id="1238" name="Check Box 209" descr="H2A default" hidden="1">
              <a:extLst>
                <a:ext uri="{63B3BB69-23CF-44E3-9099-C40C66FF867C}">
                  <a14:compatExt spid="_x0000_s1238"/>
                </a:ext>
                <a:ext uri="{FF2B5EF4-FFF2-40B4-BE49-F238E27FC236}">
                  <a16:creationId xmlns:a16="http://schemas.microsoft.com/office/drawing/2014/main" id="{00000000-0008-0000-0300-0000D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54</xdr:row>
          <xdr:rowOff>190500</xdr:rowOff>
        </xdr:from>
        <xdr:to>
          <xdr:col>3</xdr:col>
          <xdr:colOff>1066800</xdr:colOff>
          <xdr:row>55</xdr:row>
          <xdr:rowOff>190500</xdr:rowOff>
        </xdr:to>
        <xdr:sp macro="" textlink="">
          <xdr:nvSpPr>
            <xdr:cNvPr id="1239" name="Check Box 210" descr="H2A default" hidden="1">
              <a:extLst>
                <a:ext uri="{63B3BB69-23CF-44E3-9099-C40C66FF867C}">
                  <a14:compatExt spid="_x0000_s1239"/>
                </a:ext>
                <a:ext uri="{FF2B5EF4-FFF2-40B4-BE49-F238E27FC236}">
                  <a16:creationId xmlns:a16="http://schemas.microsoft.com/office/drawing/2014/main" id="{00000000-0008-0000-0300-0000D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xdr:oneCellAnchor>
    <xdr:from>
      <xdr:col>3</xdr:col>
      <xdr:colOff>28575</xdr:colOff>
      <xdr:row>65</xdr:row>
      <xdr:rowOff>228600</xdr:rowOff>
    </xdr:from>
    <xdr:ext cx="415498" cy="269369"/>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5924550" y="14973300"/>
          <a:ext cx="415498" cy="269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1">
              <a:latin typeface="Arial" panose="020B0604020202020204" pitchFamily="34" charset="0"/>
              <a:cs typeface="Arial" panose="020B0604020202020204" pitchFamily="34" charset="0"/>
            </a:rPr>
            <a:t>OR</a:t>
          </a:r>
        </a:p>
      </xdr:txBody>
    </xdr:sp>
    <xdr:clientData/>
  </xdr:oneCellAnchor>
  <xdr:oneCellAnchor>
    <xdr:from>
      <xdr:col>1</xdr:col>
      <xdr:colOff>2705100</xdr:colOff>
      <xdr:row>65</xdr:row>
      <xdr:rowOff>228600</xdr:rowOff>
    </xdr:from>
    <xdr:ext cx="1450397" cy="269369"/>
    <xdr:sp macro="" textlink="">
      <xdr:nvSpPr>
        <xdr:cNvPr id="44" name="TextBox 43">
          <a:extLst>
            <a:ext uri="{FF2B5EF4-FFF2-40B4-BE49-F238E27FC236}">
              <a16:creationId xmlns:a16="http://schemas.microsoft.com/office/drawing/2014/main" id="{00000000-0008-0000-0300-00002C000000}"/>
            </a:ext>
          </a:extLst>
        </xdr:cNvPr>
        <xdr:cNvSpPr txBox="1"/>
      </xdr:nvSpPr>
      <xdr:spPr>
        <a:xfrm>
          <a:off x="3000375" y="14973300"/>
          <a:ext cx="1450397" cy="269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1">
              <a:latin typeface="Arial" panose="020B0604020202020204" pitchFamily="34" charset="0"/>
              <a:cs typeface="Arial" panose="020B0604020202020204" pitchFamily="34" charset="0"/>
            </a:rPr>
            <a:t>Use H2A defaults</a:t>
          </a:r>
        </a:p>
      </xdr:txBody>
    </xdr:sp>
    <xdr:clientData/>
  </xdr:oneCellAnchor>
  <mc:AlternateContent xmlns:mc="http://schemas.openxmlformats.org/markup-compatibility/2006">
    <mc:Choice xmlns:a14="http://schemas.microsoft.com/office/drawing/2010/main" Requires="a14">
      <xdr:twoCellAnchor editAs="oneCell">
        <xdr:from>
          <xdr:col>3</xdr:col>
          <xdr:colOff>152400</xdr:colOff>
          <xdr:row>113</xdr:row>
          <xdr:rowOff>0</xdr:rowOff>
        </xdr:from>
        <xdr:to>
          <xdr:col>3</xdr:col>
          <xdr:colOff>1066800</xdr:colOff>
          <xdr:row>114</xdr:row>
          <xdr:rowOff>0</xdr:rowOff>
        </xdr:to>
        <xdr:sp macro="" textlink="">
          <xdr:nvSpPr>
            <xdr:cNvPr id="1242" name="Check Box 211" descr="H2A default" hidden="1">
              <a:extLst>
                <a:ext uri="{63B3BB69-23CF-44E3-9099-C40C66FF867C}">
                  <a14:compatExt spid="_x0000_s1242"/>
                </a:ext>
                <a:ext uri="{FF2B5EF4-FFF2-40B4-BE49-F238E27FC236}">
                  <a16:creationId xmlns:a16="http://schemas.microsoft.com/office/drawing/2014/main" id="{00000000-0008-0000-0300-0000D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116</xdr:row>
          <xdr:rowOff>22860</xdr:rowOff>
        </xdr:from>
        <xdr:to>
          <xdr:col>3</xdr:col>
          <xdr:colOff>1066800</xdr:colOff>
          <xdr:row>116</xdr:row>
          <xdr:rowOff>228600</xdr:rowOff>
        </xdr:to>
        <xdr:sp macro="" textlink="">
          <xdr:nvSpPr>
            <xdr:cNvPr id="1243" name="Check Box 212" descr="H2A default" hidden="1">
              <a:extLst>
                <a:ext uri="{63B3BB69-23CF-44E3-9099-C40C66FF867C}">
                  <a14:compatExt spid="_x0000_s1243"/>
                </a:ext>
                <a:ext uri="{FF2B5EF4-FFF2-40B4-BE49-F238E27FC236}">
                  <a16:creationId xmlns:a16="http://schemas.microsoft.com/office/drawing/2014/main" id="{00000000-0008-0000-0300-0000D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xdr:oneCellAnchor>
    <xdr:from>
      <xdr:col>3</xdr:col>
      <xdr:colOff>28575</xdr:colOff>
      <xdr:row>130</xdr:row>
      <xdr:rowOff>187569</xdr:rowOff>
    </xdr:from>
    <xdr:ext cx="415498" cy="269369"/>
    <xdr:sp macro="" textlink="">
      <xdr:nvSpPr>
        <xdr:cNvPr id="55" name="TextBox 54">
          <a:extLst>
            <a:ext uri="{FF2B5EF4-FFF2-40B4-BE49-F238E27FC236}">
              <a16:creationId xmlns:a16="http://schemas.microsoft.com/office/drawing/2014/main" id="{00000000-0008-0000-0300-000037000000}"/>
            </a:ext>
          </a:extLst>
        </xdr:cNvPr>
        <xdr:cNvSpPr txBox="1"/>
      </xdr:nvSpPr>
      <xdr:spPr>
        <a:xfrm>
          <a:off x="6094095" y="34027989"/>
          <a:ext cx="415498" cy="269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1">
              <a:latin typeface="Arial" panose="020B0604020202020204" pitchFamily="34" charset="0"/>
              <a:cs typeface="Arial" panose="020B0604020202020204" pitchFamily="34" charset="0"/>
            </a:rPr>
            <a:t>OR</a:t>
          </a:r>
        </a:p>
      </xdr:txBody>
    </xdr:sp>
    <xdr:clientData/>
  </xdr:oneCellAnchor>
  <xdr:oneCellAnchor>
    <xdr:from>
      <xdr:col>1</xdr:col>
      <xdr:colOff>2705100</xdr:colOff>
      <xdr:row>130</xdr:row>
      <xdr:rowOff>187569</xdr:rowOff>
    </xdr:from>
    <xdr:ext cx="1450397" cy="269369"/>
    <xdr:sp macro="" textlink="">
      <xdr:nvSpPr>
        <xdr:cNvPr id="58" name="TextBox 57">
          <a:extLst>
            <a:ext uri="{FF2B5EF4-FFF2-40B4-BE49-F238E27FC236}">
              <a16:creationId xmlns:a16="http://schemas.microsoft.com/office/drawing/2014/main" id="{00000000-0008-0000-0300-00003A000000}"/>
            </a:ext>
          </a:extLst>
        </xdr:cNvPr>
        <xdr:cNvSpPr txBox="1"/>
      </xdr:nvSpPr>
      <xdr:spPr>
        <a:xfrm>
          <a:off x="3009900" y="34027989"/>
          <a:ext cx="1450397" cy="269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1">
              <a:latin typeface="Arial" panose="020B0604020202020204" pitchFamily="34" charset="0"/>
              <a:cs typeface="Arial" panose="020B0604020202020204" pitchFamily="34" charset="0"/>
            </a:rPr>
            <a:t>Use H2A defaults</a:t>
          </a:r>
        </a:p>
      </xdr:txBody>
    </xdr:sp>
    <xdr:clientData/>
  </xdr:oneCellAnchor>
</xdr:wsDr>
</file>

<file path=xl/drawings/drawing5.xml><?xml version="1.0" encoding="utf-8"?>
<c:userShapes xmlns:c="http://schemas.openxmlformats.org/drawingml/2006/chart">
  <cdr:relSizeAnchor xmlns:cdr="http://schemas.openxmlformats.org/drawingml/2006/chartDrawing">
    <cdr:from>
      <cdr:x>0.47411</cdr:x>
      <cdr:y>0.12998</cdr:y>
    </cdr:from>
    <cdr:to>
      <cdr:x>0.47411</cdr:x>
      <cdr:y>0.76626</cdr:y>
    </cdr:to>
    <cdr:sp macro="" textlink="">
      <cdr:nvSpPr>
        <cdr:cNvPr id="3073" name="Line 1025"/>
        <cdr:cNvSpPr>
          <a:spLocks xmlns:a="http://schemas.openxmlformats.org/drawingml/2006/main" noChangeShapeType="1"/>
        </cdr:cNvSpPr>
      </cdr:nvSpPr>
      <cdr:spPr bwMode="auto">
        <a:xfrm xmlns:a="http://schemas.openxmlformats.org/drawingml/2006/main" flipV="1">
          <a:off x="350902" y="98504"/>
          <a:ext cx="0" cy="466665"/>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0.46454</cdr:x>
      <cdr:y>0.16565</cdr:y>
    </cdr:from>
    <cdr:to>
      <cdr:x>0.46846</cdr:x>
      <cdr:y>0.16565</cdr:y>
    </cdr:to>
    <cdr:sp macro="" textlink="">
      <cdr:nvSpPr>
        <cdr:cNvPr id="3074" name="Line 1026"/>
        <cdr:cNvSpPr>
          <a:spLocks xmlns:a="http://schemas.openxmlformats.org/drawingml/2006/main" noChangeShapeType="1"/>
        </cdr:cNvSpPr>
      </cdr:nvSpPr>
      <cdr:spPr bwMode="auto">
        <a:xfrm xmlns:a="http://schemas.openxmlformats.org/drawingml/2006/main" flipH="1">
          <a:off x="343882" y="124669"/>
          <a:ext cx="2872" cy="0"/>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type="triangle" w="med" len="me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cdr:x>
      <cdr:y>0</cdr:y>
    </cdr:from>
    <cdr:to>
      <cdr:x>1</cdr:x>
      <cdr:y>1</cdr:y>
    </cdr:to>
    <cdr:sp macro="" textlink="">
      <cdr:nvSpPr>
        <cdr:cNvPr id="3075" name="Text Box 1027"/>
        <cdr:cNvSpPr txBox="1">
          <a:spLocks xmlns:a="http://schemas.openxmlformats.org/drawingml/2006/main" noChangeArrowheads="1"/>
        </cdr:cNvSpPr>
      </cdr:nvSpPr>
      <cdr:spPr bwMode="auto">
        <a:xfrm xmlns:a="http://schemas.openxmlformats.org/drawingml/2006/main">
          <a:off x="0" y="0"/>
          <a:ext cx="16350" cy="3321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9144" tIns="18288" rIns="0" bIns="0" anchor="t" upright="1">
          <a:spAutoFit/>
        </a:bodyPr>
        <a:lstStyle xmlns:a="http://schemas.openxmlformats.org/drawingml/2006/main"/>
        <a:p xmlns:a="http://schemas.openxmlformats.org/drawingml/2006/main">
          <a:pPr algn="l" rtl="1">
            <a:defRPr sz="1000"/>
          </a:pPr>
          <a:r>
            <a:rPr lang="en-US" sz="100" b="0" i="0" strike="noStrike">
              <a:solidFill>
                <a:srgbClr val="000000"/>
              </a:solidFill>
              <a:latin typeface="Arial"/>
              <a:cs typeface="Arial"/>
            </a:rPr>
            <a:t>$</a:t>
          </a:r>
        </a:p>
      </cdr:txBody>
    </cdr:sp>
  </cdr:relSizeAnchor>
  <cdr:relSizeAnchor xmlns:cdr="http://schemas.openxmlformats.org/drawingml/2006/chartDrawing">
    <cdr:from>
      <cdr:x>0.47999</cdr:x>
      <cdr:y>0.16565</cdr:y>
    </cdr:from>
    <cdr:to>
      <cdr:x>0.48412</cdr:x>
      <cdr:y>0.16565</cdr:y>
    </cdr:to>
    <cdr:sp macro="" textlink="">
      <cdr:nvSpPr>
        <cdr:cNvPr id="3076" name="Line 1028"/>
        <cdr:cNvSpPr>
          <a:spLocks xmlns:a="http://schemas.openxmlformats.org/drawingml/2006/main" noChangeShapeType="1"/>
        </cdr:cNvSpPr>
      </cdr:nvSpPr>
      <cdr:spPr bwMode="auto">
        <a:xfrm xmlns:a="http://schemas.openxmlformats.org/drawingml/2006/main">
          <a:off x="355209" y="124669"/>
          <a:ext cx="3032" cy="0"/>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type="triangle" w="med" len="me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cdr:x>
      <cdr:y>0</cdr:y>
    </cdr:from>
    <cdr:to>
      <cdr:x>1</cdr:x>
      <cdr:y>1</cdr:y>
    </cdr:to>
    <cdr:sp macro="" textlink="">
      <cdr:nvSpPr>
        <cdr:cNvPr id="3077" name="Text Box 1029"/>
        <cdr:cNvSpPr txBox="1">
          <a:spLocks xmlns:a="http://schemas.openxmlformats.org/drawingml/2006/main" noChangeArrowheads="1"/>
        </cdr:cNvSpPr>
      </cdr:nvSpPr>
      <cdr:spPr bwMode="auto">
        <a:xfrm xmlns:a="http://schemas.openxmlformats.org/drawingml/2006/main">
          <a:off x="0" y="0"/>
          <a:ext cx="16350" cy="3321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9144" tIns="18288" rIns="0" bIns="0" anchor="t" upright="1">
          <a:spAutoFit/>
        </a:bodyPr>
        <a:lstStyle xmlns:a="http://schemas.openxmlformats.org/drawingml/2006/main"/>
        <a:p xmlns:a="http://schemas.openxmlformats.org/drawingml/2006/main">
          <a:pPr algn="l" rtl="1">
            <a:defRPr sz="1000"/>
          </a:pPr>
          <a:r>
            <a:rPr lang="en-US" sz="100" b="0" i="0" strike="noStrike">
              <a:solidFill>
                <a:srgbClr val="000000"/>
              </a:solidFill>
              <a:latin typeface="Arial"/>
              <a:cs typeface="Arial"/>
            </a:rPr>
            <a:t>€</a:t>
          </a:r>
        </a:p>
      </cdr:txBody>
    </cdr:sp>
  </cdr:relSizeAnchor>
</c:userShapes>
</file>

<file path=xl/drawings/drawing6.xml><?xml version="1.0" encoding="utf-8"?>
<c:userShapes xmlns:c="http://schemas.openxmlformats.org/drawingml/2006/chart">
  <cdr:relSizeAnchor xmlns:cdr="http://schemas.openxmlformats.org/drawingml/2006/chartDrawing">
    <cdr:from>
      <cdr:x>0.35699</cdr:x>
      <cdr:y>0.0197</cdr:y>
    </cdr:from>
    <cdr:to>
      <cdr:x>0.99403</cdr:x>
      <cdr:y>0.19837</cdr:y>
    </cdr:to>
    <cdr:sp macro="" textlink="">
      <cdr:nvSpPr>
        <cdr:cNvPr id="2" name="TextBox 1"/>
        <cdr:cNvSpPr txBox="1"/>
      </cdr:nvSpPr>
      <cdr:spPr>
        <a:xfrm xmlns:a="http://schemas.openxmlformats.org/drawingml/2006/main">
          <a:off x="2197242" y="89648"/>
          <a:ext cx="3920925" cy="81315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b="1">
              <a:latin typeface="Arial" panose="020B0604020202020204" pitchFamily="34" charset="0"/>
              <a:cs typeface="Arial" panose="020B0604020202020204" pitchFamily="34" charset="0"/>
            </a:rPr>
            <a:t>Real Levelized Values</a:t>
          </a:r>
          <a:endParaRPr lang="en-US" sz="1200" b="1" baseline="0">
            <a:latin typeface="Arial" panose="020B0604020202020204" pitchFamily="34" charset="0"/>
            <a:cs typeface="Arial" panose="020B0604020202020204" pitchFamily="34" charset="0"/>
          </a:endParaRPr>
        </a:p>
        <a:p xmlns:a="http://schemas.openxmlformats.org/drawingml/2006/main">
          <a:r>
            <a:rPr lang="en-US" sz="1050" baseline="0">
              <a:latin typeface="Arial" panose="020B0604020202020204" pitchFamily="34" charset="0"/>
              <a:cs typeface="Arial" panose="020B0604020202020204" pitchFamily="34" charset="0"/>
            </a:rPr>
            <a:t>(per kg H2)</a:t>
          </a:r>
          <a:endParaRPr lang="en-US" sz="105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0.11638</cdr:y>
    </cdr:from>
    <cdr:to>
      <cdr:x>0.0729</cdr:x>
      <cdr:y>0.16957</cdr:y>
    </cdr:to>
    <cdr:sp macro="" textlink="'Tornado Charts &amp; Risk Analysis'!$H$155">
      <cdr:nvSpPr>
        <cdr:cNvPr id="3" name="TextBox 2"/>
        <cdr:cNvSpPr txBox="1"/>
      </cdr:nvSpPr>
      <cdr:spPr>
        <a:xfrm xmlns:a="http://schemas.openxmlformats.org/drawingml/2006/main">
          <a:off x="0" y="524654"/>
          <a:ext cx="469744"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1A3CDD28-8A2D-431A-B7B4-B1D21BD1C060}" type="TxLink">
            <a:rPr lang="en-US" sz="1000" b="0" i="0" u="none" strike="noStrike">
              <a:solidFill>
                <a:srgbClr val="000000"/>
              </a:solidFill>
              <a:latin typeface="Arial"/>
              <a:cs typeface="Arial"/>
            </a:rPr>
            <a:pPr algn="l"/>
            <a:t>Cost of Hydrogen</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0.16861</cdr:y>
    </cdr:from>
    <cdr:to>
      <cdr:x>0.0729</cdr:x>
      <cdr:y>0.2218</cdr:y>
    </cdr:to>
    <cdr:sp macro="" textlink="'Tornado Charts &amp; Risk Analysis'!$H$156">
      <cdr:nvSpPr>
        <cdr:cNvPr id="4" name="TextBox 1"/>
        <cdr:cNvSpPr txBox="1"/>
      </cdr:nvSpPr>
      <cdr:spPr>
        <a:xfrm xmlns:a="http://schemas.openxmlformats.org/drawingml/2006/main">
          <a:off x="0" y="760113"/>
          <a:ext cx="469744"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A18FA9B1-ACA6-4CA6-8B28-2C40C8633412}" type="TxLink">
            <a:rPr lang="en-US" sz="1000" b="0" i="0" u="none" strike="noStrike">
              <a:solidFill>
                <a:srgbClr val="000000"/>
              </a:solidFill>
              <a:latin typeface="Arial"/>
              <a:cs typeface="Arial"/>
            </a:rPr>
            <a:pPr algn="l"/>
            <a:t>Salvage Value</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0.21963</cdr:y>
    </cdr:from>
    <cdr:to>
      <cdr:x>0.0729</cdr:x>
      <cdr:y>0.27282</cdr:y>
    </cdr:to>
    <cdr:sp macro="" textlink="'Tornado Charts &amp; Risk Analysis'!$H$157">
      <cdr:nvSpPr>
        <cdr:cNvPr id="5" name="TextBox 1"/>
        <cdr:cNvSpPr txBox="1"/>
      </cdr:nvSpPr>
      <cdr:spPr>
        <a:xfrm xmlns:a="http://schemas.openxmlformats.org/drawingml/2006/main">
          <a:off x="0" y="990117"/>
          <a:ext cx="469744"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9F59C6F2-CE9C-4F7F-950B-2939B68EA195}" type="TxLink">
            <a:rPr lang="en-US" sz="1000" b="0" i="0" u="none" strike="noStrike">
              <a:solidFill>
                <a:srgbClr val="000000"/>
              </a:solidFill>
              <a:latin typeface="Arial"/>
              <a:cs typeface="Arial"/>
            </a:rPr>
            <a:pPr algn="l"/>
            <a:t>Byproduct Sales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0.32367</cdr:y>
    </cdr:from>
    <cdr:to>
      <cdr:x>0.0729</cdr:x>
      <cdr:y>0.37686</cdr:y>
    </cdr:to>
    <cdr:sp macro="" textlink="'Tornado Charts &amp; Risk Analysis'!$H$159">
      <cdr:nvSpPr>
        <cdr:cNvPr id="6" name="TextBox 1"/>
        <cdr:cNvSpPr txBox="1"/>
      </cdr:nvSpPr>
      <cdr:spPr>
        <a:xfrm xmlns:a="http://schemas.openxmlformats.org/drawingml/2006/main">
          <a:off x="0" y="1459141"/>
          <a:ext cx="469744"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A89015AD-7A8A-4A72-B5BB-86D2BC6F3CE7}" type="TxLink">
            <a:rPr lang="en-US" sz="1000" b="0" i="0" u="none" strike="noStrike">
              <a:solidFill>
                <a:srgbClr val="000000"/>
              </a:solidFill>
              <a:latin typeface="Arial"/>
              <a:cs typeface="Arial"/>
            </a:rPr>
            <a:pPr algn="l"/>
            <a:t>Feedstock Cost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0.37484</cdr:y>
    </cdr:from>
    <cdr:to>
      <cdr:x>0.0729</cdr:x>
      <cdr:y>0.42803</cdr:y>
    </cdr:to>
    <cdr:sp macro="" textlink="'Tornado Charts &amp; Risk Analysis'!$H$160">
      <cdr:nvSpPr>
        <cdr:cNvPr id="7" name="TextBox 1"/>
        <cdr:cNvSpPr txBox="1"/>
      </cdr:nvSpPr>
      <cdr:spPr>
        <a:xfrm xmlns:a="http://schemas.openxmlformats.org/drawingml/2006/main">
          <a:off x="0" y="1689821"/>
          <a:ext cx="469744"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E473AE1-DF0C-4CC3-9470-37DCE87FF09C}" type="TxLink">
            <a:rPr lang="en-US" sz="1000" b="0" i="0" u="none" strike="noStrike">
              <a:solidFill>
                <a:srgbClr val="000000"/>
              </a:solidFill>
              <a:latin typeface="Arial"/>
              <a:cs typeface="Arial"/>
            </a:rPr>
            <a:pPr algn="l"/>
            <a:t>Fixed Operating Cost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0.4268</cdr:y>
    </cdr:from>
    <cdr:to>
      <cdr:x>0.0729</cdr:x>
      <cdr:y>0.47999</cdr:y>
    </cdr:to>
    <cdr:sp macro="" textlink="'Tornado Charts &amp; Risk Analysis'!$H$161">
      <cdr:nvSpPr>
        <cdr:cNvPr id="8" name="TextBox 1"/>
        <cdr:cNvSpPr txBox="1"/>
      </cdr:nvSpPr>
      <cdr:spPr>
        <a:xfrm xmlns:a="http://schemas.openxmlformats.org/drawingml/2006/main">
          <a:off x="0" y="1924063"/>
          <a:ext cx="469744"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F0805A6-3F80-4DE2-AFDF-411FAFF4BB01}" type="TxLink">
            <a:rPr lang="en-US" sz="1000" b="0" i="0" u="none" strike="noStrike">
              <a:solidFill>
                <a:srgbClr val="000000"/>
              </a:solidFill>
              <a:latin typeface="Arial"/>
              <a:cs typeface="Arial"/>
            </a:rPr>
            <a:pPr algn="l"/>
            <a:t>Initial Equity Depreciable Capital</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0.47843</cdr:y>
    </cdr:from>
    <cdr:to>
      <cdr:x>0.0729</cdr:x>
      <cdr:y>0.53162</cdr:y>
    </cdr:to>
    <cdr:sp macro="" textlink="'Tornado Charts &amp; Risk Analysis'!$H$162">
      <cdr:nvSpPr>
        <cdr:cNvPr id="9" name="TextBox 1"/>
        <cdr:cNvSpPr txBox="1"/>
      </cdr:nvSpPr>
      <cdr:spPr>
        <a:xfrm xmlns:a="http://schemas.openxmlformats.org/drawingml/2006/main">
          <a:off x="0" y="2156817"/>
          <a:ext cx="469744"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D83F270E-8532-4B1B-8FFF-8C957F3EDBE2}" type="TxLink">
            <a:rPr lang="en-US" sz="1000" b="0" i="0" u="none" strike="noStrike">
              <a:solidFill>
                <a:srgbClr val="000000"/>
              </a:solidFill>
              <a:latin typeface="Arial"/>
              <a:cs typeface="Arial"/>
            </a:rPr>
            <a:pPr algn="l"/>
            <a:t>Yearly Replacement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0.53022</cdr:y>
    </cdr:from>
    <cdr:to>
      <cdr:x>0.0729</cdr:x>
      <cdr:y>0.58341</cdr:y>
    </cdr:to>
    <cdr:sp macro="" textlink="'Tornado Charts &amp; Risk Analysis'!$H$163">
      <cdr:nvSpPr>
        <cdr:cNvPr id="10" name="TextBox 1"/>
        <cdr:cNvSpPr txBox="1"/>
      </cdr:nvSpPr>
      <cdr:spPr>
        <a:xfrm xmlns:a="http://schemas.openxmlformats.org/drawingml/2006/main">
          <a:off x="0" y="2390292"/>
          <a:ext cx="469744"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77E4170D-D6EA-4421-BAA5-6E7C9C2B9D7F}" type="TxLink">
            <a:rPr lang="en-US" sz="1000" b="0" i="0" u="none" strike="noStrike">
              <a:solidFill>
                <a:srgbClr val="000000"/>
              </a:solidFill>
              <a:latin typeface="Arial"/>
              <a:cs typeface="Arial"/>
            </a:rPr>
            <a:pPr algn="l"/>
            <a:t>Debt Interest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0.58246</cdr:y>
    </cdr:from>
    <cdr:to>
      <cdr:x>0.0729</cdr:x>
      <cdr:y>0.63565</cdr:y>
    </cdr:to>
    <cdr:sp macro="" textlink="'Tornado Charts &amp; Risk Analysis'!$H$164">
      <cdr:nvSpPr>
        <cdr:cNvPr id="11" name="TextBox 1"/>
        <cdr:cNvSpPr txBox="1"/>
      </cdr:nvSpPr>
      <cdr:spPr>
        <a:xfrm xmlns:a="http://schemas.openxmlformats.org/drawingml/2006/main">
          <a:off x="0" y="2625796"/>
          <a:ext cx="469744"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6F266C0-C7AB-4063-A6DE-39168ECD403F}" type="TxLink">
            <a:rPr lang="en-US" sz="1000" b="0" i="0" u="none" strike="noStrike">
              <a:solidFill>
                <a:srgbClr val="000000"/>
              </a:solidFill>
              <a:latin typeface="Arial"/>
              <a:cs typeface="Arial"/>
            </a:rPr>
            <a:pPr algn="l"/>
            <a:t>Principal Payment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0.63331</cdr:y>
    </cdr:from>
    <cdr:to>
      <cdr:x>0.0729</cdr:x>
      <cdr:y>0.68651</cdr:y>
    </cdr:to>
    <cdr:sp macro="" textlink="'Tornado Charts &amp; Risk Analysis'!$H$165">
      <cdr:nvSpPr>
        <cdr:cNvPr id="12" name="TextBox 1"/>
        <cdr:cNvSpPr txBox="1"/>
      </cdr:nvSpPr>
      <cdr:spPr>
        <a:xfrm xmlns:a="http://schemas.openxmlformats.org/drawingml/2006/main">
          <a:off x="0" y="2855034"/>
          <a:ext cx="469744"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F62E582B-4F59-4E19-9576-56FD08D77199}" type="TxLink">
            <a:rPr lang="en-US" sz="1000" b="0" i="0" u="none" strike="noStrike">
              <a:solidFill>
                <a:srgbClr val="000000"/>
              </a:solidFill>
              <a:latin typeface="Arial"/>
              <a:cs typeface="Arial"/>
            </a:rPr>
            <a:pPr algn="l"/>
            <a:t>Other Variable Operating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0.68555</cdr:y>
    </cdr:from>
    <cdr:to>
      <cdr:x>0.0729</cdr:x>
      <cdr:y>0.73875</cdr:y>
    </cdr:to>
    <cdr:sp macro="" textlink="'Tornado Charts &amp; Risk Analysis'!$H$166">
      <cdr:nvSpPr>
        <cdr:cNvPr id="13" name="TextBox 1"/>
        <cdr:cNvSpPr txBox="1"/>
      </cdr:nvSpPr>
      <cdr:spPr>
        <a:xfrm xmlns:a="http://schemas.openxmlformats.org/drawingml/2006/main">
          <a:off x="0" y="3090538"/>
          <a:ext cx="469744"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B0AC6AB9-5195-42E7-BC52-B486AE25B406}" type="TxLink">
            <a:rPr lang="en-US" sz="1000" b="0" i="0" u="none" strike="noStrike">
              <a:solidFill>
                <a:srgbClr val="000000"/>
              </a:solidFill>
              <a:latin typeface="Arial"/>
              <a:cs typeface="Arial"/>
            </a:rPr>
            <a:pPr algn="l"/>
            <a:t>Cash for Working Capital Reserve</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0.73718</cdr:y>
    </cdr:from>
    <cdr:to>
      <cdr:x>0.0729</cdr:x>
      <cdr:y>0.79037</cdr:y>
    </cdr:to>
    <cdr:sp macro="" textlink="'Tornado Charts &amp; Risk Analysis'!$H$167">
      <cdr:nvSpPr>
        <cdr:cNvPr id="14" name="TextBox 1"/>
        <cdr:cNvSpPr txBox="1"/>
      </cdr:nvSpPr>
      <cdr:spPr>
        <a:xfrm xmlns:a="http://schemas.openxmlformats.org/drawingml/2006/main">
          <a:off x="0" y="3323291"/>
          <a:ext cx="469744"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F223160F-46E4-436D-9BBA-655A46D2ED9B}" type="TxLink">
            <a:rPr lang="en-US" sz="1000" b="0" i="0" u="none" strike="noStrike">
              <a:solidFill>
                <a:srgbClr val="000000"/>
              </a:solidFill>
              <a:latin typeface="Arial"/>
              <a:cs typeface="Arial"/>
            </a:rPr>
            <a:pPr algn="l"/>
            <a:t>Decommissioning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0.78886</cdr:y>
    </cdr:from>
    <cdr:to>
      <cdr:x>0.0729</cdr:x>
      <cdr:y>0.84206</cdr:y>
    </cdr:to>
    <cdr:sp macro="" textlink="'Tornado Charts &amp; Risk Analysis'!$H$168">
      <cdr:nvSpPr>
        <cdr:cNvPr id="15" name="TextBox 1"/>
        <cdr:cNvSpPr txBox="1"/>
      </cdr:nvSpPr>
      <cdr:spPr>
        <a:xfrm xmlns:a="http://schemas.openxmlformats.org/drawingml/2006/main">
          <a:off x="0" y="3556271"/>
          <a:ext cx="469744"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1F3DD0A7-C856-4E48-A430-42E2C2191B98}" type="TxLink">
            <a:rPr lang="en-US" sz="1000" b="0" i="0" u="none" strike="noStrike">
              <a:solidFill>
                <a:srgbClr val="000000"/>
              </a:solidFill>
              <a:latin typeface="Arial"/>
              <a:cs typeface="Arial"/>
            </a:rPr>
            <a:pPr algn="l"/>
            <a:t>Other Raw Material Cost</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0.8406</cdr:y>
    </cdr:from>
    <cdr:to>
      <cdr:x>0.0729</cdr:x>
      <cdr:y>0.8938</cdr:y>
    </cdr:to>
    <cdr:sp macro="" textlink="'Tornado Charts &amp; Risk Analysis'!$H$169">
      <cdr:nvSpPr>
        <cdr:cNvPr id="16" name="TextBox 1"/>
        <cdr:cNvSpPr txBox="1"/>
      </cdr:nvSpPr>
      <cdr:spPr>
        <a:xfrm xmlns:a="http://schemas.openxmlformats.org/drawingml/2006/main">
          <a:off x="0" y="3789521"/>
          <a:ext cx="469744"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01AE85DF-4D7C-445B-89A2-66E6679C20CE}" type="TxLink">
            <a:rPr lang="en-US" sz="1000" b="0" i="0" u="none" strike="noStrike">
              <a:solidFill>
                <a:srgbClr val="000000"/>
              </a:solidFill>
              <a:latin typeface="Arial"/>
              <a:cs typeface="Arial"/>
            </a:rPr>
            <a:pPr algn="l"/>
            <a:t>Other Non-Depreciable Capital Costs</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0.89256</cdr:y>
    </cdr:from>
    <cdr:to>
      <cdr:x>0.0729</cdr:x>
      <cdr:y>0.94575</cdr:y>
    </cdr:to>
    <cdr:sp macro="" textlink="'Tornado Charts &amp; Risk Analysis'!$H$170">
      <cdr:nvSpPr>
        <cdr:cNvPr id="17" name="TextBox 1"/>
        <cdr:cNvSpPr txBox="1"/>
      </cdr:nvSpPr>
      <cdr:spPr>
        <a:xfrm xmlns:a="http://schemas.openxmlformats.org/drawingml/2006/main">
          <a:off x="0" y="4023762"/>
          <a:ext cx="469744"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BFD5A12E-8E20-4021-B194-C3A23E05FDD2}" type="TxLink">
            <a:rPr lang="en-US" sz="1000" b="0" i="0" u="none" strike="noStrike">
              <a:solidFill>
                <a:srgbClr val="000000"/>
              </a:solidFill>
              <a:latin typeface="Arial"/>
              <a:cs typeface="Arial"/>
            </a:rPr>
            <a:pPr algn="l"/>
            <a:t>Taxes</a:t>
          </a:fld>
          <a:endParaRPr lang="en-US" sz="1100">
            <a:latin typeface="Arial" panose="020B0604020202020204" pitchFamily="34" charset="0"/>
            <a:cs typeface="Arial" panose="020B0604020202020204" pitchFamily="34" charset="0"/>
          </a:endParaRPr>
        </a:p>
      </cdr:txBody>
    </cdr:sp>
  </cdr:relSizeAnchor>
</c:userShapes>
</file>

<file path=xl/drawings/drawing7.xml><?xml version="1.0" encoding="utf-8"?>
<xdr:wsDr xmlns:xdr="http://schemas.openxmlformats.org/drawingml/2006/spreadsheetDrawing" xmlns:a="http://schemas.openxmlformats.org/drawingml/2006/main">
  <xdr:twoCellAnchor>
    <xdr:from>
      <xdr:col>3</xdr:col>
      <xdr:colOff>1335741</xdr:colOff>
      <xdr:row>0</xdr:row>
      <xdr:rowOff>121919</xdr:rowOff>
    </xdr:from>
    <xdr:to>
      <xdr:col>6</xdr:col>
      <xdr:colOff>26894</xdr:colOff>
      <xdr:row>2</xdr:row>
      <xdr:rowOff>94128</xdr:rowOff>
    </xdr:to>
    <xdr:sp macro="[0]!InputSheet" textlink="">
      <xdr:nvSpPr>
        <xdr:cNvPr id="6" name="Rounded Rectangle 5">
          <a:extLst>
            <a:ext uri="{FF2B5EF4-FFF2-40B4-BE49-F238E27FC236}">
              <a16:creationId xmlns:a16="http://schemas.microsoft.com/office/drawing/2014/main" id="{00000000-0008-0000-0400-000006000000}"/>
            </a:ext>
          </a:extLst>
        </xdr:cNvPr>
        <xdr:cNvSpPr/>
      </xdr:nvSpPr>
      <xdr:spPr>
        <a:xfrm>
          <a:off x="4993341" y="121919"/>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3</xdr:col>
      <xdr:colOff>1335741</xdr:colOff>
      <xdr:row>2</xdr:row>
      <xdr:rowOff>125504</xdr:rowOff>
    </xdr:from>
    <xdr:to>
      <xdr:col>6</xdr:col>
      <xdr:colOff>26894</xdr:colOff>
      <xdr:row>4</xdr:row>
      <xdr:rowOff>196326</xdr:rowOff>
    </xdr:to>
    <xdr:sp macro="[0]!ShowKey" textlink="">
      <xdr:nvSpPr>
        <xdr:cNvPr id="7" name="Rounded Rectangle 6">
          <a:extLst>
            <a:ext uri="{FF2B5EF4-FFF2-40B4-BE49-F238E27FC236}">
              <a16:creationId xmlns:a16="http://schemas.microsoft.com/office/drawing/2014/main" id="{00000000-0008-0000-0400-000007000000}"/>
            </a:ext>
          </a:extLst>
        </xdr:cNvPr>
        <xdr:cNvSpPr/>
      </xdr:nvSpPr>
      <xdr:spPr>
        <a:xfrm>
          <a:off x="4993341" y="564775"/>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678180</xdr:colOff>
      <xdr:row>0</xdr:row>
      <xdr:rowOff>76200</xdr:rowOff>
    </xdr:from>
    <xdr:to>
      <xdr:col>4</xdr:col>
      <xdr:colOff>769620</xdr:colOff>
      <xdr:row>2</xdr:row>
      <xdr:rowOff>38100</xdr:rowOff>
    </xdr:to>
    <xdr:sp macro="[0]!InputSheet" textlink="">
      <xdr:nvSpPr>
        <xdr:cNvPr id="6" name="Rounded Rectangle 5">
          <a:extLst>
            <a:ext uri="{FF2B5EF4-FFF2-40B4-BE49-F238E27FC236}">
              <a16:creationId xmlns:a16="http://schemas.microsoft.com/office/drawing/2014/main" id="{00000000-0008-0000-0500-000006000000}"/>
            </a:ext>
          </a:extLst>
        </xdr:cNvPr>
        <xdr:cNvSpPr/>
      </xdr:nvSpPr>
      <xdr:spPr>
        <a:xfrm>
          <a:off x="5036820" y="76200"/>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3</xdr:col>
      <xdr:colOff>678180</xdr:colOff>
      <xdr:row>2</xdr:row>
      <xdr:rowOff>106680</xdr:rowOff>
    </xdr:from>
    <xdr:to>
      <xdr:col>4</xdr:col>
      <xdr:colOff>769620</xdr:colOff>
      <xdr:row>4</xdr:row>
      <xdr:rowOff>152400</xdr:rowOff>
    </xdr:to>
    <xdr:sp macro="[0]!ShowKey" textlink="">
      <xdr:nvSpPr>
        <xdr:cNvPr id="7" name="Rounded Rectangle 6">
          <a:extLst>
            <a:ext uri="{FF2B5EF4-FFF2-40B4-BE49-F238E27FC236}">
              <a16:creationId xmlns:a16="http://schemas.microsoft.com/office/drawing/2014/main" id="{00000000-0008-0000-0500-000007000000}"/>
            </a:ext>
          </a:extLst>
        </xdr:cNvPr>
        <xdr:cNvSpPr/>
      </xdr:nvSpPr>
      <xdr:spPr>
        <a:xfrm>
          <a:off x="5036820" y="556260"/>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twoCellAnchor editAs="oneCell">
    <xdr:from>
      <xdr:col>1</xdr:col>
      <xdr:colOff>0</xdr:colOff>
      <xdr:row>40</xdr:row>
      <xdr:rowOff>0</xdr:rowOff>
    </xdr:from>
    <xdr:to>
      <xdr:col>5</xdr:col>
      <xdr:colOff>1267609</xdr:colOff>
      <xdr:row>56</xdr:row>
      <xdr:rowOff>56029</xdr:rowOff>
    </xdr:to>
    <xdr:pic>
      <xdr:nvPicPr>
        <xdr:cNvPr id="4" name="Picture 3">
          <a:extLst>
            <a:ext uri="{FF2B5EF4-FFF2-40B4-BE49-F238E27FC236}">
              <a16:creationId xmlns:a16="http://schemas.microsoft.com/office/drawing/2014/main" id="{00000000-0008-0000-05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7637929"/>
          <a:ext cx="7802880" cy="2781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6</xdr:col>
      <xdr:colOff>1234440</xdr:colOff>
      <xdr:row>2</xdr:row>
      <xdr:rowOff>266700</xdr:rowOff>
    </xdr:from>
    <xdr:to>
      <xdr:col>8</xdr:col>
      <xdr:colOff>198120</xdr:colOff>
      <xdr:row>4</xdr:row>
      <xdr:rowOff>7620</xdr:rowOff>
    </xdr:to>
    <xdr:sp macro="[0]!InputSheet" textlink="">
      <xdr:nvSpPr>
        <xdr:cNvPr id="4" name="Rounded Rectangle 3">
          <a:extLst>
            <a:ext uri="{FF2B5EF4-FFF2-40B4-BE49-F238E27FC236}">
              <a16:creationId xmlns:a16="http://schemas.microsoft.com/office/drawing/2014/main" id="{00000000-0008-0000-0600-000004000000}"/>
            </a:ext>
          </a:extLst>
        </xdr:cNvPr>
        <xdr:cNvSpPr/>
      </xdr:nvSpPr>
      <xdr:spPr>
        <a:xfrm>
          <a:off x="10408920" y="678180"/>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163285</xdr:colOff>
      <xdr:row>10</xdr:row>
      <xdr:rowOff>19595</xdr:rowOff>
    </xdr:from>
    <xdr:to>
      <xdr:col>3</xdr:col>
      <xdr:colOff>185057</xdr:colOff>
      <xdr:row>14</xdr:row>
      <xdr:rowOff>32657</xdr:rowOff>
    </xdr:to>
    <xdr:sp macro="[0]!UseDefaultValuesCO2" textlink="">
      <xdr:nvSpPr>
        <xdr:cNvPr id="18" name="Rounded Rectangle 17">
          <a:extLst>
            <a:ext uri="{FF2B5EF4-FFF2-40B4-BE49-F238E27FC236}">
              <a16:creationId xmlns:a16="http://schemas.microsoft.com/office/drawing/2014/main" id="{00000000-0008-0000-0700-000012000000}"/>
            </a:ext>
          </a:extLst>
        </xdr:cNvPr>
        <xdr:cNvSpPr/>
      </xdr:nvSpPr>
      <xdr:spPr>
        <a:xfrm>
          <a:off x="4484914" y="3132909"/>
          <a:ext cx="1371600" cy="698862"/>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Default Values</a:t>
          </a:r>
        </a:p>
      </xdr:txBody>
    </xdr:sp>
    <xdr:clientData/>
  </xdr:twoCellAnchor>
  <xdr:twoCellAnchor>
    <xdr:from>
      <xdr:col>2</xdr:col>
      <xdr:colOff>163285</xdr:colOff>
      <xdr:row>1</xdr:row>
      <xdr:rowOff>7620</xdr:rowOff>
    </xdr:from>
    <xdr:to>
      <xdr:col>3</xdr:col>
      <xdr:colOff>185057</xdr:colOff>
      <xdr:row>1</xdr:row>
      <xdr:rowOff>419100</xdr:rowOff>
    </xdr:to>
    <xdr:sp macro="[0]!InputSheet" textlink="">
      <xdr:nvSpPr>
        <xdr:cNvPr id="19" name="Rounded Rectangle 18">
          <a:extLst>
            <a:ext uri="{FF2B5EF4-FFF2-40B4-BE49-F238E27FC236}">
              <a16:creationId xmlns:a16="http://schemas.microsoft.com/office/drawing/2014/main" id="{00000000-0008-0000-0700-000013000000}"/>
            </a:ext>
          </a:extLst>
        </xdr:cNvPr>
        <xdr:cNvSpPr/>
      </xdr:nvSpPr>
      <xdr:spPr>
        <a:xfrm>
          <a:off x="4484914" y="170906"/>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2</xdr:col>
      <xdr:colOff>163285</xdr:colOff>
      <xdr:row>6</xdr:row>
      <xdr:rowOff>272142</xdr:rowOff>
    </xdr:from>
    <xdr:to>
      <xdr:col>3</xdr:col>
      <xdr:colOff>185057</xdr:colOff>
      <xdr:row>9</xdr:row>
      <xdr:rowOff>52250</xdr:rowOff>
    </xdr:to>
    <xdr:sp macro="[0]!ShowKey" textlink="">
      <xdr:nvSpPr>
        <xdr:cNvPr id="20" name="Rounded Rectangle 19">
          <a:extLst>
            <a:ext uri="{FF2B5EF4-FFF2-40B4-BE49-F238E27FC236}">
              <a16:creationId xmlns:a16="http://schemas.microsoft.com/office/drawing/2014/main" id="{00000000-0008-0000-0700-000014000000}"/>
            </a:ext>
          </a:extLst>
        </xdr:cNvPr>
        <xdr:cNvSpPr/>
      </xdr:nvSpPr>
      <xdr:spPr>
        <a:xfrm>
          <a:off x="4484914" y="2590799"/>
          <a:ext cx="13716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mc:AlternateContent xmlns:mc="http://schemas.openxmlformats.org/markup-compatibility/2006">
    <mc:Choice xmlns:a14="http://schemas.microsoft.com/office/drawing/2010/main" Requires="a14">
      <xdr:twoCellAnchor editAs="oneCell">
        <xdr:from>
          <xdr:col>3</xdr:col>
          <xdr:colOff>182880</xdr:colOff>
          <xdr:row>30</xdr:row>
          <xdr:rowOff>175260</xdr:rowOff>
        </xdr:from>
        <xdr:to>
          <xdr:col>3</xdr:col>
          <xdr:colOff>1097280</xdr:colOff>
          <xdr:row>32</xdr:row>
          <xdr:rowOff>7620</xdr:rowOff>
        </xdr:to>
        <xdr:sp macro="" textlink="">
          <xdr:nvSpPr>
            <xdr:cNvPr id="17605" name="Check Box 310" descr="H2A default" hidden="1">
              <a:extLst>
                <a:ext uri="{63B3BB69-23CF-44E3-9099-C40C66FF867C}">
                  <a14:compatExt spid="_x0000_s17605"/>
                </a:ext>
                <a:ext uri="{FF2B5EF4-FFF2-40B4-BE49-F238E27FC236}">
                  <a16:creationId xmlns:a16="http://schemas.microsoft.com/office/drawing/2014/main" id="{00000000-0008-0000-0700-0000C5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H2A default</a:t>
              </a:r>
            </a:p>
          </xdr:txBody>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3</xdr:col>
      <xdr:colOff>233082</xdr:colOff>
      <xdr:row>0</xdr:row>
      <xdr:rowOff>0</xdr:rowOff>
    </xdr:from>
    <xdr:to>
      <xdr:col>8</xdr:col>
      <xdr:colOff>21874</xdr:colOff>
      <xdr:row>15</xdr:row>
      <xdr:rowOff>152400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c:userShapes xmlns:c="http://schemas.openxmlformats.org/drawingml/2006/chart">
  <cdr:relSizeAnchor xmlns:cdr="http://schemas.openxmlformats.org/drawingml/2006/chartDrawing">
    <cdr:from>
      <cdr:x>0.12974</cdr:x>
      <cdr:y>0</cdr:y>
    </cdr:from>
    <cdr:to>
      <cdr:x>0.86265</cdr:x>
      <cdr:y>0.23785</cdr:y>
    </cdr:to>
    <cdr:sp macro="" textlink="">
      <cdr:nvSpPr>
        <cdr:cNvPr id="6" name="TextBox 1"/>
        <cdr:cNvSpPr txBox="1"/>
      </cdr:nvSpPr>
      <cdr:spPr>
        <a:xfrm xmlns:a="http://schemas.openxmlformats.org/drawingml/2006/main">
          <a:off x="856539" y="0"/>
          <a:ext cx="4838649" cy="76339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400" b="1">
              <a:latin typeface="Arial" panose="020B0604020202020204" pitchFamily="34" charset="0"/>
              <a:cs typeface="Arial" panose="020B0604020202020204" pitchFamily="34" charset="0"/>
            </a:rPr>
            <a:t>Real Levelized Values</a:t>
          </a:r>
          <a:endParaRPr lang="en-US" sz="1000" b="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0.01086</cdr:x>
      <cdr:y>0.53349</cdr:y>
    </cdr:from>
    <cdr:to>
      <cdr:x>0.98892</cdr:x>
      <cdr:y>1</cdr:y>
    </cdr:to>
    <cdr:grpSp>
      <cdr:nvGrpSpPr>
        <cdr:cNvPr id="4" name="Group 3">
          <a:extLst xmlns:a="http://schemas.openxmlformats.org/drawingml/2006/main">
            <a:ext uri="{FF2B5EF4-FFF2-40B4-BE49-F238E27FC236}">
              <a16:creationId xmlns:a16="http://schemas.microsoft.com/office/drawing/2014/main" id="{01E51170-9AD5-40D1-B23A-F8A29BF2BF45}"/>
            </a:ext>
          </a:extLst>
        </cdr:cNvPr>
        <cdr:cNvGrpSpPr/>
      </cdr:nvGrpSpPr>
      <cdr:grpSpPr>
        <a:xfrm xmlns:a="http://schemas.openxmlformats.org/drawingml/2006/main">
          <a:off x="71853" y="1605752"/>
          <a:ext cx="6471150" cy="1404148"/>
          <a:chOff x="0" y="1475395"/>
          <a:chExt cx="6457121" cy="1647620"/>
        </a:xfrm>
      </cdr:grpSpPr>
      <cdr:sp macro="" textlink="'Tornado Charts &amp; Risk Analysis'!$K$155">
        <cdr:nvSpPr>
          <cdr:cNvPr id="3" name="TextBox 2"/>
          <cdr:cNvSpPr txBox="1"/>
        </cdr:nvSpPr>
        <cdr:spPr>
          <a:xfrm xmlns:a="http://schemas.openxmlformats.org/drawingml/2006/main">
            <a:off x="0" y="1476743"/>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A53FDA42-86FD-4266-BF95-45A4ACB41A49}" type="TxLink">
              <a:rPr lang="en-US" sz="1200" b="1" i="0" u="none" strike="noStrike">
                <a:solidFill>
                  <a:schemeClr val="bg1">
                    <a:lumMod val="85000"/>
                  </a:schemeClr>
                </a:solidFill>
                <a:latin typeface="Arial"/>
                <a:cs typeface="Arial"/>
              </a:rPr>
              <a:pPr algn="l"/>
              <a:t>Cost of Hydrogen</a:t>
            </a:fld>
            <a:endParaRPr lang="en-US" sz="1600" b="1">
              <a:solidFill>
                <a:schemeClr val="bg1">
                  <a:lumMod val="85000"/>
                </a:schemeClr>
              </a:solidFill>
            </a:endParaRPr>
          </a:p>
        </cdr:txBody>
      </cdr:sp>
      <cdr:sp macro="" textlink="'Tornado Charts &amp; Risk Analysis'!$K$156">
        <cdr:nvSpPr>
          <cdr:cNvPr id="10" name="TextBox 9"/>
          <cdr:cNvSpPr txBox="1"/>
        </cdr:nvSpPr>
        <cdr:spPr>
          <a:xfrm xmlns:a="http://schemas.openxmlformats.org/drawingml/2006/main">
            <a:off x="0" y="1687482"/>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74E89670-AA74-48A5-A1C1-0A00BB6A6478}" type="TxLink">
              <a:rPr lang="en-US" sz="1200" b="1" i="0" u="none" strike="noStrike">
                <a:solidFill>
                  <a:schemeClr val="bg1">
                    <a:lumMod val="85000"/>
                  </a:schemeClr>
                </a:solidFill>
                <a:latin typeface="Arial"/>
                <a:cs typeface="Arial"/>
              </a:rPr>
              <a:pPr algn="l"/>
              <a:t>Salvage Value</a:t>
            </a:fld>
            <a:endParaRPr lang="en-US" sz="1600" b="1">
              <a:solidFill>
                <a:schemeClr val="bg1">
                  <a:lumMod val="85000"/>
                </a:schemeClr>
              </a:solidFill>
            </a:endParaRPr>
          </a:p>
        </cdr:txBody>
      </cdr:sp>
      <cdr:sp macro="" textlink="'Tornado Charts &amp; Risk Analysis'!$K$157">
        <cdr:nvSpPr>
          <cdr:cNvPr id="11" name="TextBox 10"/>
          <cdr:cNvSpPr txBox="1"/>
        </cdr:nvSpPr>
        <cdr:spPr>
          <a:xfrm xmlns:a="http://schemas.openxmlformats.org/drawingml/2006/main">
            <a:off x="0" y="1898221"/>
            <a:ext cx="3171255" cy="178514"/>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F801CF62-7453-47CE-941B-AD388CC93103}" type="TxLink">
              <a:rPr lang="en-US" sz="1200" b="1" i="0" u="none" strike="noStrike">
                <a:solidFill>
                  <a:schemeClr val="bg1">
                    <a:lumMod val="85000"/>
                  </a:schemeClr>
                </a:solidFill>
                <a:latin typeface="Arial"/>
                <a:cs typeface="Arial"/>
              </a:rPr>
              <a:pPr algn="l"/>
              <a:t>Byproduct Sales</a:t>
            </a:fld>
            <a:endParaRPr lang="en-US" sz="1600" b="1">
              <a:solidFill>
                <a:schemeClr val="bg1">
                  <a:lumMod val="85000"/>
                </a:schemeClr>
              </a:solidFill>
            </a:endParaRPr>
          </a:p>
        </cdr:txBody>
      </cdr:sp>
      <cdr:sp macro="" textlink="'Tornado Charts &amp; Risk Analysis'!$K$159">
        <cdr:nvSpPr>
          <cdr:cNvPr id="13" name="TextBox 12"/>
          <cdr:cNvSpPr txBox="1"/>
        </cdr:nvSpPr>
        <cdr:spPr>
          <a:xfrm xmlns:a="http://schemas.openxmlformats.org/drawingml/2006/main">
            <a:off x="0" y="2312252"/>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3145395B-87A6-4541-B510-EC743135CE45}" type="TxLink">
              <a:rPr lang="en-US" sz="1200" b="1" i="0" u="none" strike="noStrike">
                <a:solidFill>
                  <a:schemeClr val="bg1">
                    <a:lumMod val="85000"/>
                  </a:schemeClr>
                </a:solidFill>
                <a:latin typeface="Arial"/>
                <a:cs typeface="Arial"/>
              </a:rPr>
              <a:pPr algn="l"/>
              <a:t>Feedstock Cost</a:t>
            </a:fld>
            <a:endParaRPr lang="en-US" sz="1600" b="1">
              <a:solidFill>
                <a:schemeClr val="bg1">
                  <a:lumMod val="85000"/>
                </a:schemeClr>
              </a:solidFill>
            </a:endParaRPr>
          </a:p>
        </cdr:txBody>
      </cdr:sp>
      <cdr:sp macro="" textlink="'Tornado Charts &amp; Risk Analysis'!$K$160">
        <cdr:nvSpPr>
          <cdr:cNvPr id="14" name="TextBox 13"/>
          <cdr:cNvSpPr txBox="1"/>
        </cdr:nvSpPr>
        <cdr:spPr>
          <a:xfrm xmlns:a="http://schemas.openxmlformats.org/drawingml/2006/main">
            <a:off x="0" y="2522990"/>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D4805F44-A278-4AD0-97E9-8DE7872927B2}" type="TxLink">
              <a:rPr lang="en-US" sz="1200" b="1" i="0" u="none" strike="noStrike">
                <a:solidFill>
                  <a:schemeClr val="bg1">
                    <a:lumMod val="85000"/>
                  </a:schemeClr>
                </a:solidFill>
                <a:latin typeface="Arial"/>
                <a:cs typeface="Arial"/>
              </a:rPr>
              <a:pPr algn="l"/>
              <a:t>Fixed Operating Cost</a:t>
            </a:fld>
            <a:endParaRPr lang="en-US" sz="1600" b="1">
              <a:solidFill>
                <a:schemeClr val="bg1">
                  <a:lumMod val="85000"/>
                </a:schemeClr>
              </a:solidFill>
            </a:endParaRPr>
          </a:p>
        </cdr:txBody>
      </cdr:sp>
      <cdr:sp macro="" textlink="'Tornado Charts &amp; Risk Analysis'!$K$161">
        <cdr:nvSpPr>
          <cdr:cNvPr id="15" name="TextBox 14"/>
          <cdr:cNvSpPr txBox="1"/>
        </cdr:nvSpPr>
        <cdr:spPr>
          <a:xfrm xmlns:a="http://schemas.openxmlformats.org/drawingml/2006/main">
            <a:off x="0" y="2733729"/>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64CB230F-C2C7-4A9A-AF10-EBE54FB6BA85}" type="TxLink">
              <a:rPr lang="en-US" sz="1200" b="1" i="0" u="none" strike="noStrike">
                <a:solidFill>
                  <a:schemeClr val="bg1">
                    <a:lumMod val="85000"/>
                  </a:schemeClr>
                </a:solidFill>
                <a:latin typeface="Arial"/>
                <a:cs typeface="Arial"/>
              </a:rPr>
              <a:pPr algn="l"/>
              <a:t>Initial Equity Depreciable Capital</a:t>
            </a:fld>
            <a:endParaRPr lang="en-US" sz="1600" b="1">
              <a:solidFill>
                <a:schemeClr val="bg1">
                  <a:lumMod val="85000"/>
                </a:schemeClr>
              </a:solidFill>
            </a:endParaRPr>
          </a:p>
        </cdr:txBody>
      </cdr:sp>
      <cdr:sp macro="" textlink="'Tornado Charts &amp; Risk Analysis'!$K$162">
        <cdr:nvSpPr>
          <cdr:cNvPr id="16" name="TextBox 15"/>
          <cdr:cNvSpPr txBox="1"/>
        </cdr:nvSpPr>
        <cdr:spPr>
          <a:xfrm xmlns:a="http://schemas.openxmlformats.org/drawingml/2006/main">
            <a:off x="0" y="2944500"/>
            <a:ext cx="3171255"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FBD79F0B-93AD-4CD5-9061-5E62FA448861}" type="TxLink">
              <a:rPr lang="en-US" sz="1200" b="1" i="0" u="none" strike="noStrike">
                <a:solidFill>
                  <a:schemeClr val="bg1">
                    <a:lumMod val="85000"/>
                  </a:schemeClr>
                </a:solidFill>
                <a:latin typeface="Arial"/>
                <a:cs typeface="Arial"/>
              </a:rPr>
              <a:pPr algn="l"/>
              <a:t>Yearly Replacement Costs</a:t>
            </a:fld>
            <a:endParaRPr lang="en-US" sz="1600" b="1">
              <a:solidFill>
                <a:schemeClr val="bg1">
                  <a:lumMod val="85000"/>
                </a:schemeClr>
              </a:solidFill>
            </a:endParaRPr>
          </a:p>
        </cdr:txBody>
      </cdr:sp>
      <cdr:sp macro="" textlink="'Tornado Charts &amp; Risk Analysis'!$K$163">
        <cdr:nvSpPr>
          <cdr:cNvPr id="17" name="TextBox 16"/>
          <cdr:cNvSpPr txBox="1"/>
        </cdr:nvSpPr>
        <cdr:spPr>
          <a:xfrm xmlns:a="http://schemas.openxmlformats.org/drawingml/2006/main">
            <a:off x="3285865" y="1476743"/>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8D1C870E-AFE2-403A-8C55-6D493FDE4EEF}" type="TxLink">
              <a:rPr lang="en-US" sz="1200" b="1" i="0" u="none" strike="noStrike">
                <a:solidFill>
                  <a:schemeClr val="bg1">
                    <a:lumMod val="85000"/>
                  </a:schemeClr>
                </a:solidFill>
                <a:latin typeface="Arial"/>
                <a:cs typeface="Arial"/>
              </a:rPr>
              <a:pPr algn="l"/>
              <a:t>Debt Interest</a:t>
            </a:fld>
            <a:endParaRPr lang="en-US" sz="1600" b="1">
              <a:solidFill>
                <a:schemeClr val="bg1">
                  <a:lumMod val="85000"/>
                </a:schemeClr>
              </a:solidFill>
            </a:endParaRPr>
          </a:p>
        </cdr:txBody>
      </cdr:sp>
      <cdr:sp macro="" textlink="'Tornado Charts &amp; Risk Analysis'!$K$164">
        <cdr:nvSpPr>
          <cdr:cNvPr id="18" name="TextBox 17"/>
          <cdr:cNvSpPr txBox="1"/>
        </cdr:nvSpPr>
        <cdr:spPr>
          <a:xfrm xmlns:a="http://schemas.openxmlformats.org/drawingml/2006/main">
            <a:off x="3285865" y="1687482"/>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7F6ACCF9-A84A-40E7-9751-CF4F5FDD977F}" type="TxLink">
              <a:rPr lang="en-US" sz="1200" b="1" i="0" u="none" strike="noStrike">
                <a:solidFill>
                  <a:schemeClr val="bg1">
                    <a:lumMod val="85000"/>
                  </a:schemeClr>
                </a:solidFill>
                <a:latin typeface="Arial"/>
                <a:cs typeface="Arial"/>
              </a:rPr>
              <a:pPr algn="l"/>
              <a:t>Principal Payment</a:t>
            </a:fld>
            <a:endParaRPr lang="en-US" sz="1600" b="1">
              <a:solidFill>
                <a:schemeClr val="bg1">
                  <a:lumMod val="85000"/>
                </a:schemeClr>
              </a:solidFill>
            </a:endParaRPr>
          </a:p>
        </cdr:txBody>
      </cdr:sp>
      <cdr:sp macro="" textlink="'Tornado Charts &amp; Risk Analysis'!$K$165">
        <cdr:nvSpPr>
          <cdr:cNvPr id="19" name="TextBox 18"/>
          <cdr:cNvSpPr txBox="1"/>
        </cdr:nvSpPr>
        <cdr:spPr>
          <a:xfrm xmlns:a="http://schemas.openxmlformats.org/drawingml/2006/main">
            <a:off x="3285865" y="1898221"/>
            <a:ext cx="3171256" cy="178514"/>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461595AE-48D3-479B-B95F-081EBC8C2142}" type="TxLink">
              <a:rPr lang="en-US" sz="1200" b="1" i="0" u="none" strike="noStrike">
                <a:solidFill>
                  <a:schemeClr val="bg1">
                    <a:lumMod val="85000"/>
                  </a:schemeClr>
                </a:solidFill>
                <a:latin typeface="Arial"/>
                <a:cs typeface="Arial"/>
              </a:rPr>
              <a:pPr algn="l"/>
              <a:t>Other Variable Operating Costs</a:t>
            </a:fld>
            <a:endParaRPr lang="en-US" sz="1600" b="1">
              <a:solidFill>
                <a:schemeClr val="bg1">
                  <a:lumMod val="85000"/>
                </a:schemeClr>
              </a:solidFill>
            </a:endParaRPr>
          </a:p>
        </cdr:txBody>
      </cdr:sp>
      <cdr:sp macro="" textlink="'Tornado Charts &amp; Risk Analysis'!$K$166">
        <cdr:nvSpPr>
          <cdr:cNvPr id="20" name="TextBox 19"/>
          <cdr:cNvSpPr txBox="1"/>
        </cdr:nvSpPr>
        <cdr:spPr>
          <a:xfrm xmlns:a="http://schemas.openxmlformats.org/drawingml/2006/main">
            <a:off x="3285865" y="2108991"/>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591ADE5-8921-41AC-8F2F-FCDEE7ED2F30}" type="TxLink">
              <a:rPr lang="en-US" sz="1200" b="1" i="0" u="none" strike="noStrike">
                <a:solidFill>
                  <a:schemeClr val="bg1">
                    <a:lumMod val="85000"/>
                  </a:schemeClr>
                </a:solidFill>
                <a:latin typeface="Arial"/>
                <a:cs typeface="Arial"/>
              </a:rPr>
              <a:pPr algn="l"/>
              <a:t>Cash for Working Capital Reserve</a:t>
            </a:fld>
            <a:endParaRPr lang="en-US" sz="1600" b="1">
              <a:solidFill>
                <a:schemeClr val="bg1">
                  <a:lumMod val="85000"/>
                </a:schemeClr>
              </a:solidFill>
            </a:endParaRPr>
          </a:p>
        </cdr:txBody>
      </cdr:sp>
      <cdr:sp macro="" textlink="'Tornado Charts &amp; Risk Analysis'!$K$167">
        <cdr:nvSpPr>
          <cdr:cNvPr id="21" name="TextBox 20"/>
          <cdr:cNvSpPr txBox="1"/>
        </cdr:nvSpPr>
        <cdr:spPr>
          <a:xfrm xmlns:a="http://schemas.openxmlformats.org/drawingml/2006/main">
            <a:off x="3285865" y="2312252"/>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BC7D478A-DE03-4DC8-BDA9-A6EE015B7E89}" type="TxLink">
              <a:rPr lang="en-US" sz="1200" b="1" i="0" u="none" strike="noStrike">
                <a:solidFill>
                  <a:schemeClr val="bg1">
                    <a:lumMod val="85000"/>
                  </a:schemeClr>
                </a:solidFill>
                <a:latin typeface="Arial"/>
                <a:cs typeface="Arial"/>
              </a:rPr>
              <a:pPr algn="l"/>
              <a:t>Decommissioning Costs</a:t>
            </a:fld>
            <a:endParaRPr lang="en-US" sz="1600" b="1">
              <a:solidFill>
                <a:schemeClr val="bg1">
                  <a:lumMod val="85000"/>
                </a:schemeClr>
              </a:solidFill>
            </a:endParaRPr>
          </a:p>
        </cdr:txBody>
      </cdr:sp>
      <cdr:sp macro="" textlink="'Tornado Charts &amp; Risk Analysis'!$K$168">
        <cdr:nvSpPr>
          <cdr:cNvPr id="22" name="TextBox 21"/>
          <cdr:cNvSpPr txBox="1"/>
        </cdr:nvSpPr>
        <cdr:spPr>
          <a:xfrm xmlns:a="http://schemas.openxmlformats.org/drawingml/2006/main">
            <a:off x="3285865" y="2522990"/>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6EED524-FE91-4FBE-ACDF-E7BF13011F38}" type="TxLink">
              <a:rPr lang="en-US" sz="1200" b="1" i="0" u="none" strike="noStrike">
                <a:solidFill>
                  <a:schemeClr val="bg1">
                    <a:lumMod val="85000"/>
                  </a:schemeClr>
                </a:solidFill>
                <a:latin typeface="Arial"/>
                <a:cs typeface="Arial"/>
              </a:rPr>
              <a:pPr algn="l"/>
              <a:t>Other Raw Material Cost</a:t>
            </a:fld>
            <a:endParaRPr lang="en-US" sz="1600" b="1">
              <a:solidFill>
                <a:schemeClr val="bg1">
                  <a:lumMod val="85000"/>
                </a:schemeClr>
              </a:solidFill>
            </a:endParaRPr>
          </a:p>
        </cdr:txBody>
      </cdr:sp>
      <cdr:sp macro="" textlink="'Tornado Charts &amp; Risk Analysis'!$K$169">
        <cdr:nvSpPr>
          <cdr:cNvPr id="23" name="TextBox 22"/>
          <cdr:cNvSpPr txBox="1"/>
        </cdr:nvSpPr>
        <cdr:spPr>
          <a:xfrm xmlns:a="http://schemas.openxmlformats.org/drawingml/2006/main">
            <a:off x="3285865" y="2733729"/>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D2B66E6-6FFE-46BD-A4AB-912AAE694DB1}" type="TxLink">
              <a:rPr lang="en-US" sz="1200" b="1" i="0" u="none" strike="noStrike">
                <a:solidFill>
                  <a:schemeClr val="bg1">
                    <a:lumMod val="85000"/>
                  </a:schemeClr>
                </a:solidFill>
                <a:latin typeface="Arial"/>
                <a:cs typeface="Arial"/>
              </a:rPr>
              <a:pPr algn="l"/>
              <a:t>Other Non-Depreciable Capital Costs</a:t>
            </a:fld>
            <a:endParaRPr lang="en-US" sz="1600" b="1">
              <a:solidFill>
                <a:schemeClr val="bg1">
                  <a:lumMod val="85000"/>
                </a:schemeClr>
              </a:solidFill>
            </a:endParaRPr>
          </a:p>
        </cdr:txBody>
      </cdr:sp>
      <cdr:sp macro="" textlink="'Tornado Charts &amp; Risk Analysis'!$K$170">
        <cdr:nvSpPr>
          <cdr:cNvPr id="24" name="TextBox 23"/>
          <cdr:cNvSpPr txBox="1"/>
        </cdr:nvSpPr>
        <cdr:spPr>
          <a:xfrm xmlns:a="http://schemas.openxmlformats.org/drawingml/2006/main">
            <a:off x="3285865" y="2944500"/>
            <a:ext cx="3171256" cy="178515"/>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656E9302-642A-4CBD-8FCC-3AFF5392C1BD}" type="TxLink">
              <a:rPr lang="en-US" sz="1200" b="1" i="0" u="none" strike="noStrike">
                <a:solidFill>
                  <a:schemeClr val="bg1">
                    <a:lumMod val="85000"/>
                  </a:schemeClr>
                </a:solidFill>
                <a:latin typeface="Arial"/>
                <a:cs typeface="Arial"/>
              </a:rPr>
              <a:pPr algn="l"/>
              <a:t>Taxes</a:t>
            </a:fld>
            <a:endParaRPr lang="en-US" sz="1600" b="1">
              <a:solidFill>
                <a:schemeClr val="bg1">
                  <a:lumMod val="85000"/>
                </a:schemeClr>
              </a:solidFill>
            </a:endParaRPr>
          </a:p>
        </cdr:txBody>
      </cdr:sp>
      <cdr:sp macro="" textlink="'Tornado Charts &amp; Risk Analysis'!$N$155">
        <cdr:nvSpPr>
          <cdr:cNvPr id="25" name="TextBox 1"/>
          <cdr:cNvSpPr txBox="1"/>
        </cdr:nvSpPr>
        <cdr:spPr>
          <a:xfrm xmlns:a="http://schemas.openxmlformats.org/drawingml/2006/main">
            <a:off x="0" y="1475395"/>
            <a:ext cx="3171255"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3CF3DF50-4B2B-42DF-9009-04CF89A181D7}" type="TxLink">
              <a:rPr lang="en-US" sz="1200" b="1" i="0" u="none" strike="noStrike">
                <a:solidFill>
                  <a:srgbClr val="303C18"/>
                </a:solidFill>
                <a:latin typeface="Arial"/>
                <a:cs typeface="Arial"/>
              </a:rPr>
              <a:pPr algn="l"/>
              <a:t>Cost of Hydrogen</a:t>
            </a:fld>
            <a:endParaRPr lang="en-US" sz="1600" b="1">
              <a:solidFill>
                <a:srgbClr val="303C18"/>
              </a:solidFill>
            </a:endParaRPr>
          </a:p>
        </cdr:txBody>
      </cdr:sp>
      <cdr:sp macro="" textlink="'Tornado Charts &amp; Risk Analysis'!$N$156">
        <cdr:nvSpPr>
          <cdr:cNvPr id="26" name="TextBox 2"/>
          <cdr:cNvSpPr txBox="1"/>
        </cdr:nvSpPr>
        <cdr:spPr>
          <a:xfrm xmlns:a="http://schemas.openxmlformats.org/drawingml/2006/main">
            <a:off x="0" y="1686166"/>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2A678406-25C9-4E3A-9DE1-9025CD54AEA8}" type="TxLink">
              <a:rPr lang="en-US" sz="1200" b="1" i="0" u="none" strike="noStrike">
                <a:solidFill>
                  <a:srgbClr val="586D2D"/>
                </a:solidFill>
                <a:latin typeface="Arial"/>
                <a:cs typeface="Arial"/>
              </a:rPr>
              <a:pPr algn="l"/>
              <a:t>Salvage Value</a:t>
            </a:fld>
            <a:endParaRPr lang="en-US" sz="1600" b="1">
              <a:solidFill>
                <a:srgbClr val="586D2D"/>
              </a:solidFill>
            </a:endParaRPr>
          </a:p>
        </cdr:txBody>
      </cdr:sp>
      <cdr:sp macro="" textlink="'Tornado Charts &amp; Risk Analysis'!$N$157">
        <cdr:nvSpPr>
          <cdr:cNvPr id="27" name="TextBox 3"/>
          <cdr:cNvSpPr txBox="1"/>
        </cdr:nvSpPr>
        <cdr:spPr>
          <a:xfrm xmlns:a="http://schemas.openxmlformats.org/drawingml/2006/main">
            <a:off x="0" y="1896905"/>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450BA20F-6F04-4978-853C-4A3915100AA6}" type="TxLink">
              <a:rPr lang="en-US" sz="1200" b="1" i="0" u="none" strike="noStrike">
                <a:solidFill>
                  <a:srgbClr val="A0BF61"/>
                </a:solidFill>
                <a:latin typeface="Arial"/>
                <a:cs typeface="Arial"/>
              </a:rPr>
              <a:pPr algn="l"/>
              <a:t> </a:t>
            </a:fld>
            <a:endParaRPr lang="en-US" sz="1600" b="1">
              <a:solidFill>
                <a:srgbClr val="A0BF61"/>
              </a:solidFill>
            </a:endParaRPr>
          </a:p>
        </cdr:txBody>
      </cdr:sp>
      <cdr:sp macro="" textlink="'Tornado Charts &amp; Risk Analysis'!$N$159">
        <cdr:nvSpPr>
          <cdr:cNvPr id="28" name="TextBox 4"/>
          <cdr:cNvSpPr txBox="1"/>
        </cdr:nvSpPr>
        <cdr:spPr>
          <a:xfrm xmlns:a="http://schemas.openxmlformats.org/drawingml/2006/main">
            <a:off x="0" y="2310936"/>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126AE91F-686F-4A9D-A13C-5150903E61F0}" type="TxLink">
              <a:rPr lang="en-US" sz="1200" b="1" i="0" u="none" strike="noStrike">
                <a:solidFill>
                  <a:srgbClr val="0000FF"/>
                </a:solidFill>
                <a:latin typeface="Arial"/>
                <a:cs typeface="Arial"/>
              </a:rPr>
              <a:pPr algn="l"/>
              <a:t>Feedstock Cost</a:t>
            </a:fld>
            <a:endParaRPr lang="en-US" sz="1600" b="1">
              <a:solidFill>
                <a:srgbClr val="0000FF"/>
              </a:solidFill>
            </a:endParaRPr>
          </a:p>
        </cdr:txBody>
      </cdr:sp>
      <cdr:sp macro="" textlink="'Tornado Charts &amp; Risk Analysis'!$N$160">
        <cdr:nvSpPr>
          <cdr:cNvPr id="29" name="TextBox 5"/>
          <cdr:cNvSpPr txBox="1"/>
        </cdr:nvSpPr>
        <cdr:spPr>
          <a:xfrm xmlns:a="http://schemas.openxmlformats.org/drawingml/2006/main">
            <a:off x="0" y="2521675"/>
            <a:ext cx="3171255" cy="178514"/>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56C7DCE5-372B-46D2-B7B7-3CDE27DF9F6B}" type="TxLink">
              <a:rPr lang="en-US" sz="1200" b="1" i="0" u="none" strike="noStrike">
                <a:solidFill>
                  <a:srgbClr val="D60000"/>
                </a:solidFill>
                <a:latin typeface="Arial"/>
                <a:cs typeface="Arial"/>
              </a:rPr>
              <a:pPr algn="l"/>
              <a:t>Fixed Operating Cost</a:t>
            </a:fld>
            <a:endParaRPr lang="en-US" sz="1600" b="1">
              <a:solidFill>
                <a:srgbClr val="D60000"/>
              </a:solidFill>
            </a:endParaRPr>
          </a:p>
        </cdr:txBody>
      </cdr:sp>
      <cdr:sp macro="" textlink="'Tornado Charts &amp; Risk Analysis'!$N$161">
        <cdr:nvSpPr>
          <cdr:cNvPr id="30" name="TextBox 6"/>
          <cdr:cNvSpPr txBox="1"/>
        </cdr:nvSpPr>
        <cdr:spPr>
          <a:xfrm xmlns:a="http://schemas.openxmlformats.org/drawingml/2006/main">
            <a:off x="0" y="2732413"/>
            <a:ext cx="3171255"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C97F85BC-A0EE-464D-B9F4-C67E89C576B6}" type="TxLink">
              <a:rPr lang="en-US" sz="1200" b="1" i="0" u="none" strike="noStrike">
                <a:solidFill>
                  <a:srgbClr val="00AC00"/>
                </a:solidFill>
                <a:latin typeface="Arial"/>
                <a:cs typeface="Arial"/>
              </a:rPr>
              <a:pPr algn="l"/>
              <a:t>Initial Equity Depreciable Capital</a:t>
            </a:fld>
            <a:endParaRPr lang="en-US" sz="1600" b="1">
              <a:solidFill>
                <a:srgbClr val="00AC00"/>
              </a:solidFill>
            </a:endParaRPr>
          </a:p>
        </cdr:txBody>
      </cdr:sp>
      <cdr:sp macro="" textlink="'Tornado Charts &amp; Risk Analysis'!$N$162">
        <cdr:nvSpPr>
          <cdr:cNvPr id="31" name="TextBox 7"/>
          <cdr:cNvSpPr txBox="1"/>
        </cdr:nvSpPr>
        <cdr:spPr>
          <a:xfrm xmlns:a="http://schemas.openxmlformats.org/drawingml/2006/main">
            <a:off x="0" y="2943152"/>
            <a:ext cx="3171255"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66209EDD-8BD7-461E-A6D7-790384ED0F24}" type="TxLink">
              <a:rPr lang="en-US" sz="1200" b="1" i="0" u="none" strike="noStrike">
                <a:solidFill>
                  <a:srgbClr val="000096"/>
                </a:solidFill>
                <a:latin typeface="Arial"/>
                <a:cs typeface="Arial"/>
              </a:rPr>
              <a:pPr algn="l"/>
              <a:t>Yearly Replacement Costs</a:t>
            </a:fld>
            <a:endParaRPr lang="en-US" sz="1600" b="1">
              <a:solidFill>
                <a:srgbClr val="000096"/>
              </a:solidFill>
            </a:endParaRPr>
          </a:p>
        </cdr:txBody>
      </cdr:sp>
      <cdr:sp macro="" textlink="'Tornado Charts &amp; Risk Analysis'!$N$163">
        <cdr:nvSpPr>
          <cdr:cNvPr id="32" name="TextBox 8"/>
          <cdr:cNvSpPr txBox="1"/>
        </cdr:nvSpPr>
        <cdr:spPr>
          <a:xfrm xmlns:a="http://schemas.openxmlformats.org/drawingml/2006/main">
            <a:off x="3285865" y="1475395"/>
            <a:ext cx="3171256"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480E05FE-8497-41C1-86AB-F7393776E70B}" type="TxLink">
              <a:rPr lang="en-US" sz="1200" b="1" i="0" u="none" strike="noStrike">
                <a:solidFill>
                  <a:srgbClr val="E6009F"/>
                </a:solidFill>
                <a:latin typeface="Arial"/>
                <a:cs typeface="Arial"/>
              </a:rPr>
              <a:pPr algn="l"/>
              <a:t>Debt Interest</a:t>
            </a:fld>
            <a:endParaRPr lang="en-US" sz="1600" b="1">
              <a:solidFill>
                <a:srgbClr val="E6009F"/>
              </a:solidFill>
            </a:endParaRPr>
          </a:p>
        </cdr:txBody>
      </cdr:sp>
      <cdr:sp macro="" textlink="'Tornado Charts &amp; Risk Analysis'!$N$164">
        <cdr:nvSpPr>
          <cdr:cNvPr id="33" name="TextBox 9"/>
          <cdr:cNvSpPr txBox="1"/>
        </cdr:nvSpPr>
        <cdr:spPr>
          <a:xfrm xmlns:a="http://schemas.openxmlformats.org/drawingml/2006/main">
            <a:off x="3285865" y="1686166"/>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A8DF15AB-448A-4B80-BF96-F57D3D12A324}" type="TxLink">
              <a:rPr lang="en-US" sz="1200" b="1" i="0" u="none" strike="noStrike">
                <a:solidFill>
                  <a:srgbClr val="C1AB11"/>
                </a:solidFill>
                <a:latin typeface="Arial"/>
                <a:cs typeface="Arial"/>
              </a:rPr>
              <a:pPr algn="l"/>
              <a:t>Principal Payment</a:t>
            </a:fld>
            <a:endParaRPr lang="en-US" sz="1600" b="1">
              <a:solidFill>
                <a:srgbClr val="C1AB11"/>
              </a:solidFill>
            </a:endParaRPr>
          </a:p>
        </cdr:txBody>
      </cdr:sp>
      <cdr:sp macro="" textlink="'Tornado Charts &amp; Risk Analysis'!$N$165">
        <cdr:nvSpPr>
          <cdr:cNvPr id="34" name="TextBox 10"/>
          <cdr:cNvSpPr txBox="1"/>
        </cdr:nvSpPr>
        <cdr:spPr>
          <a:xfrm xmlns:a="http://schemas.openxmlformats.org/drawingml/2006/main">
            <a:off x="3285865" y="1896905"/>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6FC40E4-75A6-4D5D-A5CC-98D825CBD79F}" type="TxLink">
              <a:rPr lang="en-US" sz="1200" b="1" i="0" u="none" strike="noStrike">
                <a:solidFill>
                  <a:srgbClr val="A800D0"/>
                </a:solidFill>
                <a:latin typeface="Arial"/>
                <a:cs typeface="Arial"/>
              </a:rPr>
              <a:pPr algn="l"/>
              <a:t>Other Variable Operating Costs</a:t>
            </a:fld>
            <a:endParaRPr lang="en-US" sz="1600" b="1">
              <a:solidFill>
                <a:srgbClr val="A800D0"/>
              </a:solidFill>
            </a:endParaRPr>
          </a:p>
        </cdr:txBody>
      </cdr:sp>
      <cdr:sp macro="" textlink="'Tornado Charts &amp; Risk Analysis'!$N$166">
        <cdr:nvSpPr>
          <cdr:cNvPr id="35" name="TextBox 11"/>
          <cdr:cNvSpPr txBox="1"/>
        </cdr:nvSpPr>
        <cdr:spPr>
          <a:xfrm xmlns:a="http://schemas.openxmlformats.org/drawingml/2006/main">
            <a:off x="3285865" y="2107643"/>
            <a:ext cx="3171256"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13C7E2E-1913-40DA-8872-EF3979D98265}" type="TxLink">
              <a:rPr lang="en-US" sz="1200" b="1" i="0" u="none" strike="noStrike">
                <a:solidFill>
                  <a:srgbClr val="8484FF"/>
                </a:solidFill>
                <a:latin typeface="Arial"/>
                <a:cs typeface="Arial"/>
              </a:rPr>
              <a:pPr algn="l"/>
              <a:t>Cash for Working Capital Reserve</a:t>
            </a:fld>
            <a:endParaRPr lang="en-US" sz="1600" b="1">
              <a:solidFill>
                <a:srgbClr val="8484FF"/>
              </a:solidFill>
            </a:endParaRPr>
          </a:p>
        </cdr:txBody>
      </cdr:sp>
      <cdr:sp macro="" textlink="'Tornado Charts &amp; Risk Analysis'!$N$167">
        <cdr:nvSpPr>
          <cdr:cNvPr id="36" name="TextBox 12"/>
          <cdr:cNvSpPr txBox="1"/>
        </cdr:nvSpPr>
        <cdr:spPr>
          <a:xfrm xmlns:a="http://schemas.openxmlformats.org/drawingml/2006/main">
            <a:off x="3285865" y="2310936"/>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2F0725C6-82C9-4A97-91E4-88AFA6D93A2B}" type="TxLink">
              <a:rPr lang="en-US" sz="1200" b="1" i="0" u="none" strike="noStrike">
                <a:solidFill>
                  <a:srgbClr val="82413A"/>
                </a:solidFill>
                <a:latin typeface="Arial"/>
                <a:cs typeface="Arial"/>
              </a:rPr>
              <a:pPr algn="l"/>
              <a:t>Decommissioning Costs</a:t>
            </a:fld>
            <a:endParaRPr lang="en-US" sz="1600" b="1">
              <a:solidFill>
                <a:srgbClr val="82413A"/>
              </a:solidFill>
            </a:endParaRPr>
          </a:p>
        </cdr:txBody>
      </cdr:sp>
      <cdr:sp macro="" textlink="'Tornado Charts &amp; Risk Analysis'!$N$168">
        <cdr:nvSpPr>
          <cdr:cNvPr id="37" name="TextBox 13"/>
          <cdr:cNvSpPr txBox="1"/>
        </cdr:nvSpPr>
        <cdr:spPr>
          <a:xfrm xmlns:a="http://schemas.openxmlformats.org/drawingml/2006/main">
            <a:off x="3285865" y="2521675"/>
            <a:ext cx="3171256" cy="178514"/>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BE5C80B2-FA72-4648-8162-D2195A463FF6}" type="TxLink">
              <a:rPr lang="en-US" sz="1200" b="1" i="0" u="none" strike="noStrike">
                <a:solidFill>
                  <a:srgbClr val="00C898"/>
                </a:solidFill>
                <a:latin typeface="Arial"/>
                <a:cs typeface="Arial"/>
              </a:rPr>
              <a:pPr algn="l"/>
              <a:t> </a:t>
            </a:fld>
            <a:endParaRPr lang="en-US" sz="1600" b="1">
              <a:solidFill>
                <a:srgbClr val="00C898"/>
              </a:solidFill>
            </a:endParaRPr>
          </a:p>
        </cdr:txBody>
      </cdr:sp>
      <cdr:sp macro="" textlink="'Tornado Charts &amp; Risk Analysis'!$N$169">
        <cdr:nvSpPr>
          <cdr:cNvPr id="38" name="TextBox 14"/>
          <cdr:cNvSpPr txBox="1"/>
        </cdr:nvSpPr>
        <cdr:spPr>
          <a:xfrm xmlns:a="http://schemas.openxmlformats.org/drawingml/2006/main">
            <a:off x="3285865" y="2732413"/>
            <a:ext cx="3171256" cy="178515"/>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EDED5BC-890B-43B5-8A4B-04621904B678}" type="TxLink">
              <a:rPr lang="en-US" sz="1200" b="1" i="0" u="none" strike="noStrike">
                <a:solidFill>
                  <a:srgbClr val="006876"/>
                </a:solidFill>
                <a:latin typeface="Arial"/>
                <a:cs typeface="Arial"/>
              </a:rPr>
              <a:pPr algn="l"/>
              <a:t> </a:t>
            </a:fld>
            <a:endParaRPr lang="en-US" sz="1600" b="1">
              <a:solidFill>
                <a:srgbClr val="006876"/>
              </a:solidFill>
            </a:endParaRPr>
          </a:p>
        </cdr:txBody>
      </cdr:sp>
      <cdr:sp macro="" textlink="'Tornado Charts &amp; Risk Analysis'!$N$170">
        <cdr:nvSpPr>
          <cdr:cNvPr id="39" name="TextBox 15"/>
          <cdr:cNvSpPr txBox="1"/>
        </cdr:nvSpPr>
        <cdr:spPr>
          <a:xfrm xmlns:a="http://schemas.openxmlformats.org/drawingml/2006/main">
            <a:off x="3285865" y="2943152"/>
            <a:ext cx="3171256" cy="178547"/>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C2EE1D46-39E8-47AB-90DA-1E6B82EEBE06}" type="TxLink">
              <a:rPr lang="en-US" sz="1200" b="1" i="0" u="none" strike="noStrike">
                <a:solidFill>
                  <a:srgbClr val="A2BF37"/>
                </a:solidFill>
                <a:latin typeface="Arial"/>
                <a:cs typeface="Arial"/>
              </a:rPr>
              <a:pPr algn="l"/>
              <a:t> </a:t>
            </a:fld>
            <a:endParaRPr lang="en-US" sz="1600" b="1">
              <a:solidFill>
                <a:srgbClr val="A2BF37"/>
              </a:solidFill>
            </a:endParaRPr>
          </a:p>
        </cdr:txBody>
      </cdr:sp>
    </cdr:grpSp>
  </cdr:relSizeAnchor>
</c:userShapes>
</file>

<file path=xl/drawings/drawing13.xml><?xml version="1.0" encoding="utf-8"?>
<xdr:wsDr xmlns:xdr="http://schemas.openxmlformats.org/drawingml/2006/spreadsheetDrawing" xmlns:a="http://schemas.openxmlformats.org/drawingml/2006/main">
  <xdr:twoCellAnchor editAs="oneCell">
    <xdr:from>
      <xdr:col>1</xdr:col>
      <xdr:colOff>762254</xdr:colOff>
      <xdr:row>13</xdr:row>
      <xdr:rowOff>33299</xdr:rowOff>
    </xdr:from>
    <xdr:to>
      <xdr:col>3</xdr:col>
      <xdr:colOff>463318</xdr:colOff>
      <xdr:row>15</xdr:row>
      <xdr:rowOff>105215</xdr:rowOff>
    </xdr:to>
    <xdr:sp macro="[0]!RunSensitivities" textlink="">
      <xdr:nvSpPr>
        <xdr:cNvPr id="2" name="Rounded Rectangle 1">
          <a:extLst>
            <a:ext uri="{FF2B5EF4-FFF2-40B4-BE49-F238E27FC236}">
              <a16:creationId xmlns:a16="http://schemas.microsoft.com/office/drawing/2014/main" id="{00000000-0008-0000-0900-000002000000}"/>
            </a:ext>
          </a:extLst>
        </xdr:cNvPr>
        <xdr:cNvSpPr/>
      </xdr:nvSpPr>
      <xdr:spPr>
        <a:xfrm>
          <a:off x="1244107" y="2397740"/>
          <a:ext cx="3331770" cy="37447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cap="none" spc="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Update Charts</a:t>
          </a:r>
          <a:r>
            <a:rPr lang="en-US" sz="1200" b="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  and Risk </a:t>
          </a:r>
          <a:r>
            <a:rPr lang="en-US" sz="1200" b="1" cap="none" spc="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Analysis</a:t>
          </a:r>
        </a:p>
      </xdr:txBody>
    </xdr:sp>
    <xdr:clientData/>
  </xdr:twoCellAnchor>
  <xdr:twoCellAnchor editAs="absolute">
    <xdr:from>
      <xdr:col>0</xdr:col>
      <xdr:colOff>385879</xdr:colOff>
      <xdr:row>18</xdr:row>
      <xdr:rowOff>90309</xdr:rowOff>
    </xdr:from>
    <xdr:to>
      <xdr:col>4</xdr:col>
      <xdr:colOff>708466</xdr:colOff>
      <xdr:row>35</xdr:row>
      <xdr:rowOff>11313</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783965</xdr:colOff>
      <xdr:row>11</xdr:row>
      <xdr:rowOff>65060</xdr:rowOff>
    </xdr:from>
    <xdr:to>
      <xdr:col>13</xdr:col>
      <xdr:colOff>113406</xdr:colOff>
      <xdr:row>39</xdr:row>
      <xdr:rowOff>148538</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896</xdr:colOff>
      <xdr:row>13</xdr:row>
      <xdr:rowOff>33299</xdr:rowOff>
    </xdr:from>
    <xdr:to>
      <xdr:col>4</xdr:col>
      <xdr:colOff>1327930</xdr:colOff>
      <xdr:row>15</xdr:row>
      <xdr:rowOff>109498</xdr:rowOff>
    </xdr:to>
    <xdr:sp macro="[0]!InputSheet" textlink="">
      <xdr:nvSpPr>
        <xdr:cNvPr id="5" name="Rounded Rectangle 4">
          <a:extLst>
            <a:ext uri="{FF2B5EF4-FFF2-40B4-BE49-F238E27FC236}">
              <a16:creationId xmlns:a16="http://schemas.microsoft.com/office/drawing/2014/main" id="{00000000-0008-0000-0900-000005000000}"/>
            </a:ext>
          </a:extLst>
        </xdr:cNvPr>
        <xdr:cNvSpPr/>
      </xdr:nvSpPr>
      <xdr:spPr>
        <a:xfrm>
          <a:off x="5290072" y="2397740"/>
          <a:ext cx="1327034" cy="389964"/>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14</xdr:col>
      <xdr:colOff>498523</xdr:colOff>
      <xdr:row>12</xdr:row>
      <xdr:rowOff>86940</xdr:rowOff>
    </xdr:from>
    <xdr:to>
      <xdr:col>20</xdr:col>
      <xdr:colOff>746236</xdr:colOff>
      <xdr:row>34</xdr:row>
      <xdr:rowOff>143484</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4.xml><?xml version="1.0" encoding="utf-8"?>
<c:userShapes xmlns:c="http://schemas.openxmlformats.org/drawingml/2006/chart">
  <cdr:relSizeAnchor xmlns:cdr="http://schemas.openxmlformats.org/drawingml/2006/chartDrawing">
    <cdr:from>
      <cdr:x>0</cdr:x>
      <cdr:y>0.05007</cdr:y>
    </cdr:from>
    <cdr:to>
      <cdr:x>0.40603</cdr:x>
      <cdr:y>0.19461</cdr:y>
    </cdr:to>
    <cdr:sp macro="" textlink="'Tornado Charts &amp; Risk Analysis'!$D$101">
      <cdr:nvSpPr>
        <cdr:cNvPr id="2" name="TextBox 1"/>
        <cdr:cNvSpPr txBox="1"/>
      </cdr:nvSpPr>
      <cdr:spPr>
        <a:xfrm xmlns:a="http://schemas.openxmlformats.org/drawingml/2006/main">
          <a:off x="0" y="139785"/>
          <a:ext cx="2425167" cy="403512"/>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E4557AD3-3FFA-4612-AB70-FE1609D95A4A}" type="TxLink">
            <a:rPr lang="en-US" sz="900" b="0" i="0" u="none" strike="noStrike">
              <a:solidFill>
                <a:srgbClr val="000000"/>
              </a:solidFill>
              <a:latin typeface="Arial"/>
              <a:cs typeface="Arial"/>
            </a:rPr>
            <a:pPr/>
            <a:t>Operating Capacity Factor
(90%, 86%, 82%)</a:t>
          </a:fld>
          <a:endParaRPr lang="en-US" sz="900"/>
        </a:p>
      </cdr:txBody>
    </cdr:sp>
  </cdr:relSizeAnchor>
  <cdr:relSizeAnchor xmlns:cdr="http://schemas.openxmlformats.org/drawingml/2006/chartDrawing">
    <cdr:from>
      <cdr:x>0</cdr:x>
      <cdr:y>0.17027</cdr:y>
    </cdr:from>
    <cdr:to>
      <cdr:x>0.40603</cdr:x>
      <cdr:y>0.31481</cdr:y>
    </cdr:to>
    <cdr:sp macro="" textlink="'Tornado Charts &amp; Risk Analysis'!$D$102">
      <cdr:nvSpPr>
        <cdr:cNvPr id="3" name="TextBox 1"/>
        <cdr:cNvSpPr txBox="1"/>
      </cdr:nvSpPr>
      <cdr:spPr>
        <a:xfrm xmlns:a="http://schemas.openxmlformats.org/drawingml/2006/main">
          <a:off x="0" y="475339"/>
          <a:ext cx="2425167" cy="403511"/>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18B4A170-36C1-4FF1-8753-EC843AF7CFD4}" type="TxLink">
            <a:rPr lang="en-US" sz="900" b="0" i="0" u="none" strike="noStrike">
              <a:solidFill>
                <a:srgbClr val="000000"/>
              </a:solidFill>
              <a:latin typeface="Arial"/>
              <a:cs typeface="Arial"/>
            </a:rPr>
            <a:pPr/>
            <a:t>Total Capital Investment
($1,672K, $1,760K, $1,848K) </a:t>
          </a:fld>
          <a:endParaRPr lang="en-US" sz="900"/>
        </a:p>
      </cdr:txBody>
    </cdr:sp>
  </cdr:relSizeAnchor>
  <cdr:relSizeAnchor xmlns:cdr="http://schemas.openxmlformats.org/drawingml/2006/chartDrawing">
    <cdr:from>
      <cdr:x>0</cdr:x>
      <cdr:y>0.29235</cdr:y>
    </cdr:from>
    <cdr:to>
      <cdr:x>0.40603</cdr:x>
      <cdr:y>0.43689</cdr:y>
    </cdr:to>
    <cdr:sp macro="" textlink="'Tornado Charts &amp; Risk Analysis'!$D$103">
      <cdr:nvSpPr>
        <cdr:cNvPr id="4" name="TextBox 1"/>
        <cdr:cNvSpPr txBox="1"/>
      </cdr:nvSpPr>
      <cdr:spPr>
        <a:xfrm xmlns:a="http://schemas.openxmlformats.org/drawingml/2006/main">
          <a:off x="0" y="816153"/>
          <a:ext cx="2425167" cy="40351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58434EE8-AC22-47B9-99A7-781E0F7E0274}" type="TxLink">
            <a:rPr lang="en-US" sz="900" b="0" i="0" u="none" strike="noStrike">
              <a:solidFill>
                <a:srgbClr val="000000"/>
              </a:solidFill>
              <a:latin typeface="Arial"/>
              <a:cs typeface="Arial"/>
            </a:rPr>
            <a:pPr/>
            <a:t>Total Fixed Operating Cost
($0,096K, $0,101K, $0,106K) </a:t>
          </a:fld>
          <a:endParaRPr lang="en-US" sz="900" b="0"/>
        </a:p>
      </cdr:txBody>
    </cdr:sp>
  </cdr:relSizeAnchor>
  <cdr:relSizeAnchor xmlns:cdr="http://schemas.openxmlformats.org/drawingml/2006/chartDrawing">
    <cdr:from>
      <cdr:x>0</cdr:x>
      <cdr:y>0.41262</cdr:y>
    </cdr:from>
    <cdr:to>
      <cdr:x>0.40603</cdr:x>
      <cdr:y>0.55716</cdr:y>
    </cdr:to>
    <cdr:sp macro="" textlink="'Tornado Charts &amp; Risk Analysis'!$D$104">
      <cdr:nvSpPr>
        <cdr:cNvPr id="5" name="TextBox 1"/>
        <cdr:cNvSpPr txBox="1"/>
      </cdr:nvSpPr>
      <cdr:spPr>
        <a:xfrm xmlns:a="http://schemas.openxmlformats.org/drawingml/2006/main">
          <a:off x="0" y="1151918"/>
          <a:ext cx="2425167" cy="40351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B57ED639-36AF-49DA-A809-A55F7C3C4D22}" type="TxLink">
            <a:rPr lang="en-US" sz="900" b="0" i="0" u="none" strike="noStrike">
              <a:solidFill>
                <a:srgbClr val="000000"/>
              </a:solidFill>
              <a:latin typeface="Arial"/>
              <a:cs typeface="Arial"/>
            </a:rPr>
            <a:pPr/>
            <a:t>Plant Design Capacity (kg of H2/day)
(1,575, 1,500, 1,425) </a:t>
          </a:fld>
          <a:endParaRPr lang="en-US" sz="900"/>
        </a:p>
      </cdr:txBody>
    </cdr:sp>
  </cdr:relSizeAnchor>
  <cdr:relSizeAnchor xmlns:cdr="http://schemas.openxmlformats.org/drawingml/2006/chartDrawing">
    <cdr:from>
      <cdr:x>0</cdr:x>
      <cdr:y>0.65427</cdr:y>
    </cdr:from>
    <cdr:to>
      <cdr:x>0.40603</cdr:x>
      <cdr:y>0.7988</cdr:y>
    </cdr:to>
    <cdr:sp macro="" textlink="'Tornado Charts &amp; Risk Analysis'!$D$106">
      <cdr:nvSpPr>
        <cdr:cNvPr id="6" name="TextBox 1"/>
        <cdr:cNvSpPr txBox="1"/>
      </cdr:nvSpPr>
      <cdr:spPr>
        <a:xfrm xmlns:a="http://schemas.openxmlformats.org/drawingml/2006/main">
          <a:off x="0" y="1826537"/>
          <a:ext cx="2425167" cy="4034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DBCA55E7-274E-4832-9AA5-AADB5DCC42D1}" type="TxLink">
            <a:rPr lang="en-US" sz="900" b="0" i="0" u="none" strike="noStrike">
              <a:solidFill>
                <a:srgbClr val="000000"/>
              </a:solidFill>
              <a:latin typeface="Arial"/>
              <a:cs typeface="Arial"/>
            </a:rPr>
            <a:pPr/>
            <a:t>Feedstock Consumption (% of baseline)
(95%, 100%, 105%)</a:t>
          </a:fld>
          <a:endParaRPr lang="en-US" sz="900"/>
        </a:p>
      </cdr:txBody>
    </cdr:sp>
  </cdr:relSizeAnchor>
  <cdr:relSizeAnchor xmlns:cdr="http://schemas.openxmlformats.org/drawingml/2006/chartDrawing">
    <cdr:from>
      <cdr:x>0</cdr:x>
      <cdr:y>0.77416</cdr:y>
    </cdr:from>
    <cdr:to>
      <cdr:x>0.40603</cdr:x>
      <cdr:y>0.9187</cdr:y>
    </cdr:to>
    <cdr:sp macro="" textlink="'Tornado Charts &amp; Risk Analysis'!$D$107">
      <cdr:nvSpPr>
        <cdr:cNvPr id="7" name="TextBox 1"/>
        <cdr:cNvSpPr txBox="1"/>
      </cdr:nvSpPr>
      <cdr:spPr>
        <a:xfrm xmlns:a="http://schemas.openxmlformats.org/drawingml/2006/main">
          <a:off x="0" y="2161211"/>
          <a:ext cx="2425167" cy="40351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8125BA22-AFA0-4122-A73E-E317C234C9DA}" type="TxLink">
            <a:rPr lang="en-US" sz="900" b="0" i="0" u="none" strike="noStrike">
              <a:solidFill>
                <a:srgbClr val="000000"/>
              </a:solidFill>
              <a:latin typeface="Arial"/>
              <a:cs typeface="Arial"/>
            </a:rPr>
            <a:pPr/>
            <a:t>Utilities Consumption (% of baseline)
(95%, 100%, 105%)</a:t>
          </a:fld>
          <a:endParaRPr lang="en-US" sz="900"/>
        </a:p>
      </cdr:txBody>
    </cdr:sp>
  </cdr:relSizeAnchor>
  <cdr:relSizeAnchor xmlns:cdr="http://schemas.openxmlformats.org/drawingml/2006/chartDrawing">
    <cdr:from>
      <cdr:x>0</cdr:x>
      <cdr:y>0.53492</cdr:y>
    </cdr:from>
    <cdr:to>
      <cdr:x>0.40603</cdr:x>
      <cdr:y>0.67945</cdr:y>
    </cdr:to>
    <cdr:sp macro="" textlink="'Tornado Charts &amp; Risk Analysis'!$D$105">
      <cdr:nvSpPr>
        <cdr:cNvPr id="8" name="TextBox 1"/>
        <cdr:cNvSpPr txBox="1"/>
      </cdr:nvSpPr>
      <cdr:spPr>
        <a:xfrm xmlns:a="http://schemas.openxmlformats.org/drawingml/2006/main">
          <a:off x="0" y="1493327"/>
          <a:ext cx="2425167" cy="4034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59C1DA82-80D0-4BC7-B896-AC0B3C0802CD}" type="TxLink">
            <a:rPr lang="en-US" sz="900" b="0" i="0" u="none" strike="noStrike">
              <a:solidFill>
                <a:srgbClr val="000000"/>
              </a:solidFill>
              <a:latin typeface="Arial"/>
              <a:cs typeface="Arial"/>
            </a:rPr>
            <a:pPr/>
            <a:t>After-tax Real IRR
(8%, 8%, 8%)</a:t>
          </a:fld>
          <a:endParaRPr lang="en-US" sz="900"/>
        </a:p>
      </cdr:txBody>
    </cdr:sp>
  </cdr:relSizeAnchor>
</c:userShapes>
</file>

<file path=xl/drawings/drawing15.xml><?xml version="1.0" encoding="utf-8"?>
<c:userShapes xmlns:c="http://schemas.openxmlformats.org/drawingml/2006/chart">
  <cdr:relSizeAnchor xmlns:cdr="http://schemas.openxmlformats.org/drawingml/2006/chartDrawing">
    <cdr:from>
      <cdr:x>0.40218</cdr:x>
      <cdr:y>0.91118</cdr:y>
    </cdr:from>
    <cdr:to>
      <cdr:x>0.77277</cdr:x>
      <cdr:y>1</cdr:y>
    </cdr:to>
    <cdr:sp macro="" textlink="'Tornado Charts &amp; Risk Analysis'!$R$12:$U$12">
      <cdr:nvSpPr>
        <cdr:cNvPr id="2" name="TextBox 1">
          <a:extLst xmlns:a="http://schemas.openxmlformats.org/drawingml/2006/main">
            <a:ext uri="{FF2B5EF4-FFF2-40B4-BE49-F238E27FC236}">
              <a16:creationId xmlns:a16="http://schemas.microsoft.com/office/drawing/2014/main" id="{4B8A9494-F83A-4B1F-BA75-E3E323E02F8D}"/>
            </a:ext>
          </a:extLst>
        </cdr:cNvPr>
        <cdr:cNvSpPr txBox="1"/>
      </cdr:nvSpPr>
      <cdr:spPr>
        <a:xfrm xmlns:a="http://schemas.openxmlformats.org/drawingml/2006/main">
          <a:off x="2213299" y="3196384"/>
          <a:ext cx="2039471" cy="311572"/>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463CA21B-37CA-413B-BED3-883D139C996B}" type="TxLink">
            <a:rPr lang="en-US" sz="1000" b="0" i="0" u="none" strike="noStrike">
              <a:solidFill>
                <a:srgbClr val="000000"/>
              </a:solidFill>
              <a:latin typeface="Arial"/>
              <a:cs typeface="Arial"/>
            </a:rPr>
            <a:pPr/>
            <a:t>Cost of hydrogen ($/kg)</a:t>
          </a:fld>
          <a:endParaRPr lang="en-US" sz="1100"/>
        </a:p>
      </cdr:txBody>
    </cdr:sp>
  </cdr:relSizeAnchor>
  <cdr:relSizeAnchor xmlns:cdr="http://schemas.openxmlformats.org/drawingml/2006/chartDrawing">
    <cdr:from>
      <cdr:x>0.93771</cdr:x>
      <cdr:y>0.30424</cdr:y>
    </cdr:from>
    <cdr:to>
      <cdr:x>1</cdr:x>
      <cdr:y>0.77382</cdr:y>
    </cdr:to>
    <cdr:sp macro="" textlink="">
      <cdr:nvSpPr>
        <cdr:cNvPr id="3" name="TextBox 2">
          <a:extLst xmlns:a="http://schemas.openxmlformats.org/drawingml/2006/main">
            <a:ext uri="{FF2B5EF4-FFF2-40B4-BE49-F238E27FC236}">
              <a16:creationId xmlns:a16="http://schemas.microsoft.com/office/drawing/2014/main" id="{6499FE55-61DB-4948-8EE4-F845D86E32AD}"/>
            </a:ext>
          </a:extLst>
        </cdr:cNvPr>
        <cdr:cNvSpPr txBox="1"/>
      </cdr:nvSpPr>
      <cdr:spPr>
        <a:xfrm xmlns:a="http://schemas.openxmlformats.org/drawingml/2006/main" rot="5400000">
          <a:off x="4508226" y="1719488"/>
          <a:ext cx="1647265" cy="34282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a:t>Bin probability</a:t>
          </a:r>
        </a:p>
      </cdr:txBody>
    </cdr:sp>
  </cdr:relSizeAnchor>
  <cdr:relSizeAnchor xmlns:cdr="http://schemas.openxmlformats.org/drawingml/2006/chartDrawing">
    <cdr:from>
      <cdr:x>0.00923</cdr:x>
      <cdr:y>0.19017</cdr:y>
    </cdr:from>
    <cdr:to>
      <cdr:x>0.07153</cdr:x>
      <cdr:y>0.65975</cdr:y>
    </cdr:to>
    <cdr:sp macro="" textlink="">
      <cdr:nvSpPr>
        <cdr:cNvPr id="4" name="TextBox 1">
          <a:extLst xmlns:a="http://schemas.openxmlformats.org/drawingml/2006/main">
            <a:ext uri="{FF2B5EF4-FFF2-40B4-BE49-F238E27FC236}">
              <a16:creationId xmlns:a16="http://schemas.microsoft.com/office/drawing/2014/main" id="{4A8D474E-8764-48A6-AA9E-85D0A97C8A8C}"/>
            </a:ext>
          </a:extLst>
        </cdr:cNvPr>
        <cdr:cNvSpPr txBox="1"/>
      </cdr:nvSpPr>
      <cdr:spPr>
        <a:xfrm xmlns:a="http://schemas.openxmlformats.org/drawingml/2006/main" rot="16200000">
          <a:off x="-601420" y="1319345"/>
          <a:ext cx="1647265" cy="342824"/>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a:t>Cumulative probability</a:t>
          </a:r>
        </a:p>
      </cdr:txBody>
    </cdr:sp>
  </cdr:relSizeAnchor>
</c:userShapes>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251460</xdr:colOff>
          <xdr:row>1</xdr:row>
          <xdr:rowOff>22860</xdr:rowOff>
        </xdr:from>
        <xdr:to>
          <xdr:col>13</xdr:col>
          <xdr:colOff>38100</xdr:colOff>
          <xdr:row>4</xdr:row>
          <xdr:rowOff>99060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E00-000001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1" i="0" u="none" strike="noStrike" baseline="0">
                  <a:solidFill>
                    <a:srgbClr val="000000"/>
                  </a:solidFill>
                  <a:latin typeface="Arial"/>
                  <a:cs typeface="Arial"/>
                </a:rPr>
                <a:t>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99060</xdr:colOff>
          <xdr:row>68</xdr:row>
          <xdr:rowOff>60960</xdr:rowOff>
        </xdr:from>
        <xdr:to>
          <xdr:col>4</xdr:col>
          <xdr:colOff>76200</xdr:colOff>
          <xdr:row>68</xdr:row>
          <xdr:rowOff>495300</xdr:rowOff>
        </xdr:to>
        <xdr:sp macro="" textlink="">
          <xdr:nvSpPr>
            <xdr:cNvPr id="10247" name="Button 7" hidden="1">
              <a:extLst>
                <a:ext uri="{63B3BB69-23CF-44E3-9099-C40C66FF867C}">
                  <a14:compatExt spid="_x0000_s10247"/>
                </a:ext>
                <a:ext uri="{FF2B5EF4-FFF2-40B4-BE49-F238E27FC236}">
                  <a16:creationId xmlns:a16="http://schemas.microsoft.com/office/drawing/2014/main" id="{00000000-0008-0000-0E00-000007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100" b="1" i="0" u="none" strike="noStrike" baseline="0">
                  <a:solidFill>
                    <a:srgbClr val="000000"/>
                  </a:solidFill>
                  <a:latin typeface="Arial"/>
                  <a:cs typeface="Arial"/>
                </a:rPr>
                <a:t>Done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hyperlink" Target="https://netl.doe.gov/projects/files/QualityGuidelinesforEnergySystemStudiesCapitalCostScalingMethodologyRevision4Report_110719.pdf" TargetMode="External"/><Relationship Id="rId2" Type="http://schemas.openxmlformats.org/officeDocument/2006/relationships/hyperlink" Target="http://www.chemicals-technology.com/projects/air-products-plant/" TargetMode="External"/><Relationship Id="rId1" Type="http://schemas.openxmlformats.org/officeDocument/2006/relationships/hyperlink" Target="http://hydrogen.pnl.gov/filedownloads/hydrogen/datasheets/hydrogen_production_capacity_by_state.xls" TargetMode="External"/><Relationship Id="rId6" Type="http://schemas.openxmlformats.org/officeDocument/2006/relationships/drawing" Target="../drawings/drawing9.xml"/><Relationship Id="rId5" Type="http://schemas.openxmlformats.org/officeDocument/2006/relationships/printerSettings" Target="../printerSettings/printerSettings5.bin"/><Relationship Id="rId4" Type="http://schemas.openxmlformats.org/officeDocument/2006/relationships/hyperlink" Target="https://netl.doe.gov/projects/files/QualityGuidelinesforEnergySystemStudiesCapitalCostScalingMethodologyRevision4Report_110719.pdf" TargetMode="Externa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0.xml"/><Relationship Id="rId1" Type="http://schemas.openxmlformats.org/officeDocument/2006/relationships/printerSettings" Target="../printerSettings/printerSettings6.bin"/><Relationship Id="rId5" Type="http://schemas.openxmlformats.org/officeDocument/2006/relationships/comments" Target="../comments2.xml"/><Relationship Id="rId4" Type="http://schemas.openxmlformats.org/officeDocument/2006/relationships/ctrlProp" Target="../ctrlProps/ctrlProp1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1.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drawing" Target="../drawings/drawing1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chunter/chunter/AppData/Local/Microsoft/Windows/2.2%20Production%20Cost%20Target/James%20Milford%20Review/Available%20from%20Short%20Term%20Enehttp:/www.eia.doe.gov/emeu/steo/pub/a2tab.html" TargetMode="Externa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6.xml"/><Relationship Id="rId1" Type="http://schemas.openxmlformats.org/officeDocument/2006/relationships/printerSettings" Target="../printerSettings/printerSettings11.bin"/><Relationship Id="rId6" Type="http://schemas.openxmlformats.org/officeDocument/2006/relationships/comments" Target="../comments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3">
    <tabColor indexed="42"/>
  </sheetPr>
  <dimension ref="B2:D49"/>
  <sheetViews>
    <sheetView topLeftCell="B1" zoomScale="85" zoomScaleNormal="85" workbookViewId="0">
      <selection activeCell="D8" sqref="D8"/>
    </sheetView>
  </sheetViews>
  <sheetFormatPr defaultRowHeight="13.2" x14ac:dyDescent="0.25"/>
  <cols>
    <col min="2" max="2" width="36.6640625" customWidth="1"/>
    <col min="3" max="3" width="44.6640625" customWidth="1"/>
    <col min="4" max="4" width="64.88671875" customWidth="1"/>
    <col min="5" max="5" width="126.44140625" customWidth="1"/>
  </cols>
  <sheetData>
    <row r="2" spans="2:4" ht="39" customHeight="1" x14ac:dyDescent="0.5">
      <c r="B2" s="681" t="s">
        <v>404</v>
      </c>
    </row>
    <row r="4" spans="2:4" ht="13.8" thickBot="1" x14ac:dyDescent="0.3"/>
    <row r="5" spans="2:4" ht="27" thickTop="1" x14ac:dyDescent="0.25">
      <c r="B5" s="683" t="s">
        <v>210</v>
      </c>
      <c r="C5" s="1435" t="s">
        <v>1642</v>
      </c>
      <c r="D5" s="1033"/>
    </row>
    <row r="6" spans="2:4" x14ac:dyDescent="0.25">
      <c r="B6" s="684" t="s">
        <v>211</v>
      </c>
      <c r="C6" s="1032" t="s">
        <v>1342</v>
      </c>
      <c r="D6" s="1033"/>
    </row>
    <row r="7" spans="2:4" x14ac:dyDescent="0.25">
      <c r="B7" s="684" t="s">
        <v>212</v>
      </c>
      <c r="C7" s="1032" t="s">
        <v>1250</v>
      </c>
      <c r="D7" s="1033"/>
    </row>
    <row r="8" spans="2:4" x14ac:dyDescent="0.25">
      <c r="B8" s="684" t="s">
        <v>213</v>
      </c>
      <c r="C8" s="1032" t="s">
        <v>1251</v>
      </c>
      <c r="D8" s="1033"/>
    </row>
    <row r="9" spans="2:4" x14ac:dyDescent="0.25">
      <c r="B9" s="684" t="s">
        <v>214</v>
      </c>
      <c r="C9" s="819" t="s">
        <v>1252</v>
      </c>
      <c r="D9" s="685"/>
    </row>
    <row r="10" spans="2:4" x14ac:dyDescent="0.25">
      <c r="B10" s="684" t="s">
        <v>215</v>
      </c>
      <c r="C10" s="1032" t="s">
        <v>818</v>
      </c>
      <c r="D10" s="1033"/>
    </row>
    <row r="11" spans="2:4" x14ac:dyDescent="0.25">
      <c r="B11" s="684" t="s">
        <v>216</v>
      </c>
      <c r="C11" s="1436">
        <v>43137</v>
      </c>
      <c r="D11" s="1121"/>
    </row>
    <row r="12" spans="2:4" ht="13.8" thickBot="1" x14ac:dyDescent="0.3">
      <c r="B12" s="686" t="s">
        <v>217</v>
      </c>
      <c r="C12" s="1667" t="s">
        <v>1205</v>
      </c>
      <c r="D12" s="1033"/>
    </row>
    <row r="13" spans="2:4" ht="14.4" thickTop="1" thickBot="1" x14ac:dyDescent="0.3">
      <c r="B13" s="687"/>
      <c r="C13" s="1151"/>
      <c r="D13" s="1122"/>
    </row>
    <row r="14" spans="2:4" ht="13.8" thickTop="1" x14ac:dyDescent="0.25">
      <c r="B14" s="683" t="s">
        <v>218</v>
      </c>
      <c r="C14" s="1668">
        <v>1500</v>
      </c>
      <c r="D14" s="1123"/>
    </row>
    <row r="15" spans="2:4" x14ac:dyDescent="0.25">
      <c r="B15" s="684" t="s">
        <v>219</v>
      </c>
      <c r="C15" s="1177">
        <v>2015</v>
      </c>
      <c r="D15" s="688"/>
    </row>
    <row r="16" spans="2:4" x14ac:dyDescent="0.25">
      <c r="B16" s="684" t="s">
        <v>220</v>
      </c>
      <c r="C16" s="1178"/>
      <c r="D16" s="1123"/>
    </row>
    <row r="17" spans="2:4" x14ac:dyDescent="0.25">
      <c r="B17" s="684" t="s">
        <v>221</v>
      </c>
      <c r="C17" s="1178" t="s">
        <v>1343</v>
      </c>
      <c r="D17" s="1123"/>
    </row>
    <row r="18" spans="2:4" x14ac:dyDescent="0.25">
      <c r="B18" s="684" t="s">
        <v>222</v>
      </c>
      <c r="C18" s="1178"/>
      <c r="D18" s="689"/>
    </row>
    <row r="19" spans="2:4" x14ac:dyDescent="0.25">
      <c r="B19" s="684" t="s">
        <v>223</v>
      </c>
      <c r="C19" s="1178"/>
      <c r="D19" s="1123"/>
    </row>
    <row r="20" spans="2:4" x14ac:dyDescent="0.25">
      <c r="B20" s="684" t="s">
        <v>224</v>
      </c>
      <c r="C20" s="1178" t="s">
        <v>1343</v>
      </c>
      <c r="D20" s="1123"/>
    </row>
    <row r="21" spans="2:4" x14ac:dyDescent="0.25">
      <c r="B21" s="684" t="s">
        <v>225</v>
      </c>
      <c r="C21" s="1178" t="s">
        <v>1343</v>
      </c>
      <c r="D21" s="1123"/>
    </row>
    <row r="22" spans="2:4" ht="26.4" x14ac:dyDescent="0.25">
      <c r="B22" s="690" t="s">
        <v>226</v>
      </c>
      <c r="C22" s="1177" t="s">
        <v>1344</v>
      </c>
      <c r="D22" s="1123"/>
    </row>
    <row r="23" spans="2:4" x14ac:dyDescent="0.25">
      <c r="B23" s="690" t="s">
        <v>227</v>
      </c>
      <c r="C23" s="1178" t="s">
        <v>1345</v>
      </c>
      <c r="D23" s="1123"/>
    </row>
    <row r="24" spans="2:4" ht="13.8" thickBot="1" x14ac:dyDescent="0.3">
      <c r="B24" s="686" t="s">
        <v>228</v>
      </c>
      <c r="C24" s="1179" t="s">
        <v>1346</v>
      </c>
      <c r="D24" s="1123"/>
    </row>
    <row r="25" spans="2:4" ht="14.4" thickTop="1" thickBot="1" x14ac:dyDescent="0.3">
      <c r="B25" s="691"/>
      <c r="C25" s="1123"/>
      <c r="D25" s="1123"/>
    </row>
    <row r="26" spans="2:4" x14ac:dyDescent="0.25">
      <c r="B26" s="1483" t="s">
        <v>229</v>
      </c>
      <c r="C26" s="1484"/>
      <c r="D26" s="1485"/>
    </row>
    <row r="27" spans="2:4" x14ac:dyDescent="0.25">
      <c r="B27" s="1125" t="s">
        <v>230</v>
      </c>
      <c r="C27" s="692" t="s">
        <v>231</v>
      </c>
      <c r="D27" s="1126" t="s">
        <v>1012</v>
      </c>
    </row>
    <row r="28" spans="2:4" ht="26.4" x14ac:dyDescent="0.25">
      <c r="B28" s="1443">
        <v>44679</v>
      </c>
      <c r="C28" s="983" t="s">
        <v>1206</v>
      </c>
      <c r="D28" s="1178" t="s">
        <v>1612</v>
      </c>
    </row>
    <row r="29" spans="2:4" x14ac:dyDescent="0.25">
      <c r="B29" s="1443"/>
      <c r="C29" s="983"/>
      <c r="D29" s="1178"/>
    </row>
    <row r="30" spans="2:4" x14ac:dyDescent="0.25">
      <c r="B30" s="1443">
        <v>44131</v>
      </c>
      <c r="C30" s="983" t="s">
        <v>1206</v>
      </c>
      <c r="D30" s="1178" t="s">
        <v>1347</v>
      </c>
    </row>
    <row r="31" spans="2:4" x14ac:dyDescent="0.25">
      <c r="B31" s="1443"/>
      <c r="C31" s="983"/>
      <c r="D31" s="1178"/>
    </row>
    <row r="32" spans="2:4" x14ac:dyDescent="0.25">
      <c r="B32" s="1443">
        <v>42080.372844907404</v>
      </c>
      <c r="C32" s="983" t="s">
        <v>1348</v>
      </c>
      <c r="D32" s="1178" t="s">
        <v>1349</v>
      </c>
    </row>
    <row r="33" spans="2:4" x14ac:dyDescent="0.25">
      <c r="B33" s="1443">
        <v>42080.372844907404</v>
      </c>
      <c r="C33" s="983" t="s">
        <v>1348</v>
      </c>
      <c r="D33" s="1178" t="s">
        <v>1350</v>
      </c>
    </row>
    <row r="34" spans="2:4" x14ac:dyDescent="0.25">
      <c r="B34" s="1443">
        <v>42080.372844907404</v>
      </c>
      <c r="C34" s="983" t="s">
        <v>1348</v>
      </c>
      <c r="D34" s="1178" t="s">
        <v>1351</v>
      </c>
    </row>
    <row r="35" spans="2:4" x14ac:dyDescent="0.25">
      <c r="B35" s="1443">
        <v>42080.372844907404</v>
      </c>
      <c r="C35" s="983" t="s">
        <v>1348</v>
      </c>
      <c r="D35" s="1178" t="s">
        <v>1352</v>
      </c>
    </row>
    <row r="36" spans="2:4" x14ac:dyDescent="0.25">
      <c r="B36" s="1443">
        <v>42080.372844907404</v>
      </c>
      <c r="C36" s="983" t="s">
        <v>1348</v>
      </c>
      <c r="D36" s="1178" t="s">
        <v>1353</v>
      </c>
    </row>
    <row r="37" spans="2:4" x14ac:dyDescent="0.25">
      <c r="B37" s="1443">
        <v>42080.372844907404</v>
      </c>
      <c r="C37" s="983" t="s">
        <v>1348</v>
      </c>
      <c r="D37" s="1178" t="s">
        <v>1354</v>
      </c>
    </row>
    <row r="38" spans="2:4" x14ac:dyDescent="0.25">
      <c r="B38" s="1443"/>
      <c r="C38" s="983"/>
      <c r="D38" s="1178"/>
    </row>
    <row r="39" spans="2:4" x14ac:dyDescent="0.25">
      <c r="B39" s="1444" t="s">
        <v>1355</v>
      </c>
      <c r="C39" s="1124"/>
      <c r="D39" s="1178"/>
    </row>
    <row r="40" spans="2:4" x14ac:dyDescent="0.25">
      <c r="B40" s="1445">
        <v>40966</v>
      </c>
      <c r="C40" s="1124" t="s">
        <v>1356</v>
      </c>
      <c r="D40" s="1178" t="s">
        <v>1357</v>
      </c>
    </row>
    <row r="41" spans="2:4" x14ac:dyDescent="0.25">
      <c r="B41" s="1444" t="s">
        <v>1358</v>
      </c>
      <c r="C41" s="1124"/>
      <c r="D41" s="1178"/>
    </row>
    <row r="42" spans="2:4" x14ac:dyDescent="0.25">
      <c r="B42" s="1446">
        <v>40140</v>
      </c>
      <c r="C42" s="1124" t="s">
        <v>1359</v>
      </c>
      <c r="D42" s="1178" t="s">
        <v>1360</v>
      </c>
    </row>
    <row r="43" spans="2:4" x14ac:dyDescent="0.25">
      <c r="B43" s="1446">
        <v>39714</v>
      </c>
      <c r="C43" s="1124" t="s">
        <v>1356</v>
      </c>
      <c r="D43" s="1178" t="s">
        <v>1361</v>
      </c>
    </row>
    <row r="44" spans="2:4" x14ac:dyDescent="0.25">
      <c r="B44" s="1443">
        <v>39591</v>
      </c>
      <c r="C44" s="983" t="s">
        <v>1640</v>
      </c>
      <c r="D44" s="1178" t="s">
        <v>1641</v>
      </c>
    </row>
    <row r="45" spans="2:4" ht="26.4" x14ac:dyDescent="0.25">
      <c r="B45" s="1447">
        <v>39497</v>
      </c>
      <c r="C45" s="983" t="s">
        <v>1362</v>
      </c>
      <c r="D45" s="1178" t="s">
        <v>1363</v>
      </c>
    </row>
    <row r="46" spans="2:4" x14ac:dyDescent="0.25">
      <c r="B46" s="1443"/>
      <c r="C46" s="983"/>
      <c r="D46" s="1178"/>
    </row>
    <row r="47" spans="2:4" x14ac:dyDescent="0.25">
      <c r="B47" s="1443"/>
      <c r="C47" s="983"/>
      <c r="D47" s="1178"/>
    </row>
    <row r="48" spans="2:4" ht="13.8" thickBot="1" x14ac:dyDescent="0.3">
      <c r="B48" s="1448"/>
      <c r="C48" s="1449"/>
      <c r="D48" s="1179"/>
    </row>
    <row r="49" ht="13.8" thickTop="1" x14ac:dyDescent="0.25"/>
  </sheetData>
  <mergeCells count="1">
    <mergeCell ref="B26:D26"/>
  </mergeCells>
  <phoneticPr fontId="0" type="noConversion"/>
  <pageMargins left="0.75" right="0.75" top="1" bottom="1" header="0.5" footer="0.5"/>
  <headerFooter alignWithMargins="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4">
    <tabColor indexed="42"/>
  </sheetPr>
  <dimension ref="B2:B88"/>
  <sheetViews>
    <sheetView topLeftCell="B1" workbookViewId="0">
      <selection activeCell="B27" sqref="B27"/>
    </sheetView>
  </sheetViews>
  <sheetFormatPr defaultRowHeight="13.2" x14ac:dyDescent="0.25"/>
  <cols>
    <col min="2" max="2" width="122" customWidth="1"/>
    <col min="3" max="3" width="41.6640625" customWidth="1"/>
    <col min="4" max="4" width="79.6640625" customWidth="1"/>
    <col min="5" max="5" width="17.33203125" customWidth="1"/>
  </cols>
  <sheetData>
    <row r="2" spans="2:2" ht="21" x14ac:dyDescent="0.5">
      <c r="B2" s="681" t="s">
        <v>405</v>
      </c>
    </row>
    <row r="6" spans="2:2" x14ac:dyDescent="0.25">
      <c r="B6" s="682" t="s">
        <v>205</v>
      </c>
    </row>
    <row r="7" spans="2:2" x14ac:dyDescent="0.25">
      <c r="B7" s="1034" t="s">
        <v>1643</v>
      </c>
    </row>
    <row r="8" spans="2:2" x14ac:dyDescent="0.25">
      <c r="B8" s="208"/>
    </row>
    <row r="9" spans="2:2" x14ac:dyDescent="0.25">
      <c r="B9" s="208"/>
    </row>
    <row r="10" spans="2:2" x14ac:dyDescent="0.25">
      <c r="B10" s="682" t="s">
        <v>206</v>
      </c>
    </row>
    <row r="11" spans="2:2" ht="52.8" x14ac:dyDescent="0.25">
      <c r="B11" s="1034" t="s">
        <v>1645</v>
      </c>
    </row>
    <row r="12" spans="2:2" x14ac:dyDescent="0.25">
      <c r="B12" s="207"/>
    </row>
    <row r="13" spans="2:2" x14ac:dyDescent="0.25">
      <c r="B13" s="208"/>
    </row>
    <row r="14" spans="2:2" x14ac:dyDescent="0.25">
      <c r="B14" s="682" t="s">
        <v>207</v>
      </c>
    </row>
    <row r="15" spans="2:2" ht="92.4" x14ac:dyDescent="0.25">
      <c r="B15" s="1034" t="s">
        <v>1364</v>
      </c>
    </row>
    <row r="16" spans="2:2" x14ac:dyDescent="0.25">
      <c r="B16" s="208"/>
    </row>
    <row r="17" spans="2:2" x14ac:dyDescent="0.25">
      <c r="B17" s="208"/>
    </row>
    <row r="18" spans="2:2" x14ac:dyDescent="0.25">
      <c r="B18" s="682" t="s">
        <v>208</v>
      </c>
    </row>
    <row r="19" spans="2:2" x14ac:dyDescent="0.25">
      <c r="B19" s="1034" t="s">
        <v>1644</v>
      </c>
    </row>
    <row r="20" spans="2:2" x14ac:dyDescent="0.25">
      <c r="B20" s="208"/>
    </row>
    <row r="21" spans="2:2" x14ac:dyDescent="0.25">
      <c r="B21" s="1150" t="s">
        <v>209</v>
      </c>
    </row>
    <row r="22" spans="2:2" x14ac:dyDescent="0.25">
      <c r="B22" s="820"/>
    </row>
    <row r="23" spans="2:2" x14ac:dyDescent="0.25">
      <c r="B23" s="1034"/>
    </row>
    <row r="24" spans="2:2" x14ac:dyDescent="0.25">
      <c r="B24" s="1034"/>
    </row>
    <row r="25" spans="2:2" x14ac:dyDescent="0.25">
      <c r="B25" s="1034"/>
    </row>
    <row r="26" spans="2:2" x14ac:dyDescent="0.25">
      <c r="B26" s="820"/>
    </row>
    <row r="27" spans="2:2" x14ac:dyDescent="0.25">
      <c r="B27" s="820"/>
    </row>
    <row r="78" ht="81" customHeight="1" x14ac:dyDescent="0.25"/>
    <row r="80" ht="97.5" customHeight="1" x14ac:dyDescent="0.25"/>
    <row r="82" ht="68.25" customHeight="1" x14ac:dyDescent="0.25"/>
    <row r="84" ht="63" customHeight="1" x14ac:dyDescent="0.25"/>
    <row r="86" ht="63.75" customHeight="1" x14ac:dyDescent="0.25"/>
    <row r="88" ht="37.5" customHeight="1" x14ac:dyDescent="0.25"/>
  </sheetData>
  <phoneticPr fontId="0" type="noConversion"/>
  <pageMargins left="0.75" right="0.75" top="1" bottom="1" header="0.5" footer="0.5"/>
  <headerFooter alignWithMargins="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5">
    <tabColor indexed="42"/>
  </sheetPr>
  <dimension ref="A1:C5816"/>
  <sheetViews>
    <sheetView zoomScale="70" zoomScaleNormal="70" workbookViewId="0"/>
  </sheetViews>
  <sheetFormatPr defaultRowHeight="13.2" customHeight="1" x14ac:dyDescent="0.25"/>
  <cols>
    <col min="2" max="2" width="163.21875" customWidth="1"/>
    <col min="3" max="3" width="11.5546875" bestFit="1" customWidth="1"/>
    <col min="4" max="53" width="8.88671875" customWidth="1"/>
    <col min="258" max="267" width="8.88671875" customWidth="1"/>
    <col min="514" max="523" width="8.88671875" customWidth="1"/>
    <col min="770" max="779" width="8.88671875" customWidth="1"/>
    <col min="1026" max="1035" width="8.88671875" customWidth="1"/>
    <col min="1282" max="1291" width="8.88671875" customWidth="1"/>
    <col min="1538" max="1547" width="8.88671875" customWidth="1"/>
    <col min="1794" max="1803" width="8.88671875" customWidth="1"/>
    <col min="2050" max="2059" width="8.88671875" customWidth="1"/>
    <col min="2306" max="2315" width="8.88671875" customWidth="1"/>
    <col min="2562" max="2571" width="8.88671875" customWidth="1"/>
    <col min="2818" max="2827" width="8.88671875" customWidth="1"/>
    <col min="3074" max="3083" width="8.88671875" customWidth="1"/>
    <col min="3330" max="3339" width="8.88671875" customWidth="1"/>
    <col min="3586" max="3595" width="8.88671875" customWidth="1"/>
    <col min="3842" max="3851" width="8.88671875" customWidth="1"/>
    <col min="4098" max="4107" width="8.88671875" customWidth="1"/>
    <col min="4354" max="4363" width="8.88671875" customWidth="1"/>
    <col min="4610" max="4619" width="8.88671875" customWidth="1"/>
    <col min="4866" max="4875" width="8.88671875" customWidth="1"/>
    <col min="5122" max="5131" width="8.88671875" customWidth="1"/>
    <col min="5378" max="5387" width="8.88671875" customWidth="1"/>
    <col min="5634" max="5643" width="8.88671875" customWidth="1"/>
    <col min="5890" max="5899" width="8.88671875" customWidth="1"/>
    <col min="6146" max="6155" width="8.88671875" customWidth="1"/>
    <col min="6402" max="6411" width="8.88671875" customWidth="1"/>
    <col min="6658" max="6667" width="8.88671875" customWidth="1"/>
    <col min="6914" max="6923" width="8.88671875" customWidth="1"/>
    <col min="7170" max="7179" width="8.88671875" customWidth="1"/>
    <col min="7426" max="7435" width="8.88671875" customWidth="1"/>
    <col min="7682" max="7691" width="8.88671875" customWidth="1"/>
    <col min="7938" max="7947" width="8.88671875" customWidth="1"/>
    <col min="8194" max="8203" width="8.88671875" customWidth="1"/>
    <col min="8450" max="8459" width="8.88671875" customWidth="1"/>
    <col min="8706" max="8715" width="8.88671875" customWidth="1"/>
    <col min="8962" max="8971" width="8.88671875" customWidth="1"/>
    <col min="9218" max="9227" width="8.88671875" customWidth="1"/>
    <col min="9474" max="9483" width="8.88671875" customWidth="1"/>
    <col min="9730" max="9739" width="8.88671875" customWidth="1"/>
    <col min="9986" max="9995" width="8.88671875" customWidth="1"/>
    <col min="10242" max="10251" width="8.88671875" customWidth="1"/>
    <col min="10498" max="10507" width="8.88671875" customWidth="1"/>
    <col min="10754" max="10763" width="8.88671875" customWidth="1"/>
    <col min="11010" max="11019" width="8.88671875" customWidth="1"/>
    <col min="11266" max="11275" width="8.88671875" customWidth="1"/>
    <col min="11522" max="11531" width="8.88671875" customWidth="1"/>
    <col min="11778" max="11787" width="8.88671875" customWidth="1"/>
    <col min="12034" max="12043" width="8.88671875" customWidth="1"/>
    <col min="12290" max="12299" width="8.88671875" customWidth="1"/>
    <col min="12546" max="12555" width="8.88671875" customWidth="1"/>
    <col min="12802" max="12811" width="8.88671875" customWidth="1"/>
    <col min="13058" max="13067" width="8.88671875" customWidth="1"/>
    <col min="13314" max="13323" width="8.88671875" customWidth="1"/>
    <col min="13570" max="13579" width="8.88671875" customWidth="1"/>
    <col min="13826" max="13835" width="8.88671875" customWidth="1"/>
    <col min="14082" max="14091" width="8.88671875" customWidth="1"/>
    <col min="14338" max="14347" width="8.88671875" customWidth="1"/>
    <col min="14594" max="14603" width="8.88671875" customWidth="1"/>
    <col min="14850" max="14859" width="8.88671875" customWidth="1"/>
    <col min="15106" max="15115" width="8.88671875" customWidth="1"/>
    <col min="15362" max="15371" width="8.88671875" customWidth="1"/>
    <col min="15618" max="15627" width="8.88671875" customWidth="1"/>
    <col min="15874" max="15883" width="8.88671875" customWidth="1"/>
    <col min="16130" max="16139" width="8.88671875" customWidth="1"/>
  </cols>
  <sheetData>
    <row r="1" spans="1:3" x14ac:dyDescent="0.25">
      <c r="A1" s="879"/>
      <c r="B1" s="879"/>
      <c r="C1" s="879"/>
    </row>
    <row r="2" spans="1:3" ht="21" x14ac:dyDescent="0.5">
      <c r="A2" s="879"/>
      <c r="B2" s="1154" t="s">
        <v>406</v>
      </c>
      <c r="C2" s="879"/>
    </row>
    <row r="3" spans="1:3" x14ac:dyDescent="0.25">
      <c r="A3" s="879"/>
      <c r="B3" s="879"/>
      <c r="C3" s="879"/>
    </row>
    <row r="4" spans="1:3" x14ac:dyDescent="0.25">
      <c r="A4" s="879"/>
      <c r="B4" s="879"/>
      <c r="C4" s="879"/>
    </row>
    <row r="5" spans="1:3" x14ac:dyDescent="0.25">
      <c r="A5" s="879"/>
      <c r="B5" s="879"/>
      <c r="C5" s="879"/>
    </row>
    <row r="6" spans="1:3" x14ac:dyDescent="0.25">
      <c r="A6" s="879"/>
      <c r="B6" s="1153" t="s">
        <v>203</v>
      </c>
      <c r="C6" s="879"/>
    </row>
    <row r="7" spans="1:3" x14ac:dyDescent="0.25">
      <c r="A7" s="879"/>
      <c r="B7" s="1034"/>
      <c r="C7" s="879"/>
    </row>
    <row r="8" spans="1:3" ht="13.95" customHeight="1" x14ac:dyDescent="0.25">
      <c r="A8" s="879"/>
      <c r="B8" s="1152"/>
      <c r="C8" s="879"/>
    </row>
    <row r="9" spans="1:3" x14ac:dyDescent="0.25">
      <c r="A9" s="879"/>
      <c r="B9" s="1152"/>
      <c r="C9" s="879"/>
    </row>
    <row r="10" spans="1:3" x14ac:dyDescent="0.25">
      <c r="A10" s="879"/>
      <c r="B10" s="1152"/>
      <c r="C10" s="879"/>
    </row>
    <row r="11" spans="1:3" x14ac:dyDescent="0.25">
      <c r="A11" s="879"/>
      <c r="B11" s="1152"/>
      <c r="C11" s="879"/>
    </row>
    <row r="12" spans="1:3" x14ac:dyDescent="0.25">
      <c r="A12" s="879"/>
      <c r="B12" s="1152"/>
      <c r="C12" s="879"/>
    </row>
    <row r="13" spans="1:3" x14ac:dyDescent="0.25">
      <c r="A13" s="879"/>
      <c r="B13" s="1152"/>
      <c r="C13" s="879"/>
    </row>
    <row r="14" spans="1:3" x14ac:dyDescent="0.25">
      <c r="A14" s="879"/>
      <c r="B14" s="1152"/>
      <c r="C14" s="879"/>
    </row>
    <row r="15" spans="1:3" x14ac:dyDescent="0.25">
      <c r="A15" s="879"/>
      <c r="B15" s="1152"/>
      <c r="C15" s="879"/>
    </row>
    <row r="16" spans="1:3" x14ac:dyDescent="0.25">
      <c r="A16" s="879"/>
      <c r="B16" s="1152"/>
      <c r="C16" s="879"/>
    </row>
    <row r="17" spans="1:3" x14ac:dyDescent="0.25">
      <c r="A17" s="879"/>
      <c r="B17" s="1152"/>
      <c r="C17" s="879"/>
    </row>
    <row r="18" spans="1:3" x14ac:dyDescent="0.25">
      <c r="A18" s="879"/>
      <c r="B18" s="1152"/>
      <c r="C18" s="879"/>
    </row>
    <row r="19" spans="1:3" x14ac:dyDescent="0.25">
      <c r="A19" s="879"/>
      <c r="B19" s="1152"/>
      <c r="C19" s="879"/>
    </row>
    <row r="20" spans="1:3" x14ac:dyDescent="0.25">
      <c r="A20" s="879"/>
      <c r="B20" s="1152"/>
      <c r="C20" s="879"/>
    </row>
    <row r="21" spans="1:3" x14ac:dyDescent="0.25">
      <c r="A21" s="879"/>
      <c r="B21" s="1152"/>
      <c r="C21" s="879"/>
    </row>
    <row r="22" spans="1:3" x14ac:dyDescent="0.25">
      <c r="A22" s="879"/>
      <c r="B22" s="1152"/>
      <c r="C22" s="879"/>
    </row>
    <row r="23" spans="1:3" x14ac:dyDescent="0.25">
      <c r="A23" s="879"/>
      <c r="B23" s="1152"/>
      <c r="C23" s="879"/>
    </row>
    <row r="24" spans="1:3" x14ac:dyDescent="0.25">
      <c r="A24" s="879"/>
      <c r="B24" s="1152"/>
      <c r="C24" s="879"/>
    </row>
    <row r="25" spans="1:3" x14ac:dyDescent="0.25">
      <c r="A25" s="879"/>
      <c r="B25" s="1152"/>
      <c r="C25" s="879"/>
    </row>
    <row r="26" spans="1:3" x14ac:dyDescent="0.25">
      <c r="A26" s="879"/>
      <c r="B26" s="1152"/>
      <c r="C26" s="879"/>
    </row>
    <row r="27" spans="1:3" x14ac:dyDescent="0.25">
      <c r="A27" s="879"/>
      <c r="B27" s="1152"/>
      <c r="C27" s="879"/>
    </row>
    <row r="28" spans="1:3" x14ac:dyDescent="0.25">
      <c r="A28" s="879"/>
      <c r="B28" s="1152"/>
      <c r="C28" s="879"/>
    </row>
    <row r="29" spans="1:3" x14ac:dyDescent="0.25">
      <c r="A29" s="879"/>
      <c r="B29" s="1152"/>
      <c r="C29" s="879"/>
    </row>
    <row r="30" spans="1:3" x14ac:dyDescent="0.25">
      <c r="A30" s="879"/>
      <c r="B30" s="1152"/>
      <c r="C30" s="879"/>
    </row>
    <row r="31" spans="1:3" x14ac:dyDescent="0.25">
      <c r="A31" s="879"/>
      <c r="B31" s="1152"/>
      <c r="C31" s="879"/>
    </row>
    <row r="32" spans="1:3" x14ac:dyDescent="0.25">
      <c r="A32" s="879"/>
      <c r="B32" s="1152"/>
      <c r="C32" s="879"/>
    </row>
    <row r="33" spans="1:3" x14ac:dyDescent="0.25">
      <c r="A33" s="879"/>
      <c r="B33" s="1152"/>
      <c r="C33" s="879"/>
    </row>
    <row r="34" spans="1:3" x14ac:dyDescent="0.25">
      <c r="A34" s="879"/>
      <c r="B34" s="1152"/>
      <c r="C34" s="879"/>
    </row>
    <row r="35" spans="1:3" x14ac:dyDescent="0.25">
      <c r="A35" s="879"/>
      <c r="B35" s="1152"/>
      <c r="C35" s="879"/>
    </row>
    <row r="36" spans="1:3" x14ac:dyDescent="0.25">
      <c r="A36" s="879"/>
      <c r="B36" s="1152"/>
      <c r="C36" s="879"/>
    </row>
    <row r="37" spans="1:3" x14ac:dyDescent="0.25">
      <c r="A37" s="879"/>
      <c r="B37" s="1152"/>
      <c r="C37" s="879"/>
    </row>
    <row r="38" spans="1:3" x14ac:dyDescent="0.25">
      <c r="A38" s="879"/>
      <c r="B38" s="1152"/>
      <c r="C38" s="879"/>
    </row>
    <row r="39" spans="1:3" x14ac:dyDescent="0.25">
      <c r="A39" s="879"/>
      <c r="B39" s="1152"/>
      <c r="C39" s="879"/>
    </row>
    <row r="40" spans="1:3" x14ac:dyDescent="0.25">
      <c r="A40" s="879"/>
      <c r="B40" s="1152"/>
      <c r="C40" s="879"/>
    </row>
    <row r="41" spans="1:3" x14ac:dyDescent="0.25">
      <c r="A41" s="879"/>
      <c r="B41" s="1152"/>
      <c r="C41" s="879"/>
    </row>
    <row r="42" spans="1:3" x14ac:dyDescent="0.25">
      <c r="A42" s="879"/>
      <c r="B42" s="1152"/>
      <c r="C42" s="879"/>
    </row>
    <row r="43" spans="1:3" x14ac:dyDescent="0.25">
      <c r="A43" s="879"/>
      <c r="B43" s="1152"/>
      <c r="C43" s="879"/>
    </row>
    <row r="44" spans="1:3" x14ac:dyDescent="0.25">
      <c r="A44" s="879"/>
      <c r="B44" s="1152"/>
      <c r="C44" s="879"/>
    </row>
    <row r="45" spans="1:3" x14ac:dyDescent="0.25">
      <c r="A45" s="879"/>
      <c r="B45" s="1153" t="s">
        <v>204</v>
      </c>
      <c r="C45" s="879"/>
    </row>
    <row r="46" spans="1:3" x14ac:dyDescent="0.25">
      <c r="A46" s="879"/>
      <c r="B46" s="1034"/>
      <c r="C46" s="879"/>
    </row>
    <row r="47" spans="1:3" x14ac:dyDescent="0.25">
      <c r="A47" s="879"/>
      <c r="B47" s="1450"/>
      <c r="C47" s="879"/>
    </row>
    <row r="48" spans="1:3" x14ac:dyDescent="0.25">
      <c r="A48" s="879"/>
      <c r="B48" s="1451" t="s">
        <v>1646</v>
      </c>
      <c r="C48" s="879"/>
    </row>
    <row r="49" spans="1:3" x14ac:dyDescent="0.25">
      <c r="A49" s="879"/>
      <c r="B49" s="1452" t="s">
        <v>1365</v>
      </c>
      <c r="C49" s="879"/>
    </row>
    <row r="50" spans="1:3" x14ac:dyDescent="0.25">
      <c r="A50" s="879"/>
      <c r="B50" s="1452" t="s">
        <v>1366</v>
      </c>
      <c r="C50" s="879"/>
    </row>
    <row r="51" spans="1:3" x14ac:dyDescent="0.25">
      <c r="A51" s="879"/>
      <c r="B51" s="1452" t="s">
        <v>1367</v>
      </c>
      <c r="C51" s="879"/>
    </row>
    <row r="52" spans="1:3" x14ac:dyDescent="0.25">
      <c r="A52" s="879"/>
      <c r="B52" s="1452" t="s">
        <v>1647</v>
      </c>
      <c r="C52" s="879"/>
    </row>
    <row r="53" spans="1:3" x14ac:dyDescent="0.25">
      <c r="A53" s="879"/>
      <c r="B53" s="1452" t="s">
        <v>1368</v>
      </c>
      <c r="C53" s="879"/>
    </row>
    <row r="54" spans="1:3" x14ac:dyDescent="0.25">
      <c r="A54" s="879"/>
      <c r="B54" s="1452" t="s">
        <v>1648</v>
      </c>
      <c r="C54" s="879"/>
    </row>
    <row r="55" spans="1:3" x14ac:dyDescent="0.25">
      <c r="A55" s="879"/>
      <c r="B55" s="1452" t="s">
        <v>1368</v>
      </c>
      <c r="C55" s="879"/>
    </row>
    <row r="56" spans="1:3" x14ac:dyDescent="0.25">
      <c r="A56" s="879"/>
      <c r="B56" s="1452" t="s">
        <v>1649</v>
      </c>
      <c r="C56" s="879"/>
    </row>
    <row r="57" spans="1:3" x14ac:dyDescent="0.25">
      <c r="A57" s="879"/>
      <c r="B57" s="1452" t="s">
        <v>1367</v>
      </c>
      <c r="C57" s="879"/>
    </row>
    <row r="58" spans="1:3" x14ac:dyDescent="0.25">
      <c r="A58" s="879"/>
      <c r="B58" s="1452" t="s">
        <v>1369</v>
      </c>
      <c r="C58" s="879"/>
    </row>
    <row r="59" spans="1:3" x14ac:dyDescent="0.25">
      <c r="A59" s="879"/>
      <c r="B59" s="1452" t="s">
        <v>1370</v>
      </c>
      <c r="C59" s="879"/>
    </row>
    <row r="60" spans="1:3" x14ac:dyDescent="0.25">
      <c r="A60" s="879"/>
      <c r="B60" s="1452" t="s">
        <v>1367</v>
      </c>
      <c r="C60" s="879"/>
    </row>
    <row r="61" spans="1:3" x14ac:dyDescent="0.25">
      <c r="A61" s="879"/>
      <c r="B61" s="1452" t="s">
        <v>1460</v>
      </c>
      <c r="C61" s="879"/>
    </row>
    <row r="62" spans="1:3" x14ac:dyDescent="0.25">
      <c r="A62" s="879"/>
      <c r="B62" s="1452" t="s">
        <v>1461</v>
      </c>
      <c r="C62" s="879"/>
    </row>
    <row r="63" spans="1:3" x14ac:dyDescent="0.25">
      <c r="A63" s="879"/>
      <c r="B63" s="1452" t="s">
        <v>1510</v>
      </c>
      <c r="C63" s="879"/>
    </row>
    <row r="64" spans="1:3" x14ac:dyDescent="0.25">
      <c r="A64" s="879"/>
      <c r="B64" s="1452" t="s">
        <v>1650</v>
      </c>
      <c r="C64" s="879"/>
    </row>
    <row r="65" spans="1:3" x14ac:dyDescent="0.25">
      <c r="A65" s="879"/>
      <c r="B65" s="1452" t="s">
        <v>1651</v>
      </c>
      <c r="C65" s="879"/>
    </row>
    <row r="66" spans="1:3" x14ac:dyDescent="0.25">
      <c r="A66" s="879"/>
      <c r="B66" s="1452" t="s">
        <v>1652</v>
      </c>
      <c r="C66" s="879"/>
    </row>
    <row r="67" spans="1:3" x14ac:dyDescent="0.25">
      <c r="A67" s="879"/>
      <c r="B67" s="1452" t="s">
        <v>1653</v>
      </c>
      <c r="C67" s="879"/>
    </row>
    <row r="68" spans="1:3" x14ac:dyDescent="0.25">
      <c r="A68" s="879"/>
      <c r="B68" s="1452" t="s">
        <v>1654</v>
      </c>
      <c r="C68" s="879"/>
    </row>
    <row r="69" spans="1:3" x14ac:dyDescent="0.25">
      <c r="A69" s="879"/>
      <c r="B69" s="1452" t="s">
        <v>1655</v>
      </c>
      <c r="C69" s="879"/>
    </row>
    <row r="70" spans="1:3" x14ac:dyDescent="0.25">
      <c r="A70" s="879"/>
      <c r="B70" s="1452" t="s">
        <v>1656</v>
      </c>
      <c r="C70" s="879"/>
    </row>
    <row r="71" spans="1:3" x14ac:dyDescent="0.25">
      <c r="A71" s="879"/>
      <c r="B71" s="1452" t="s">
        <v>1462</v>
      </c>
      <c r="C71" s="879"/>
    </row>
    <row r="72" spans="1:3" x14ac:dyDescent="0.25">
      <c r="A72" s="879"/>
      <c r="B72" s="1452" t="s">
        <v>1382</v>
      </c>
      <c r="C72" s="879"/>
    </row>
    <row r="73" spans="1:3" x14ac:dyDescent="0.25">
      <c r="A73" s="879"/>
      <c r="B73" s="1452" t="s">
        <v>1367</v>
      </c>
      <c r="C73" s="879"/>
    </row>
    <row r="74" spans="1:3" x14ac:dyDescent="0.25">
      <c r="A74" s="879"/>
      <c r="B74" s="1452" t="s">
        <v>1460</v>
      </c>
      <c r="C74" s="879"/>
    </row>
    <row r="75" spans="1:3" x14ac:dyDescent="0.25">
      <c r="A75" s="879"/>
      <c r="B75" s="1452" t="s">
        <v>1463</v>
      </c>
      <c r="C75" s="879"/>
    </row>
    <row r="76" spans="1:3" x14ac:dyDescent="0.25">
      <c r="A76" s="879"/>
      <c r="B76" s="1452" t="s">
        <v>1657</v>
      </c>
      <c r="C76" s="879"/>
    </row>
    <row r="77" spans="1:3" x14ac:dyDescent="0.25">
      <c r="A77" s="879"/>
      <c r="B77" s="1452" t="s">
        <v>1658</v>
      </c>
      <c r="C77" s="879"/>
    </row>
    <row r="78" spans="1:3" x14ac:dyDescent="0.25">
      <c r="A78" s="879"/>
      <c r="B78" s="1452" t="s">
        <v>1659</v>
      </c>
      <c r="C78" s="879"/>
    </row>
    <row r="79" spans="1:3" x14ac:dyDescent="0.25">
      <c r="A79" s="879"/>
      <c r="B79" s="1452" t="s">
        <v>1660</v>
      </c>
      <c r="C79" s="879"/>
    </row>
    <row r="80" spans="1:3" x14ac:dyDescent="0.25">
      <c r="A80" s="879"/>
      <c r="B80" s="1452" t="s">
        <v>1661</v>
      </c>
      <c r="C80" s="879"/>
    </row>
    <row r="81" spans="1:3" x14ac:dyDescent="0.25">
      <c r="A81" s="879"/>
      <c r="B81" s="1452" t="s">
        <v>1662</v>
      </c>
      <c r="C81" s="879"/>
    </row>
    <row r="82" spans="1:3" x14ac:dyDescent="0.25">
      <c r="A82" s="879"/>
      <c r="B82" s="1452" t="s">
        <v>1663</v>
      </c>
      <c r="C82" s="879"/>
    </row>
    <row r="83" spans="1:3" x14ac:dyDescent="0.25">
      <c r="A83" s="879"/>
      <c r="B83" s="1452" t="s">
        <v>1464</v>
      </c>
      <c r="C83" s="879"/>
    </row>
    <row r="84" spans="1:3" x14ac:dyDescent="0.25">
      <c r="A84" s="879"/>
      <c r="B84" s="1452" t="s">
        <v>1465</v>
      </c>
      <c r="C84" s="879"/>
    </row>
    <row r="85" spans="1:3" ht="12.75" customHeight="1" x14ac:dyDescent="0.25">
      <c r="A85" s="879"/>
      <c r="B85" s="1452" t="s">
        <v>1466</v>
      </c>
      <c r="C85" s="879"/>
    </row>
    <row r="86" spans="1:3" x14ac:dyDescent="0.25">
      <c r="A86" s="879"/>
      <c r="B86" s="1452" t="s">
        <v>1467</v>
      </c>
      <c r="C86" s="879"/>
    </row>
    <row r="87" spans="1:3" x14ac:dyDescent="0.25">
      <c r="A87" s="879"/>
      <c r="B87" s="1452" t="s">
        <v>1468</v>
      </c>
      <c r="C87" s="879"/>
    </row>
    <row r="88" spans="1:3" x14ac:dyDescent="0.25">
      <c r="A88" s="879"/>
      <c r="B88" s="1452" t="s">
        <v>1469</v>
      </c>
      <c r="C88" s="879"/>
    </row>
    <row r="89" spans="1:3" x14ac:dyDescent="0.25">
      <c r="A89" s="879"/>
      <c r="B89" s="1452" t="s">
        <v>1664</v>
      </c>
      <c r="C89" s="879"/>
    </row>
    <row r="90" spans="1:3" x14ac:dyDescent="0.25">
      <c r="A90" s="879"/>
      <c r="B90" s="1452" t="s">
        <v>1470</v>
      </c>
      <c r="C90" s="879"/>
    </row>
    <row r="91" spans="1:3" x14ac:dyDescent="0.25">
      <c r="A91" s="879"/>
      <c r="B91" s="1452" t="s">
        <v>1665</v>
      </c>
      <c r="C91" s="879"/>
    </row>
    <row r="92" spans="1:3" x14ac:dyDescent="0.25">
      <c r="A92" s="879"/>
      <c r="B92" s="1452" t="s">
        <v>1666</v>
      </c>
      <c r="C92" s="879"/>
    </row>
    <row r="93" spans="1:3" x14ac:dyDescent="0.25">
      <c r="A93" s="879"/>
      <c r="B93" s="1452" t="s">
        <v>1667</v>
      </c>
      <c r="C93" s="879"/>
    </row>
    <row r="94" spans="1:3" x14ac:dyDescent="0.25">
      <c r="A94" s="879"/>
      <c r="B94" s="1452" t="s">
        <v>1471</v>
      </c>
      <c r="C94" s="879"/>
    </row>
    <row r="95" spans="1:3" x14ac:dyDescent="0.25">
      <c r="A95" s="879"/>
      <c r="B95" s="1452" t="s">
        <v>1578</v>
      </c>
      <c r="C95" s="879"/>
    </row>
    <row r="96" spans="1:3" x14ac:dyDescent="0.25">
      <c r="A96" s="879"/>
      <c r="B96" s="1452" t="s">
        <v>1668</v>
      </c>
      <c r="C96" s="879"/>
    </row>
    <row r="97" spans="1:3" x14ac:dyDescent="0.25">
      <c r="A97" s="879"/>
      <c r="B97" s="1452" t="s">
        <v>1473</v>
      </c>
      <c r="C97" s="879"/>
    </row>
    <row r="98" spans="1:3" x14ac:dyDescent="0.25">
      <c r="A98" s="879"/>
      <c r="B98" s="1452" t="s">
        <v>1474</v>
      </c>
      <c r="C98" s="879"/>
    </row>
    <row r="99" spans="1:3" x14ac:dyDescent="0.25">
      <c r="A99" s="879"/>
      <c r="B99" s="1452" t="s">
        <v>1475</v>
      </c>
      <c r="C99" s="879"/>
    </row>
    <row r="100" spans="1:3" x14ac:dyDescent="0.25">
      <c r="A100" s="879"/>
      <c r="B100" s="1452" t="s">
        <v>1669</v>
      </c>
      <c r="C100" s="879"/>
    </row>
    <row r="101" spans="1:3" x14ac:dyDescent="0.25">
      <c r="A101" s="879"/>
      <c r="B101" s="1452" t="s">
        <v>1670</v>
      </c>
      <c r="C101" s="879"/>
    </row>
    <row r="102" spans="1:3" x14ac:dyDescent="0.25">
      <c r="A102" s="879"/>
      <c r="B102" s="1452" t="s">
        <v>1476</v>
      </c>
      <c r="C102" s="879"/>
    </row>
    <row r="103" spans="1:3" x14ac:dyDescent="0.25">
      <c r="A103" s="879"/>
      <c r="B103" s="1452" t="s">
        <v>1477</v>
      </c>
      <c r="C103" s="879"/>
    </row>
    <row r="104" spans="1:3" x14ac:dyDescent="0.25">
      <c r="A104" s="879"/>
      <c r="B104" s="1452" t="s">
        <v>1478</v>
      </c>
      <c r="C104" s="879"/>
    </row>
    <row r="105" spans="1:3" x14ac:dyDescent="0.25">
      <c r="A105" s="879"/>
      <c r="B105" s="1452" t="s">
        <v>1671</v>
      </c>
      <c r="C105" s="879"/>
    </row>
    <row r="106" spans="1:3" x14ac:dyDescent="0.25">
      <c r="A106" s="879"/>
      <c r="B106" s="1452" t="s">
        <v>1672</v>
      </c>
      <c r="C106" s="879"/>
    </row>
    <row r="107" spans="1:3" x14ac:dyDescent="0.25">
      <c r="A107" s="879"/>
      <c r="B107" s="1452" t="s">
        <v>1479</v>
      </c>
      <c r="C107" s="879"/>
    </row>
    <row r="108" spans="1:3" ht="14.4" customHeight="1" x14ac:dyDescent="0.25">
      <c r="A108" s="879"/>
      <c r="B108" s="1452" t="s">
        <v>1480</v>
      </c>
      <c r="C108" s="879"/>
    </row>
    <row r="109" spans="1:3" x14ac:dyDescent="0.25">
      <c r="A109" s="879"/>
      <c r="B109" s="1452" t="s">
        <v>1673</v>
      </c>
      <c r="C109" s="879"/>
    </row>
    <row r="110" spans="1:3" x14ac:dyDescent="0.25">
      <c r="A110" s="879"/>
      <c r="B110" s="1452" t="s">
        <v>1579</v>
      </c>
      <c r="C110" s="879"/>
    </row>
    <row r="111" spans="1:3" x14ac:dyDescent="0.25">
      <c r="A111" s="879"/>
      <c r="B111" s="1452" t="s">
        <v>1674</v>
      </c>
      <c r="C111" s="879"/>
    </row>
    <row r="112" spans="1:3" x14ac:dyDescent="0.25">
      <c r="A112" s="879"/>
      <c r="B112" s="1452" t="s">
        <v>1675</v>
      </c>
      <c r="C112" s="879"/>
    </row>
    <row r="113" spans="1:3" x14ac:dyDescent="0.25">
      <c r="A113" s="879"/>
      <c r="B113" s="1452" t="s">
        <v>1676</v>
      </c>
      <c r="C113" s="879"/>
    </row>
    <row r="114" spans="1:3" x14ac:dyDescent="0.25">
      <c r="A114" s="879"/>
      <c r="B114" s="1452" t="s">
        <v>1677</v>
      </c>
      <c r="C114" s="879"/>
    </row>
    <row r="115" spans="1:3" x14ac:dyDescent="0.25">
      <c r="A115" s="879"/>
      <c r="B115" s="1452" t="s">
        <v>1678</v>
      </c>
      <c r="C115" s="879"/>
    </row>
    <row r="116" spans="1:3" ht="14.4" customHeight="1" x14ac:dyDescent="0.25">
      <c r="A116" s="879"/>
      <c r="B116" s="1452" t="s">
        <v>1679</v>
      </c>
      <c r="C116" s="879"/>
    </row>
    <row r="117" spans="1:3" x14ac:dyDescent="0.25">
      <c r="A117" s="879"/>
      <c r="B117" s="1452" t="s">
        <v>1680</v>
      </c>
      <c r="C117" s="879"/>
    </row>
    <row r="118" spans="1:3" x14ac:dyDescent="0.25">
      <c r="A118" s="879"/>
      <c r="B118" s="1452" t="s">
        <v>1481</v>
      </c>
      <c r="C118" s="879"/>
    </row>
    <row r="119" spans="1:3" x14ac:dyDescent="0.25">
      <c r="A119" s="879"/>
      <c r="B119" s="1452" t="s">
        <v>1482</v>
      </c>
      <c r="C119" s="879"/>
    </row>
    <row r="120" spans="1:3" ht="15.6" customHeight="1" x14ac:dyDescent="0.25">
      <c r="A120" s="879"/>
      <c r="B120" s="1452" t="s">
        <v>1483</v>
      </c>
      <c r="C120" s="879"/>
    </row>
    <row r="121" spans="1:3" x14ac:dyDescent="0.25">
      <c r="A121" s="879"/>
      <c r="B121" s="1452" t="s">
        <v>1484</v>
      </c>
      <c r="C121" s="879"/>
    </row>
    <row r="122" spans="1:3" x14ac:dyDescent="0.25">
      <c r="A122" s="879"/>
      <c r="B122" s="1452" t="s">
        <v>1430</v>
      </c>
      <c r="C122" s="879"/>
    </row>
    <row r="123" spans="1:3" x14ac:dyDescent="0.25">
      <c r="A123" s="879"/>
      <c r="B123" s="1452" t="s">
        <v>1367</v>
      </c>
      <c r="C123" s="879"/>
    </row>
    <row r="124" spans="1:3" x14ac:dyDescent="0.25">
      <c r="A124" s="879"/>
      <c r="B124" s="1452" t="s">
        <v>1449</v>
      </c>
      <c r="C124" s="879"/>
    </row>
    <row r="125" spans="1:3" x14ac:dyDescent="0.25">
      <c r="A125" s="879"/>
      <c r="B125" s="1452" t="s">
        <v>1367</v>
      </c>
      <c r="C125" s="879"/>
    </row>
    <row r="126" spans="1:3" x14ac:dyDescent="0.25">
      <c r="A126" s="879"/>
      <c r="B126" s="1452" t="s">
        <v>1450</v>
      </c>
      <c r="C126" s="879"/>
    </row>
    <row r="127" spans="1:3" x14ac:dyDescent="0.25">
      <c r="A127" s="879"/>
      <c r="B127" s="1452" t="s">
        <v>1451</v>
      </c>
      <c r="C127" s="879"/>
    </row>
    <row r="128" spans="1:3" x14ac:dyDescent="0.25">
      <c r="A128" s="879"/>
      <c r="B128" s="1452" t="s">
        <v>1452</v>
      </c>
      <c r="C128" s="879"/>
    </row>
    <row r="129" spans="1:3" x14ac:dyDescent="0.25">
      <c r="A129" s="879"/>
      <c r="B129" s="1452" t="s">
        <v>1681</v>
      </c>
      <c r="C129" s="879"/>
    </row>
    <row r="130" spans="1:3" x14ac:dyDescent="0.25">
      <c r="A130" s="879"/>
      <c r="B130" s="1452" t="s">
        <v>1682</v>
      </c>
      <c r="C130" s="879"/>
    </row>
    <row r="131" spans="1:3" x14ac:dyDescent="0.25">
      <c r="A131" s="879"/>
      <c r="B131" s="1452" t="s">
        <v>1683</v>
      </c>
      <c r="C131" s="879"/>
    </row>
    <row r="132" spans="1:3" x14ac:dyDescent="0.25">
      <c r="A132" s="879"/>
      <c r="B132" s="1452" t="s">
        <v>1684</v>
      </c>
      <c r="C132" s="879"/>
    </row>
    <row r="133" spans="1:3" x14ac:dyDescent="0.25">
      <c r="A133" s="879"/>
      <c r="B133" s="1452" t="s">
        <v>1453</v>
      </c>
      <c r="C133" s="879"/>
    </row>
    <row r="134" spans="1:3" x14ac:dyDescent="0.25">
      <c r="A134" s="879"/>
      <c r="B134" s="1452" t="s">
        <v>1485</v>
      </c>
      <c r="C134" s="879"/>
    </row>
    <row r="135" spans="1:3" x14ac:dyDescent="0.25">
      <c r="A135" s="879"/>
      <c r="B135" s="1452" t="s">
        <v>1685</v>
      </c>
      <c r="C135" s="879"/>
    </row>
    <row r="136" spans="1:3" x14ac:dyDescent="0.25">
      <c r="A136" s="879"/>
      <c r="B136" s="1452" t="s">
        <v>1686</v>
      </c>
      <c r="C136" s="879"/>
    </row>
    <row r="137" spans="1:3" x14ac:dyDescent="0.25">
      <c r="A137" s="879"/>
      <c r="B137" s="1452" t="s">
        <v>1454</v>
      </c>
      <c r="C137" s="879"/>
    </row>
    <row r="138" spans="1:3" x14ac:dyDescent="0.25">
      <c r="A138" s="879"/>
      <c r="B138" s="1452" t="s">
        <v>1486</v>
      </c>
      <c r="C138" s="879"/>
    </row>
    <row r="139" spans="1:3" x14ac:dyDescent="0.25">
      <c r="A139" s="879"/>
      <c r="B139" s="1452" t="s">
        <v>1455</v>
      </c>
      <c r="C139" s="879"/>
    </row>
    <row r="140" spans="1:3" x14ac:dyDescent="0.25">
      <c r="A140" s="879"/>
      <c r="B140" s="1452" t="s">
        <v>1687</v>
      </c>
      <c r="C140" s="879"/>
    </row>
    <row r="141" spans="1:3" x14ac:dyDescent="0.25">
      <c r="A141" s="879"/>
      <c r="B141" s="1452" t="s">
        <v>1688</v>
      </c>
      <c r="C141" s="879"/>
    </row>
    <row r="142" spans="1:3" x14ac:dyDescent="0.25">
      <c r="A142" s="879"/>
      <c r="B142" s="1452" t="s">
        <v>1689</v>
      </c>
      <c r="C142" s="879"/>
    </row>
    <row r="143" spans="1:3" x14ac:dyDescent="0.25">
      <c r="A143" s="879"/>
      <c r="B143" s="1452" t="s">
        <v>1456</v>
      </c>
      <c r="C143" s="879"/>
    </row>
    <row r="144" spans="1:3" x14ac:dyDescent="0.25">
      <c r="A144" s="879"/>
      <c r="B144" s="1452" t="s">
        <v>1367</v>
      </c>
      <c r="C144" s="879"/>
    </row>
    <row r="145" spans="1:3" x14ac:dyDescent="0.25">
      <c r="A145" s="879"/>
      <c r="B145" s="1452" t="s">
        <v>1450</v>
      </c>
      <c r="C145" s="879"/>
    </row>
    <row r="146" spans="1:3" x14ac:dyDescent="0.25">
      <c r="A146" s="879"/>
      <c r="B146" s="1452" t="s">
        <v>1451</v>
      </c>
      <c r="C146" s="879"/>
    </row>
    <row r="147" spans="1:3" x14ac:dyDescent="0.25">
      <c r="A147" s="879"/>
      <c r="B147" s="1452" t="s">
        <v>1452</v>
      </c>
      <c r="C147" s="879"/>
    </row>
    <row r="148" spans="1:3" x14ac:dyDescent="0.25">
      <c r="A148" s="879"/>
      <c r="B148" s="1452" t="s">
        <v>1681</v>
      </c>
      <c r="C148" s="879"/>
    </row>
    <row r="149" spans="1:3" x14ac:dyDescent="0.25">
      <c r="A149" s="879"/>
      <c r="B149" s="1452" t="s">
        <v>1682</v>
      </c>
      <c r="C149" s="879"/>
    </row>
    <row r="150" spans="1:3" x14ac:dyDescent="0.25">
      <c r="A150" s="879"/>
      <c r="B150" s="1452" t="s">
        <v>1683</v>
      </c>
      <c r="C150" s="879"/>
    </row>
    <row r="151" spans="1:3" x14ac:dyDescent="0.25">
      <c r="A151" s="879"/>
      <c r="B151" s="1452" t="s">
        <v>1684</v>
      </c>
      <c r="C151" s="879"/>
    </row>
    <row r="152" spans="1:3" x14ac:dyDescent="0.25">
      <c r="A152" s="879"/>
      <c r="B152" s="1452" t="s">
        <v>1453</v>
      </c>
      <c r="C152" s="879"/>
    </row>
    <row r="153" spans="1:3" x14ac:dyDescent="0.25">
      <c r="A153" s="879"/>
      <c r="B153" s="1452" t="s">
        <v>1485</v>
      </c>
      <c r="C153" s="879"/>
    </row>
    <row r="154" spans="1:3" x14ac:dyDescent="0.25">
      <c r="A154" s="879"/>
      <c r="B154" s="1452" t="s">
        <v>1685</v>
      </c>
      <c r="C154" s="879"/>
    </row>
    <row r="155" spans="1:3" x14ac:dyDescent="0.25">
      <c r="A155" s="879"/>
      <c r="B155" s="1452" t="s">
        <v>1686</v>
      </c>
      <c r="C155" s="879"/>
    </row>
    <row r="156" spans="1:3" x14ac:dyDescent="0.25">
      <c r="A156" s="879"/>
      <c r="B156" s="1452" t="s">
        <v>1454</v>
      </c>
      <c r="C156" s="879"/>
    </row>
    <row r="157" spans="1:3" x14ac:dyDescent="0.25">
      <c r="A157" s="879"/>
      <c r="B157" s="1452" t="s">
        <v>1486</v>
      </c>
      <c r="C157" s="879"/>
    </row>
    <row r="158" spans="1:3" x14ac:dyDescent="0.25">
      <c r="A158" s="879"/>
      <c r="B158" s="1452" t="s">
        <v>1455</v>
      </c>
      <c r="C158" s="879"/>
    </row>
    <row r="159" spans="1:3" x14ac:dyDescent="0.25">
      <c r="A159" s="879"/>
      <c r="B159" s="1452" t="s">
        <v>1687</v>
      </c>
      <c r="C159" s="879"/>
    </row>
    <row r="160" spans="1:3" x14ac:dyDescent="0.25">
      <c r="A160" s="879"/>
      <c r="B160" s="1452" t="s">
        <v>1688</v>
      </c>
      <c r="C160" s="879"/>
    </row>
    <row r="161" spans="1:3" x14ac:dyDescent="0.25">
      <c r="A161" s="879"/>
      <c r="B161" s="1452" t="s">
        <v>1689</v>
      </c>
      <c r="C161" s="879"/>
    </row>
    <row r="162" spans="1:3" x14ac:dyDescent="0.25">
      <c r="A162" s="879"/>
      <c r="B162" s="1452" t="s">
        <v>1690</v>
      </c>
      <c r="C162" s="879"/>
    </row>
    <row r="163" spans="1:3" x14ac:dyDescent="0.25">
      <c r="A163" s="879"/>
      <c r="B163" s="1452" t="s">
        <v>1367</v>
      </c>
      <c r="C163" s="879"/>
    </row>
    <row r="164" spans="1:3" x14ac:dyDescent="0.25">
      <c r="A164" s="879"/>
      <c r="B164" s="1452" t="s">
        <v>1691</v>
      </c>
      <c r="C164" s="879"/>
    </row>
    <row r="165" spans="1:3" x14ac:dyDescent="0.25">
      <c r="A165" s="879"/>
      <c r="B165" s="1452" t="s">
        <v>1692</v>
      </c>
      <c r="C165" s="879"/>
    </row>
    <row r="166" spans="1:3" x14ac:dyDescent="0.25">
      <c r="A166" s="879"/>
      <c r="B166" s="1452" t="s">
        <v>1693</v>
      </c>
      <c r="C166" s="879"/>
    </row>
    <row r="167" spans="1:3" x14ac:dyDescent="0.25">
      <c r="A167" s="879"/>
      <c r="B167" s="1452" t="s">
        <v>1694</v>
      </c>
      <c r="C167" s="879"/>
    </row>
    <row r="168" spans="1:3" x14ac:dyDescent="0.25">
      <c r="A168" s="879"/>
      <c r="B168" s="1452" t="s">
        <v>1695</v>
      </c>
      <c r="C168" s="879"/>
    </row>
    <row r="169" spans="1:3" x14ac:dyDescent="0.25">
      <c r="A169" s="879"/>
      <c r="B169" s="1452" t="s">
        <v>1696</v>
      </c>
      <c r="C169" s="879"/>
    </row>
    <row r="170" spans="1:3" x14ac:dyDescent="0.25">
      <c r="A170" s="879"/>
      <c r="B170" s="1452" t="s">
        <v>1697</v>
      </c>
      <c r="C170" s="879"/>
    </row>
    <row r="171" spans="1:3" x14ac:dyDescent="0.25">
      <c r="A171" s="879"/>
      <c r="B171" s="1452" t="s">
        <v>1698</v>
      </c>
      <c r="C171" s="879"/>
    </row>
    <row r="172" spans="1:3" x14ac:dyDescent="0.25">
      <c r="A172" s="879"/>
      <c r="B172" s="1452" t="s">
        <v>1699</v>
      </c>
      <c r="C172" s="879"/>
    </row>
    <row r="173" spans="1:3" x14ac:dyDescent="0.25">
      <c r="A173" s="879"/>
      <c r="B173" s="1452" t="s">
        <v>1700</v>
      </c>
      <c r="C173" s="879"/>
    </row>
    <row r="174" spans="1:3" x14ac:dyDescent="0.25">
      <c r="A174" s="879"/>
      <c r="B174" s="1452" t="s">
        <v>1701</v>
      </c>
      <c r="C174" s="879"/>
    </row>
    <row r="175" spans="1:3" x14ac:dyDescent="0.25">
      <c r="A175" s="879"/>
      <c r="B175" s="1452" t="s">
        <v>1702</v>
      </c>
      <c r="C175" s="879"/>
    </row>
    <row r="176" spans="1:3" x14ac:dyDescent="0.25">
      <c r="A176" s="879"/>
      <c r="B176" s="1452" t="s">
        <v>1703</v>
      </c>
      <c r="C176" s="879"/>
    </row>
    <row r="177" spans="1:3" x14ac:dyDescent="0.25">
      <c r="A177" s="879"/>
      <c r="B177" s="1452" t="s">
        <v>1704</v>
      </c>
      <c r="C177" s="879"/>
    </row>
    <row r="178" spans="1:3" x14ac:dyDescent="0.25">
      <c r="A178" s="879"/>
      <c r="B178" s="1452" t="s">
        <v>1705</v>
      </c>
      <c r="C178" s="879"/>
    </row>
    <row r="179" spans="1:3" x14ac:dyDescent="0.25">
      <c r="A179" s="879"/>
      <c r="B179" s="1452"/>
      <c r="C179" s="879"/>
    </row>
    <row r="180" spans="1:3" x14ac:dyDescent="0.25">
      <c r="A180" s="879"/>
      <c r="B180" s="1452"/>
      <c r="C180" s="879"/>
    </row>
    <row r="181" spans="1:3" x14ac:dyDescent="0.25">
      <c r="A181" s="879"/>
      <c r="B181" s="1452" t="s">
        <v>1368</v>
      </c>
      <c r="C181" s="879"/>
    </row>
    <row r="182" spans="1:3" x14ac:dyDescent="0.25">
      <c r="A182" s="879"/>
      <c r="B182" s="1452" t="s">
        <v>1706</v>
      </c>
      <c r="C182" s="879"/>
    </row>
    <row r="183" spans="1:3" x14ac:dyDescent="0.25">
      <c r="A183" s="879"/>
      <c r="B183" s="1452" t="s">
        <v>1368</v>
      </c>
      <c r="C183" s="879"/>
    </row>
    <row r="184" spans="1:3" x14ac:dyDescent="0.25">
      <c r="A184" s="879"/>
      <c r="B184" s="1452" t="s">
        <v>1707</v>
      </c>
      <c r="C184" s="879"/>
    </row>
    <row r="185" spans="1:3" x14ac:dyDescent="0.25">
      <c r="A185" s="879"/>
      <c r="B185" s="1452" t="s">
        <v>1367</v>
      </c>
      <c r="C185" s="879"/>
    </row>
    <row r="186" spans="1:3" x14ac:dyDescent="0.25">
      <c r="A186" s="879"/>
      <c r="B186" s="1452" t="s">
        <v>1369</v>
      </c>
      <c r="C186" s="879"/>
    </row>
    <row r="187" spans="1:3" x14ac:dyDescent="0.25">
      <c r="A187" s="879"/>
      <c r="B187" s="1452" t="s">
        <v>1370</v>
      </c>
      <c r="C187" s="879"/>
    </row>
    <row r="188" spans="1:3" x14ac:dyDescent="0.25">
      <c r="A188" s="879"/>
      <c r="B188" s="1452" t="s">
        <v>1367</v>
      </c>
      <c r="C188" s="879"/>
    </row>
    <row r="189" spans="1:3" x14ac:dyDescent="0.25">
      <c r="A189" s="879"/>
      <c r="B189" s="1452" t="s">
        <v>1460</v>
      </c>
      <c r="C189" s="879"/>
    </row>
    <row r="190" spans="1:3" x14ac:dyDescent="0.25">
      <c r="A190" s="879"/>
      <c r="B190" s="1452" t="s">
        <v>1461</v>
      </c>
      <c r="C190" s="879"/>
    </row>
    <row r="191" spans="1:3" x14ac:dyDescent="0.25">
      <c r="A191" s="879"/>
      <c r="B191" s="1452" t="s">
        <v>1708</v>
      </c>
      <c r="C191" s="879"/>
    </row>
    <row r="192" spans="1:3" x14ac:dyDescent="0.25">
      <c r="A192" s="879"/>
      <c r="B192" s="1452" t="s">
        <v>1709</v>
      </c>
      <c r="C192" s="879"/>
    </row>
    <row r="193" spans="1:3" x14ac:dyDescent="0.25">
      <c r="A193" s="879"/>
      <c r="B193" s="1452" t="s">
        <v>1710</v>
      </c>
      <c r="C193" s="879"/>
    </row>
    <row r="194" spans="1:3" x14ac:dyDescent="0.25">
      <c r="A194" s="879"/>
      <c r="B194" s="1452" t="s">
        <v>1711</v>
      </c>
      <c r="C194" s="879"/>
    </row>
    <row r="195" spans="1:3" x14ac:dyDescent="0.25">
      <c r="A195" s="879"/>
      <c r="B195" s="1452" t="s">
        <v>1712</v>
      </c>
      <c r="C195" s="879"/>
    </row>
    <row r="196" spans="1:3" x14ac:dyDescent="0.25">
      <c r="A196" s="879"/>
      <c r="B196" s="1452" t="s">
        <v>1713</v>
      </c>
      <c r="C196" s="879"/>
    </row>
    <row r="197" spans="1:3" x14ac:dyDescent="0.25">
      <c r="A197" s="879"/>
      <c r="B197" s="1452" t="s">
        <v>1714</v>
      </c>
      <c r="C197" s="879"/>
    </row>
    <row r="198" spans="1:3" x14ac:dyDescent="0.25">
      <c r="A198" s="879"/>
      <c r="B198" s="1452" t="s">
        <v>1715</v>
      </c>
      <c r="C198" s="879"/>
    </row>
    <row r="199" spans="1:3" x14ac:dyDescent="0.25">
      <c r="A199" s="879"/>
      <c r="B199" s="1452" t="s">
        <v>1716</v>
      </c>
      <c r="C199" s="879"/>
    </row>
    <row r="200" spans="1:3" x14ac:dyDescent="0.25">
      <c r="A200" s="879"/>
      <c r="B200" s="1452" t="s">
        <v>1382</v>
      </c>
      <c r="C200" s="879"/>
    </row>
    <row r="201" spans="1:3" x14ac:dyDescent="0.25">
      <c r="A201" s="879"/>
      <c r="B201" s="1452" t="s">
        <v>1367</v>
      </c>
      <c r="C201" s="879"/>
    </row>
    <row r="202" spans="1:3" x14ac:dyDescent="0.25">
      <c r="A202" s="879"/>
      <c r="B202" s="1452" t="s">
        <v>1460</v>
      </c>
      <c r="C202" s="879"/>
    </row>
    <row r="203" spans="1:3" x14ac:dyDescent="0.25">
      <c r="A203" s="879"/>
      <c r="B203" s="1452" t="s">
        <v>1537</v>
      </c>
      <c r="C203" s="879"/>
    </row>
    <row r="204" spans="1:3" x14ac:dyDescent="0.25">
      <c r="A204" s="879"/>
      <c r="B204" s="1452" t="s">
        <v>1717</v>
      </c>
      <c r="C204" s="879"/>
    </row>
    <row r="205" spans="1:3" x14ac:dyDescent="0.25">
      <c r="A205" s="879"/>
      <c r="B205" s="1452" t="s">
        <v>1718</v>
      </c>
      <c r="C205" s="879"/>
    </row>
    <row r="206" spans="1:3" x14ac:dyDescent="0.25">
      <c r="A206" s="879"/>
      <c r="B206" s="1452" t="s">
        <v>1719</v>
      </c>
      <c r="C206" s="879"/>
    </row>
    <row r="207" spans="1:3" x14ac:dyDescent="0.25">
      <c r="A207" s="879"/>
      <c r="B207" s="1452" t="s">
        <v>1720</v>
      </c>
      <c r="C207" s="879"/>
    </row>
    <row r="208" spans="1:3" x14ac:dyDescent="0.25">
      <c r="A208" s="879"/>
      <c r="B208" s="1452" t="s">
        <v>1721</v>
      </c>
      <c r="C208" s="879"/>
    </row>
    <row r="209" spans="1:3" x14ac:dyDescent="0.25">
      <c r="A209" s="879"/>
      <c r="B209" s="1452" t="s">
        <v>1722</v>
      </c>
      <c r="C209" s="879"/>
    </row>
    <row r="210" spans="1:3" x14ac:dyDescent="0.25">
      <c r="A210" s="879"/>
      <c r="B210" s="1452" t="s">
        <v>1723</v>
      </c>
      <c r="C210" s="879"/>
    </row>
    <row r="211" spans="1:3" x14ac:dyDescent="0.25">
      <c r="A211" s="879"/>
      <c r="B211" s="1452" t="s">
        <v>1464</v>
      </c>
      <c r="C211" s="879"/>
    </row>
    <row r="212" spans="1:3" x14ac:dyDescent="0.25">
      <c r="A212" s="879"/>
      <c r="B212" s="1452" t="s">
        <v>1465</v>
      </c>
      <c r="C212" s="879"/>
    </row>
    <row r="213" spans="1:3" x14ac:dyDescent="0.25">
      <c r="A213" s="879"/>
      <c r="B213" s="1452" t="s">
        <v>1466</v>
      </c>
      <c r="C213" s="879"/>
    </row>
    <row r="214" spans="1:3" x14ac:dyDescent="0.25">
      <c r="A214" s="879"/>
      <c r="B214" s="1452" t="s">
        <v>1467</v>
      </c>
      <c r="C214" s="879"/>
    </row>
    <row r="215" spans="1:3" x14ac:dyDescent="0.25">
      <c r="A215" s="879"/>
      <c r="B215" s="1452" t="s">
        <v>1468</v>
      </c>
      <c r="C215" s="879"/>
    </row>
    <row r="216" spans="1:3" x14ac:dyDescent="0.25">
      <c r="A216" s="879"/>
      <c r="B216" s="1452" t="s">
        <v>1469</v>
      </c>
      <c r="C216" s="879"/>
    </row>
    <row r="217" spans="1:3" x14ac:dyDescent="0.25">
      <c r="A217" s="879"/>
      <c r="B217" s="1452" t="s">
        <v>1724</v>
      </c>
      <c r="C217" s="879"/>
    </row>
    <row r="218" spans="1:3" x14ac:dyDescent="0.25">
      <c r="A218" s="879"/>
      <c r="B218" s="1452" t="s">
        <v>1545</v>
      </c>
      <c r="C218" s="879"/>
    </row>
    <row r="219" spans="1:3" x14ac:dyDescent="0.25">
      <c r="A219" s="879"/>
      <c r="B219" s="1452" t="s">
        <v>1725</v>
      </c>
      <c r="C219" s="879"/>
    </row>
    <row r="220" spans="1:3" x14ac:dyDescent="0.25">
      <c r="A220" s="879"/>
      <c r="B220" s="1452" t="s">
        <v>1726</v>
      </c>
      <c r="C220" s="879"/>
    </row>
    <row r="221" spans="1:3" x14ac:dyDescent="0.25">
      <c r="A221" s="879"/>
      <c r="B221" s="1452" t="s">
        <v>1547</v>
      </c>
      <c r="C221" s="879"/>
    </row>
    <row r="222" spans="1:3" x14ac:dyDescent="0.25">
      <c r="A222" s="879"/>
      <c r="B222" s="1452" t="s">
        <v>1471</v>
      </c>
      <c r="C222" s="879"/>
    </row>
    <row r="223" spans="1:3" x14ac:dyDescent="0.25">
      <c r="A223" s="879"/>
      <c r="B223" s="1452" t="s">
        <v>1727</v>
      </c>
      <c r="C223" s="879"/>
    </row>
    <row r="224" spans="1:3" x14ac:dyDescent="0.25">
      <c r="A224" s="879"/>
      <c r="B224" s="1452" t="s">
        <v>1548</v>
      </c>
      <c r="C224" s="879"/>
    </row>
    <row r="225" spans="1:3" x14ac:dyDescent="0.25">
      <c r="A225" s="879"/>
      <c r="B225" s="1452" t="s">
        <v>1473</v>
      </c>
      <c r="C225" s="879"/>
    </row>
    <row r="226" spans="1:3" x14ac:dyDescent="0.25">
      <c r="A226" s="879"/>
      <c r="B226" s="1452" t="s">
        <v>1728</v>
      </c>
      <c r="C226" s="879"/>
    </row>
    <row r="227" spans="1:3" x14ac:dyDescent="0.25">
      <c r="A227" s="879"/>
      <c r="B227" s="1452" t="s">
        <v>1729</v>
      </c>
      <c r="C227" s="879"/>
    </row>
    <row r="228" spans="1:3" x14ac:dyDescent="0.25">
      <c r="A228" s="879"/>
      <c r="B228" s="1452" t="s">
        <v>1730</v>
      </c>
      <c r="C228" s="879"/>
    </row>
    <row r="229" spans="1:3" x14ac:dyDescent="0.25">
      <c r="A229" s="879"/>
      <c r="B229" s="1452" t="s">
        <v>1731</v>
      </c>
      <c r="C229" s="879"/>
    </row>
    <row r="230" spans="1:3" x14ac:dyDescent="0.25">
      <c r="A230" s="879"/>
      <c r="B230" s="1452" t="s">
        <v>1553</v>
      </c>
      <c r="C230" s="879"/>
    </row>
    <row r="231" spans="1:3" x14ac:dyDescent="0.25">
      <c r="A231" s="879"/>
      <c r="B231" s="1452" t="s">
        <v>1732</v>
      </c>
      <c r="C231" s="879"/>
    </row>
    <row r="232" spans="1:3" x14ac:dyDescent="0.25">
      <c r="A232" s="879"/>
      <c r="B232" s="1452" t="s">
        <v>1478</v>
      </c>
      <c r="C232" s="879"/>
    </row>
    <row r="233" spans="1:3" x14ac:dyDescent="0.25">
      <c r="A233" s="879"/>
      <c r="B233" s="1452" t="s">
        <v>1733</v>
      </c>
      <c r="C233" s="879"/>
    </row>
    <row r="234" spans="1:3" x14ac:dyDescent="0.25">
      <c r="A234" s="879"/>
      <c r="B234" s="1452" t="s">
        <v>1734</v>
      </c>
      <c r="C234" s="879"/>
    </row>
    <row r="235" spans="1:3" x14ac:dyDescent="0.25">
      <c r="A235" s="879"/>
      <c r="B235" s="1452" t="s">
        <v>1479</v>
      </c>
      <c r="C235" s="879"/>
    </row>
    <row r="236" spans="1:3" x14ac:dyDescent="0.25">
      <c r="A236" s="879"/>
      <c r="B236" s="1452" t="s">
        <v>1480</v>
      </c>
      <c r="C236" s="879"/>
    </row>
    <row r="237" spans="1:3" x14ac:dyDescent="0.25">
      <c r="A237" s="879"/>
      <c r="B237" s="1452" t="s">
        <v>1735</v>
      </c>
      <c r="C237" s="879"/>
    </row>
    <row r="238" spans="1:3" x14ac:dyDescent="0.25">
      <c r="A238" s="879"/>
      <c r="B238" s="1452" t="s">
        <v>1736</v>
      </c>
      <c r="C238" s="879"/>
    </row>
    <row r="239" spans="1:3" x14ac:dyDescent="0.25">
      <c r="A239" s="879"/>
      <c r="B239" s="1452" t="s">
        <v>1737</v>
      </c>
      <c r="C239" s="879"/>
    </row>
    <row r="240" spans="1:3" x14ac:dyDescent="0.25">
      <c r="A240" s="879"/>
      <c r="B240" s="1452" t="s">
        <v>1738</v>
      </c>
      <c r="C240" s="879"/>
    </row>
    <row r="241" spans="1:3" x14ac:dyDescent="0.25">
      <c r="A241" s="879"/>
      <c r="B241" s="1452" t="s">
        <v>1739</v>
      </c>
      <c r="C241" s="879"/>
    </row>
    <row r="242" spans="1:3" x14ac:dyDescent="0.25">
      <c r="A242" s="879"/>
      <c r="B242" s="1452" t="s">
        <v>1740</v>
      </c>
      <c r="C242" s="879"/>
    </row>
    <row r="243" spans="1:3" x14ac:dyDescent="0.25">
      <c r="A243" s="879"/>
      <c r="B243" s="1452" t="s">
        <v>1741</v>
      </c>
      <c r="C243" s="879"/>
    </row>
    <row r="244" spans="1:3" x14ac:dyDescent="0.25">
      <c r="A244" s="879"/>
      <c r="B244" s="1452" t="s">
        <v>1742</v>
      </c>
      <c r="C244" s="879"/>
    </row>
    <row r="245" spans="1:3" x14ac:dyDescent="0.25">
      <c r="A245" s="879"/>
      <c r="B245" s="1452" t="s">
        <v>1743</v>
      </c>
      <c r="C245" s="879"/>
    </row>
    <row r="246" spans="1:3" x14ac:dyDescent="0.25">
      <c r="A246" s="879"/>
      <c r="B246" s="1452" t="s">
        <v>1481</v>
      </c>
      <c r="C246" s="879"/>
    </row>
    <row r="247" spans="1:3" x14ac:dyDescent="0.25">
      <c r="A247" s="879"/>
      <c r="B247" s="1452" t="s">
        <v>1562</v>
      </c>
      <c r="C247" s="879"/>
    </row>
    <row r="248" spans="1:3" x14ac:dyDescent="0.25">
      <c r="A248" s="879"/>
      <c r="B248" s="1452" t="s">
        <v>1744</v>
      </c>
      <c r="C248" s="879"/>
    </row>
    <row r="249" spans="1:3" x14ac:dyDescent="0.25">
      <c r="A249" s="879"/>
      <c r="B249" s="1452" t="s">
        <v>1484</v>
      </c>
      <c r="C249" s="879"/>
    </row>
    <row r="250" spans="1:3" x14ac:dyDescent="0.25">
      <c r="A250" s="879"/>
      <c r="B250" s="1452" t="s">
        <v>1430</v>
      </c>
      <c r="C250" s="879"/>
    </row>
    <row r="251" spans="1:3" x14ac:dyDescent="0.25">
      <c r="A251" s="879"/>
      <c r="B251" s="1452" t="s">
        <v>1367</v>
      </c>
      <c r="C251" s="879"/>
    </row>
    <row r="252" spans="1:3" x14ac:dyDescent="0.25">
      <c r="A252" s="879"/>
      <c r="B252" s="1452" t="s">
        <v>1449</v>
      </c>
      <c r="C252" s="879"/>
    </row>
    <row r="253" spans="1:3" x14ac:dyDescent="0.25">
      <c r="A253" s="879"/>
      <c r="B253" s="1452" t="s">
        <v>1367</v>
      </c>
      <c r="C253" s="879"/>
    </row>
    <row r="254" spans="1:3" x14ac:dyDescent="0.25">
      <c r="A254" s="879"/>
      <c r="B254" s="1452" t="s">
        <v>1450</v>
      </c>
      <c r="C254" s="879"/>
    </row>
    <row r="255" spans="1:3" x14ac:dyDescent="0.25">
      <c r="A255" s="879"/>
      <c r="B255" s="1452" t="s">
        <v>1451</v>
      </c>
      <c r="C255" s="879"/>
    </row>
    <row r="256" spans="1:3" x14ac:dyDescent="0.25">
      <c r="A256" s="879"/>
      <c r="B256" s="1452" t="s">
        <v>1452</v>
      </c>
      <c r="C256" s="879"/>
    </row>
    <row r="257" spans="1:3" x14ac:dyDescent="0.25">
      <c r="A257" s="879"/>
      <c r="B257" s="1452" t="s">
        <v>1681</v>
      </c>
      <c r="C257" s="879"/>
    </row>
    <row r="258" spans="1:3" x14ac:dyDescent="0.25">
      <c r="A258" s="879"/>
      <c r="B258" s="1452" t="s">
        <v>1682</v>
      </c>
      <c r="C258" s="879"/>
    </row>
    <row r="259" spans="1:3" x14ac:dyDescent="0.25">
      <c r="A259" s="879"/>
      <c r="B259" s="1452" t="s">
        <v>1517</v>
      </c>
      <c r="C259" s="879"/>
    </row>
    <row r="260" spans="1:3" x14ac:dyDescent="0.25">
      <c r="A260" s="879"/>
      <c r="B260" s="1452" t="s">
        <v>1684</v>
      </c>
      <c r="C260" s="879"/>
    </row>
    <row r="261" spans="1:3" x14ac:dyDescent="0.25">
      <c r="A261" s="879"/>
      <c r="B261" s="1452" t="s">
        <v>1453</v>
      </c>
      <c r="C261" s="879"/>
    </row>
    <row r="262" spans="1:3" x14ac:dyDescent="0.25">
      <c r="A262" s="879"/>
      <c r="B262" s="1452" t="s">
        <v>1745</v>
      </c>
      <c r="C262" s="879"/>
    </row>
    <row r="263" spans="1:3" x14ac:dyDescent="0.25">
      <c r="A263" s="879"/>
      <c r="B263" s="1452" t="s">
        <v>1685</v>
      </c>
      <c r="C263" s="879"/>
    </row>
    <row r="264" spans="1:3" x14ac:dyDescent="0.25">
      <c r="A264" s="879"/>
      <c r="B264" s="1452" t="s">
        <v>1686</v>
      </c>
      <c r="C264" s="879"/>
    </row>
    <row r="265" spans="1:3" x14ac:dyDescent="0.25">
      <c r="A265" s="879"/>
      <c r="B265" s="1452" t="s">
        <v>1454</v>
      </c>
      <c r="C265" s="879"/>
    </row>
    <row r="266" spans="1:3" x14ac:dyDescent="0.25">
      <c r="A266" s="879"/>
      <c r="B266" s="1452" t="s">
        <v>1486</v>
      </c>
      <c r="C266" s="879"/>
    </row>
    <row r="267" spans="1:3" x14ac:dyDescent="0.25">
      <c r="A267" s="879"/>
      <c r="B267" s="1452" t="s">
        <v>1455</v>
      </c>
      <c r="C267" s="879"/>
    </row>
    <row r="268" spans="1:3" x14ac:dyDescent="0.25">
      <c r="A268" s="879"/>
      <c r="B268" s="1452" t="s">
        <v>1518</v>
      </c>
      <c r="C268" s="879"/>
    </row>
    <row r="269" spans="1:3" x14ac:dyDescent="0.25">
      <c r="A269" s="879"/>
      <c r="B269" s="1452" t="s">
        <v>1688</v>
      </c>
      <c r="C269" s="879"/>
    </row>
    <row r="270" spans="1:3" x14ac:dyDescent="0.25">
      <c r="A270" s="879"/>
      <c r="B270" s="1452" t="s">
        <v>1746</v>
      </c>
      <c r="C270" s="879"/>
    </row>
    <row r="271" spans="1:3" x14ac:dyDescent="0.25">
      <c r="A271" s="879"/>
      <c r="B271" s="1452" t="s">
        <v>1456</v>
      </c>
      <c r="C271" s="879"/>
    </row>
    <row r="272" spans="1:3" x14ac:dyDescent="0.25">
      <c r="A272" s="879"/>
      <c r="B272" s="1452" t="s">
        <v>1367</v>
      </c>
      <c r="C272" s="879"/>
    </row>
    <row r="273" spans="1:3" x14ac:dyDescent="0.25">
      <c r="A273" s="879"/>
      <c r="B273" s="1452" t="s">
        <v>1450</v>
      </c>
      <c r="C273" s="879"/>
    </row>
    <row r="274" spans="1:3" x14ac:dyDescent="0.25">
      <c r="A274" s="879"/>
      <c r="B274" s="1452" t="s">
        <v>1451</v>
      </c>
      <c r="C274" s="879"/>
    </row>
    <row r="275" spans="1:3" x14ac:dyDescent="0.25">
      <c r="A275" s="879"/>
      <c r="B275" s="1452" t="s">
        <v>1452</v>
      </c>
      <c r="C275" s="879"/>
    </row>
    <row r="276" spans="1:3" x14ac:dyDescent="0.25">
      <c r="A276" s="879"/>
      <c r="B276" s="1452" t="s">
        <v>1681</v>
      </c>
      <c r="C276" s="879"/>
    </row>
    <row r="277" spans="1:3" x14ac:dyDescent="0.25">
      <c r="A277" s="879"/>
      <c r="B277" s="1452" t="s">
        <v>1682</v>
      </c>
      <c r="C277" s="879"/>
    </row>
    <row r="278" spans="1:3" x14ac:dyDescent="0.25">
      <c r="A278" s="879"/>
      <c r="B278" s="1452" t="s">
        <v>1517</v>
      </c>
      <c r="C278" s="879"/>
    </row>
    <row r="279" spans="1:3" x14ac:dyDescent="0.25">
      <c r="A279" s="879"/>
      <c r="B279" s="1452" t="s">
        <v>1684</v>
      </c>
      <c r="C279" s="879"/>
    </row>
    <row r="280" spans="1:3" x14ac:dyDescent="0.25">
      <c r="A280" s="879"/>
      <c r="B280" s="1452" t="s">
        <v>1453</v>
      </c>
      <c r="C280" s="879"/>
    </row>
    <row r="281" spans="1:3" x14ac:dyDescent="0.25">
      <c r="A281" s="879"/>
      <c r="B281" s="1452" t="s">
        <v>1745</v>
      </c>
      <c r="C281" s="879"/>
    </row>
    <row r="282" spans="1:3" x14ac:dyDescent="0.25">
      <c r="A282" s="879"/>
      <c r="B282" s="1452" t="s">
        <v>1685</v>
      </c>
      <c r="C282" s="879"/>
    </row>
    <row r="283" spans="1:3" x14ac:dyDescent="0.25">
      <c r="A283" s="879"/>
      <c r="B283" s="1452" t="s">
        <v>1686</v>
      </c>
      <c r="C283" s="879"/>
    </row>
    <row r="284" spans="1:3" x14ac:dyDescent="0.25">
      <c r="A284" s="879"/>
      <c r="B284" s="1452" t="s">
        <v>1454</v>
      </c>
      <c r="C284" s="879"/>
    </row>
    <row r="285" spans="1:3" x14ac:dyDescent="0.25">
      <c r="A285" s="879"/>
      <c r="B285" s="1452" t="s">
        <v>1486</v>
      </c>
      <c r="C285" s="879"/>
    </row>
    <row r="286" spans="1:3" x14ac:dyDescent="0.25">
      <c r="A286" s="879"/>
      <c r="B286" s="1452" t="s">
        <v>1455</v>
      </c>
      <c r="C286" s="879"/>
    </row>
    <row r="287" spans="1:3" x14ac:dyDescent="0.25">
      <c r="A287" s="879"/>
      <c r="B287" s="1452" t="s">
        <v>1518</v>
      </c>
      <c r="C287" s="879"/>
    </row>
    <row r="288" spans="1:3" x14ac:dyDescent="0.25">
      <c r="A288" s="879"/>
      <c r="B288" s="1452" t="s">
        <v>1688</v>
      </c>
      <c r="C288" s="879"/>
    </row>
    <row r="289" spans="1:3" x14ac:dyDescent="0.25">
      <c r="A289" s="879"/>
      <c r="B289" s="1452" t="s">
        <v>1746</v>
      </c>
      <c r="C289" s="879"/>
    </row>
    <row r="290" spans="1:3" x14ac:dyDescent="0.25">
      <c r="A290" s="879"/>
      <c r="B290" s="1452" t="s">
        <v>1690</v>
      </c>
      <c r="C290" s="879"/>
    </row>
    <row r="291" spans="1:3" x14ac:dyDescent="0.25">
      <c r="A291" s="879"/>
      <c r="B291" s="1452" t="s">
        <v>1367</v>
      </c>
      <c r="C291" s="879"/>
    </row>
    <row r="292" spans="1:3" x14ac:dyDescent="0.25">
      <c r="A292" s="879"/>
      <c r="B292" s="1452" t="s">
        <v>1691</v>
      </c>
      <c r="C292" s="879"/>
    </row>
    <row r="293" spans="1:3" x14ac:dyDescent="0.25">
      <c r="A293" s="879"/>
      <c r="B293" s="1452" t="s">
        <v>1692</v>
      </c>
      <c r="C293" s="879"/>
    </row>
    <row r="294" spans="1:3" x14ac:dyDescent="0.25">
      <c r="A294" s="879"/>
      <c r="B294" s="1452" t="s">
        <v>1693</v>
      </c>
      <c r="C294" s="879"/>
    </row>
    <row r="295" spans="1:3" x14ac:dyDescent="0.25">
      <c r="A295" s="879"/>
      <c r="B295" s="1452" t="s">
        <v>1694</v>
      </c>
      <c r="C295" s="879"/>
    </row>
    <row r="296" spans="1:3" x14ac:dyDescent="0.25">
      <c r="A296" s="879"/>
      <c r="B296" s="1452" t="s">
        <v>1695</v>
      </c>
      <c r="C296" s="879"/>
    </row>
    <row r="297" spans="1:3" x14ac:dyDescent="0.25">
      <c r="A297" s="879"/>
      <c r="B297" s="1452" t="s">
        <v>1696</v>
      </c>
      <c r="C297" s="879"/>
    </row>
    <row r="298" spans="1:3" x14ac:dyDescent="0.25">
      <c r="A298" s="879"/>
      <c r="B298" s="1452" t="s">
        <v>1697</v>
      </c>
      <c r="C298" s="879"/>
    </row>
    <row r="299" spans="1:3" x14ac:dyDescent="0.25">
      <c r="A299" s="879"/>
      <c r="B299" s="1452" t="s">
        <v>1698</v>
      </c>
      <c r="C299" s="879"/>
    </row>
    <row r="300" spans="1:3" x14ac:dyDescent="0.25">
      <c r="A300" s="879"/>
      <c r="B300" s="1452" t="s">
        <v>1699</v>
      </c>
      <c r="C300" s="879"/>
    </row>
    <row r="301" spans="1:3" x14ac:dyDescent="0.25">
      <c r="A301" s="879"/>
      <c r="B301" s="1452" t="s">
        <v>1700</v>
      </c>
      <c r="C301" s="879"/>
    </row>
    <row r="302" spans="1:3" x14ac:dyDescent="0.25">
      <c r="A302" s="879"/>
      <c r="B302" s="1452" t="s">
        <v>1701</v>
      </c>
      <c r="C302" s="879"/>
    </row>
    <row r="303" spans="1:3" x14ac:dyDescent="0.25">
      <c r="A303" s="879"/>
      <c r="B303" s="1452" t="s">
        <v>1702</v>
      </c>
      <c r="C303" s="879"/>
    </row>
    <row r="304" spans="1:3" x14ac:dyDescent="0.25">
      <c r="A304" s="879"/>
      <c r="B304" s="1452" t="s">
        <v>1703</v>
      </c>
      <c r="C304" s="879"/>
    </row>
    <row r="305" spans="1:3" x14ac:dyDescent="0.25">
      <c r="A305" s="879"/>
      <c r="B305" s="1452" t="s">
        <v>1704</v>
      </c>
      <c r="C305" s="879"/>
    </row>
    <row r="306" spans="1:3" x14ac:dyDescent="0.25">
      <c r="A306" s="879"/>
      <c r="B306" s="1452" t="s">
        <v>1705</v>
      </c>
      <c r="C306" s="879"/>
    </row>
    <row r="307" spans="1:3" x14ac:dyDescent="0.25">
      <c r="A307" s="879"/>
      <c r="B307" s="1452"/>
      <c r="C307" s="879"/>
    </row>
    <row r="308" spans="1:3" x14ac:dyDescent="0.25">
      <c r="A308" s="879"/>
      <c r="B308" s="1452"/>
      <c r="C308" s="879"/>
    </row>
    <row r="309" spans="1:3" x14ac:dyDescent="0.25">
      <c r="A309" s="879"/>
      <c r="B309" s="1452" t="s">
        <v>1368</v>
      </c>
      <c r="C309" s="879"/>
    </row>
    <row r="310" spans="1:3" x14ac:dyDescent="0.25">
      <c r="A310" s="879"/>
      <c r="B310" s="1452" t="s">
        <v>1747</v>
      </c>
      <c r="C310" s="879"/>
    </row>
    <row r="311" spans="1:3" x14ac:dyDescent="0.25">
      <c r="A311" s="879"/>
      <c r="B311" s="1452" t="s">
        <v>1368</v>
      </c>
      <c r="C311" s="879"/>
    </row>
    <row r="312" spans="1:3" x14ac:dyDescent="0.25">
      <c r="A312" s="879"/>
      <c r="B312" s="1452" t="s">
        <v>1748</v>
      </c>
      <c r="C312" s="879"/>
    </row>
    <row r="313" spans="1:3" x14ac:dyDescent="0.25">
      <c r="A313" s="879"/>
      <c r="B313" s="1452" t="s">
        <v>1367</v>
      </c>
      <c r="C313" s="879"/>
    </row>
    <row r="314" spans="1:3" x14ac:dyDescent="0.25">
      <c r="A314" s="879"/>
      <c r="B314" s="1452" t="s">
        <v>1369</v>
      </c>
      <c r="C314" s="879"/>
    </row>
    <row r="315" spans="1:3" x14ac:dyDescent="0.25">
      <c r="A315" s="879"/>
      <c r="B315" s="1452" t="s">
        <v>1370</v>
      </c>
      <c r="C315" s="879"/>
    </row>
    <row r="316" spans="1:3" x14ac:dyDescent="0.25">
      <c r="A316" s="879"/>
      <c r="B316" s="1452" t="s">
        <v>1367</v>
      </c>
      <c r="C316" s="879"/>
    </row>
    <row r="317" spans="1:3" x14ac:dyDescent="0.25">
      <c r="A317" s="879"/>
      <c r="B317" s="1452" t="s">
        <v>1460</v>
      </c>
      <c r="C317" s="879"/>
    </row>
    <row r="318" spans="1:3" x14ac:dyDescent="0.25">
      <c r="A318" s="879"/>
      <c r="B318" s="1452" t="s">
        <v>1461</v>
      </c>
      <c r="C318" s="879"/>
    </row>
    <row r="319" spans="1:3" x14ac:dyDescent="0.25">
      <c r="A319" s="879"/>
      <c r="B319" s="1452" t="s">
        <v>1749</v>
      </c>
      <c r="C319" s="879"/>
    </row>
    <row r="320" spans="1:3" x14ac:dyDescent="0.25">
      <c r="A320" s="879"/>
      <c r="B320" s="1452" t="s">
        <v>1750</v>
      </c>
      <c r="C320" s="879"/>
    </row>
    <row r="321" spans="1:3" x14ac:dyDescent="0.25">
      <c r="A321" s="879"/>
      <c r="B321" s="1452" t="s">
        <v>1751</v>
      </c>
      <c r="C321" s="879"/>
    </row>
    <row r="322" spans="1:3" x14ac:dyDescent="0.25">
      <c r="A322" s="879"/>
      <c r="B322" s="1452" t="s">
        <v>1752</v>
      </c>
      <c r="C322" s="879"/>
    </row>
    <row r="323" spans="1:3" x14ac:dyDescent="0.25">
      <c r="A323" s="879"/>
      <c r="B323" s="1452" t="s">
        <v>1753</v>
      </c>
      <c r="C323" s="879"/>
    </row>
    <row r="324" spans="1:3" x14ac:dyDescent="0.25">
      <c r="A324" s="879"/>
      <c r="B324" s="1452" t="s">
        <v>1754</v>
      </c>
      <c r="C324" s="879"/>
    </row>
    <row r="325" spans="1:3" x14ac:dyDescent="0.25">
      <c r="A325" s="879"/>
      <c r="B325" s="1452" t="s">
        <v>1755</v>
      </c>
      <c r="C325" s="879"/>
    </row>
    <row r="326" spans="1:3" x14ac:dyDescent="0.25">
      <c r="A326" s="879"/>
      <c r="B326" s="1452" t="s">
        <v>1756</v>
      </c>
      <c r="C326" s="879"/>
    </row>
    <row r="327" spans="1:3" x14ac:dyDescent="0.25">
      <c r="A327" s="879"/>
      <c r="B327" s="1452" t="s">
        <v>1462</v>
      </c>
      <c r="C327" s="879"/>
    </row>
    <row r="328" spans="1:3" x14ac:dyDescent="0.25">
      <c r="A328" s="879"/>
      <c r="B328" s="1452" t="s">
        <v>1382</v>
      </c>
      <c r="C328" s="879"/>
    </row>
    <row r="329" spans="1:3" x14ac:dyDescent="0.25">
      <c r="A329" s="879"/>
      <c r="B329" s="1452" t="s">
        <v>1367</v>
      </c>
      <c r="C329" s="879"/>
    </row>
    <row r="330" spans="1:3" x14ac:dyDescent="0.25">
      <c r="A330" s="879"/>
      <c r="B330" s="1452" t="s">
        <v>1460</v>
      </c>
      <c r="C330" s="879"/>
    </row>
    <row r="331" spans="1:3" x14ac:dyDescent="0.25">
      <c r="A331" s="879"/>
      <c r="B331" s="1452" t="s">
        <v>1757</v>
      </c>
      <c r="C331" s="879"/>
    </row>
    <row r="332" spans="1:3" x14ac:dyDescent="0.25">
      <c r="A332" s="879"/>
      <c r="B332" s="1452" t="s">
        <v>1758</v>
      </c>
      <c r="C332" s="879"/>
    </row>
    <row r="333" spans="1:3" x14ac:dyDescent="0.25">
      <c r="A333" s="879"/>
      <c r="B333" s="1452" t="s">
        <v>1759</v>
      </c>
      <c r="C333" s="879"/>
    </row>
    <row r="334" spans="1:3" x14ac:dyDescent="0.25">
      <c r="A334" s="879"/>
      <c r="B334" s="1452" t="s">
        <v>1760</v>
      </c>
      <c r="C334" s="879"/>
    </row>
    <row r="335" spans="1:3" x14ac:dyDescent="0.25">
      <c r="A335" s="879"/>
      <c r="B335" s="1452" t="s">
        <v>1761</v>
      </c>
      <c r="C335" s="879"/>
    </row>
    <row r="336" spans="1:3" x14ac:dyDescent="0.25">
      <c r="A336" s="879"/>
      <c r="B336" s="1452" t="s">
        <v>1762</v>
      </c>
      <c r="C336" s="879"/>
    </row>
    <row r="337" spans="1:3" x14ac:dyDescent="0.25">
      <c r="A337" s="879"/>
      <c r="B337" s="1452" t="s">
        <v>1763</v>
      </c>
      <c r="C337" s="879"/>
    </row>
    <row r="338" spans="1:3" x14ac:dyDescent="0.25">
      <c r="A338" s="879"/>
      <c r="B338" s="1452" t="s">
        <v>1764</v>
      </c>
      <c r="C338" s="879"/>
    </row>
    <row r="339" spans="1:3" x14ac:dyDescent="0.25">
      <c r="A339" s="879"/>
      <c r="B339" s="1452" t="s">
        <v>1765</v>
      </c>
      <c r="C339" s="879"/>
    </row>
    <row r="340" spans="1:3" x14ac:dyDescent="0.25">
      <c r="A340" s="879"/>
      <c r="B340" s="1452" t="s">
        <v>1766</v>
      </c>
      <c r="C340" s="879"/>
    </row>
    <row r="341" spans="1:3" x14ac:dyDescent="0.25">
      <c r="A341" s="879"/>
      <c r="B341" s="1452" t="s">
        <v>1466</v>
      </c>
      <c r="C341" s="879"/>
    </row>
    <row r="342" spans="1:3" x14ac:dyDescent="0.25">
      <c r="A342" s="879"/>
      <c r="B342" s="1452" t="s">
        <v>1467</v>
      </c>
      <c r="C342" s="879"/>
    </row>
    <row r="343" spans="1:3" x14ac:dyDescent="0.25">
      <c r="A343" s="879"/>
      <c r="B343" s="1452" t="s">
        <v>1767</v>
      </c>
      <c r="C343" s="879"/>
    </row>
    <row r="344" spans="1:3" x14ac:dyDescent="0.25">
      <c r="A344" s="879"/>
      <c r="B344" s="1452" t="s">
        <v>1469</v>
      </c>
      <c r="C344" s="879"/>
    </row>
    <row r="345" spans="1:3" x14ac:dyDescent="0.25">
      <c r="A345" s="879"/>
      <c r="B345" s="1452" t="s">
        <v>1768</v>
      </c>
      <c r="C345" s="879"/>
    </row>
    <row r="346" spans="1:3" x14ac:dyDescent="0.25">
      <c r="A346" s="879"/>
      <c r="B346" s="1452" t="s">
        <v>1769</v>
      </c>
      <c r="C346" s="879"/>
    </row>
    <row r="347" spans="1:3" x14ac:dyDescent="0.25">
      <c r="A347" s="879"/>
      <c r="B347" s="1452" t="s">
        <v>1770</v>
      </c>
      <c r="C347" s="879"/>
    </row>
    <row r="348" spans="1:3" x14ac:dyDescent="0.25">
      <c r="A348" s="879"/>
      <c r="B348" s="1452" t="s">
        <v>1771</v>
      </c>
      <c r="C348" s="879"/>
    </row>
    <row r="349" spans="1:3" x14ac:dyDescent="0.25">
      <c r="A349" s="879"/>
      <c r="B349" s="1452" t="s">
        <v>1772</v>
      </c>
      <c r="C349" s="879"/>
    </row>
    <row r="350" spans="1:3" x14ac:dyDescent="0.25">
      <c r="A350" s="879"/>
      <c r="B350" s="1452" t="s">
        <v>1471</v>
      </c>
      <c r="C350" s="879"/>
    </row>
    <row r="351" spans="1:3" x14ac:dyDescent="0.25">
      <c r="A351" s="879"/>
      <c r="B351" s="1452" t="s">
        <v>1508</v>
      </c>
      <c r="C351" s="879"/>
    </row>
    <row r="352" spans="1:3" x14ac:dyDescent="0.25">
      <c r="A352" s="879"/>
      <c r="B352" s="1452" t="s">
        <v>1773</v>
      </c>
      <c r="C352" s="879"/>
    </row>
    <row r="353" spans="1:3" x14ac:dyDescent="0.25">
      <c r="A353" s="879"/>
      <c r="B353" s="1452" t="s">
        <v>1473</v>
      </c>
      <c r="C353" s="879"/>
    </row>
    <row r="354" spans="1:3" x14ac:dyDescent="0.25">
      <c r="A354" s="879"/>
      <c r="B354" s="1452" t="s">
        <v>1774</v>
      </c>
      <c r="C354" s="879"/>
    </row>
    <row r="355" spans="1:3" x14ac:dyDescent="0.25">
      <c r="A355" s="879"/>
      <c r="B355" s="1452" t="s">
        <v>1775</v>
      </c>
      <c r="C355" s="879"/>
    </row>
    <row r="356" spans="1:3" x14ac:dyDescent="0.25">
      <c r="A356" s="879"/>
      <c r="B356" s="1452" t="s">
        <v>1776</v>
      </c>
      <c r="C356" s="879"/>
    </row>
    <row r="357" spans="1:3" x14ac:dyDescent="0.25">
      <c r="A357" s="879"/>
      <c r="B357" s="1452" t="s">
        <v>1777</v>
      </c>
      <c r="C357" s="879"/>
    </row>
    <row r="358" spans="1:3" x14ac:dyDescent="0.25">
      <c r="A358" s="879"/>
      <c r="B358" s="1452" t="s">
        <v>1476</v>
      </c>
      <c r="C358" s="879"/>
    </row>
    <row r="359" spans="1:3" x14ac:dyDescent="0.25">
      <c r="A359" s="879"/>
      <c r="B359" s="1452" t="s">
        <v>1477</v>
      </c>
      <c r="C359" s="879"/>
    </row>
    <row r="360" spans="1:3" x14ac:dyDescent="0.25">
      <c r="A360" s="879"/>
      <c r="B360" s="1452" t="s">
        <v>1478</v>
      </c>
      <c r="C360" s="879"/>
    </row>
    <row r="361" spans="1:3" x14ac:dyDescent="0.25">
      <c r="A361" s="879"/>
      <c r="B361" s="1452" t="s">
        <v>1778</v>
      </c>
      <c r="C361" s="879"/>
    </row>
    <row r="362" spans="1:3" x14ac:dyDescent="0.25">
      <c r="A362" s="879"/>
      <c r="B362" s="1452" t="s">
        <v>1779</v>
      </c>
      <c r="C362" s="879"/>
    </row>
    <row r="363" spans="1:3" x14ac:dyDescent="0.25">
      <c r="A363" s="879"/>
      <c r="B363" s="1452" t="s">
        <v>1479</v>
      </c>
      <c r="C363" s="879"/>
    </row>
    <row r="364" spans="1:3" x14ac:dyDescent="0.25">
      <c r="A364" s="879"/>
      <c r="B364" s="1452" t="s">
        <v>1480</v>
      </c>
      <c r="C364" s="879"/>
    </row>
    <row r="365" spans="1:3" x14ac:dyDescent="0.25">
      <c r="A365" s="879"/>
      <c r="B365" s="1452" t="s">
        <v>1780</v>
      </c>
      <c r="C365" s="879"/>
    </row>
    <row r="366" spans="1:3" x14ac:dyDescent="0.25">
      <c r="A366" s="879"/>
      <c r="B366" s="1452" t="s">
        <v>1781</v>
      </c>
      <c r="C366" s="879"/>
    </row>
    <row r="367" spans="1:3" x14ac:dyDescent="0.25">
      <c r="A367" s="879"/>
      <c r="B367" s="1452" t="s">
        <v>1782</v>
      </c>
      <c r="C367" s="879"/>
    </row>
    <row r="368" spans="1:3" x14ac:dyDescent="0.25">
      <c r="A368" s="879"/>
      <c r="B368" s="1452" t="s">
        <v>1783</v>
      </c>
      <c r="C368" s="879"/>
    </row>
    <row r="369" spans="1:3" x14ac:dyDescent="0.25">
      <c r="A369" s="879"/>
      <c r="B369" s="1452" t="s">
        <v>1784</v>
      </c>
      <c r="C369" s="879"/>
    </row>
    <row r="370" spans="1:3" x14ac:dyDescent="0.25">
      <c r="A370" s="879"/>
      <c r="B370" s="1452" t="s">
        <v>1785</v>
      </c>
      <c r="C370" s="879"/>
    </row>
    <row r="371" spans="1:3" x14ac:dyDescent="0.25">
      <c r="A371" s="879"/>
      <c r="B371" s="1452" t="s">
        <v>1786</v>
      </c>
      <c r="C371" s="879"/>
    </row>
    <row r="372" spans="1:3" x14ac:dyDescent="0.25">
      <c r="A372" s="879"/>
      <c r="B372" s="1452" t="s">
        <v>1787</v>
      </c>
      <c r="C372" s="879"/>
    </row>
    <row r="373" spans="1:3" x14ac:dyDescent="0.25">
      <c r="A373" s="879"/>
      <c r="B373" s="1452" t="s">
        <v>1788</v>
      </c>
      <c r="C373" s="879"/>
    </row>
    <row r="374" spans="1:3" x14ac:dyDescent="0.25">
      <c r="A374" s="879"/>
      <c r="B374" s="1452" t="s">
        <v>1481</v>
      </c>
      <c r="C374" s="879"/>
    </row>
    <row r="375" spans="1:3" x14ac:dyDescent="0.25">
      <c r="A375" s="879"/>
      <c r="B375" s="1452" t="s">
        <v>1789</v>
      </c>
      <c r="C375" s="879"/>
    </row>
    <row r="376" spans="1:3" x14ac:dyDescent="0.25">
      <c r="A376" s="879"/>
      <c r="B376" s="1452" t="s">
        <v>1483</v>
      </c>
      <c r="C376" s="879"/>
    </row>
    <row r="377" spans="1:3" x14ac:dyDescent="0.25">
      <c r="A377" s="879"/>
      <c r="B377" s="1452" t="s">
        <v>1790</v>
      </c>
      <c r="C377" s="879"/>
    </row>
    <row r="378" spans="1:3" x14ac:dyDescent="0.25">
      <c r="A378" s="879"/>
      <c r="B378" s="1452" t="s">
        <v>1430</v>
      </c>
      <c r="C378" s="879"/>
    </row>
    <row r="379" spans="1:3" x14ac:dyDescent="0.25">
      <c r="A379" s="879"/>
      <c r="B379" s="1452" t="s">
        <v>1367</v>
      </c>
      <c r="C379" s="879"/>
    </row>
    <row r="380" spans="1:3" x14ac:dyDescent="0.25">
      <c r="A380" s="879"/>
      <c r="B380" s="1452" t="s">
        <v>1449</v>
      </c>
      <c r="C380" s="879"/>
    </row>
    <row r="381" spans="1:3" x14ac:dyDescent="0.25">
      <c r="A381" s="879"/>
      <c r="B381" s="1452" t="s">
        <v>1367</v>
      </c>
      <c r="C381" s="879"/>
    </row>
    <row r="382" spans="1:3" x14ac:dyDescent="0.25">
      <c r="A382" s="879"/>
      <c r="B382" s="1452" t="s">
        <v>1450</v>
      </c>
      <c r="C382" s="879"/>
    </row>
    <row r="383" spans="1:3" x14ac:dyDescent="0.25">
      <c r="A383" s="879"/>
      <c r="B383" s="1452" t="s">
        <v>1451</v>
      </c>
      <c r="C383" s="879"/>
    </row>
    <row r="384" spans="1:3" x14ac:dyDescent="0.25">
      <c r="A384" s="879"/>
      <c r="B384" s="1452" t="s">
        <v>1452</v>
      </c>
      <c r="C384" s="879"/>
    </row>
    <row r="385" spans="1:3" x14ac:dyDescent="0.25">
      <c r="A385" s="879"/>
      <c r="B385" s="1452" t="s">
        <v>1681</v>
      </c>
      <c r="C385" s="879"/>
    </row>
    <row r="386" spans="1:3" x14ac:dyDescent="0.25">
      <c r="A386" s="879"/>
      <c r="B386" s="1452" t="s">
        <v>1682</v>
      </c>
      <c r="C386" s="879"/>
    </row>
    <row r="387" spans="1:3" x14ac:dyDescent="0.25">
      <c r="A387" s="879"/>
      <c r="B387" s="1452" t="s">
        <v>1791</v>
      </c>
      <c r="C387" s="879"/>
    </row>
    <row r="388" spans="1:3" x14ac:dyDescent="0.25">
      <c r="A388" s="879"/>
      <c r="B388" s="1452" t="s">
        <v>1684</v>
      </c>
      <c r="C388" s="879"/>
    </row>
    <row r="389" spans="1:3" x14ac:dyDescent="0.25">
      <c r="A389" s="879"/>
      <c r="B389" s="1452" t="s">
        <v>1453</v>
      </c>
      <c r="C389" s="879"/>
    </row>
    <row r="390" spans="1:3" x14ac:dyDescent="0.25">
      <c r="A390" s="879"/>
      <c r="B390" s="1452" t="s">
        <v>1792</v>
      </c>
      <c r="C390" s="879"/>
    </row>
    <row r="391" spans="1:3" x14ac:dyDescent="0.25">
      <c r="A391" s="879"/>
      <c r="B391" s="1452" t="s">
        <v>1685</v>
      </c>
      <c r="C391" s="879"/>
    </row>
    <row r="392" spans="1:3" x14ac:dyDescent="0.25">
      <c r="A392" s="879"/>
      <c r="B392" s="1452" t="s">
        <v>1686</v>
      </c>
      <c r="C392" s="879"/>
    </row>
    <row r="393" spans="1:3" x14ac:dyDescent="0.25">
      <c r="A393" s="879"/>
      <c r="B393" s="1452" t="s">
        <v>1454</v>
      </c>
      <c r="C393" s="879"/>
    </row>
    <row r="394" spans="1:3" x14ac:dyDescent="0.25">
      <c r="A394" s="879"/>
      <c r="B394" s="1452" t="s">
        <v>1793</v>
      </c>
      <c r="C394" s="879"/>
    </row>
    <row r="395" spans="1:3" x14ac:dyDescent="0.25">
      <c r="A395" s="879"/>
      <c r="B395" s="1452" t="s">
        <v>1455</v>
      </c>
      <c r="C395" s="879"/>
    </row>
    <row r="396" spans="1:3" x14ac:dyDescent="0.25">
      <c r="A396" s="879"/>
      <c r="B396" s="1452" t="s">
        <v>1794</v>
      </c>
      <c r="C396" s="879"/>
    </row>
    <row r="397" spans="1:3" x14ac:dyDescent="0.25">
      <c r="A397" s="879"/>
      <c r="B397" s="1452" t="s">
        <v>1688</v>
      </c>
      <c r="C397" s="879"/>
    </row>
    <row r="398" spans="1:3" x14ac:dyDescent="0.25">
      <c r="A398" s="879"/>
      <c r="B398" s="1452" t="s">
        <v>1795</v>
      </c>
      <c r="C398" s="879"/>
    </row>
    <row r="399" spans="1:3" x14ac:dyDescent="0.25">
      <c r="A399" s="879"/>
      <c r="B399" s="1452" t="s">
        <v>1456</v>
      </c>
      <c r="C399" s="879"/>
    </row>
    <row r="400" spans="1:3" x14ac:dyDescent="0.25">
      <c r="A400" s="879"/>
      <c r="B400" s="1452" t="s">
        <v>1367</v>
      </c>
      <c r="C400" s="879"/>
    </row>
    <row r="401" spans="1:3" x14ac:dyDescent="0.25">
      <c r="A401" s="879"/>
      <c r="B401" s="1452" t="s">
        <v>1450</v>
      </c>
      <c r="C401" s="879"/>
    </row>
    <row r="402" spans="1:3" x14ac:dyDescent="0.25">
      <c r="A402" s="879"/>
      <c r="B402" s="1452" t="s">
        <v>1451</v>
      </c>
      <c r="C402" s="879"/>
    </row>
    <row r="403" spans="1:3" x14ac:dyDescent="0.25">
      <c r="A403" s="879"/>
      <c r="B403" s="1452" t="s">
        <v>1452</v>
      </c>
      <c r="C403" s="879"/>
    </row>
    <row r="404" spans="1:3" x14ac:dyDescent="0.25">
      <c r="A404" s="879"/>
      <c r="B404" s="1452" t="s">
        <v>1681</v>
      </c>
      <c r="C404" s="879"/>
    </row>
    <row r="405" spans="1:3" x14ac:dyDescent="0.25">
      <c r="A405" s="879"/>
      <c r="B405" s="1452" t="s">
        <v>1682</v>
      </c>
      <c r="C405" s="879"/>
    </row>
    <row r="406" spans="1:3" x14ac:dyDescent="0.25">
      <c r="A406" s="879"/>
      <c r="B406" s="1452" t="s">
        <v>1791</v>
      </c>
      <c r="C406" s="879"/>
    </row>
    <row r="407" spans="1:3" x14ac:dyDescent="0.25">
      <c r="A407" s="879"/>
      <c r="B407" s="1452" t="s">
        <v>1684</v>
      </c>
      <c r="C407" s="879"/>
    </row>
    <row r="408" spans="1:3" x14ac:dyDescent="0.25">
      <c r="A408" s="879"/>
      <c r="B408" s="1452" t="s">
        <v>1453</v>
      </c>
      <c r="C408" s="879"/>
    </row>
    <row r="409" spans="1:3" x14ac:dyDescent="0.25">
      <c r="A409" s="879"/>
      <c r="B409" s="1452" t="s">
        <v>1792</v>
      </c>
      <c r="C409" s="879"/>
    </row>
    <row r="410" spans="1:3" x14ac:dyDescent="0.25">
      <c r="A410" s="879"/>
      <c r="B410" s="1452" t="s">
        <v>1685</v>
      </c>
      <c r="C410" s="879"/>
    </row>
    <row r="411" spans="1:3" x14ac:dyDescent="0.25">
      <c r="A411" s="879"/>
      <c r="B411" s="1452" t="s">
        <v>1686</v>
      </c>
      <c r="C411" s="879"/>
    </row>
    <row r="412" spans="1:3" x14ac:dyDescent="0.25">
      <c r="A412" s="879"/>
      <c r="B412" s="1452" t="s">
        <v>1454</v>
      </c>
      <c r="C412" s="879"/>
    </row>
    <row r="413" spans="1:3" x14ac:dyDescent="0.25">
      <c r="A413" s="879"/>
      <c r="B413" s="1452" t="s">
        <v>1793</v>
      </c>
      <c r="C413" s="879"/>
    </row>
    <row r="414" spans="1:3" x14ac:dyDescent="0.25">
      <c r="A414" s="879"/>
      <c r="B414" s="1452" t="s">
        <v>1455</v>
      </c>
      <c r="C414" s="879"/>
    </row>
    <row r="415" spans="1:3" x14ac:dyDescent="0.25">
      <c r="A415" s="879"/>
      <c r="B415" s="1452" t="s">
        <v>1794</v>
      </c>
      <c r="C415" s="879"/>
    </row>
    <row r="416" spans="1:3" x14ac:dyDescent="0.25">
      <c r="A416" s="879"/>
      <c r="B416" s="1452" t="s">
        <v>1688</v>
      </c>
      <c r="C416" s="879"/>
    </row>
    <row r="417" spans="1:3" x14ac:dyDescent="0.25">
      <c r="A417" s="879"/>
      <c r="B417" s="1452" t="s">
        <v>1795</v>
      </c>
      <c r="C417" s="879"/>
    </row>
    <row r="418" spans="1:3" x14ac:dyDescent="0.25">
      <c r="A418" s="879"/>
      <c r="B418" s="1452" t="s">
        <v>1690</v>
      </c>
      <c r="C418" s="879"/>
    </row>
    <row r="419" spans="1:3" x14ac:dyDescent="0.25">
      <c r="A419" s="879"/>
      <c r="B419" s="1452" t="s">
        <v>1367</v>
      </c>
      <c r="C419" s="879"/>
    </row>
    <row r="420" spans="1:3" x14ac:dyDescent="0.25">
      <c r="A420" s="879"/>
      <c r="B420" s="1452" t="s">
        <v>1691</v>
      </c>
      <c r="C420" s="879"/>
    </row>
    <row r="421" spans="1:3" x14ac:dyDescent="0.25">
      <c r="A421" s="879"/>
      <c r="B421" s="1452" t="s">
        <v>1692</v>
      </c>
      <c r="C421" s="879"/>
    </row>
    <row r="422" spans="1:3" x14ac:dyDescent="0.25">
      <c r="A422" s="879"/>
      <c r="B422" s="1452" t="s">
        <v>1693</v>
      </c>
      <c r="C422" s="879"/>
    </row>
    <row r="423" spans="1:3" x14ac:dyDescent="0.25">
      <c r="A423" s="879"/>
      <c r="B423" s="1452" t="s">
        <v>1694</v>
      </c>
      <c r="C423" s="879"/>
    </row>
    <row r="424" spans="1:3" x14ac:dyDescent="0.25">
      <c r="A424" s="879"/>
      <c r="B424" s="1452" t="s">
        <v>1695</v>
      </c>
      <c r="C424" s="879"/>
    </row>
    <row r="425" spans="1:3" x14ac:dyDescent="0.25">
      <c r="A425" s="879"/>
      <c r="B425" s="1452" t="s">
        <v>1696</v>
      </c>
      <c r="C425" s="879"/>
    </row>
    <row r="426" spans="1:3" x14ac:dyDescent="0.25">
      <c r="A426" s="879"/>
      <c r="B426" s="1452" t="s">
        <v>1697</v>
      </c>
      <c r="C426" s="879"/>
    </row>
    <row r="427" spans="1:3" x14ac:dyDescent="0.25">
      <c r="A427" s="879"/>
      <c r="B427" s="1452" t="s">
        <v>1698</v>
      </c>
      <c r="C427" s="879"/>
    </row>
    <row r="428" spans="1:3" x14ac:dyDescent="0.25">
      <c r="A428" s="879"/>
      <c r="B428" s="1452" t="s">
        <v>1699</v>
      </c>
      <c r="C428" s="879"/>
    </row>
    <row r="429" spans="1:3" x14ac:dyDescent="0.25">
      <c r="A429" s="879"/>
      <c r="B429" s="1452" t="s">
        <v>1700</v>
      </c>
      <c r="C429" s="879"/>
    </row>
    <row r="430" spans="1:3" x14ac:dyDescent="0.25">
      <c r="A430" s="879"/>
      <c r="B430" s="1452" t="s">
        <v>1701</v>
      </c>
      <c r="C430" s="879"/>
    </row>
    <row r="431" spans="1:3" x14ac:dyDescent="0.25">
      <c r="A431" s="879"/>
      <c r="B431" s="1452" t="s">
        <v>1702</v>
      </c>
      <c r="C431" s="879"/>
    </row>
    <row r="432" spans="1:3" x14ac:dyDescent="0.25">
      <c r="A432" s="879"/>
      <c r="B432" s="1452" t="s">
        <v>1703</v>
      </c>
      <c r="C432" s="879"/>
    </row>
    <row r="433" spans="1:3" x14ac:dyDescent="0.25">
      <c r="A433" s="879"/>
      <c r="B433" s="1452" t="s">
        <v>1704</v>
      </c>
      <c r="C433" s="879"/>
    </row>
    <row r="434" spans="1:3" x14ac:dyDescent="0.25">
      <c r="A434" s="879"/>
      <c r="B434" s="1452" t="s">
        <v>1705</v>
      </c>
      <c r="C434" s="879"/>
    </row>
    <row r="435" spans="1:3" x14ac:dyDescent="0.25">
      <c r="A435" s="879"/>
      <c r="B435" s="1452"/>
      <c r="C435" s="879"/>
    </row>
    <row r="436" spans="1:3" x14ac:dyDescent="0.25">
      <c r="A436" s="879"/>
      <c r="B436" s="1452"/>
      <c r="C436" s="879"/>
    </row>
    <row r="437" spans="1:3" x14ac:dyDescent="0.25">
      <c r="A437" s="879"/>
      <c r="B437" s="1452" t="s">
        <v>1368</v>
      </c>
      <c r="C437" s="879"/>
    </row>
    <row r="438" spans="1:3" x14ac:dyDescent="0.25">
      <c r="A438" s="879"/>
      <c r="B438" s="1452" t="s">
        <v>1796</v>
      </c>
      <c r="C438" s="879"/>
    </row>
    <row r="439" spans="1:3" x14ac:dyDescent="0.25">
      <c r="A439" s="879"/>
      <c r="B439" s="1452" t="s">
        <v>1368</v>
      </c>
      <c r="C439" s="879"/>
    </row>
    <row r="440" spans="1:3" x14ac:dyDescent="0.25">
      <c r="A440" s="879"/>
      <c r="B440" s="1452" t="s">
        <v>1797</v>
      </c>
      <c r="C440" s="879"/>
    </row>
    <row r="441" spans="1:3" x14ac:dyDescent="0.25">
      <c r="A441" s="879"/>
      <c r="B441" s="1452" t="s">
        <v>1367</v>
      </c>
      <c r="C441" s="879"/>
    </row>
    <row r="442" spans="1:3" x14ac:dyDescent="0.25">
      <c r="A442" s="879"/>
      <c r="B442" s="1452" t="s">
        <v>1369</v>
      </c>
      <c r="C442" s="879"/>
    </row>
    <row r="443" spans="1:3" x14ac:dyDescent="0.25">
      <c r="A443" s="879"/>
      <c r="B443" s="1452" t="s">
        <v>1370</v>
      </c>
      <c r="C443" s="879"/>
    </row>
    <row r="444" spans="1:3" x14ac:dyDescent="0.25">
      <c r="A444" s="879"/>
      <c r="B444" s="1452" t="s">
        <v>1367</v>
      </c>
      <c r="C444" s="879"/>
    </row>
    <row r="445" spans="1:3" x14ac:dyDescent="0.25">
      <c r="A445" s="879"/>
      <c r="B445" s="1452" t="s">
        <v>1432</v>
      </c>
      <c r="C445" s="879"/>
    </row>
    <row r="446" spans="1:3" x14ac:dyDescent="0.25">
      <c r="A446" s="879"/>
      <c r="B446" s="1452" t="s">
        <v>1433</v>
      </c>
      <c r="C446" s="879"/>
    </row>
    <row r="447" spans="1:3" x14ac:dyDescent="0.25">
      <c r="A447" s="879"/>
      <c r="B447" s="1452" t="s">
        <v>1798</v>
      </c>
      <c r="C447" s="879"/>
    </row>
    <row r="448" spans="1:3" x14ac:dyDescent="0.25">
      <c r="A448" s="879"/>
      <c r="B448" s="1452" t="s">
        <v>1799</v>
      </c>
      <c r="C448" s="879"/>
    </row>
    <row r="449" spans="1:3" x14ac:dyDescent="0.25">
      <c r="A449" s="879"/>
      <c r="B449" s="1452" t="s">
        <v>1800</v>
      </c>
      <c r="C449" s="879"/>
    </row>
    <row r="450" spans="1:3" x14ac:dyDescent="0.25">
      <c r="A450" s="879"/>
      <c r="B450" s="1452" t="s">
        <v>1801</v>
      </c>
      <c r="C450" s="879"/>
    </row>
    <row r="451" spans="1:3" x14ac:dyDescent="0.25">
      <c r="A451" s="879"/>
      <c r="B451" s="1452" t="s">
        <v>1802</v>
      </c>
      <c r="C451" s="879"/>
    </row>
    <row r="452" spans="1:3" x14ac:dyDescent="0.25">
      <c r="A452" s="879"/>
      <c r="B452" s="1452" t="s">
        <v>1803</v>
      </c>
      <c r="C452" s="879"/>
    </row>
    <row r="453" spans="1:3" x14ac:dyDescent="0.25">
      <c r="A453" s="879"/>
      <c r="B453" s="1452" t="s">
        <v>1804</v>
      </c>
      <c r="C453" s="879"/>
    </row>
    <row r="454" spans="1:3" x14ac:dyDescent="0.25">
      <c r="A454" s="879"/>
      <c r="B454" s="1452" t="s">
        <v>1805</v>
      </c>
      <c r="C454" s="879"/>
    </row>
    <row r="455" spans="1:3" x14ac:dyDescent="0.25">
      <c r="A455" s="879"/>
      <c r="B455" s="1452" t="s">
        <v>1434</v>
      </c>
      <c r="C455" s="879"/>
    </row>
    <row r="456" spans="1:3" x14ac:dyDescent="0.25">
      <c r="A456" s="879"/>
      <c r="B456" s="1452" t="s">
        <v>1382</v>
      </c>
      <c r="C456" s="879"/>
    </row>
    <row r="457" spans="1:3" x14ac:dyDescent="0.25">
      <c r="A457" s="879"/>
      <c r="B457" s="1452" t="s">
        <v>1367</v>
      </c>
      <c r="C457" s="879"/>
    </row>
    <row r="458" spans="1:3" x14ac:dyDescent="0.25">
      <c r="A458" s="879"/>
      <c r="B458" s="1452" t="s">
        <v>1432</v>
      </c>
      <c r="C458" s="879"/>
    </row>
    <row r="459" spans="1:3" x14ac:dyDescent="0.25">
      <c r="A459" s="879"/>
      <c r="B459" s="1452" t="s">
        <v>1806</v>
      </c>
      <c r="C459" s="879"/>
    </row>
    <row r="460" spans="1:3" x14ac:dyDescent="0.25">
      <c r="A460" s="879"/>
      <c r="B460" s="1452" t="s">
        <v>1807</v>
      </c>
      <c r="C460" s="879"/>
    </row>
    <row r="461" spans="1:3" x14ac:dyDescent="0.25">
      <c r="A461" s="879"/>
      <c r="B461" s="1452" t="s">
        <v>1808</v>
      </c>
      <c r="C461" s="879"/>
    </row>
    <row r="462" spans="1:3" x14ac:dyDescent="0.25">
      <c r="A462" s="879"/>
      <c r="B462" s="1452" t="s">
        <v>1809</v>
      </c>
      <c r="C462" s="879"/>
    </row>
    <row r="463" spans="1:3" x14ac:dyDescent="0.25">
      <c r="A463" s="879"/>
      <c r="B463" s="1452" t="s">
        <v>1810</v>
      </c>
      <c r="C463" s="879"/>
    </row>
    <row r="464" spans="1:3" x14ac:dyDescent="0.25">
      <c r="A464" s="879"/>
      <c r="B464" s="1452" t="s">
        <v>1811</v>
      </c>
      <c r="C464" s="879"/>
    </row>
    <row r="465" spans="1:3" x14ac:dyDescent="0.25">
      <c r="A465" s="879"/>
      <c r="B465" s="1452" t="s">
        <v>1812</v>
      </c>
      <c r="C465" s="879"/>
    </row>
    <row r="466" spans="1:3" x14ac:dyDescent="0.25">
      <c r="A466" s="879"/>
      <c r="B466" s="1452" t="s">
        <v>1813</v>
      </c>
      <c r="C466" s="879"/>
    </row>
    <row r="467" spans="1:3" x14ac:dyDescent="0.25">
      <c r="A467" s="879"/>
      <c r="B467" s="1452" t="s">
        <v>1814</v>
      </c>
      <c r="C467" s="879"/>
    </row>
    <row r="468" spans="1:3" x14ac:dyDescent="0.25">
      <c r="A468" s="879"/>
      <c r="B468" s="1452" t="s">
        <v>1815</v>
      </c>
      <c r="C468" s="879"/>
    </row>
    <row r="469" spans="1:3" x14ac:dyDescent="0.25">
      <c r="A469" s="879"/>
      <c r="B469" s="1452" t="s">
        <v>1435</v>
      </c>
      <c r="C469" s="879"/>
    </row>
    <row r="470" spans="1:3" x14ac:dyDescent="0.25">
      <c r="A470" s="879"/>
      <c r="B470" s="1452" t="s">
        <v>1436</v>
      </c>
      <c r="C470" s="879"/>
    </row>
    <row r="471" spans="1:3" x14ac:dyDescent="0.25">
      <c r="A471" s="879"/>
      <c r="B471" s="1452" t="s">
        <v>1816</v>
      </c>
      <c r="C471" s="879"/>
    </row>
    <row r="472" spans="1:3" x14ac:dyDescent="0.25">
      <c r="A472" s="879"/>
      <c r="B472" s="1452" t="s">
        <v>1437</v>
      </c>
      <c r="C472" s="879"/>
    </row>
    <row r="473" spans="1:3" x14ac:dyDescent="0.25">
      <c r="A473" s="879"/>
      <c r="B473" s="1452" t="s">
        <v>1817</v>
      </c>
      <c r="C473" s="879"/>
    </row>
    <row r="474" spans="1:3" x14ac:dyDescent="0.25">
      <c r="A474" s="879"/>
      <c r="B474" s="1452" t="s">
        <v>1818</v>
      </c>
      <c r="C474" s="879"/>
    </row>
    <row r="475" spans="1:3" x14ac:dyDescent="0.25">
      <c r="A475" s="879"/>
      <c r="B475" s="1452" t="s">
        <v>1819</v>
      </c>
      <c r="C475" s="879"/>
    </row>
    <row r="476" spans="1:3" x14ac:dyDescent="0.25">
      <c r="A476" s="879"/>
      <c r="B476" s="1452" t="s">
        <v>1820</v>
      </c>
      <c r="C476" s="879"/>
    </row>
    <row r="477" spans="1:3" x14ac:dyDescent="0.25">
      <c r="A477" s="879"/>
      <c r="B477" s="1452" t="s">
        <v>1821</v>
      </c>
      <c r="C477" s="879"/>
    </row>
    <row r="478" spans="1:3" x14ac:dyDescent="0.25">
      <c r="A478" s="879"/>
      <c r="B478" s="1452" t="s">
        <v>1438</v>
      </c>
      <c r="C478" s="879"/>
    </row>
    <row r="479" spans="1:3" x14ac:dyDescent="0.25">
      <c r="A479" s="879"/>
      <c r="B479" s="1452" t="s">
        <v>1439</v>
      </c>
      <c r="C479" s="879"/>
    </row>
    <row r="480" spans="1:3" x14ac:dyDescent="0.25">
      <c r="A480" s="879"/>
      <c r="B480" s="1452" t="s">
        <v>1822</v>
      </c>
      <c r="C480" s="879"/>
    </row>
    <row r="481" spans="1:3" x14ac:dyDescent="0.25">
      <c r="A481" s="879"/>
      <c r="B481" s="1452" t="s">
        <v>1440</v>
      </c>
      <c r="C481" s="879"/>
    </row>
    <row r="482" spans="1:3" x14ac:dyDescent="0.25">
      <c r="A482" s="879"/>
      <c r="B482" s="1452" t="s">
        <v>1823</v>
      </c>
      <c r="C482" s="879"/>
    </row>
    <row r="483" spans="1:3" x14ac:dyDescent="0.25">
      <c r="A483" s="879"/>
      <c r="B483" s="1452" t="s">
        <v>1824</v>
      </c>
      <c r="C483" s="879"/>
    </row>
    <row r="484" spans="1:3" x14ac:dyDescent="0.25">
      <c r="A484" s="879"/>
      <c r="B484" s="1452" t="s">
        <v>1825</v>
      </c>
      <c r="C484" s="879"/>
    </row>
    <row r="485" spans="1:3" x14ac:dyDescent="0.25">
      <c r="A485" s="879"/>
      <c r="B485" s="1452" t="s">
        <v>1826</v>
      </c>
      <c r="C485" s="879"/>
    </row>
    <row r="486" spans="1:3" x14ac:dyDescent="0.25">
      <c r="A486" s="879"/>
      <c r="B486" s="1452" t="s">
        <v>1441</v>
      </c>
      <c r="C486" s="879"/>
    </row>
    <row r="487" spans="1:3" x14ac:dyDescent="0.25">
      <c r="A487" s="879"/>
      <c r="B487" s="1452" t="s">
        <v>1442</v>
      </c>
      <c r="C487" s="879"/>
    </row>
    <row r="488" spans="1:3" x14ac:dyDescent="0.25">
      <c r="A488" s="879"/>
      <c r="B488" s="1452" t="s">
        <v>1443</v>
      </c>
      <c r="C488" s="879"/>
    </row>
    <row r="489" spans="1:3" x14ac:dyDescent="0.25">
      <c r="A489" s="879"/>
      <c r="B489" s="1452" t="s">
        <v>1827</v>
      </c>
      <c r="C489" s="879"/>
    </row>
    <row r="490" spans="1:3" x14ac:dyDescent="0.25">
      <c r="A490" s="879"/>
      <c r="B490" s="1452" t="s">
        <v>1828</v>
      </c>
      <c r="C490" s="879"/>
    </row>
    <row r="491" spans="1:3" x14ac:dyDescent="0.25">
      <c r="A491" s="879"/>
      <c r="B491" s="1452" t="s">
        <v>1444</v>
      </c>
      <c r="C491" s="879"/>
    </row>
    <row r="492" spans="1:3" x14ac:dyDescent="0.25">
      <c r="A492" s="879"/>
      <c r="B492" s="1452" t="s">
        <v>1445</v>
      </c>
      <c r="C492" s="879"/>
    </row>
    <row r="493" spans="1:3" x14ac:dyDescent="0.25">
      <c r="A493" s="879"/>
      <c r="B493" s="1452" t="s">
        <v>1829</v>
      </c>
      <c r="C493" s="879"/>
    </row>
    <row r="494" spans="1:3" x14ac:dyDescent="0.25">
      <c r="A494" s="879"/>
      <c r="B494" s="1452" t="s">
        <v>1830</v>
      </c>
      <c r="C494" s="879"/>
    </row>
    <row r="495" spans="1:3" x14ac:dyDescent="0.25">
      <c r="A495" s="879"/>
      <c r="B495" s="1452" t="s">
        <v>1831</v>
      </c>
      <c r="C495" s="879"/>
    </row>
    <row r="496" spans="1:3" x14ac:dyDescent="0.25">
      <c r="A496" s="879"/>
      <c r="B496" s="1452" t="s">
        <v>1832</v>
      </c>
      <c r="C496" s="879"/>
    </row>
    <row r="497" spans="1:3" x14ac:dyDescent="0.25">
      <c r="A497" s="879"/>
      <c r="B497" s="1452" t="s">
        <v>1833</v>
      </c>
      <c r="C497" s="879"/>
    </row>
    <row r="498" spans="1:3" x14ac:dyDescent="0.25">
      <c r="A498" s="879"/>
      <c r="B498" s="1452" t="s">
        <v>1834</v>
      </c>
      <c r="C498" s="879"/>
    </row>
    <row r="499" spans="1:3" x14ac:dyDescent="0.25">
      <c r="A499" s="879"/>
      <c r="B499" s="1452" t="s">
        <v>1835</v>
      </c>
      <c r="C499" s="879"/>
    </row>
    <row r="500" spans="1:3" x14ac:dyDescent="0.25">
      <c r="A500" s="879"/>
      <c r="B500" s="1452" t="s">
        <v>1836</v>
      </c>
      <c r="C500" s="879"/>
    </row>
    <row r="501" spans="1:3" x14ac:dyDescent="0.25">
      <c r="A501" s="879"/>
      <c r="B501" s="1452" t="s">
        <v>1837</v>
      </c>
      <c r="C501" s="879"/>
    </row>
    <row r="502" spans="1:3" x14ac:dyDescent="0.25">
      <c r="A502" s="879"/>
      <c r="B502" s="1452" t="s">
        <v>1446</v>
      </c>
      <c r="C502" s="879"/>
    </row>
    <row r="503" spans="1:3" x14ac:dyDescent="0.25">
      <c r="A503" s="879"/>
      <c r="B503" s="1452" t="s">
        <v>1838</v>
      </c>
      <c r="C503" s="879"/>
    </row>
    <row r="504" spans="1:3" x14ac:dyDescent="0.25">
      <c r="A504" s="879"/>
      <c r="B504" s="1452" t="s">
        <v>1447</v>
      </c>
      <c r="C504" s="879"/>
    </row>
    <row r="505" spans="1:3" x14ac:dyDescent="0.25">
      <c r="A505" s="879"/>
      <c r="B505" s="1452" t="s">
        <v>1839</v>
      </c>
      <c r="C505" s="879"/>
    </row>
    <row r="506" spans="1:3" x14ac:dyDescent="0.25">
      <c r="A506" s="879"/>
      <c r="B506" s="1452" t="s">
        <v>1430</v>
      </c>
      <c r="C506" s="879"/>
    </row>
    <row r="507" spans="1:3" x14ac:dyDescent="0.25">
      <c r="A507" s="879"/>
      <c r="B507" s="1452" t="s">
        <v>1367</v>
      </c>
      <c r="C507" s="879"/>
    </row>
    <row r="508" spans="1:3" x14ac:dyDescent="0.25">
      <c r="A508" s="879"/>
      <c r="B508" s="1452" t="s">
        <v>1449</v>
      </c>
      <c r="C508" s="879"/>
    </row>
    <row r="509" spans="1:3" x14ac:dyDescent="0.25">
      <c r="A509" s="879"/>
      <c r="B509" s="1452" t="s">
        <v>1367</v>
      </c>
      <c r="C509" s="879"/>
    </row>
    <row r="510" spans="1:3" x14ac:dyDescent="0.25">
      <c r="A510" s="879"/>
      <c r="B510" s="1452" t="s">
        <v>1450</v>
      </c>
      <c r="C510" s="879"/>
    </row>
    <row r="511" spans="1:3" x14ac:dyDescent="0.25">
      <c r="A511" s="879"/>
      <c r="B511" s="1452" t="s">
        <v>1451</v>
      </c>
      <c r="C511" s="879"/>
    </row>
    <row r="512" spans="1:3" x14ac:dyDescent="0.25">
      <c r="A512" s="879"/>
      <c r="B512" s="1452" t="s">
        <v>1452</v>
      </c>
      <c r="C512" s="879"/>
    </row>
    <row r="513" spans="1:3" x14ac:dyDescent="0.25">
      <c r="A513" s="879"/>
      <c r="B513" s="1452" t="s">
        <v>1681</v>
      </c>
      <c r="C513" s="879"/>
    </row>
    <row r="514" spans="1:3" x14ac:dyDescent="0.25">
      <c r="A514" s="879"/>
      <c r="B514" s="1452" t="s">
        <v>1682</v>
      </c>
      <c r="C514" s="879"/>
    </row>
    <row r="515" spans="1:3" x14ac:dyDescent="0.25">
      <c r="A515" s="879"/>
      <c r="B515" s="1452" t="s">
        <v>1791</v>
      </c>
      <c r="C515" s="879"/>
    </row>
    <row r="516" spans="1:3" x14ac:dyDescent="0.25">
      <c r="A516" s="879"/>
      <c r="B516" s="1452" t="s">
        <v>1684</v>
      </c>
      <c r="C516" s="879"/>
    </row>
    <row r="517" spans="1:3" x14ac:dyDescent="0.25">
      <c r="A517" s="879"/>
      <c r="B517" s="1452" t="s">
        <v>1453</v>
      </c>
      <c r="C517" s="879"/>
    </row>
    <row r="518" spans="1:3" x14ac:dyDescent="0.25">
      <c r="A518" s="879"/>
      <c r="B518" s="1452" t="s">
        <v>1792</v>
      </c>
      <c r="C518" s="879"/>
    </row>
    <row r="519" spans="1:3" x14ac:dyDescent="0.25">
      <c r="A519" s="879"/>
      <c r="B519" s="1452" t="s">
        <v>1685</v>
      </c>
      <c r="C519" s="879"/>
    </row>
    <row r="520" spans="1:3" x14ac:dyDescent="0.25">
      <c r="A520" s="879"/>
      <c r="B520" s="1452" t="s">
        <v>1686</v>
      </c>
      <c r="C520" s="879"/>
    </row>
    <row r="521" spans="1:3" x14ac:dyDescent="0.25">
      <c r="A521" s="879"/>
      <c r="B521" s="1452" t="s">
        <v>1454</v>
      </c>
      <c r="C521" s="879"/>
    </row>
    <row r="522" spans="1:3" x14ac:dyDescent="0.25">
      <c r="A522" s="879"/>
      <c r="B522" s="1452" t="s">
        <v>1793</v>
      </c>
      <c r="C522" s="879"/>
    </row>
    <row r="523" spans="1:3" x14ac:dyDescent="0.25">
      <c r="A523" s="879"/>
      <c r="B523" s="1452" t="s">
        <v>1455</v>
      </c>
      <c r="C523" s="879"/>
    </row>
    <row r="524" spans="1:3" x14ac:dyDescent="0.25">
      <c r="A524" s="879"/>
      <c r="B524" s="1452" t="s">
        <v>1794</v>
      </c>
      <c r="C524" s="879"/>
    </row>
    <row r="525" spans="1:3" x14ac:dyDescent="0.25">
      <c r="A525" s="879"/>
      <c r="B525" s="1452" t="s">
        <v>1688</v>
      </c>
      <c r="C525" s="879"/>
    </row>
    <row r="526" spans="1:3" x14ac:dyDescent="0.25">
      <c r="A526" s="879"/>
      <c r="B526" s="1452" t="s">
        <v>1795</v>
      </c>
      <c r="C526" s="879"/>
    </row>
    <row r="527" spans="1:3" x14ac:dyDescent="0.25">
      <c r="A527" s="879"/>
      <c r="B527" s="1452" t="s">
        <v>1456</v>
      </c>
      <c r="C527" s="879"/>
    </row>
    <row r="528" spans="1:3" x14ac:dyDescent="0.25">
      <c r="A528" s="879"/>
      <c r="B528" s="1452" t="s">
        <v>1367</v>
      </c>
      <c r="C528" s="879"/>
    </row>
    <row r="529" spans="1:3" x14ac:dyDescent="0.25">
      <c r="A529" s="879"/>
      <c r="B529" s="1452" t="s">
        <v>1450</v>
      </c>
      <c r="C529" s="879"/>
    </row>
    <row r="530" spans="1:3" x14ac:dyDescent="0.25">
      <c r="A530" s="879"/>
      <c r="B530" s="1452" t="s">
        <v>1451</v>
      </c>
      <c r="C530" s="879"/>
    </row>
    <row r="531" spans="1:3" x14ac:dyDescent="0.25">
      <c r="A531" s="879"/>
      <c r="B531" s="1452" t="s">
        <v>1452</v>
      </c>
      <c r="C531" s="879"/>
    </row>
    <row r="532" spans="1:3" x14ac:dyDescent="0.25">
      <c r="A532" s="879"/>
      <c r="B532" s="1452" t="s">
        <v>1681</v>
      </c>
      <c r="C532" s="879"/>
    </row>
    <row r="533" spans="1:3" x14ac:dyDescent="0.25">
      <c r="A533" s="879"/>
      <c r="B533" s="1452" t="s">
        <v>1682</v>
      </c>
      <c r="C533" s="879"/>
    </row>
    <row r="534" spans="1:3" x14ac:dyDescent="0.25">
      <c r="A534" s="879"/>
      <c r="B534" s="1452" t="s">
        <v>1791</v>
      </c>
      <c r="C534" s="879"/>
    </row>
    <row r="535" spans="1:3" x14ac:dyDescent="0.25">
      <c r="A535" s="879"/>
      <c r="B535" s="1452" t="s">
        <v>1684</v>
      </c>
      <c r="C535" s="879"/>
    </row>
    <row r="536" spans="1:3" x14ac:dyDescent="0.25">
      <c r="A536" s="879"/>
      <c r="B536" s="1452" t="s">
        <v>1453</v>
      </c>
      <c r="C536" s="879"/>
    </row>
    <row r="537" spans="1:3" x14ac:dyDescent="0.25">
      <c r="A537" s="879"/>
      <c r="B537" s="1452" t="s">
        <v>1792</v>
      </c>
      <c r="C537" s="879"/>
    </row>
    <row r="538" spans="1:3" x14ac:dyDescent="0.25">
      <c r="A538" s="879"/>
      <c r="B538" s="1452" t="s">
        <v>1685</v>
      </c>
      <c r="C538" s="879"/>
    </row>
    <row r="539" spans="1:3" x14ac:dyDescent="0.25">
      <c r="A539" s="879"/>
      <c r="B539" s="1452" t="s">
        <v>1686</v>
      </c>
      <c r="C539" s="879"/>
    </row>
    <row r="540" spans="1:3" x14ac:dyDescent="0.25">
      <c r="A540" s="879"/>
      <c r="B540" s="1452" t="s">
        <v>1454</v>
      </c>
      <c r="C540" s="879"/>
    </row>
    <row r="541" spans="1:3" x14ac:dyDescent="0.25">
      <c r="A541" s="879"/>
      <c r="B541" s="1452" t="s">
        <v>1793</v>
      </c>
      <c r="C541" s="879"/>
    </row>
    <row r="542" spans="1:3" x14ac:dyDescent="0.25">
      <c r="A542" s="879"/>
      <c r="B542" s="1452" t="s">
        <v>1455</v>
      </c>
      <c r="C542" s="879"/>
    </row>
    <row r="543" spans="1:3" x14ac:dyDescent="0.25">
      <c r="A543" s="879"/>
      <c r="B543" s="1452" t="s">
        <v>1794</v>
      </c>
      <c r="C543" s="879"/>
    </row>
    <row r="544" spans="1:3" x14ac:dyDescent="0.25">
      <c r="A544" s="879"/>
      <c r="B544" s="1452" t="s">
        <v>1688</v>
      </c>
      <c r="C544" s="879"/>
    </row>
    <row r="545" spans="1:3" x14ac:dyDescent="0.25">
      <c r="A545" s="879"/>
      <c r="B545" s="1452" t="s">
        <v>1795</v>
      </c>
      <c r="C545" s="879"/>
    </row>
    <row r="546" spans="1:3" x14ac:dyDescent="0.25">
      <c r="A546" s="879"/>
      <c r="B546" s="1452" t="s">
        <v>1457</v>
      </c>
      <c r="C546" s="879"/>
    </row>
    <row r="547" spans="1:3" x14ac:dyDescent="0.25">
      <c r="A547" s="879"/>
      <c r="B547" s="1452" t="s">
        <v>1367</v>
      </c>
      <c r="C547" s="879"/>
    </row>
    <row r="548" spans="1:3" x14ac:dyDescent="0.25">
      <c r="A548" s="879"/>
      <c r="B548" s="1452" t="s">
        <v>1450</v>
      </c>
      <c r="C548" s="879"/>
    </row>
    <row r="549" spans="1:3" x14ac:dyDescent="0.25">
      <c r="A549" s="879"/>
      <c r="B549" s="1452" t="s">
        <v>1451</v>
      </c>
      <c r="C549" s="879"/>
    </row>
    <row r="550" spans="1:3" x14ac:dyDescent="0.25">
      <c r="A550" s="879"/>
      <c r="B550" s="1452" t="s">
        <v>1452</v>
      </c>
      <c r="C550" s="879"/>
    </row>
    <row r="551" spans="1:3" x14ac:dyDescent="0.25">
      <c r="A551" s="879"/>
      <c r="B551" s="1452" t="s">
        <v>1681</v>
      </c>
      <c r="C551" s="879"/>
    </row>
    <row r="552" spans="1:3" x14ac:dyDescent="0.25">
      <c r="A552" s="879"/>
      <c r="B552" s="1452" t="s">
        <v>1682</v>
      </c>
      <c r="C552" s="879"/>
    </row>
    <row r="553" spans="1:3" x14ac:dyDescent="0.25">
      <c r="A553" s="879"/>
      <c r="B553" s="1452" t="s">
        <v>1840</v>
      </c>
      <c r="C553" s="879"/>
    </row>
    <row r="554" spans="1:3" x14ac:dyDescent="0.25">
      <c r="A554" s="879"/>
      <c r="B554" s="1452" t="s">
        <v>1684</v>
      </c>
      <c r="C554" s="879"/>
    </row>
    <row r="555" spans="1:3" x14ac:dyDescent="0.25">
      <c r="A555" s="879"/>
      <c r="B555" s="1452" t="s">
        <v>1453</v>
      </c>
      <c r="C555" s="879"/>
    </row>
    <row r="556" spans="1:3" x14ac:dyDescent="0.25">
      <c r="A556" s="879"/>
      <c r="B556" s="1452" t="s">
        <v>1841</v>
      </c>
      <c r="C556" s="879"/>
    </row>
    <row r="557" spans="1:3" x14ac:dyDescent="0.25">
      <c r="A557" s="879"/>
      <c r="B557" s="1452" t="s">
        <v>1685</v>
      </c>
      <c r="C557" s="879"/>
    </row>
    <row r="558" spans="1:3" x14ac:dyDescent="0.25">
      <c r="A558" s="879"/>
      <c r="B558" s="1452" t="s">
        <v>1686</v>
      </c>
      <c r="C558" s="879"/>
    </row>
    <row r="559" spans="1:3" x14ac:dyDescent="0.25">
      <c r="A559" s="879"/>
      <c r="B559" s="1452" t="s">
        <v>1454</v>
      </c>
      <c r="C559" s="879"/>
    </row>
    <row r="560" spans="1:3" x14ac:dyDescent="0.25">
      <c r="A560" s="879"/>
      <c r="B560" s="1452" t="s">
        <v>1842</v>
      </c>
      <c r="C560" s="879"/>
    </row>
    <row r="561" spans="1:3" x14ac:dyDescent="0.25">
      <c r="A561" s="879"/>
      <c r="B561" s="1452" t="s">
        <v>1455</v>
      </c>
      <c r="C561" s="879"/>
    </row>
    <row r="562" spans="1:3" x14ac:dyDescent="0.25">
      <c r="A562" s="879"/>
      <c r="B562" s="1452" t="s">
        <v>1843</v>
      </c>
      <c r="C562" s="879"/>
    </row>
    <row r="563" spans="1:3" x14ac:dyDescent="0.25">
      <c r="A563" s="879"/>
      <c r="B563" s="1452" t="s">
        <v>1688</v>
      </c>
      <c r="C563" s="879"/>
    </row>
    <row r="564" spans="1:3" x14ac:dyDescent="0.25">
      <c r="A564" s="879"/>
      <c r="B564" s="1452" t="s">
        <v>1458</v>
      </c>
      <c r="C564" s="879"/>
    </row>
    <row r="565" spans="1:3" x14ac:dyDescent="0.25">
      <c r="A565" s="879"/>
      <c r="B565" s="1452" t="s">
        <v>1459</v>
      </c>
      <c r="C565" s="879"/>
    </row>
    <row r="566" spans="1:3" x14ac:dyDescent="0.25">
      <c r="A566" s="879"/>
      <c r="B566" s="1452" t="s">
        <v>1367</v>
      </c>
      <c r="C566" s="879"/>
    </row>
    <row r="567" spans="1:3" x14ac:dyDescent="0.25">
      <c r="A567" s="879"/>
      <c r="B567" s="1452" t="s">
        <v>1450</v>
      </c>
      <c r="C567" s="879"/>
    </row>
    <row r="568" spans="1:3" x14ac:dyDescent="0.25">
      <c r="A568" s="879"/>
      <c r="B568" s="1452" t="s">
        <v>1451</v>
      </c>
      <c r="C568" s="879"/>
    </row>
    <row r="569" spans="1:3" x14ac:dyDescent="0.25">
      <c r="A569" s="879"/>
      <c r="B569" s="1452" t="s">
        <v>1452</v>
      </c>
      <c r="C569" s="879"/>
    </row>
    <row r="570" spans="1:3" x14ac:dyDescent="0.25">
      <c r="A570" s="879"/>
      <c r="B570" s="1452" t="s">
        <v>1681</v>
      </c>
      <c r="C570" s="879"/>
    </row>
    <row r="571" spans="1:3" x14ac:dyDescent="0.25">
      <c r="A571" s="879"/>
      <c r="B571" s="1452" t="s">
        <v>1682</v>
      </c>
      <c r="C571" s="879"/>
    </row>
    <row r="572" spans="1:3" x14ac:dyDescent="0.25">
      <c r="A572" s="879"/>
      <c r="B572" s="1452" t="s">
        <v>1840</v>
      </c>
      <c r="C572" s="879"/>
    </row>
    <row r="573" spans="1:3" x14ac:dyDescent="0.25">
      <c r="A573" s="879"/>
      <c r="B573" s="1452" t="s">
        <v>1684</v>
      </c>
      <c r="C573" s="879"/>
    </row>
    <row r="574" spans="1:3" x14ac:dyDescent="0.25">
      <c r="A574" s="879"/>
      <c r="B574" s="1452" t="s">
        <v>1453</v>
      </c>
      <c r="C574" s="879"/>
    </row>
    <row r="575" spans="1:3" x14ac:dyDescent="0.25">
      <c r="A575" s="879"/>
      <c r="B575" s="1452" t="s">
        <v>1841</v>
      </c>
      <c r="C575" s="879"/>
    </row>
    <row r="576" spans="1:3" x14ac:dyDescent="0.25">
      <c r="A576" s="879"/>
      <c r="B576" s="1452" t="s">
        <v>1685</v>
      </c>
      <c r="C576" s="879"/>
    </row>
    <row r="577" spans="1:3" x14ac:dyDescent="0.25">
      <c r="A577" s="879"/>
      <c r="B577" s="1452" t="s">
        <v>1686</v>
      </c>
      <c r="C577" s="879"/>
    </row>
    <row r="578" spans="1:3" x14ac:dyDescent="0.25">
      <c r="A578" s="879"/>
      <c r="B578" s="1452" t="s">
        <v>1454</v>
      </c>
      <c r="C578" s="879"/>
    </row>
    <row r="579" spans="1:3" x14ac:dyDescent="0.25">
      <c r="A579" s="879"/>
      <c r="B579" s="1452" t="s">
        <v>1842</v>
      </c>
      <c r="C579" s="879"/>
    </row>
    <row r="580" spans="1:3" x14ac:dyDescent="0.25">
      <c r="A580" s="879"/>
      <c r="B580" s="1452" t="s">
        <v>1455</v>
      </c>
      <c r="C580" s="879"/>
    </row>
    <row r="581" spans="1:3" x14ac:dyDescent="0.25">
      <c r="A581" s="879"/>
      <c r="B581" s="1452" t="s">
        <v>1843</v>
      </c>
      <c r="C581" s="879"/>
    </row>
    <row r="582" spans="1:3" x14ac:dyDescent="0.25">
      <c r="A582" s="879"/>
      <c r="B582" s="1452" t="s">
        <v>1688</v>
      </c>
      <c r="C582" s="879"/>
    </row>
    <row r="583" spans="1:3" x14ac:dyDescent="0.25">
      <c r="A583" s="879"/>
      <c r="B583" s="1452" t="s">
        <v>1458</v>
      </c>
      <c r="C583" s="879"/>
    </row>
    <row r="584" spans="1:3" x14ac:dyDescent="0.25">
      <c r="A584" s="879"/>
      <c r="B584" s="1452" t="s">
        <v>1690</v>
      </c>
      <c r="C584" s="879"/>
    </row>
    <row r="585" spans="1:3" x14ac:dyDescent="0.25">
      <c r="A585" s="879"/>
      <c r="B585" s="1452" t="s">
        <v>1367</v>
      </c>
      <c r="C585" s="879"/>
    </row>
    <row r="586" spans="1:3" x14ac:dyDescent="0.25">
      <c r="A586" s="879"/>
      <c r="B586" s="1452" t="s">
        <v>1691</v>
      </c>
      <c r="C586" s="879"/>
    </row>
    <row r="587" spans="1:3" x14ac:dyDescent="0.25">
      <c r="A587" s="879"/>
      <c r="B587" s="1452" t="s">
        <v>1692</v>
      </c>
      <c r="C587" s="879"/>
    </row>
    <row r="588" spans="1:3" x14ac:dyDescent="0.25">
      <c r="A588" s="879"/>
      <c r="B588" s="1452" t="s">
        <v>1693</v>
      </c>
      <c r="C588" s="879"/>
    </row>
    <row r="589" spans="1:3" x14ac:dyDescent="0.25">
      <c r="A589" s="879"/>
      <c r="B589" s="1452" t="s">
        <v>1694</v>
      </c>
      <c r="C589" s="879"/>
    </row>
    <row r="590" spans="1:3" x14ac:dyDescent="0.25">
      <c r="A590" s="879"/>
      <c r="B590" s="1452" t="s">
        <v>1844</v>
      </c>
      <c r="C590" s="879"/>
    </row>
    <row r="591" spans="1:3" x14ac:dyDescent="0.25">
      <c r="A591" s="879"/>
      <c r="B591" s="1452" t="s">
        <v>1696</v>
      </c>
      <c r="C591" s="879"/>
    </row>
    <row r="592" spans="1:3" x14ac:dyDescent="0.25">
      <c r="A592" s="879"/>
      <c r="B592" s="1452" t="s">
        <v>1845</v>
      </c>
      <c r="C592" s="879"/>
    </row>
    <row r="593" spans="1:3" x14ac:dyDescent="0.25">
      <c r="A593" s="879"/>
      <c r="B593" s="1452" t="s">
        <v>1846</v>
      </c>
      <c r="C593" s="879"/>
    </row>
    <row r="594" spans="1:3" x14ac:dyDescent="0.25">
      <c r="A594" s="879"/>
      <c r="B594" s="1452" t="s">
        <v>1699</v>
      </c>
      <c r="C594" s="879"/>
    </row>
    <row r="595" spans="1:3" x14ac:dyDescent="0.25">
      <c r="A595" s="879"/>
      <c r="B595" s="1452" t="s">
        <v>1700</v>
      </c>
      <c r="C595" s="879"/>
    </row>
    <row r="596" spans="1:3" x14ac:dyDescent="0.25">
      <c r="A596" s="879"/>
      <c r="B596" s="1452" t="s">
        <v>1847</v>
      </c>
      <c r="C596" s="879"/>
    </row>
    <row r="597" spans="1:3" x14ac:dyDescent="0.25">
      <c r="A597" s="879"/>
      <c r="B597" s="1452" t="s">
        <v>1848</v>
      </c>
      <c r="C597" s="879"/>
    </row>
    <row r="598" spans="1:3" x14ac:dyDescent="0.25">
      <c r="A598" s="879"/>
      <c r="B598" s="1452" t="s">
        <v>1703</v>
      </c>
      <c r="C598" s="879"/>
    </row>
    <row r="599" spans="1:3" x14ac:dyDescent="0.25">
      <c r="A599" s="879"/>
      <c r="B599" s="1452" t="s">
        <v>1849</v>
      </c>
      <c r="C599" s="879"/>
    </row>
    <row r="600" spans="1:3" x14ac:dyDescent="0.25">
      <c r="A600" s="879"/>
      <c r="B600" s="1452" t="s">
        <v>1705</v>
      </c>
      <c r="C600" s="879"/>
    </row>
    <row r="601" spans="1:3" x14ac:dyDescent="0.25">
      <c r="A601" s="879"/>
      <c r="B601" s="1452"/>
      <c r="C601" s="879"/>
    </row>
    <row r="602" spans="1:3" x14ac:dyDescent="0.25">
      <c r="A602" s="879"/>
      <c r="B602" s="1452"/>
      <c r="C602" s="879"/>
    </row>
    <row r="603" spans="1:3" x14ac:dyDescent="0.25">
      <c r="A603" s="879"/>
      <c r="B603" s="1452" t="s">
        <v>1368</v>
      </c>
      <c r="C603" s="879"/>
    </row>
    <row r="604" spans="1:3" x14ac:dyDescent="0.25">
      <c r="A604" s="879"/>
      <c r="B604" s="1452" t="s">
        <v>1850</v>
      </c>
      <c r="C604" s="879"/>
    </row>
    <row r="605" spans="1:3" x14ac:dyDescent="0.25">
      <c r="A605" s="879"/>
      <c r="B605" s="1452" t="s">
        <v>1368</v>
      </c>
      <c r="C605" s="879"/>
    </row>
    <row r="606" spans="1:3" x14ac:dyDescent="0.25">
      <c r="A606" s="879"/>
      <c r="B606" s="1452" t="s">
        <v>1851</v>
      </c>
      <c r="C606" s="879"/>
    </row>
    <row r="607" spans="1:3" x14ac:dyDescent="0.25">
      <c r="A607" s="879"/>
      <c r="B607" s="1452" t="s">
        <v>1367</v>
      </c>
      <c r="C607" s="879"/>
    </row>
    <row r="608" spans="1:3" x14ac:dyDescent="0.25">
      <c r="A608" s="879"/>
      <c r="B608" s="1452" t="s">
        <v>1369</v>
      </c>
      <c r="C608" s="879"/>
    </row>
    <row r="609" spans="1:3" x14ac:dyDescent="0.25">
      <c r="A609" s="879"/>
      <c r="B609" s="1452" t="s">
        <v>1370</v>
      </c>
      <c r="C609" s="879"/>
    </row>
    <row r="610" spans="1:3" x14ac:dyDescent="0.25">
      <c r="A610" s="879"/>
      <c r="B610" s="1452" t="s">
        <v>1367</v>
      </c>
      <c r="C610" s="879"/>
    </row>
    <row r="611" spans="1:3" x14ac:dyDescent="0.25">
      <c r="A611" s="879"/>
      <c r="B611" s="1452" t="s">
        <v>1460</v>
      </c>
      <c r="C611" s="879"/>
    </row>
    <row r="612" spans="1:3" x14ac:dyDescent="0.25">
      <c r="A612" s="879"/>
      <c r="B612" s="1452" t="s">
        <v>1461</v>
      </c>
      <c r="C612" s="879"/>
    </row>
    <row r="613" spans="1:3" x14ac:dyDescent="0.25">
      <c r="A613" s="879"/>
      <c r="B613" s="1452" t="s">
        <v>1852</v>
      </c>
      <c r="C613" s="879"/>
    </row>
    <row r="614" spans="1:3" x14ac:dyDescent="0.25">
      <c r="A614" s="879"/>
      <c r="B614" s="1452" t="s">
        <v>1853</v>
      </c>
      <c r="C614" s="879"/>
    </row>
    <row r="615" spans="1:3" x14ac:dyDescent="0.25">
      <c r="A615" s="879"/>
      <c r="B615" s="1452" t="s">
        <v>1854</v>
      </c>
      <c r="C615" s="879"/>
    </row>
    <row r="616" spans="1:3" x14ac:dyDescent="0.25">
      <c r="A616" s="879"/>
      <c r="B616" s="1452" t="s">
        <v>1752</v>
      </c>
      <c r="C616" s="879"/>
    </row>
    <row r="617" spans="1:3" x14ac:dyDescent="0.25">
      <c r="A617" s="879"/>
      <c r="B617" s="1452" t="s">
        <v>1855</v>
      </c>
      <c r="C617" s="879"/>
    </row>
    <row r="618" spans="1:3" x14ac:dyDescent="0.25">
      <c r="A618" s="879"/>
      <c r="B618" s="1452" t="s">
        <v>1856</v>
      </c>
      <c r="C618" s="879"/>
    </row>
    <row r="619" spans="1:3" x14ac:dyDescent="0.25">
      <c r="A619" s="879"/>
      <c r="B619" s="1452" t="s">
        <v>1857</v>
      </c>
      <c r="C619" s="879"/>
    </row>
    <row r="620" spans="1:3" x14ac:dyDescent="0.25">
      <c r="A620" s="879"/>
      <c r="B620" s="1452" t="s">
        <v>1858</v>
      </c>
      <c r="C620" s="879"/>
    </row>
    <row r="621" spans="1:3" x14ac:dyDescent="0.25">
      <c r="A621" s="879"/>
      <c r="B621" s="1452" t="s">
        <v>1462</v>
      </c>
      <c r="C621" s="879"/>
    </row>
    <row r="622" spans="1:3" x14ac:dyDescent="0.25">
      <c r="A622" s="879"/>
      <c r="B622" s="1452" t="s">
        <v>1382</v>
      </c>
      <c r="C622" s="879"/>
    </row>
    <row r="623" spans="1:3" x14ac:dyDescent="0.25">
      <c r="A623" s="879"/>
      <c r="B623" s="1452" t="s">
        <v>1367</v>
      </c>
      <c r="C623" s="879"/>
    </row>
    <row r="624" spans="1:3" x14ac:dyDescent="0.25">
      <c r="A624" s="879"/>
      <c r="B624" s="1452" t="s">
        <v>1460</v>
      </c>
      <c r="C624" s="879"/>
    </row>
    <row r="625" spans="1:3" x14ac:dyDescent="0.25">
      <c r="A625" s="879"/>
      <c r="B625" s="1452" t="s">
        <v>1859</v>
      </c>
      <c r="C625" s="879"/>
    </row>
    <row r="626" spans="1:3" x14ac:dyDescent="0.25">
      <c r="A626" s="879"/>
      <c r="B626" s="1452" t="s">
        <v>1860</v>
      </c>
      <c r="C626" s="879"/>
    </row>
    <row r="627" spans="1:3" x14ac:dyDescent="0.25">
      <c r="A627" s="879"/>
      <c r="B627" s="1452" t="s">
        <v>1861</v>
      </c>
      <c r="C627" s="879"/>
    </row>
    <row r="628" spans="1:3" x14ac:dyDescent="0.25">
      <c r="A628" s="879"/>
      <c r="B628" s="1452" t="s">
        <v>1862</v>
      </c>
      <c r="C628" s="879"/>
    </row>
    <row r="629" spans="1:3" x14ac:dyDescent="0.25">
      <c r="A629" s="879"/>
      <c r="B629" s="1452" t="s">
        <v>1863</v>
      </c>
      <c r="C629" s="879"/>
    </row>
    <row r="630" spans="1:3" x14ac:dyDescent="0.25">
      <c r="A630" s="879"/>
      <c r="B630" s="1452" t="s">
        <v>1864</v>
      </c>
      <c r="C630" s="879"/>
    </row>
    <row r="631" spans="1:3" x14ac:dyDescent="0.25">
      <c r="A631" s="879"/>
      <c r="B631" s="1452" t="s">
        <v>1865</v>
      </c>
      <c r="C631" s="879"/>
    </row>
    <row r="632" spans="1:3" x14ac:dyDescent="0.25">
      <c r="A632" s="879"/>
      <c r="B632" s="1452" t="s">
        <v>1866</v>
      </c>
      <c r="C632" s="879"/>
    </row>
    <row r="633" spans="1:3" x14ac:dyDescent="0.25">
      <c r="A633" s="879"/>
      <c r="B633" s="1452" t="s">
        <v>1867</v>
      </c>
      <c r="C633" s="879"/>
    </row>
    <row r="634" spans="1:3" x14ac:dyDescent="0.25">
      <c r="A634" s="879"/>
      <c r="B634" s="1452" t="s">
        <v>1868</v>
      </c>
      <c r="C634" s="879"/>
    </row>
    <row r="635" spans="1:3" x14ac:dyDescent="0.25">
      <c r="A635" s="879"/>
      <c r="B635" s="1452" t="s">
        <v>1466</v>
      </c>
      <c r="C635" s="879"/>
    </row>
    <row r="636" spans="1:3" x14ac:dyDescent="0.25">
      <c r="A636" s="879"/>
      <c r="B636" s="1452" t="s">
        <v>1467</v>
      </c>
      <c r="C636" s="879"/>
    </row>
    <row r="637" spans="1:3" x14ac:dyDescent="0.25">
      <c r="A637" s="879"/>
      <c r="B637" s="1452" t="s">
        <v>1869</v>
      </c>
      <c r="C637" s="879"/>
    </row>
    <row r="638" spans="1:3" x14ac:dyDescent="0.25">
      <c r="A638" s="879"/>
      <c r="B638" s="1452" t="s">
        <v>1469</v>
      </c>
      <c r="C638" s="879"/>
    </row>
    <row r="639" spans="1:3" x14ac:dyDescent="0.25">
      <c r="A639" s="879"/>
      <c r="B639" s="1452" t="s">
        <v>1870</v>
      </c>
      <c r="C639" s="879"/>
    </row>
    <row r="640" spans="1:3" x14ac:dyDescent="0.25">
      <c r="A640" s="879"/>
      <c r="B640" s="1452" t="s">
        <v>1871</v>
      </c>
      <c r="C640" s="879"/>
    </row>
    <row r="641" spans="1:3" x14ac:dyDescent="0.25">
      <c r="A641" s="879"/>
      <c r="B641" s="1452" t="s">
        <v>1872</v>
      </c>
      <c r="C641" s="879"/>
    </row>
    <row r="642" spans="1:3" x14ac:dyDescent="0.25">
      <c r="A642" s="879"/>
      <c r="B642" s="1452" t="s">
        <v>1873</v>
      </c>
      <c r="C642" s="879"/>
    </row>
    <row r="643" spans="1:3" x14ac:dyDescent="0.25">
      <c r="A643" s="879"/>
      <c r="B643" s="1452" t="s">
        <v>1874</v>
      </c>
      <c r="C643" s="879"/>
    </row>
    <row r="644" spans="1:3" x14ac:dyDescent="0.25">
      <c r="A644" s="879"/>
      <c r="B644" s="1452" t="s">
        <v>1471</v>
      </c>
      <c r="C644" s="879"/>
    </row>
    <row r="645" spans="1:3" x14ac:dyDescent="0.25">
      <c r="A645" s="879"/>
      <c r="B645" s="1452" t="s">
        <v>1508</v>
      </c>
      <c r="C645" s="879"/>
    </row>
    <row r="646" spans="1:3" x14ac:dyDescent="0.25">
      <c r="A646" s="879"/>
      <c r="B646" s="1452" t="s">
        <v>1875</v>
      </c>
      <c r="C646" s="879"/>
    </row>
    <row r="647" spans="1:3" x14ac:dyDescent="0.25">
      <c r="A647" s="879"/>
      <c r="B647" s="1452" t="s">
        <v>1473</v>
      </c>
      <c r="C647" s="879"/>
    </row>
    <row r="648" spans="1:3" x14ac:dyDescent="0.25">
      <c r="A648" s="879"/>
      <c r="B648" s="1452" t="s">
        <v>1876</v>
      </c>
      <c r="C648" s="879"/>
    </row>
    <row r="649" spans="1:3" x14ac:dyDescent="0.25">
      <c r="A649" s="879"/>
      <c r="B649" s="1452" t="s">
        <v>1877</v>
      </c>
      <c r="C649" s="879"/>
    </row>
    <row r="650" spans="1:3" x14ac:dyDescent="0.25">
      <c r="A650" s="879"/>
      <c r="B650" s="1452" t="s">
        <v>1878</v>
      </c>
      <c r="C650" s="879"/>
    </row>
    <row r="651" spans="1:3" x14ac:dyDescent="0.25">
      <c r="A651" s="879"/>
      <c r="B651" s="1452" t="s">
        <v>1879</v>
      </c>
      <c r="C651" s="879"/>
    </row>
    <row r="652" spans="1:3" x14ac:dyDescent="0.25">
      <c r="A652" s="879"/>
      <c r="B652" s="1452" t="s">
        <v>1476</v>
      </c>
      <c r="C652" s="879"/>
    </row>
    <row r="653" spans="1:3" x14ac:dyDescent="0.25">
      <c r="A653" s="879"/>
      <c r="B653" s="1452" t="s">
        <v>1477</v>
      </c>
      <c r="C653" s="879"/>
    </row>
    <row r="654" spans="1:3" x14ac:dyDescent="0.25">
      <c r="A654" s="879"/>
      <c r="B654" s="1452" t="s">
        <v>1478</v>
      </c>
      <c r="C654" s="879"/>
    </row>
    <row r="655" spans="1:3" x14ac:dyDescent="0.25">
      <c r="A655" s="879"/>
      <c r="B655" s="1452" t="s">
        <v>1880</v>
      </c>
      <c r="C655" s="879"/>
    </row>
    <row r="656" spans="1:3" x14ac:dyDescent="0.25">
      <c r="A656" s="879"/>
      <c r="B656" s="1452" t="s">
        <v>1881</v>
      </c>
      <c r="C656" s="879"/>
    </row>
    <row r="657" spans="1:3" x14ac:dyDescent="0.25">
      <c r="A657" s="879"/>
      <c r="B657" s="1452" t="s">
        <v>1479</v>
      </c>
      <c r="C657" s="879"/>
    </row>
    <row r="658" spans="1:3" x14ac:dyDescent="0.25">
      <c r="A658" s="879"/>
      <c r="B658" s="1452" t="s">
        <v>1480</v>
      </c>
      <c r="C658" s="879"/>
    </row>
    <row r="659" spans="1:3" x14ac:dyDescent="0.25">
      <c r="A659" s="879"/>
      <c r="B659" s="1452" t="s">
        <v>1882</v>
      </c>
      <c r="C659" s="879"/>
    </row>
    <row r="660" spans="1:3" x14ac:dyDescent="0.25">
      <c r="A660" s="879"/>
      <c r="B660" s="1452" t="s">
        <v>1883</v>
      </c>
      <c r="C660" s="879"/>
    </row>
    <row r="661" spans="1:3" x14ac:dyDescent="0.25">
      <c r="A661" s="879"/>
      <c r="B661" s="1452" t="s">
        <v>1884</v>
      </c>
      <c r="C661" s="879"/>
    </row>
    <row r="662" spans="1:3" x14ac:dyDescent="0.25">
      <c r="A662" s="879"/>
      <c r="B662" s="1452" t="s">
        <v>1885</v>
      </c>
      <c r="C662" s="879"/>
    </row>
    <row r="663" spans="1:3" x14ac:dyDescent="0.25">
      <c r="A663" s="879"/>
      <c r="B663" s="1452" t="s">
        <v>1886</v>
      </c>
      <c r="C663" s="879"/>
    </row>
    <row r="664" spans="1:3" x14ac:dyDescent="0.25">
      <c r="A664" s="879"/>
      <c r="B664" s="1452" t="s">
        <v>1887</v>
      </c>
      <c r="C664" s="879"/>
    </row>
    <row r="665" spans="1:3" x14ac:dyDescent="0.25">
      <c r="A665" s="879"/>
      <c r="B665" s="1452" t="s">
        <v>1888</v>
      </c>
      <c r="C665" s="879"/>
    </row>
    <row r="666" spans="1:3" x14ac:dyDescent="0.25">
      <c r="A666" s="879"/>
      <c r="B666" s="1452" t="s">
        <v>1889</v>
      </c>
      <c r="C666" s="879"/>
    </row>
    <row r="667" spans="1:3" x14ac:dyDescent="0.25">
      <c r="A667" s="879"/>
      <c r="B667" s="1452" t="s">
        <v>1890</v>
      </c>
      <c r="C667" s="879"/>
    </row>
    <row r="668" spans="1:3" x14ac:dyDescent="0.25">
      <c r="A668" s="879"/>
      <c r="B668" s="1452" t="s">
        <v>1481</v>
      </c>
      <c r="C668" s="879"/>
    </row>
    <row r="669" spans="1:3" x14ac:dyDescent="0.25">
      <c r="A669" s="879"/>
      <c r="B669" s="1452" t="s">
        <v>1482</v>
      </c>
      <c r="C669" s="879"/>
    </row>
    <row r="670" spans="1:3" x14ac:dyDescent="0.25">
      <c r="A670" s="879"/>
      <c r="B670" s="1452" t="s">
        <v>1483</v>
      </c>
      <c r="C670" s="879"/>
    </row>
    <row r="671" spans="1:3" x14ac:dyDescent="0.25">
      <c r="A671" s="879"/>
      <c r="B671" s="1452" t="s">
        <v>1484</v>
      </c>
      <c r="C671" s="879"/>
    </row>
    <row r="672" spans="1:3" x14ac:dyDescent="0.25">
      <c r="A672" s="879"/>
      <c r="B672" s="1452" t="s">
        <v>1430</v>
      </c>
      <c r="C672" s="879"/>
    </row>
    <row r="673" spans="1:3" x14ac:dyDescent="0.25">
      <c r="A673" s="879"/>
      <c r="B673" s="1452" t="s">
        <v>1367</v>
      </c>
      <c r="C673" s="879"/>
    </row>
    <row r="674" spans="1:3" x14ac:dyDescent="0.25">
      <c r="A674" s="879"/>
      <c r="B674" s="1452" t="s">
        <v>1449</v>
      </c>
      <c r="C674" s="879"/>
    </row>
    <row r="675" spans="1:3" x14ac:dyDescent="0.25">
      <c r="A675" s="879"/>
      <c r="B675" s="1452" t="s">
        <v>1367</v>
      </c>
      <c r="C675" s="879"/>
    </row>
    <row r="676" spans="1:3" x14ac:dyDescent="0.25">
      <c r="A676" s="879"/>
      <c r="B676" s="1452" t="s">
        <v>1450</v>
      </c>
      <c r="C676" s="879"/>
    </row>
    <row r="677" spans="1:3" x14ac:dyDescent="0.25">
      <c r="A677" s="879"/>
      <c r="B677" s="1452" t="s">
        <v>1451</v>
      </c>
      <c r="C677" s="879"/>
    </row>
    <row r="678" spans="1:3" x14ac:dyDescent="0.25">
      <c r="A678" s="879"/>
      <c r="B678" s="1452" t="s">
        <v>1891</v>
      </c>
      <c r="C678" s="879"/>
    </row>
    <row r="679" spans="1:3" x14ac:dyDescent="0.25">
      <c r="A679" s="879"/>
      <c r="B679" s="1452" t="s">
        <v>1892</v>
      </c>
      <c r="C679" s="879"/>
    </row>
    <row r="680" spans="1:3" x14ac:dyDescent="0.25">
      <c r="A680" s="879"/>
      <c r="B680" s="1452" t="s">
        <v>1682</v>
      </c>
      <c r="C680" s="879"/>
    </row>
    <row r="681" spans="1:3" x14ac:dyDescent="0.25">
      <c r="A681" s="879"/>
      <c r="B681" s="1452" t="s">
        <v>1893</v>
      </c>
      <c r="C681" s="879"/>
    </row>
    <row r="682" spans="1:3" x14ac:dyDescent="0.25">
      <c r="A682" s="879"/>
      <c r="B682" s="1452" t="s">
        <v>1684</v>
      </c>
      <c r="C682" s="879"/>
    </row>
    <row r="683" spans="1:3" x14ac:dyDescent="0.25">
      <c r="A683" s="879"/>
      <c r="B683" s="1452" t="s">
        <v>1894</v>
      </c>
      <c r="C683" s="879"/>
    </row>
    <row r="684" spans="1:3" x14ac:dyDescent="0.25">
      <c r="A684" s="879"/>
      <c r="B684" s="1452" t="s">
        <v>1895</v>
      </c>
      <c r="C684" s="879"/>
    </row>
    <row r="685" spans="1:3" x14ac:dyDescent="0.25">
      <c r="A685" s="879"/>
      <c r="B685" s="1452" t="s">
        <v>1685</v>
      </c>
      <c r="C685" s="879"/>
    </row>
    <row r="686" spans="1:3" x14ac:dyDescent="0.25">
      <c r="A686" s="879"/>
      <c r="B686" s="1452" t="s">
        <v>1686</v>
      </c>
      <c r="C686" s="879"/>
    </row>
    <row r="687" spans="1:3" x14ac:dyDescent="0.25">
      <c r="A687" s="879"/>
      <c r="B687" s="1452" t="s">
        <v>1896</v>
      </c>
      <c r="C687" s="879"/>
    </row>
    <row r="688" spans="1:3" x14ac:dyDescent="0.25">
      <c r="A688" s="879"/>
      <c r="B688" s="1452" t="s">
        <v>1897</v>
      </c>
      <c r="C688" s="879"/>
    </row>
    <row r="689" spans="1:3" x14ac:dyDescent="0.25">
      <c r="A689" s="879"/>
      <c r="B689" s="1452" t="s">
        <v>1455</v>
      </c>
      <c r="C689" s="879"/>
    </row>
    <row r="690" spans="1:3" x14ac:dyDescent="0.25">
      <c r="A690" s="879"/>
      <c r="B690" s="1452" t="s">
        <v>1898</v>
      </c>
      <c r="C690" s="879"/>
    </row>
    <row r="691" spans="1:3" x14ac:dyDescent="0.25">
      <c r="A691" s="879"/>
      <c r="B691" s="1452" t="s">
        <v>1688</v>
      </c>
      <c r="C691" s="879"/>
    </row>
    <row r="692" spans="1:3" x14ac:dyDescent="0.25">
      <c r="A692" s="879"/>
      <c r="B692" s="1452" t="s">
        <v>1899</v>
      </c>
      <c r="C692" s="879"/>
    </row>
    <row r="693" spans="1:3" x14ac:dyDescent="0.25">
      <c r="A693" s="879"/>
      <c r="B693" s="1452" t="s">
        <v>1456</v>
      </c>
      <c r="C693" s="879"/>
    </row>
    <row r="694" spans="1:3" x14ac:dyDescent="0.25">
      <c r="A694" s="879"/>
      <c r="B694" s="1452" t="s">
        <v>1367</v>
      </c>
      <c r="C694" s="879"/>
    </row>
    <row r="695" spans="1:3" x14ac:dyDescent="0.25">
      <c r="A695" s="879"/>
      <c r="B695" s="1452" t="s">
        <v>1450</v>
      </c>
      <c r="C695" s="879"/>
    </row>
    <row r="696" spans="1:3" x14ac:dyDescent="0.25">
      <c r="A696" s="879"/>
      <c r="B696" s="1452" t="s">
        <v>1451</v>
      </c>
      <c r="C696" s="879"/>
    </row>
    <row r="697" spans="1:3" x14ac:dyDescent="0.25">
      <c r="A697" s="879"/>
      <c r="B697" s="1452" t="s">
        <v>1891</v>
      </c>
      <c r="C697" s="879"/>
    </row>
    <row r="698" spans="1:3" x14ac:dyDescent="0.25">
      <c r="A698" s="879"/>
      <c r="B698" s="1452" t="s">
        <v>1892</v>
      </c>
      <c r="C698" s="879"/>
    </row>
    <row r="699" spans="1:3" x14ac:dyDescent="0.25">
      <c r="A699" s="879"/>
      <c r="B699" s="1452" t="s">
        <v>1682</v>
      </c>
      <c r="C699" s="879"/>
    </row>
    <row r="700" spans="1:3" x14ac:dyDescent="0.25">
      <c r="A700" s="879"/>
      <c r="B700" s="1452" t="s">
        <v>1893</v>
      </c>
      <c r="C700" s="879"/>
    </row>
    <row r="701" spans="1:3" x14ac:dyDescent="0.25">
      <c r="A701" s="879"/>
      <c r="B701" s="1452" t="s">
        <v>1684</v>
      </c>
      <c r="C701" s="879"/>
    </row>
    <row r="702" spans="1:3" x14ac:dyDescent="0.25">
      <c r="A702" s="879"/>
      <c r="B702" s="1452" t="s">
        <v>1894</v>
      </c>
      <c r="C702" s="879"/>
    </row>
    <row r="703" spans="1:3" x14ac:dyDescent="0.25">
      <c r="A703" s="879"/>
      <c r="B703" s="1452" t="s">
        <v>1895</v>
      </c>
      <c r="C703" s="879"/>
    </row>
    <row r="704" spans="1:3" x14ac:dyDescent="0.25">
      <c r="A704" s="879"/>
      <c r="B704" s="1452" t="s">
        <v>1685</v>
      </c>
      <c r="C704" s="879"/>
    </row>
    <row r="705" spans="1:3" x14ac:dyDescent="0.25">
      <c r="A705" s="879"/>
      <c r="B705" s="1452" t="s">
        <v>1686</v>
      </c>
      <c r="C705" s="879"/>
    </row>
    <row r="706" spans="1:3" x14ac:dyDescent="0.25">
      <c r="A706" s="879"/>
      <c r="B706" s="1452" t="s">
        <v>1896</v>
      </c>
      <c r="C706" s="879"/>
    </row>
    <row r="707" spans="1:3" x14ac:dyDescent="0.25">
      <c r="A707" s="879"/>
      <c r="B707" s="1452" t="s">
        <v>1897</v>
      </c>
      <c r="C707" s="879"/>
    </row>
    <row r="708" spans="1:3" x14ac:dyDescent="0.25">
      <c r="A708" s="879"/>
      <c r="B708" s="1452" t="s">
        <v>1455</v>
      </c>
      <c r="C708" s="879"/>
    </row>
    <row r="709" spans="1:3" x14ac:dyDescent="0.25">
      <c r="A709" s="879"/>
      <c r="B709" s="1452" t="s">
        <v>1898</v>
      </c>
      <c r="C709" s="879"/>
    </row>
    <row r="710" spans="1:3" x14ac:dyDescent="0.25">
      <c r="A710" s="879"/>
      <c r="B710" s="1452" t="s">
        <v>1688</v>
      </c>
      <c r="C710" s="879"/>
    </row>
    <row r="711" spans="1:3" x14ac:dyDescent="0.25">
      <c r="A711" s="879"/>
      <c r="B711" s="1452" t="s">
        <v>1899</v>
      </c>
      <c r="C711" s="879"/>
    </row>
    <row r="712" spans="1:3" x14ac:dyDescent="0.25">
      <c r="A712" s="879"/>
      <c r="B712" s="1452" t="s">
        <v>1690</v>
      </c>
      <c r="C712" s="879"/>
    </row>
    <row r="713" spans="1:3" x14ac:dyDescent="0.25">
      <c r="A713" s="879"/>
      <c r="B713" s="1452" t="s">
        <v>1367</v>
      </c>
      <c r="C713" s="879"/>
    </row>
    <row r="714" spans="1:3" x14ac:dyDescent="0.25">
      <c r="A714" s="879"/>
      <c r="B714" s="1452" t="s">
        <v>1691</v>
      </c>
      <c r="C714" s="879"/>
    </row>
    <row r="715" spans="1:3" x14ac:dyDescent="0.25">
      <c r="A715" s="879"/>
      <c r="B715" s="1452" t="s">
        <v>1692</v>
      </c>
      <c r="C715" s="879"/>
    </row>
    <row r="716" spans="1:3" x14ac:dyDescent="0.25">
      <c r="A716" s="879"/>
      <c r="B716" s="1452" t="s">
        <v>1693</v>
      </c>
      <c r="C716" s="879"/>
    </row>
    <row r="717" spans="1:3" x14ac:dyDescent="0.25">
      <c r="A717" s="879"/>
      <c r="B717" s="1452" t="s">
        <v>1694</v>
      </c>
      <c r="C717" s="879"/>
    </row>
    <row r="718" spans="1:3" x14ac:dyDescent="0.25">
      <c r="A718" s="879"/>
      <c r="B718" s="1452" t="s">
        <v>1695</v>
      </c>
      <c r="C718" s="879"/>
    </row>
    <row r="719" spans="1:3" x14ac:dyDescent="0.25">
      <c r="A719" s="879"/>
      <c r="B719" s="1452" t="s">
        <v>1696</v>
      </c>
      <c r="C719" s="879"/>
    </row>
    <row r="720" spans="1:3" x14ac:dyDescent="0.25">
      <c r="A720" s="879"/>
      <c r="B720" s="1452" t="s">
        <v>1697</v>
      </c>
      <c r="C720" s="879"/>
    </row>
    <row r="721" spans="1:3" x14ac:dyDescent="0.25">
      <c r="A721" s="879"/>
      <c r="B721" s="1452" t="s">
        <v>1698</v>
      </c>
      <c r="C721" s="879"/>
    </row>
    <row r="722" spans="1:3" x14ac:dyDescent="0.25">
      <c r="A722" s="879"/>
      <c r="B722" s="1452" t="s">
        <v>1699</v>
      </c>
      <c r="C722" s="879"/>
    </row>
    <row r="723" spans="1:3" x14ac:dyDescent="0.25">
      <c r="A723" s="879"/>
      <c r="B723" s="1452" t="s">
        <v>1700</v>
      </c>
      <c r="C723" s="879"/>
    </row>
    <row r="724" spans="1:3" x14ac:dyDescent="0.25">
      <c r="A724" s="879"/>
      <c r="B724" s="1452" t="s">
        <v>1701</v>
      </c>
      <c r="C724" s="879"/>
    </row>
    <row r="725" spans="1:3" x14ac:dyDescent="0.25">
      <c r="A725" s="879"/>
      <c r="B725" s="1452" t="s">
        <v>1702</v>
      </c>
      <c r="C725" s="879"/>
    </row>
    <row r="726" spans="1:3" x14ac:dyDescent="0.25">
      <c r="A726" s="879"/>
      <c r="B726" s="1452" t="s">
        <v>1703</v>
      </c>
      <c r="C726" s="879"/>
    </row>
    <row r="727" spans="1:3" x14ac:dyDescent="0.25">
      <c r="A727" s="879"/>
      <c r="B727" s="1452" t="s">
        <v>1704</v>
      </c>
      <c r="C727" s="879"/>
    </row>
    <row r="728" spans="1:3" x14ac:dyDescent="0.25">
      <c r="A728" s="879"/>
      <c r="B728" s="1452" t="s">
        <v>1705</v>
      </c>
      <c r="C728" s="879"/>
    </row>
    <row r="729" spans="1:3" x14ac:dyDescent="0.25">
      <c r="A729" s="879"/>
      <c r="B729" s="1452"/>
      <c r="C729" s="879"/>
    </row>
    <row r="730" spans="1:3" x14ac:dyDescent="0.25">
      <c r="A730" s="879"/>
      <c r="B730" s="1452"/>
      <c r="C730" s="879"/>
    </row>
    <row r="731" spans="1:3" x14ac:dyDescent="0.25">
      <c r="A731" s="879"/>
      <c r="B731" s="1452" t="s">
        <v>1368</v>
      </c>
      <c r="C731" s="879"/>
    </row>
    <row r="732" spans="1:3" x14ac:dyDescent="0.25">
      <c r="A732" s="879"/>
      <c r="B732" s="1452" t="s">
        <v>1900</v>
      </c>
      <c r="C732" s="879"/>
    </row>
    <row r="733" spans="1:3" x14ac:dyDescent="0.25">
      <c r="A733" s="879"/>
      <c r="B733" s="1452" t="s">
        <v>1368</v>
      </c>
      <c r="C733" s="879"/>
    </row>
    <row r="734" spans="1:3" x14ac:dyDescent="0.25">
      <c r="A734" s="879"/>
      <c r="B734" s="1452" t="s">
        <v>1901</v>
      </c>
      <c r="C734" s="879"/>
    </row>
    <row r="735" spans="1:3" x14ac:dyDescent="0.25">
      <c r="A735" s="879"/>
      <c r="B735" s="1452" t="s">
        <v>1367</v>
      </c>
      <c r="C735" s="879"/>
    </row>
    <row r="736" spans="1:3" x14ac:dyDescent="0.25">
      <c r="A736" s="879"/>
      <c r="B736" s="1452" t="s">
        <v>1369</v>
      </c>
      <c r="C736" s="879"/>
    </row>
    <row r="737" spans="1:3" x14ac:dyDescent="0.25">
      <c r="A737" s="879"/>
      <c r="B737" s="1452" t="s">
        <v>1370</v>
      </c>
      <c r="C737" s="879"/>
    </row>
    <row r="738" spans="1:3" x14ac:dyDescent="0.25">
      <c r="A738" s="879"/>
      <c r="B738" s="1452" t="s">
        <v>1367</v>
      </c>
      <c r="C738" s="879"/>
    </row>
    <row r="739" spans="1:3" x14ac:dyDescent="0.25">
      <c r="A739" s="879"/>
      <c r="B739" s="1452" t="s">
        <v>1460</v>
      </c>
      <c r="C739" s="879"/>
    </row>
    <row r="740" spans="1:3" x14ac:dyDescent="0.25">
      <c r="A740" s="879"/>
      <c r="B740" s="1452" t="s">
        <v>1461</v>
      </c>
      <c r="C740" s="879"/>
    </row>
    <row r="741" spans="1:3" x14ac:dyDescent="0.25">
      <c r="A741" s="879"/>
      <c r="B741" s="1452" t="s">
        <v>1902</v>
      </c>
      <c r="C741" s="879"/>
    </row>
    <row r="742" spans="1:3" x14ac:dyDescent="0.25">
      <c r="A742" s="879"/>
      <c r="B742" s="1452" t="s">
        <v>1903</v>
      </c>
      <c r="C742" s="879"/>
    </row>
    <row r="743" spans="1:3" x14ac:dyDescent="0.25">
      <c r="A743" s="879"/>
      <c r="B743" s="1452" t="s">
        <v>1751</v>
      </c>
      <c r="C743" s="879"/>
    </row>
    <row r="744" spans="1:3" x14ac:dyDescent="0.25">
      <c r="A744" s="879"/>
      <c r="B744" s="1452" t="s">
        <v>1752</v>
      </c>
      <c r="C744" s="879"/>
    </row>
    <row r="745" spans="1:3" x14ac:dyDescent="0.25">
      <c r="A745" s="879"/>
      <c r="B745" s="1452" t="s">
        <v>1753</v>
      </c>
      <c r="C745" s="879"/>
    </row>
    <row r="746" spans="1:3" x14ac:dyDescent="0.25">
      <c r="A746" s="879"/>
      <c r="B746" s="1452" t="s">
        <v>1904</v>
      </c>
      <c r="C746" s="879"/>
    </row>
    <row r="747" spans="1:3" x14ac:dyDescent="0.25">
      <c r="A747" s="879"/>
      <c r="B747" s="1452" t="s">
        <v>1905</v>
      </c>
      <c r="C747" s="879"/>
    </row>
    <row r="748" spans="1:3" x14ac:dyDescent="0.25">
      <c r="A748" s="879"/>
      <c r="B748" s="1452" t="s">
        <v>1906</v>
      </c>
      <c r="C748" s="879"/>
    </row>
    <row r="749" spans="1:3" x14ac:dyDescent="0.25">
      <c r="A749" s="879"/>
      <c r="B749" s="1452" t="s">
        <v>1462</v>
      </c>
      <c r="C749" s="879"/>
    </row>
    <row r="750" spans="1:3" x14ac:dyDescent="0.25">
      <c r="A750" s="879"/>
      <c r="B750" s="1452" t="s">
        <v>1382</v>
      </c>
      <c r="C750" s="879"/>
    </row>
    <row r="751" spans="1:3" x14ac:dyDescent="0.25">
      <c r="A751" s="879"/>
      <c r="B751" s="1452" t="s">
        <v>1367</v>
      </c>
      <c r="C751" s="879"/>
    </row>
    <row r="752" spans="1:3" x14ac:dyDescent="0.25">
      <c r="A752" s="879"/>
      <c r="B752" s="1452" t="s">
        <v>1460</v>
      </c>
      <c r="C752" s="879"/>
    </row>
    <row r="753" spans="1:3" x14ac:dyDescent="0.25">
      <c r="A753" s="879"/>
      <c r="B753" s="1452" t="s">
        <v>1757</v>
      </c>
      <c r="C753" s="879"/>
    </row>
    <row r="754" spans="1:3" x14ac:dyDescent="0.25">
      <c r="A754" s="879"/>
      <c r="B754" s="1452" t="s">
        <v>1907</v>
      </c>
      <c r="C754" s="879"/>
    </row>
    <row r="755" spans="1:3" x14ac:dyDescent="0.25">
      <c r="A755" s="879"/>
      <c r="B755" s="1452" t="s">
        <v>1908</v>
      </c>
      <c r="C755" s="879"/>
    </row>
    <row r="756" spans="1:3" x14ac:dyDescent="0.25">
      <c r="A756" s="879"/>
      <c r="B756" s="1452" t="s">
        <v>1909</v>
      </c>
      <c r="C756" s="879"/>
    </row>
    <row r="757" spans="1:3" x14ac:dyDescent="0.25">
      <c r="A757" s="879"/>
      <c r="B757" s="1452" t="s">
        <v>1910</v>
      </c>
      <c r="C757" s="879"/>
    </row>
    <row r="758" spans="1:3" x14ac:dyDescent="0.25">
      <c r="A758" s="879"/>
      <c r="B758" s="1452" t="s">
        <v>1911</v>
      </c>
      <c r="C758" s="879"/>
    </row>
    <row r="759" spans="1:3" x14ac:dyDescent="0.25">
      <c r="A759" s="879"/>
      <c r="B759" s="1452" t="s">
        <v>1912</v>
      </c>
      <c r="C759" s="879"/>
    </row>
    <row r="760" spans="1:3" x14ac:dyDescent="0.25">
      <c r="A760" s="879"/>
      <c r="B760" s="1452" t="s">
        <v>1913</v>
      </c>
      <c r="C760" s="879"/>
    </row>
    <row r="761" spans="1:3" x14ac:dyDescent="0.25">
      <c r="A761" s="879"/>
      <c r="B761" s="1452" t="s">
        <v>1765</v>
      </c>
      <c r="C761" s="879"/>
    </row>
    <row r="762" spans="1:3" x14ac:dyDescent="0.25">
      <c r="A762" s="879"/>
      <c r="B762" s="1452" t="s">
        <v>1766</v>
      </c>
      <c r="C762" s="879"/>
    </row>
    <row r="763" spans="1:3" x14ac:dyDescent="0.25">
      <c r="A763" s="879"/>
      <c r="B763" s="1452" t="s">
        <v>1466</v>
      </c>
      <c r="C763" s="879"/>
    </row>
    <row r="764" spans="1:3" x14ac:dyDescent="0.25">
      <c r="A764" s="879"/>
      <c r="B764" s="1452" t="s">
        <v>1467</v>
      </c>
      <c r="C764" s="879"/>
    </row>
    <row r="765" spans="1:3" x14ac:dyDescent="0.25">
      <c r="A765" s="879"/>
      <c r="B765" s="1452" t="s">
        <v>1914</v>
      </c>
      <c r="C765" s="879"/>
    </row>
    <row r="766" spans="1:3" x14ac:dyDescent="0.25">
      <c r="A766" s="879"/>
      <c r="B766" s="1452" t="s">
        <v>1469</v>
      </c>
      <c r="C766" s="879"/>
    </row>
    <row r="767" spans="1:3" x14ac:dyDescent="0.25">
      <c r="A767" s="879"/>
      <c r="B767" s="1452" t="s">
        <v>1915</v>
      </c>
      <c r="C767" s="879"/>
    </row>
    <row r="768" spans="1:3" x14ac:dyDescent="0.25">
      <c r="A768" s="879"/>
      <c r="B768" s="1452" t="s">
        <v>1769</v>
      </c>
      <c r="C768" s="879"/>
    </row>
    <row r="769" spans="1:3" x14ac:dyDescent="0.25">
      <c r="A769" s="879"/>
      <c r="B769" s="1452" t="s">
        <v>1916</v>
      </c>
      <c r="C769" s="879"/>
    </row>
    <row r="770" spans="1:3" x14ac:dyDescent="0.25">
      <c r="A770" s="879"/>
      <c r="B770" s="1452" t="s">
        <v>1771</v>
      </c>
      <c r="C770" s="879"/>
    </row>
    <row r="771" spans="1:3" x14ac:dyDescent="0.25">
      <c r="A771" s="879"/>
      <c r="B771" s="1452" t="s">
        <v>1772</v>
      </c>
      <c r="C771" s="879"/>
    </row>
    <row r="772" spans="1:3" x14ac:dyDescent="0.25">
      <c r="A772" s="879"/>
      <c r="B772" s="1452" t="s">
        <v>1471</v>
      </c>
      <c r="C772" s="879"/>
    </row>
    <row r="773" spans="1:3" x14ac:dyDescent="0.25">
      <c r="A773" s="879"/>
      <c r="B773" s="1452" t="s">
        <v>1508</v>
      </c>
      <c r="C773" s="879"/>
    </row>
    <row r="774" spans="1:3" x14ac:dyDescent="0.25">
      <c r="A774" s="879"/>
      <c r="B774" s="1452" t="s">
        <v>1773</v>
      </c>
      <c r="C774" s="879"/>
    </row>
    <row r="775" spans="1:3" x14ac:dyDescent="0.25">
      <c r="A775" s="879"/>
      <c r="B775" s="1452" t="s">
        <v>1473</v>
      </c>
      <c r="C775" s="879"/>
    </row>
    <row r="776" spans="1:3" x14ac:dyDescent="0.25">
      <c r="A776" s="879"/>
      <c r="B776" s="1452" t="s">
        <v>1917</v>
      </c>
      <c r="C776" s="879"/>
    </row>
    <row r="777" spans="1:3" x14ac:dyDescent="0.25">
      <c r="A777" s="879"/>
      <c r="B777" s="1452" t="s">
        <v>1918</v>
      </c>
      <c r="C777" s="879"/>
    </row>
    <row r="778" spans="1:3" x14ac:dyDescent="0.25">
      <c r="A778" s="879"/>
      <c r="B778" s="1452" t="s">
        <v>1776</v>
      </c>
      <c r="C778" s="879"/>
    </row>
    <row r="779" spans="1:3" x14ac:dyDescent="0.25">
      <c r="A779" s="879"/>
      <c r="B779" s="1452" t="s">
        <v>1919</v>
      </c>
      <c r="C779" s="879"/>
    </row>
    <row r="780" spans="1:3" x14ac:dyDescent="0.25">
      <c r="A780" s="879"/>
      <c r="B780" s="1452" t="s">
        <v>1476</v>
      </c>
      <c r="C780" s="879"/>
    </row>
    <row r="781" spans="1:3" x14ac:dyDescent="0.25">
      <c r="A781" s="879"/>
      <c r="B781" s="1452" t="s">
        <v>1477</v>
      </c>
      <c r="C781" s="879"/>
    </row>
    <row r="782" spans="1:3" x14ac:dyDescent="0.25">
      <c r="A782" s="879"/>
      <c r="B782" s="1452" t="s">
        <v>1478</v>
      </c>
      <c r="C782" s="879"/>
    </row>
    <row r="783" spans="1:3" x14ac:dyDescent="0.25">
      <c r="A783" s="879"/>
      <c r="B783" s="1452" t="s">
        <v>1920</v>
      </c>
      <c r="C783" s="879"/>
    </row>
    <row r="784" spans="1:3" x14ac:dyDescent="0.25">
      <c r="A784" s="879"/>
      <c r="B784" s="1452" t="s">
        <v>1921</v>
      </c>
      <c r="C784" s="879"/>
    </row>
    <row r="785" spans="1:3" x14ac:dyDescent="0.25">
      <c r="A785" s="879"/>
      <c r="B785" s="1452" t="s">
        <v>1479</v>
      </c>
      <c r="C785" s="879"/>
    </row>
    <row r="786" spans="1:3" x14ac:dyDescent="0.25">
      <c r="A786" s="879"/>
      <c r="B786" s="1452" t="s">
        <v>1480</v>
      </c>
      <c r="C786" s="879"/>
    </row>
    <row r="787" spans="1:3" x14ac:dyDescent="0.25">
      <c r="A787" s="879"/>
      <c r="B787" s="1452" t="s">
        <v>1922</v>
      </c>
      <c r="C787" s="879"/>
    </row>
    <row r="788" spans="1:3" x14ac:dyDescent="0.25">
      <c r="A788" s="879"/>
      <c r="B788" s="1452" t="s">
        <v>1923</v>
      </c>
      <c r="C788" s="879"/>
    </row>
    <row r="789" spans="1:3" x14ac:dyDescent="0.25">
      <c r="A789" s="879"/>
      <c r="B789" s="1452" t="s">
        <v>1924</v>
      </c>
      <c r="C789" s="879"/>
    </row>
    <row r="790" spans="1:3" x14ac:dyDescent="0.25">
      <c r="A790" s="879"/>
      <c r="B790" s="1452" t="s">
        <v>1925</v>
      </c>
      <c r="C790" s="879"/>
    </row>
    <row r="791" spans="1:3" x14ac:dyDescent="0.25">
      <c r="A791" s="879"/>
      <c r="B791" s="1452" t="s">
        <v>1926</v>
      </c>
      <c r="C791" s="879"/>
    </row>
    <row r="792" spans="1:3" x14ac:dyDescent="0.25">
      <c r="A792" s="879"/>
      <c r="B792" s="1452" t="s">
        <v>1927</v>
      </c>
      <c r="C792" s="879"/>
    </row>
    <row r="793" spans="1:3" x14ac:dyDescent="0.25">
      <c r="A793" s="879"/>
      <c r="B793" s="1452" t="s">
        <v>1928</v>
      </c>
      <c r="C793" s="879"/>
    </row>
    <row r="794" spans="1:3" x14ac:dyDescent="0.25">
      <c r="A794" s="879"/>
      <c r="B794" s="1452" t="s">
        <v>1929</v>
      </c>
      <c r="C794" s="879"/>
    </row>
    <row r="795" spans="1:3" x14ac:dyDescent="0.25">
      <c r="A795" s="879"/>
      <c r="B795" s="1452" t="s">
        <v>1930</v>
      </c>
      <c r="C795" s="879"/>
    </row>
    <row r="796" spans="1:3" x14ac:dyDescent="0.25">
      <c r="A796" s="879"/>
      <c r="B796" s="1452" t="s">
        <v>1481</v>
      </c>
      <c r="C796" s="879"/>
    </row>
    <row r="797" spans="1:3" x14ac:dyDescent="0.25">
      <c r="A797" s="879"/>
      <c r="B797" s="1452" t="s">
        <v>1789</v>
      </c>
      <c r="C797" s="879"/>
    </row>
    <row r="798" spans="1:3" x14ac:dyDescent="0.25">
      <c r="A798" s="879"/>
      <c r="B798" s="1452" t="s">
        <v>1483</v>
      </c>
      <c r="C798" s="879"/>
    </row>
    <row r="799" spans="1:3" x14ac:dyDescent="0.25">
      <c r="A799" s="879"/>
      <c r="B799" s="1452" t="s">
        <v>1931</v>
      </c>
      <c r="C799" s="879"/>
    </row>
    <row r="800" spans="1:3" x14ac:dyDescent="0.25">
      <c r="A800" s="879"/>
      <c r="B800" s="1452" t="s">
        <v>1430</v>
      </c>
      <c r="C800" s="879"/>
    </row>
    <row r="801" spans="1:3" x14ac:dyDescent="0.25">
      <c r="A801" s="879"/>
      <c r="B801" s="1452" t="s">
        <v>1367</v>
      </c>
      <c r="C801" s="879"/>
    </row>
    <row r="802" spans="1:3" x14ac:dyDescent="0.25">
      <c r="A802" s="879"/>
      <c r="B802" s="1452" t="s">
        <v>1449</v>
      </c>
      <c r="C802" s="879"/>
    </row>
    <row r="803" spans="1:3" x14ac:dyDescent="0.25">
      <c r="A803" s="879"/>
      <c r="B803" s="1452" t="s">
        <v>1367</v>
      </c>
      <c r="C803" s="879"/>
    </row>
    <row r="804" spans="1:3" x14ac:dyDescent="0.25">
      <c r="A804" s="879"/>
      <c r="B804" s="1452" t="s">
        <v>1450</v>
      </c>
      <c r="C804" s="879"/>
    </row>
    <row r="805" spans="1:3" x14ac:dyDescent="0.25">
      <c r="A805" s="879"/>
      <c r="B805" s="1452" t="s">
        <v>1451</v>
      </c>
      <c r="C805" s="879"/>
    </row>
    <row r="806" spans="1:3" x14ac:dyDescent="0.25">
      <c r="A806" s="879"/>
      <c r="B806" s="1452" t="s">
        <v>1452</v>
      </c>
      <c r="C806" s="879"/>
    </row>
    <row r="807" spans="1:3" x14ac:dyDescent="0.25">
      <c r="A807" s="879"/>
      <c r="B807" s="1452" t="s">
        <v>1681</v>
      </c>
      <c r="C807" s="879"/>
    </row>
    <row r="808" spans="1:3" x14ac:dyDescent="0.25">
      <c r="A808" s="879"/>
      <c r="B808" s="1452" t="s">
        <v>1682</v>
      </c>
      <c r="C808" s="879"/>
    </row>
    <row r="809" spans="1:3" x14ac:dyDescent="0.25">
      <c r="A809" s="879"/>
      <c r="B809" s="1452" t="s">
        <v>1791</v>
      </c>
      <c r="C809" s="879"/>
    </row>
    <row r="810" spans="1:3" x14ac:dyDescent="0.25">
      <c r="A810" s="879"/>
      <c r="B810" s="1452" t="s">
        <v>1684</v>
      </c>
      <c r="C810" s="879"/>
    </row>
    <row r="811" spans="1:3" x14ac:dyDescent="0.25">
      <c r="A811" s="879"/>
      <c r="B811" s="1452" t="s">
        <v>1453</v>
      </c>
      <c r="C811" s="879"/>
    </row>
    <row r="812" spans="1:3" x14ac:dyDescent="0.25">
      <c r="A812" s="879"/>
      <c r="B812" s="1452" t="s">
        <v>1792</v>
      </c>
      <c r="C812" s="879"/>
    </row>
    <row r="813" spans="1:3" x14ac:dyDescent="0.25">
      <c r="A813" s="879"/>
      <c r="B813" s="1452" t="s">
        <v>1685</v>
      </c>
      <c r="C813" s="879"/>
    </row>
    <row r="814" spans="1:3" x14ac:dyDescent="0.25">
      <c r="A814" s="879"/>
      <c r="B814" s="1452" t="s">
        <v>1686</v>
      </c>
      <c r="C814" s="879"/>
    </row>
    <row r="815" spans="1:3" x14ac:dyDescent="0.25">
      <c r="A815" s="879"/>
      <c r="B815" s="1452" t="s">
        <v>1454</v>
      </c>
      <c r="C815" s="879"/>
    </row>
    <row r="816" spans="1:3" x14ac:dyDescent="0.25">
      <c r="A816" s="879"/>
      <c r="B816" s="1452" t="s">
        <v>1793</v>
      </c>
      <c r="C816" s="879"/>
    </row>
    <row r="817" spans="1:3" x14ac:dyDescent="0.25">
      <c r="A817" s="879"/>
      <c r="B817" s="1452" t="s">
        <v>1455</v>
      </c>
      <c r="C817" s="879"/>
    </row>
    <row r="818" spans="1:3" x14ac:dyDescent="0.25">
      <c r="A818" s="879"/>
      <c r="B818" s="1452" t="s">
        <v>1794</v>
      </c>
      <c r="C818" s="879"/>
    </row>
    <row r="819" spans="1:3" x14ac:dyDescent="0.25">
      <c r="A819" s="879"/>
      <c r="B819" s="1452" t="s">
        <v>1688</v>
      </c>
      <c r="C819" s="879"/>
    </row>
    <row r="820" spans="1:3" x14ac:dyDescent="0.25">
      <c r="A820" s="879"/>
      <c r="B820" s="1452" t="s">
        <v>1795</v>
      </c>
      <c r="C820" s="879"/>
    </row>
    <row r="821" spans="1:3" x14ac:dyDescent="0.25">
      <c r="A821" s="879"/>
      <c r="B821" s="1452" t="s">
        <v>1456</v>
      </c>
      <c r="C821" s="879"/>
    </row>
    <row r="822" spans="1:3" x14ac:dyDescent="0.25">
      <c r="A822" s="879"/>
      <c r="B822" s="1452" t="s">
        <v>1367</v>
      </c>
      <c r="C822" s="879"/>
    </row>
    <row r="823" spans="1:3" x14ac:dyDescent="0.25">
      <c r="A823" s="879"/>
      <c r="B823" s="1452" t="s">
        <v>1450</v>
      </c>
      <c r="C823" s="879"/>
    </row>
    <row r="824" spans="1:3" x14ac:dyDescent="0.25">
      <c r="A824" s="879"/>
      <c r="B824" s="1452" t="s">
        <v>1451</v>
      </c>
      <c r="C824" s="879"/>
    </row>
    <row r="825" spans="1:3" x14ac:dyDescent="0.25">
      <c r="A825" s="879"/>
      <c r="B825" s="1452" t="s">
        <v>1452</v>
      </c>
      <c r="C825" s="879"/>
    </row>
    <row r="826" spans="1:3" x14ac:dyDescent="0.25">
      <c r="A826" s="879"/>
      <c r="B826" s="1452" t="s">
        <v>1681</v>
      </c>
      <c r="C826" s="879"/>
    </row>
    <row r="827" spans="1:3" x14ac:dyDescent="0.25">
      <c r="A827" s="879"/>
      <c r="B827" s="1452" t="s">
        <v>1682</v>
      </c>
      <c r="C827" s="879"/>
    </row>
    <row r="828" spans="1:3" x14ac:dyDescent="0.25">
      <c r="A828" s="879"/>
      <c r="B828" s="1452" t="s">
        <v>1791</v>
      </c>
      <c r="C828" s="879"/>
    </row>
    <row r="829" spans="1:3" x14ac:dyDescent="0.25">
      <c r="A829" s="879"/>
      <c r="B829" s="1452" t="s">
        <v>1684</v>
      </c>
      <c r="C829" s="879"/>
    </row>
    <row r="830" spans="1:3" x14ac:dyDescent="0.25">
      <c r="A830" s="879"/>
      <c r="B830" s="1452" t="s">
        <v>1453</v>
      </c>
      <c r="C830" s="879"/>
    </row>
    <row r="831" spans="1:3" x14ac:dyDescent="0.25">
      <c r="A831" s="879"/>
      <c r="B831" s="1452" t="s">
        <v>1792</v>
      </c>
      <c r="C831" s="879"/>
    </row>
    <row r="832" spans="1:3" x14ac:dyDescent="0.25">
      <c r="A832" s="879"/>
      <c r="B832" s="1452" t="s">
        <v>1685</v>
      </c>
      <c r="C832" s="879"/>
    </row>
    <row r="833" spans="1:3" x14ac:dyDescent="0.25">
      <c r="A833" s="879"/>
      <c r="B833" s="1452" t="s">
        <v>1686</v>
      </c>
      <c r="C833" s="879"/>
    </row>
    <row r="834" spans="1:3" x14ac:dyDescent="0.25">
      <c r="A834" s="879"/>
      <c r="B834" s="1452" t="s">
        <v>1454</v>
      </c>
      <c r="C834" s="879"/>
    </row>
    <row r="835" spans="1:3" x14ac:dyDescent="0.25">
      <c r="A835" s="879"/>
      <c r="B835" s="1452" t="s">
        <v>1793</v>
      </c>
      <c r="C835" s="879"/>
    </row>
    <row r="836" spans="1:3" x14ac:dyDescent="0.25">
      <c r="A836" s="879"/>
      <c r="B836" s="1452" t="s">
        <v>1455</v>
      </c>
      <c r="C836" s="879"/>
    </row>
    <row r="837" spans="1:3" x14ac:dyDescent="0.25">
      <c r="A837" s="879"/>
      <c r="B837" s="1452" t="s">
        <v>1794</v>
      </c>
      <c r="C837" s="879"/>
    </row>
    <row r="838" spans="1:3" x14ac:dyDescent="0.25">
      <c r="A838" s="879"/>
      <c r="B838" s="1452" t="s">
        <v>1688</v>
      </c>
      <c r="C838" s="879"/>
    </row>
    <row r="839" spans="1:3" x14ac:dyDescent="0.25">
      <c r="A839" s="879"/>
      <c r="B839" s="1452" t="s">
        <v>1795</v>
      </c>
      <c r="C839" s="879"/>
    </row>
    <row r="840" spans="1:3" x14ac:dyDescent="0.25">
      <c r="A840" s="879"/>
      <c r="B840" s="1452" t="s">
        <v>1690</v>
      </c>
      <c r="C840" s="879"/>
    </row>
    <row r="841" spans="1:3" x14ac:dyDescent="0.25">
      <c r="A841" s="879"/>
      <c r="B841" s="1452" t="s">
        <v>1367</v>
      </c>
      <c r="C841" s="879"/>
    </row>
    <row r="842" spans="1:3" x14ac:dyDescent="0.25">
      <c r="A842" s="879"/>
      <c r="B842" s="1452" t="s">
        <v>1691</v>
      </c>
      <c r="C842" s="879"/>
    </row>
    <row r="843" spans="1:3" x14ac:dyDescent="0.25">
      <c r="A843" s="879"/>
      <c r="B843" s="1452" t="s">
        <v>1692</v>
      </c>
      <c r="C843" s="879"/>
    </row>
    <row r="844" spans="1:3" x14ac:dyDescent="0.25">
      <c r="A844" s="879"/>
      <c r="B844" s="1452" t="s">
        <v>1693</v>
      </c>
      <c r="C844" s="879"/>
    </row>
    <row r="845" spans="1:3" x14ac:dyDescent="0.25">
      <c r="A845" s="879"/>
      <c r="B845" s="1452" t="s">
        <v>1694</v>
      </c>
      <c r="C845" s="879"/>
    </row>
    <row r="846" spans="1:3" x14ac:dyDescent="0.25">
      <c r="A846" s="879"/>
      <c r="B846" s="1452" t="s">
        <v>1695</v>
      </c>
      <c r="C846" s="879"/>
    </row>
    <row r="847" spans="1:3" x14ac:dyDescent="0.25">
      <c r="A847" s="879"/>
      <c r="B847" s="1452" t="s">
        <v>1696</v>
      </c>
      <c r="C847" s="879"/>
    </row>
    <row r="848" spans="1:3" x14ac:dyDescent="0.25">
      <c r="A848" s="879"/>
      <c r="B848" s="1452" t="s">
        <v>1697</v>
      </c>
      <c r="C848" s="879"/>
    </row>
    <row r="849" spans="1:3" x14ac:dyDescent="0.25">
      <c r="A849" s="879"/>
      <c r="B849" s="1452" t="s">
        <v>1698</v>
      </c>
      <c r="C849" s="879"/>
    </row>
    <row r="850" spans="1:3" x14ac:dyDescent="0.25">
      <c r="A850" s="879"/>
      <c r="B850" s="1452" t="s">
        <v>1699</v>
      </c>
      <c r="C850" s="879"/>
    </row>
    <row r="851" spans="1:3" x14ac:dyDescent="0.25">
      <c r="A851" s="879"/>
      <c r="B851" s="1452" t="s">
        <v>1700</v>
      </c>
      <c r="C851" s="879"/>
    </row>
    <row r="852" spans="1:3" x14ac:dyDescent="0.25">
      <c r="A852" s="879"/>
      <c r="B852" s="1452" t="s">
        <v>1701</v>
      </c>
      <c r="C852" s="879"/>
    </row>
    <row r="853" spans="1:3" x14ac:dyDescent="0.25">
      <c r="A853" s="879"/>
      <c r="B853" s="1452" t="s">
        <v>1702</v>
      </c>
      <c r="C853" s="879"/>
    </row>
    <row r="854" spans="1:3" x14ac:dyDescent="0.25">
      <c r="A854" s="879"/>
      <c r="B854" s="1452" t="s">
        <v>1703</v>
      </c>
      <c r="C854" s="879"/>
    </row>
    <row r="855" spans="1:3" x14ac:dyDescent="0.25">
      <c r="A855" s="879"/>
      <c r="B855" s="1452" t="s">
        <v>1704</v>
      </c>
      <c r="C855" s="879"/>
    </row>
    <row r="856" spans="1:3" x14ac:dyDescent="0.25">
      <c r="A856" s="879"/>
      <c r="B856" s="1452" t="s">
        <v>1705</v>
      </c>
      <c r="C856" s="879"/>
    </row>
    <row r="857" spans="1:3" x14ac:dyDescent="0.25">
      <c r="A857" s="879"/>
      <c r="B857" s="1452"/>
      <c r="C857" s="879"/>
    </row>
    <row r="858" spans="1:3" x14ac:dyDescent="0.25">
      <c r="A858" s="879"/>
      <c r="B858" s="1452"/>
      <c r="C858" s="879"/>
    </row>
    <row r="859" spans="1:3" x14ac:dyDescent="0.25">
      <c r="A859" s="879"/>
      <c r="B859" s="1452" t="s">
        <v>1368</v>
      </c>
      <c r="C859" s="879"/>
    </row>
    <row r="860" spans="1:3" x14ac:dyDescent="0.25">
      <c r="A860" s="879"/>
      <c r="B860" s="1452" t="s">
        <v>1932</v>
      </c>
      <c r="C860" s="879"/>
    </row>
    <row r="861" spans="1:3" x14ac:dyDescent="0.25">
      <c r="A861" s="879"/>
      <c r="B861" s="1452" t="s">
        <v>1368</v>
      </c>
      <c r="C861" s="879"/>
    </row>
    <row r="862" spans="1:3" x14ac:dyDescent="0.25">
      <c r="A862" s="879"/>
      <c r="B862" s="1452" t="s">
        <v>1933</v>
      </c>
      <c r="C862" s="879"/>
    </row>
    <row r="863" spans="1:3" x14ac:dyDescent="0.25">
      <c r="A863" s="879"/>
      <c r="B863" s="1452" t="s">
        <v>1367</v>
      </c>
      <c r="C863" s="879"/>
    </row>
    <row r="864" spans="1:3" x14ac:dyDescent="0.25">
      <c r="A864" s="879"/>
      <c r="B864" s="1452" t="s">
        <v>1369</v>
      </c>
      <c r="C864" s="879"/>
    </row>
    <row r="865" spans="1:3" x14ac:dyDescent="0.25">
      <c r="A865" s="879"/>
      <c r="B865" s="1452" t="s">
        <v>1370</v>
      </c>
      <c r="C865" s="879"/>
    </row>
    <row r="866" spans="1:3" x14ac:dyDescent="0.25">
      <c r="A866" s="879"/>
      <c r="B866" s="1452" t="s">
        <v>1367</v>
      </c>
      <c r="C866" s="879"/>
    </row>
    <row r="867" spans="1:3" x14ac:dyDescent="0.25">
      <c r="A867" s="879"/>
      <c r="B867" s="1452" t="s">
        <v>1460</v>
      </c>
      <c r="C867" s="879"/>
    </row>
    <row r="868" spans="1:3" x14ac:dyDescent="0.25">
      <c r="A868" s="879"/>
      <c r="B868" s="1452" t="s">
        <v>1461</v>
      </c>
      <c r="C868" s="879"/>
    </row>
    <row r="869" spans="1:3" x14ac:dyDescent="0.25">
      <c r="A869" s="879"/>
      <c r="B869" s="1452" t="s">
        <v>1510</v>
      </c>
      <c r="C869" s="879"/>
    </row>
    <row r="870" spans="1:3" x14ac:dyDescent="0.25">
      <c r="A870" s="879"/>
      <c r="B870" s="1452" t="s">
        <v>1650</v>
      </c>
      <c r="C870" s="879"/>
    </row>
    <row r="871" spans="1:3" x14ac:dyDescent="0.25">
      <c r="A871" s="879"/>
      <c r="B871" s="1452" t="s">
        <v>1934</v>
      </c>
      <c r="C871" s="879"/>
    </row>
    <row r="872" spans="1:3" x14ac:dyDescent="0.25">
      <c r="A872" s="879"/>
      <c r="B872" s="1452" t="s">
        <v>1935</v>
      </c>
      <c r="C872" s="879"/>
    </row>
    <row r="873" spans="1:3" x14ac:dyDescent="0.25">
      <c r="A873" s="879"/>
      <c r="B873" s="1452" t="s">
        <v>1936</v>
      </c>
      <c r="C873" s="879"/>
    </row>
    <row r="874" spans="1:3" x14ac:dyDescent="0.25">
      <c r="A874" s="879"/>
      <c r="B874" s="1452" t="s">
        <v>1937</v>
      </c>
      <c r="C874" s="879"/>
    </row>
    <row r="875" spans="1:3" x14ac:dyDescent="0.25">
      <c r="A875" s="879"/>
      <c r="B875" s="1452" t="s">
        <v>1938</v>
      </c>
      <c r="C875" s="879"/>
    </row>
    <row r="876" spans="1:3" x14ac:dyDescent="0.25">
      <c r="A876" s="879"/>
      <c r="B876" s="1452" t="s">
        <v>1939</v>
      </c>
      <c r="C876" s="879"/>
    </row>
    <row r="877" spans="1:3" x14ac:dyDescent="0.25">
      <c r="A877" s="879"/>
      <c r="B877" s="1452" t="s">
        <v>1462</v>
      </c>
      <c r="C877" s="879"/>
    </row>
    <row r="878" spans="1:3" x14ac:dyDescent="0.25">
      <c r="A878" s="879"/>
      <c r="B878" s="1452" t="s">
        <v>1382</v>
      </c>
      <c r="C878" s="879"/>
    </row>
    <row r="879" spans="1:3" x14ac:dyDescent="0.25">
      <c r="A879" s="879"/>
      <c r="B879" s="1452" t="s">
        <v>1367</v>
      </c>
      <c r="C879" s="879"/>
    </row>
    <row r="880" spans="1:3" x14ac:dyDescent="0.25">
      <c r="A880" s="879"/>
      <c r="B880" s="1452" t="s">
        <v>1460</v>
      </c>
      <c r="C880" s="879"/>
    </row>
    <row r="881" spans="1:3" x14ac:dyDescent="0.25">
      <c r="A881" s="879"/>
      <c r="B881" s="1452" t="s">
        <v>1940</v>
      </c>
      <c r="C881" s="879"/>
    </row>
    <row r="882" spans="1:3" x14ac:dyDescent="0.25">
      <c r="A882" s="879"/>
      <c r="B882" s="1452" t="s">
        <v>1941</v>
      </c>
      <c r="C882" s="879"/>
    </row>
    <row r="883" spans="1:3" x14ac:dyDescent="0.25">
      <c r="A883" s="879"/>
      <c r="B883" s="1452" t="s">
        <v>1942</v>
      </c>
      <c r="C883" s="879"/>
    </row>
    <row r="884" spans="1:3" x14ac:dyDescent="0.25">
      <c r="A884" s="879"/>
      <c r="B884" s="1452" t="s">
        <v>1943</v>
      </c>
      <c r="C884" s="879"/>
    </row>
    <row r="885" spans="1:3" x14ac:dyDescent="0.25">
      <c r="A885" s="879"/>
      <c r="B885" s="1452" t="s">
        <v>1944</v>
      </c>
      <c r="C885" s="879"/>
    </row>
    <row r="886" spans="1:3" x14ac:dyDescent="0.25">
      <c r="A886" s="879"/>
      <c r="B886" s="1452" t="s">
        <v>1945</v>
      </c>
      <c r="C886" s="879"/>
    </row>
    <row r="887" spans="1:3" x14ac:dyDescent="0.25">
      <c r="A887" s="879"/>
      <c r="B887" s="1452" t="s">
        <v>1946</v>
      </c>
      <c r="C887" s="879"/>
    </row>
    <row r="888" spans="1:3" x14ac:dyDescent="0.25">
      <c r="A888" s="879"/>
      <c r="B888" s="1452" t="s">
        <v>1947</v>
      </c>
      <c r="C888" s="879"/>
    </row>
    <row r="889" spans="1:3" x14ac:dyDescent="0.25">
      <c r="A889" s="879"/>
      <c r="B889" s="1452" t="s">
        <v>1574</v>
      </c>
      <c r="C889" s="879"/>
    </row>
    <row r="890" spans="1:3" x14ac:dyDescent="0.25">
      <c r="A890" s="879"/>
      <c r="B890" s="1452" t="s">
        <v>1465</v>
      </c>
      <c r="C890" s="879"/>
    </row>
    <row r="891" spans="1:3" x14ac:dyDescent="0.25">
      <c r="A891" s="879"/>
      <c r="B891" s="1452" t="s">
        <v>1466</v>
      </c>
      <c r="C891" s="879"/>
    </row>
    <row r="892" spans="1:3" x14ac:dyDescent="0.25">
      <c r="A892" s="879"/>
      <c r="B892" s="1452" t="s">
        <v>1467</v>
      </c>
      <c r="C892" s="879"/>
    </row>
    <row r="893" spans="1:3" x14ac:dyDescent="0.25">
      <c r="A893" s="879"/>
      <c r="B893" s="1452" t="s">
        <v>1948</v>
      </c>
      <c r="C893" s="879"/>
    </row>
    <row r="894" spans="1:3" x14ac:dyDescent="0.25">
      <c r="A894" s="879"/>
      <c r="B894" s="1452" t="s">
        <v>1469</v>
      </c>
      <c r="C894" s="879"/>
    </row>
    <row r="895" spans="1:3" x14ac:dyDescent="0.25">
      <c r="A895" s="879"/>
      <c r="B895" s="1452" t="s">
        <v>1949</v>
      </c>
      <c r="C895" s="879"/>
    </row>
    <row r="896" spans="1:3" x14ac:dyDescent="0.25">
      <c r="A896" s="879"/>
      <c r="B896" s="1452" t="s">
        <v>1950</v>
      </c>
      <c r="C896" s="879"/>
    </row>
    <row r="897" spans="1:3" x14ac:dyDescent="0.25">
      <c r="A897" s="879"/>
      <c r="B897" s="1452" t="s">
        <v>1951</v>
      </c>
      <c r="C897" s="879"/>
    </row>
    <row r="898" spans="1:3" x14ac:dyDescent="0.25">
      <c r="A898" s="879"/>
      <c r="B898" s="1452" t="s">
        <v>1952</v>
      </c>
      <c r="C898" s="879"/>
    </row>
    <row r="899" spans="1:3" x14ac:dyDescent="0.25">
      <c r="A899" s="879"/>
      <c r="B899" s="1452" t="s">
        <v>1953</v>
      </c>
      <c r="C899" s="879"/>
    </row>
    <row r="900" spans="1:3" x14ac:dyDescent="0.25">
      <c r="A900" s="879"/>
      <c r="B900" s="1452" t="s">
        <v>1471</v>
      </c>
      <c r="C900" s="879"/>
    </row>
    <row r="901" spans="1:3" x14ac:dyDescent="0.25">
      <c r="A901" s="879"/>
      <c r="B901" s="1452" t="s">
        <v>1954</v>
      </c>
      <c r="C901" s="879"/>
    </row>
    <row r="902" spans="1:3" x14ac:dyDescent="0.25">
      <c r="A902" s="879"/>
      <c r="B902" s="1452" t="s">
        <v>1955</v>
      </c>
      <c r="C902" s="879"/>
    </row>
    <row r="903" spans="1:3" x14ac:dyDescent="0.25">
      <c r="A903" s="879"/>
      <c r="B903" s="1452" t="s">
        <v>1473</v>
      </c>
      <c r="C903" s="879"/>
    </row>
    <row r="904" spans="1:3" x14ac:dyDescent="0.25">
      <c r="A904" s="879"/>
      <c r="B904" s="1452" t="s">
        <v>1956</v>
      </c>
      <c r="C904" s="879"/>
    </row>
    <row r="905" spans="1:3" x14ac:dyDescent="0.25">
      <c r="A905" s="879"/>
      <c r="B905" s="1452" t="s">
        <v>1957</v>
      </c>
      <c r="C905" s="879"/>
    </row>
    <row r="906" spans="1:3" x14ac:dyDescent="0.25">
      <c r="A906" s="879"/>
      <c r="B906" s="1452" t="s">
        <v>1958</v>
      </c>
      <c r="C906" s="879"/>
    </row>
    <row r="907" spans="1:3" x14ac:dyDescent="0.25">
      <c r="A907" s="879"/>
      <c r="B907" s="1452" t="s">
        <v>1959</v>
      </c>
      <c r="C907" s="879"/>
    </row>
    <row r="908" spans="1:3" x14ac:dyDescent="0.25">
      <c r="A908" s="879"/>
      <c r="B908" s="1452" t="s">
        <v>1476</v>
      </c>
      <c r="C908" s="879"/>
    </row>
    <row r="909" spans="1:3" x14ac:dyDescent="0.25">
      <c r="A909" s="879"/>
      <c r="B909" s="1452" t="s">
        <v>1477</v>
      </c>
      <c r="C909" s="879"/>
    </row>
    <row r="910" spans="1:3" x14ac:dyDescent="0.25">
      <c r="A910" s="879"/>
      <c r="B910" s="1452" t="s">
        <v>1478</v>
      </c>
      <c r="C910" s="879"/>
    </row>
    <row r="911" spans="1:3" x14ac:dyDescent="0.25">
      <c r="A911" s="879"/>
      <c r="B911" s="1452" t="s">
        <v>1960</v>
      </c>
      <c r="C911" s="879"/>
    </row>
    <row r="912" spans="1:3" x14ac:dyDescent="0.25">
      <c r="A912" s="879"/>
      <c r="B912" s="1452" t="s">
        <v>1961</v>
      </c>
      <c r="C912" s="879"/>
    </row>
    <row r="913" spans="1:3" x14ac:dyDescent="0.25">
      <c r="A913" s="879"/>
      <c r="B913" s="1452" t="s">
        <v>1479</v>
      </c>
      <c r="C913" s="879"/>
    </row>
    <row r="914" spans="1:3" x14ac:dyDescent="0.25">
      <c r="A914" s="879"/>
      <c r="B914" s="1452" t="s">
        <v>1480</v>
      </c>
      <c r="C914" s="879"/>
    </row>
    <row r="915" spans="1:3" x14ac:dyDescent="0.25">
      <c r="A915" s="879"/>
      <c r="B915" s="1452" t="s">
        <v>1962</v>
      </c>
      <c r="C915" s="879"/>
    </row>
    <row r="916" spans="1:3" x14ac:dyDescent="0.25">
      <c r="A916" s="879"/>
      <c r="B916" s="1452" t="s">
        <v>1963</v>
      </c>
      <c r="C916" s="879"/>
    </row>
    <row r="917" spans="1:3" x14ac:dyDescent="0.25">
      <c r="A917" s="879"/>
      <c r="B917" s="1452" t="s">
        <v>1964</v>
      </c>
      <c r="C917" s="879"/>
    </row>
    <row r="918" spans="1:3" x14ac:dyDescent="0.25">
      <c r="A918" s="879"/>
      <c r="B918" s="1452" t="s">
        <v>1965</v>
      </c>
      <c r="C918" s="879"/>
    </row>
    <row r="919" spans="1:3" x14ac:dyDescent="0.25">
      <c r="A919" s="879"/>
      <c r="B919" s="1452" t="s">
        <v>1966</v>
      </c>
      <c r="C919" s="879"/>
    </row>
    <row r="920" spans="1:3" x14ac:dyDescent="0.25">
      <c r="A920" s="879"/>
      <c r="B920" s="1452" t="s">
        <v>1967</v>
      </c>
      <c r="C920" s="879"/>
    </row>
    <row r="921" spans="1:3" x14ac:dyDescent="0.25">
      <c r="A921" s="879"/>
      <c r="B921" s="1452" t="s">
        <v>1968</v>
      </c>
      <c r="C921" s="879"/>
    </row>
    <row r="922" spans="1:3" x14ac:dyDescent="0.25">
      <c r="A922" s="879"/>
      <c r="B922" s="1452" t="s">
        <v>1969</v>
      </c>
      <c r="C922" s="879"/>
    </row>
    <row r="923" spans="1:3" x14ac:dyDescent="0.25">
      <c r="A923" s="879"/>
      <c r="B923" s="1452" t="s">
        <v>1970</v>
      </c>
      <c r="C923" s="879"/>
    </row>
    <row r="924" spans="1:3" x14ac:dyDescent="0.25">
      <c r="A924" s="879"/>
      <c r="B924" s="1452" t="s">
        <v>1481</v>
      </c>
      <c r="C924" s="879"/>
    </row>
    <row r="925" spans="1:3" x14ac:dyDescent="0.25">
      <c r="A925" s="879"/>
      <c r="B925" s="1452" t="s">
        <v>1482</v>
      </c>
      <c r="C925" s="879"/>
    </row>
    <row r="926" spans="1:3" x14ac:dyDescent="0.25">
      <c r="A926" s="879"/>
      <c r="B926" s="1452" t="s">
        <v>1483</v>
      </c>
      <c r="C926" s="879"/>
    </row>
    <row r="927" spans="1:3" x14ac:dyDescent="0.25">
      <c r="A927" s="879"/>
      <c r="B927" s="1452" t="s">
        <v>1971</v>
      </c>
      <c r="C927" s="879"/>
    </row>
    <row r="928" spans="1:3" x14ac:dyDescent="0.25">
      <c r="A928" s="879"/>
      <c r="B928" s="1452" t="s">
        <v>1430</v>
      </c>
      <c r="C928" s="879"/>
    </row>
    <row r="929" spans="1:3" x14ac:dyDescent="0.25">
      <c r="A929" s="879"/>
      <c r="B929" s="1452" t="s">
        <v>1367</v>
      </c>
      <c r="C929" s="879"/>
    </row>
    <row r="930" spans="1:3" x14ac:dyDescent="0.25">
      <c r="A930" s="879"/>
      <c r="B930" s="1452" t="s">
        <v>1449</v>
      </c>
      <c r="C930" s="879"/>
    </row>
    <row r="931" spans="1:3" x14ac:dyDescent="0.25">
      <c r="A931" s="879"/>
      <c r="B931" s="1452" t="s">
        <v>1367</v>
      </c>
      <c r="C931" s="879"/>
    </row>
    <row r="932" spans="1:3" x14ac:dyDescent="0.25">
      <c r="A932" s="879"/>
      <c r="B932" s="1452" t="s">
        <v>1450</v>
      </c>
      <c r="C932" s="879"/>
    </row>
    <row r="933" spans="1:3" x14ac:dyDescent="0.25">
      <c r="A933" s="879"/>
      <c r="B933" s="1452" t="s">
        <v>1451</v>
      </c>
      <c r="C933" s="879"/>
    </row>
    <row r="934" spans="1:3" x14ac:dyDescent="0.25">
      <c r="A934" s="879"/>
      <c r="B934" s="1452" t="s">
        <v>1972</v>
      </c>
      <c r="C934" s="879"/>
    </row>
    <row r="935" spans="1:3" x14ac:dyDescent="0.25">
      <c r="A935" s="879"/>
      <c r="B935" s="1452" t="s">
        <v>1973</v>
      </c>
      <c r="C935" s="879"/>
    </row>
    <row r="936" spans="1:3" x14ac:dyDescent="0.25">
      <c r="A936" s="879"/>
      <c r="B936" s="1452" t="s">
        <v>1974</v>
      </c>
      <c r="C936" s="879"/>
    </row>
    <row r="937" spans="1:3" x14ac:dyDescent="0.25">
      <c r="A937" s="879"/>
      <c r="B937" s="1452" t="s">
        <v>1975</v>
      </c>
      <c r="C937" s="879"/>
    </row>
    <row r="938" spans="1:3" x14ac:dyDescent="0.25">
      <c r="A938" s="879"/>
      <c r="B938" s="1452" t="s">
        <v>1684</v>
      </c>
      <c r="C938" s="879"/>
    </row>
    <row r="939" spans="1:3" x14ac:dyDescent="0.25">
      <c r="A939" s="879"/>
      <c r="B939" s="1452" t="s">
        <v>1453</v>
      </c>
      <c r="C939" s="879"/>
    </row>
    <row r="940" spans="1:3" x14ac:dyDescent="0.25">
      <c r="A940" s="879"/>
      <c r="B940" s="1452" t="s">
        <v>1976</v>
      </c>
      <c r="C940" s="879"/>
    </row>
    <row r="941" spans="1:3" x14ac:dyDescent="0.25">
      <c r="A941" s="879"/>
      <c r="B941" s="1452" t="s">
        <v>1977</v>
      </c>
      <c r="C941" s="879"/>
    </row>
    <row r="942" spans="1:3" x14ac:dyDescent="0.25">
      <c r="A942" s="879"/>
      <c r="B942" s="1452" t="s">
        <v>1978</v>
      </c>
      <c r="C942" s="879"/>
    </row>
    <row r="943" spans="1:3" x14ac:dyDescent="0.25">
      <c r="A943" s="879"/>
      <c r="B943" s="1452" t="s">
        <v>1454</v>
      </c>
      <c r="C943" s="879"/>
    </row>
    <row r="944" spans="1:3" x14ac:dyDescent="0.25">
      <c r="A944" s="879"/>
      <c r="B944" s="1452" t="s">
        <v>1979</v>
      </c>
      <c r="C944" s="879"/>
    </row>
    <row r="945" spans="1:3" x14ac:dyDescent="0.25">
      <c r="A945" s="879"/>
      <c r="B945" s="1452" t="s">
        <v>1455</v>
      </c>
      <c r="C945" s="879"/>
    </row>
    <row r="946" spans="1:3" x14ac:dyDescent="0.25">
      <c r="A946" s="879"/>
      <c r="B946" s="1452" t="s">
        <v>1980</v>
      </c>
      <c r="C946" s="879"/>
    </row>
    <row r="947" spans="1:3" x14ac:dyDescent="0.25">
      <c r="A947" s="879"/>
      <c r="B947" s="1452" t="s">
        <v>1688</v>
      </c>
      <c r="C947" s="879"/>
    </row>
    <row r="948" spans="1:3" x14ac:dyDescent="0.25">
      <c r="A948" s="879"/>
      <c r="B948" s="1452" t="s">
        <v>1981</v>
      </c>
      <c r="C948" s="879"/>
    </row>
    <row r="949" spans="1:3" x14ac:dyDescent="0.25">
      <c r="A949" s="879"/>
      <c r="B949" s="1452" t="s">
        <v>1456</v>
      </c>
      <c r="C949" s="879"/>
    </row>
    <row r="950" spans="1:3" x14ac:dyDescent="0.25">
      <c r="A950" s="879"/>
      <c r="B950" s="1452" t="s">
        <v>1367</v>
      </c>
      <c r="C950" s="879"/>
    </row>
    <row r="951" spans="1:3" x14ac:dyDescent="0.25">
      <c r="A951" s="879"/>
      <c r="B951" s="1452" t="s">
        <v>1450</v>
      </c>
      <c r="C951" s="879"/>
    </row>
    <row r="952" spans="1:3" x14ac:dyDescent="0.25">
      <c r="A952" s="879"/>
      <c r="B952" s="1452" t="s">
        <v>1451</v>
      </c>
      <c r="C952" s="879"/>
    </row>
    <row r="953" spans="1:3" x14ac:dyDescent="0.25">
      <c r="A953" s="879"/>
      <c r="B953" s="1452" t="s">
        <v>1972</v>
      </c>
      <c r="C953" s="879"/>
    </row>
    <row r="954" spans="1:3" x14ac:dyDescent="0.25">
      <c r="A954" s="879"/>
      <c r="B954" s="1452" t="s">
        <v>1973</v>
      </c>
      <c r="C954" s="879"/>
    </row>
    <row r="955" spans="1:3" x14ac:dyDescent="0.25">
      <c r="A955" s="879"/>
      <c r="B955" s="1452" t="s">
        <v>1974</v>
      </c>
      <c r="C955" s="879"/>
    </row>
    <row r="956" spans="1:3" x14ac:dyDescent="0.25">
      <c r="A956" s="879"/>
      <c r="B956" s="1452" t="s">
        <v>1975</v>
      </c>
      <c r="C956" s="879"/>
    </row>
    <row r="957" spans="1:3" x14ac:dyDescent="0.25">
      <c r="A957" s="879"/>
      <c r="B957" s="1452" t="s">
        <v>1684</v>
      </c>
      <c r="C957" s="879"/>
    </row>
    <row r="958" spans="1:3" x14ac:dyDescent="0.25">
      <c r="A958" s="879"/>
      <c r="B958" s="1452" t="s">
        <v>1453</v>
      </c>
      <c r="C958" s="879"/>
    </row>
    <row r="959" spans="1:3" x14ac:dyDescent="0.25">
      <c r="A959" s="879"/>
      <c r="B959" s="1452" t="s">
        <v>1976</v>
      </c>
      <c r="C959" s="879"/>
    </row>
    <row r="960" spans="1:3" x14ac:dyDescent="0.25">
      <c r="A960" s="879"/>
      <c r="B960" s="1452" t="s">
        <v>1977</v>
      </c>
      <c r="C960" s="879"/>
    </row>
    <row r="961" spans="1:3" x14ac:dyDescent="0.25">
      <c r="A961" s="879"/>
      <c r="B961" s="1452" t="s">
        <v>1978</v>
      </c>
      <c r="C961" s="879"/>
    </row>
    <row r="962" spans="1:3" x14ac:dyDescent="0.25">
      <c r="A962" s="879"/>
      <c r="B962" s="1452" t="s">
        <v>1454</v>
      </c>
      <c r="C962" s="879"/>
    </row>
    <row r="963" spans="1:3" x14ac:dyDescent="0.25">
      <c r="A963" s="879"/>
      <c r="B963" s="1452" t="s">
        <v>1979</v>
      </c>
      <c r="C963" s="879"/>
    </row>
    <row r="964" spans="1:3" x14ac:dyDescent="0.25">
      <c r="A964" s="879"/>
      <c r="B964" s="1452" t="s">
        <v>1455</v>
      </c>
      <c r="C964" s="879"/>
    </row>
    <row r="965" spans="1:3" x14ac:dyDescent="0.25">
      <c r="A965" s="879"/>
      <c r="B965" s="1452" t="s">
        <v>1980</v>
      </c>
      <c r="C965" s="879"/>
    </row>
    <row r="966" spans="1:3" x14ac:dyDescent="0.25">
      <c r="A966" s="879"/>
      <c r="B966" s="1452" t="s">
        <v>1688</v>
      </c>
      <c r="C966" s="879"/>
    </row>
    <row r="967" spans="1:3" x14ac:dyDescent="0.25">
      <c r="A967" s="879"/>
      <c r="B967" s="1452" t="s">
        <v>1981</v>
      </c>
      <c r="C967" s="879"/>
    </row>
    <row r="968" spans="1:3" x14ac:dyDescent="0.25">
      <c r="A968" s="879"/>
      <c r="B968" s="1452" t="s">
        <v>1690</v>
      </c>
      <c r="C968" s="879"/>
    </row>
    <row r="969" spans="1:3" x14ac:dyDescent="0.25">
      <c r="A969" s="879"/>
      <c r="B969" s="1452" t="s">
        <v>1367</v>
      </c>
      <c r="C969" s="879"/>
    </row>
    <row r="970" spans="1:3" x14ac:dyDescent="0.25">
      <c r="A970" s="879"/>
      <c r="B970" s="1452" t="s">
        <v>1691</v>
      </c>
      <c r="C970" s="879"/>
    </row>
    <row r="971" spans="1:3" x14ac:dyDescent="0.25">
      <c r="A971" s="879"/>
      <c r="B971" s="1452" t="s">
        <v>1692</v>
      </c>
      <c r="C971" s="879"/>
    </row>
    <row r="972" spans="1:3" x14ac:dyDescent="0.25">
      <c r="A972" s="879"/>
      <c r="B972" s="1452" t="s">
        <v>1693</v>
      </c>
      <c r="C972" s="879"/>
    </row>
    <row r="973" spans="1:3" x14ac:dyDescent="0.25">
      <c r="A973" s="879"/>
      <c r="B973" s="1452" t="s">
        <v>1694</v>
      </c>
      <c r="C973" s="879"/>
    </row>
    <row r="974" spans="1:3" x14ac:dyDescent="0.25">
      <c r="A974" s="879"/>
      <c r="B974" s="1452" t="s">
        <v>1695</v>
      </c>
      <c r="C974" s="879"/>
    </row>
    <row r="975" spans="1:3" x14ac:dyDescent="0.25">
      <c r="A975" s="879"/>
      <c r="B975" s="1452" t="s">
        <v>1696</v>
      </c>
      <c r="C975" s="879"/>
    </row>
    <row r="976" spans="1:3" x14ac:dyDescent="0.25">
      <c r="A976" s="879"/>
      <c r="B976" s="1452" t="s">
        <v>1697</v>
      </c>
      <c r="C976" s="879"/>
    </row>
    <row r="977" spans="1:3" x14ac:dyDescent="0.25">
      <c r="A977" s="879"/>
      <c r="B977" s="1452" t="s">
        <v>1698</v>
      </c>
      <c r="C977" s="879"/>
    </row>
    <row r="978" spans="1:3" x14ac:dyDescent="0.25">
      <c r="A978" s="879"/>
      <c r="B978" s="1452" t="s">
        <v>1699</v>
      </c>
      <c r="C978" s="879"/>
    </row>
    <row r="979" spans="1:3" x14ac:dyDescent="0.25">
      <c r="A979" s="879"/>
      <c r="B979" s="1452" t="s">
        <v>1700</v>
      </c>
      <c r="C979" s="879"/>
    </row>
    <row r="980" spans="1:3" x14ac:dyDescent="0.25">
      <c r="A980" s="879"/>
      <c r="B980" s="1452" t="s">
        <v>1701</v>
      </c>
      <c r="C980" s="879"/>
    </row>
    <row r="981" spans="1:3" x14ac:dyDescent="0.25">
      <c r="A981" s="879"/>
      <c r="B981" s="1452" t="s">
        <v>1702</v>
      </c>
      <c r="C981" s="879"/>
    </row>
    <row r="982" spans="1:3" x14ac:dyDescent="0.25">
      <c r="A982" s="879"/>
      <c r="B982" s="1452" t="s">
        <v>1703</v>
      </c>
      <c r="C982" s="879"/>
    </row>
    <row r="983" spans="1:3" x14ac:dyDescent="0.25">
      <c r="A983" s="879"/>
      <c r="B983" s="1452" t="s">
        <v>1704</v>
      </c>
      <c r="C983" s="879"/>
    </row>
    <row r="984" spans="1:3" x14ac:dyDescent="0.25">
      <c r="A984" s="879"/>
      <c r="B984" s="1452" t="s">
        <v>1705</v>
      </c>
      <c r="C984" s="879"/>
    </row>
    <row r="985" spans="1:3" x14ac:dyDescent="0.25">
      <c r="A985" s="879"/>
      <c r="B985" s="1452"/>
      <c r="C985" s="879"/>
    </row>
    <row r="986" spans="1:3" x14ac:dyDescent="0.25">
      <c r="A986" s="879"/>
      <c r="B986" s="1452"/>
      <c r="C986" s="879"/>
    </row>
    <row r="987" spans="1:3" x14ac:dyDescent="0.25">
      <c r="A987" s="879"/>
      <c r="B987" s="1452" t="s">
        <v>1368</v>
      </c>
      <c r="C987" s="879"/>
    </row>
    <row r="988" spans="1:3" x14ac:dyDescent="0.25">
      <c r="A988" s="879"/>
      <c r="B988" s="1452" t="s">
        <v>1982</v>
      </c>
      <c r="C988" s="879"/>
    </row>
    <row r="989" spans="1:3" x14ac:dyDescent="0.25">
      <c r="A989" s="879"/>
      <c r="B989" s="1452" t="s">
        <v>1368</v>
      </c>
      <c r="C989" s="879"/>
    </row>
    <row r="990" spans="1:3" x14ac:dyDescent="0.25">
      <c r="A990" s="879"/>
      <c r="B990" s="1452" t="s">
        <v>1983</v>
      </c>
      <c r="C990" s="879"/>
    </row>
    <row r="991" spans="1:3" x14ac:dyDescent="0.25">
      <c r="A991" s="879"/>
      <c r="B991" s="1452" t="s">
        <v>1367</v>
      </c>
      <c r="C991" s="879"/>
    </row>
    <row r="992" spans="1:3" x14ac:dyDescent="0.25">
      <c r="A992" s="879"/>
      <c r="B992" s="1452" t="s">
        <v>1369</v>
      </c>
      <c r="C992" s="879"/>
    </row>
    <row r="993" spans="1:3" x14ac:dyDescent="0.25">
      <c r="A993" s="879"/>
      <c r="B993" s="1452" t="s">
        <v>1370</v>
      </c>
      <c r="C993" s="879"/>
    </row>
    <row r="994" spans="1:3" x14ac:dyDescent="0.25">
      <c r="A994" s="879"/>
      <c r="B994" s="1452" t="s">
        <v>1367</v>
      </c>
      <c r="C994" s="879"/>
    </row>
    <row r="995" spans="1:3" x14ac:dyDescent="0.25">
      <c r="A995" s="879"/>
      <c r="B995" s="1452" t="s">
        <v>1520</v>
      </c>
      <c r="C995" s="879"/>
    </row>
    <row r="996" spans="1:3" x14ac:dyDescent="0.25">
      <c r="A996" s="879"/>
      <c r="B996" s="1452" t="s">
        <v>1984</v>
      </c>
      <c r="C996" s="879"/>
    </row>
    <row r="997" spans="1:3" x14ac:dyDescent="0.25">
      <c r="A997" s="879"/>
      <c r="B997" s="1452" t="s">
        <v>1985</v>
      </c>
      <c r="C997" s="879"/>
    </row>
    <row r="998" spans="1:3" x14ac:dyDescent="0.25">
      <c r="A998" s="879"/>
      <c r="B998" s="1452" t="s">
        <v>1986</v>
      </c>
      <c r="C998" s="879"/>
    </row>
    <row r="999" spans="1:3" x14ac:dyDescent="0.25">
      <c r="A999" s="879"/>
      <c r="B999" s="1452" t="s">
        <v>1987</v>
      </c>
      <c r="C999" s="879"/>
    </row>
    <row r="1000" spans="1:3" x14ac:dyDescent="0.25">
      <c r="A1000" s="879"/>
      <c r="B1000" s="1452" t="s">
        <v>1988</v>
      </c>
      <c r="C1000" s="879"/>
    </row>
    <row r="1001" spans="1:3" x14ac:dyDescent="0.25">
      <c r="A1001" s="879"/>
      <c r="B1001" s="1452" t="s">
        <v>1989</v>
      </c>
      <c r="C1001" s="879"/>
    </row>
    <row r="1002" spans="1:3" x14ac:dyDescent="0.25">
      <c r="A1002" s="879"/>
      <c r="B1002" s="1452" t="s">
        <v>1990</v>
      </c>
      <c r="C1002" s="879"/>
    </row>
    <row r="1003" spans="1:3" x14ac:dyDescent="0.25">
      <c r="A1003" s="879"/>
      <c r="B1003" s="1452" t="s">
        <v>1991</v>
      </c>
      <c r="C1003" s="879"/>
    </row>
    <row r="1004" spans="1:3" x14ac:dyDescent="0.25">
      <c r="A1004" s="879"/>
      <c r="B1004" s="1452" t="s">
        <v>1992</v>
      </c>
      <c r="C1004" s="879"/>
    </row>
    <row r="1005" spans="1:3" x14ac:dyDescent="0.25">
      <c r="A1005" s="879"/>
      <c r="B1005" s="1452" t="s">
        <v>1993</v>
      </c>
      <c r="C1005" s="879"/>
    </row>
    <row r="1006" spans="1:3" x14ac:dyDescent="0.25">
      <c r="A1006" s="879"/>
      <c r="B1006" s="1452" t="s">
        <v>1382</v>
      </c>
      <c r="C1006" s="879"/>
    </row>
    <row r="1007" spans="1:3" x14ac:dyDescent="0.25">
      <c r="A1007" s="879"/>
      <c r="B1007" s="1452" t="s">
        <v>1367</v>
      </c>
      <c r="C1007" s="879"/>
    </row>
    <row r="1008" spans="1:3" x14ac:dyDescent="0.25">
      <c r="A1008" s="879"/>
      <c r="B1008" s="1452" t="s">
        <v>1520</v>
      </c>
      <c r="C1008" s="879"/>
    </row>
    <row r="1009" spans="1:3" x14ac:dyDescent="0.25">
      <c r="A1009" s="879"/>
      <c r="B1009" s="1452" t="s">
        <v>1994</v>
      </c>
      <c r="C1009" s="879"/>
    </row>
    <row r="1010" spans="1:3" x14ac:dyDescent="0.25">
      <c r="A1010" s="879"/>
      <c r="B1010" s="1452" t="s">
        <v>1995</v>
      </c>
      <c r="C1010" s="879"/>
    </row>
    <row r="1011" spans="1:3" x14ac:dyDescent="0.25">
      <c r="A1011" s="879"/>
      <c r="B1011" s="1452" t="s">
        <v>1996</v>
      </c>
      <c r="C1011" s="879"/>
    </row>
    <row r="1012" spans="1:3" x14ac:dyDescent="0.25">
      <c r="A1012" s="879"/>
      <c r="B1012" s="1452" t="s">
        <v>1997</v>
      </c>
      <c r="C1012" s="879"/>
    </row>
    <row r="1013" spans="1:3" x14ac:dyDescent="0.25">
      <c r="A1013" s="879"/>
      <c r="B1013" s="1452" t="s">
        <v>1998</v>
      </c>
      <c r="C1013" s="879"/>
    </row>
    <row r="1014" spans="1:3" x14ac:dyDescent="0.25">
      <c r="A1014" s="879"/>
      <c r="B1014" s="1452" t="s">
        <v>1999</v>
      </c>
      <c r="C1014" s="879"/>
    </row>
    <row r="1015" spans="1:3" x14ac:dyDescent="0.25">
      <c r="A1015" s="879"/>
      <c r="B1015" s="1452" t="s">
        <v>2000</v>
      </c>
      <c r="C1015" s="879"/>
    </row>
    <row r="1016" spans="1:3" x14ac:dyDescent="0.25">
      <c r="A1016" s="879"/>
      <c r="B1016" s="1452" t="s">
        <v>2001</v>
      </c>
      <c r="C1016" s="879"/>
    </row>
    <row r="1017" spans="1:3" x14ac:dyDescent="0.25">
      <c r="A1017" s="879"/>
      <c r="B1017" s="1452" t="s">
        <v>2002</v>
      </c>
      <c r="C1017" s="879"/>
    </row>
    <row r="1018" spans="1:3" x14ac:dyDescent="0.25">
      <c r="A1018" s="879"/>
      <c r="B1018" s="1452" t="s">
        <v>2003</v>
      </c>
      <c r="C1018" s="879"/>
    </row>
    <row r="1019" spans="1:3" x14ac:dyDescent="0.25">
      <c r="A1019" s="879"/>
      <c r="B1019" s="1452" t="s">
        <v>2004</v>
      </c>
      <c r="C1019" s="879"/>
    </row>
    <row r="1020" spans="1:3" x14ac:dyDescent="0.25">
      <c r="A1020" s="879"/>
      <c r="B1020" s="1452" t="s">
        <v>2005</v>
      </c>
      <c r="C1020" s="879"/>
    </row>
    <row r="1021" spans="1:3" x14ac:dyDescent="0.25">
      <c r="A1021" s="879"/>
      <c r="B1021" s="1452" t="s">
        <v>2006</v>
      </c>
      <c r="C1021" s="879"/>
    </row>
    <row r="1022" spans="1:3" x14ac:dyDescent="0.25">
      <c r="A1022" s="879"/>
      <c r="B1022" s="1452" t="s">
        <v>1525</v>
      </c>
      <c r="C1022" s="879"/>
    </row>
    <row r="1023" spans="1:3" x14ac:dyDescent="0.25">
      <c r="A1023" s="879"/>
      <c r="B1023" s="1452" t="s">
        <v>2007</v>
      </c>
      <c r="C1023" s="879"/>
    </row>
    <row r="1024" spans="1:3" x14ac:dyDescent="0.25">
      <c r="A1024" s="879"/>
      <c r="B1024" s="1452" t="s">
        <v>2008</v>
      </c>
      <c r="C1024" s="879"/>
    </row>
    <row r="1025" spans="1:3" x14ac:dyDescent="0.25">
      <c r="A1025" s="879"/>
      <c r="B1025" s="1452" t="s">
        <v>2009</v>
      </c>
      <c r="C1025" s="879"/>
    </row>
    <row r="1026" spans="1:3" x14ac:dyDescent="0.25">
      <c r="A1026" s="879"/>
      <c r="B1026" s="1452" t="s">
        <v>2010</v>
      </c>
      <c r="C1026" s="879"/>
    </row>
    <row r="1027" spans="1:3" x14ac:dyDescent="0.25">
      <c r="A1027" s="879"/>
      <c r="B1027" s="1452" t="s">
        <v>2011</v>
      </c>
      <c r="C1027" s="879"/>
    </row>
    <row r="1028" spans="1:3" x14ac:dyDescent="0.25">
      <c r="A1028" s="879"/>
      <c r="B1028" s="1452" t="s">
        <v>2012</v>
      </c>
      <c r="C1028" s="879"/>
    </row>
    <row r="1029" spans="1:3" x14ac:dyDescent="0.25">
      <c r="A1029" s="879"/>
      <c r="B1029" s="1452" t="s">
        <v>2013</v>
      </c>
      <c r="C1029" s="879"/>
    </row>
    <row r="1030" spans="1:3" x14ac:dyDescent="0.25">
      <c r="A1030" s="879"/>
      <c r="B1030" s="1452" t="s">
        <v>2014</v>
      </c>
      <c r="C1030" s="879"/>
    </row>
    <row r="1031" spans="1:3" x14ac:dyDescent="0.25">
      <c r="A1031" s="879"/>
      <c r="B1031" s="1452" t="s">
        <v>1527</v>
      </c>
      <c r="C1031" s="879"/>
    </row>
    <row r="1032" spans="1:3" x14ac:dyDescent="0.25">
      <c r="A1032" s="879"/>
      <c r="B1032" s="1452" t="s">
        <v>2015</v>
      </c>
      <c r="C1032" s="879"/>
    </row>
    <row r="1033" spans="1:3" x14ac:dyDescent="0.25">
      <c r="A1033" s="879"/>
      <c r="B1033" s="1452" t="s">
        <v>2016</v>
      </c>
      <c r="C1033" s="879"/>
    </row>
    <row r="1034" spans="1:3" x14ac:dyDescent="0.25">
      <c r="A1034" s="879"/>
      <c r="B1034" s="1452" t="s">
        <v>2017</v>
      </c>
      <c r="C1034" s="879"/>
    </row>
    <row r="1035" spans="1:3" x14ac:dyDescent="0.25">
      <c r="A1035" s="879"/>
      <c r="B1035" s="1452" t="s">
        <v>2018</v>
      </c>
      <c r="C1035" s="879"/>
    </row>
    <row r="1036" spans="1:3" x14ac:dyDescent="0.25">
      <c r="A1036" s="879"/>
      <c r="B1036" s="1452" t="s">
        <v>1568</v>
      </c>
      <c r="C1036" s="879"/>
    </row>
    <row r="1037" spans="1:3" x14ac:dyDescent="0.25">
      <c r="A1037" s="879"/>
      <c r="B1037" s="1452" t="s">
        <v>2019</v>
      </c>
      <c r="C1037" s="879"/>
    </row>
    <row r="1038" spans="1:3" x14ac:dyDescent="0.25">
      <c r="A1038" s="879"/>
      <c r="B1038" s="1452" t="s">
        <v>2020</v>
      </c>
      <c r="C1038" s="879"/>
    </row>
    <row r="1039" spans="1:3" x14ac:dyDescent="0.25">
      <c r="A1039" s="879"/>
      <c r="B1039" s="1452" t="s">
        <v>2021</v>
      </c>
      <c r="C1039" s="879"/>
    </row>
    <row r="1040" spans="1:3" x14ac:dyDescent="0.25">
      <c r="A1040" s="879"/>
      <c r="B1040" s="1452" t="s">
        <v>2022</v>
      </c>
      <c r="C1040" s="879"/>
    </row>
    <row r="1041" spans="1:3" x14ac:dyDescent="0.25">
      <c r="A1041" s="879"/>
      <c r="B1041" s="1452" t="s">
        <v>2023</v>
      </c>
      <c r="C1041" s="879"/>
    </row>
    <row r="1042" spans="1:3" x14ac:dyDescent="0.25">
      <c r="A1042" s="879"/>
      <c r="B1042" s="1452" t="s">
        <v>2024</v>
      </c>
      <c r="C1042" s="879"/>
    </row>
    <row r="1043" spans="1:3" x14ac:dyDescent="0.25">
      <c r="A1043" s="879"/>
      <c r="B1043" s="1452" t="s">
        <v>2025</v>
      </c>
      <c r="C1043" s="879"/>
    </row>
    <row r="1044" spans="1:3" x14ac:dyDescent="0.25">
      <c r="A1044" s="879"/>
      <c r="B1044" s="1452" t="s">
        <v>2026</v>
      </c>
      <c r="C1044" s="879"/>
    </row>
    <row r="1045" spans="1:3" x14ac:dyDescent="0.25">
      <c r="A1045" s="879"/>
      <c r="B1045" s="1452" t="s">
        <v>2027</v>
      </c>
      <c r="C1045" s="879"/>
    </row>
    <row r="1046" spans="1:3" x14ac:dyDescent="0.25">
      <c r="A1046" s="879"/>
      <c r="B1046" s="1452" t="s">
        <v>2028</v>
      </c>
      <c r="C1046" s="879"/>
    </row>
    <row r="1047" spans="1:3" x14ac:dyDescent="0.25">
      <c r="A1047" s="879"/>
      <c r="B1047" s="1452" t="s">
        <v>2029</v>
      </c>
      <c r="C1047" s="879"/>
    </row>
    <row r="1048" spans="1:3" x14ac:dyDescent="0.25">
      <c r="A1048" s="879"/>
      <c r="B1048" s="1452" t="s">
        <v>2030</v>
      </c>
      <c r="C1048" s="879"/>
    </row>
    <row r="1049" spans="1:3" x14ac:dyDescent="0.25">
      <c r="A1049" s="879"/>
      <c r="B1049" s="1452" t="s">
        <v>2031</v>
      </c>
      <c r="C1049" s="879"/>
    </row>
    <row r="1050" spans="1:3" x14ac:dyDescent="0.25">
      <c r="A1050" s="879"/>
      <c r="B1050" s="1452" t="s">
        <v>2032</v>
      </c>
      <c r="C1050" s="879"/>
    </row>
    <row r="1051" spans="1:3" x14ac:dyDescent="0.25">
      <c r="A1051" s="879"/>
      <c r="B1051" s="1452" t="s">
        <v>2033</v>
      </c>
      <c r="C1051" s="879"/>
    </row>
    <row r="1052" spans="1:3" x14ac:dyDescent="0.25">
      <c r="A1052" s="879"/>
      <c r="B1052" s="1452" t="s">
        <v>1531</v>
      </c>
      <c r="C1052" s="879"/>
    </row>
    <row r="1053" spans="1:3" x14ac:dyDescent="0.25">
      <c r="A1053" s="879"/>
      <c r="B1053" s="1452" t="s">
        <v>2034</v>
      </c>
      <c r="C1053" s="879"/>
    </row>
    <row r="1054" spans="1:3" x14ac:dyDescent="0.25">
      <c r="A1054" s="879"/>
      <c r="B1054" s="1452" t="s">
        <v>2035</v>
      </c>
      <c r="C1054" s="879"/>
    </row>
    <row r="1055" spans="1:3" x14ac:dyDescent="0.25">
      <c r="A1055" s="879"/>
      <c r="B1055" s="1452" t="s">
        <v>1532</v>
      </c>
      <c r="C1055" s="879"/>
    </row>
    <row r="1056" spans="1:3" x14ac:dyDescent="0.25">
      <c r="A1056" s="879"/>
      <c r="B1056" s="1452" t="s">
        <v>1430</v>
      </c>
      <c r="C1056" s="879"/>
    </row>
    <row r="1057" spans="1:3" x14ac:dyDescent="0.25">
      <c r="A1057" s="879"/>
      <c r="B1057" s="1452" t="s">
        <v>1367</v>
      </c>
      <c r="C1057" s="879"/>
    </row>
    <row r="1058" spans="1:3" x14ac:dyDescent="0.25">
      <c r="A1058" s="879"/>
      <c r="B1058" s="1452" t="s">
        <v>2036</v>
      </c>
      <c r="C1058" s="879"/>
    </row>
    <row r="1059" spans="1:3" x14ac:dyDescent="0.25">
      <c r="A1059" s="879"/>
      <c r="B1059" s="1452" t="s">
        <v>1367</v>
      </c>
      <c r="C1059" s="879"/>
    </row>
    <row r="1060" spans="1:3" x14ac:dyDescent="0.25">
      <c r="A1060" s="879"/>
      <c r="B1060" s="1452" t="s">
        <v>1450</v>
      </c>
      <c r="C1060" s="879"/>
    </row>
    <row r="1061" spans="1:3" x14ac:dyDescent="0.25">
      <c r="A1061" s="879"/>
      <c r="B1061" s="1452" t="s">
        <v>1451</v>
      </c>
      <c r="C1061" s="879"/>
    </row>
    <row r="1062" spans="1:3" x14ac:dyDescent="0.25">
      <c r="A1062" s="879"/>
      <c r="B1062" s="1452" t="s">
        <v>2037</v>
      </c>
      <c r="C1062" s="879"/>
    </row>
    <row r="1063" spans="1:3" x14ac:dyDescent="0.25">
      <c r="A1063" s="879"/>
      <c r="B1063" s="1452" t="s">
        <v>1892</v>
      </c>
      <c r="C1063" s="879"/>
    </row>
    <row r="1064" spans="1:3" x14ac:dyDescent="0.25">
      <c r="A1064" s="879"/>
      <c r="B1064" s="1452" t="s">
        <v>1682</v>
      </c>
      <c r="C1064" s="879"/>
    </row>
    <row r="1065" spans="1:3" x14ac:dyDescent="0.25">
      <c r="A1065" s="879"/>
      <c r="B1065" s="1452" t="s">
        <v>1517</v>
      </c>
      <c r="C1065" s="879"/>
    </row>
    <row r="1066" spans="1:3" x14ac:dyDescent="0.25">
      <c r="A1066" s="879"/>
      <c r="B1066" s="1452" t="s">
        <v>1684</v>
      </c>
      <c r="C1066" s="879"/>
    </row>
    <row r="1067" spans="1:3" x14ac:dyDescent="0.25">
      <c r="A1067" s="879"/>
      <c r="B1067" s="1452" t="s">
        <v>2038</v>
      </c>
      <c r="C1067" s="879"/>
    </row>
    <row r="1068" spans="1:3" x14ac:dyDescent="0.25">
      <c r="A1068" s="879"/>
      <c r="B1068" s="1452" t="s">
        <v>2039</v>
      </c>
      <c r="C1068" s="879"/>
    </row>
    <row r="1069" spans="1:3" x14ac:dyDescent="0.25">
      <c r="A1069" s="879"/>
      <c r="B1069" s="1452" t="s">
        <v>1685</v>
      </c>
      <c r="C1069" s="879"/>
    </row>
    <row r="1070" spans="1:3" x14ac:dyDescent="0.25">
      <c r="A1070" s="879"/>
      <c r="B1070" s="1452" t="s">
        <v>1686</v>
      </c>
      <c r="C1070" s="879"/>
    </row>
    <row r="1071" spans="1:3" x14ac:dyDescent="0.25">
      <c r="A1071" s="879"/>
      <c r="B1071" s="1452" t="s">
        <v>2040</v>
      </c>
      <c r="C1071" s="879"/>
    </row>
    <row r="1072" spans="1:3" x14ac:dyDescent="0.25">
      <c r="A1072" s="879"/>
      <c r="B1072" s="1452" t="s">
        <v>2041</v>
      </c>
      <c r="C1072" s="879"/>
    </row>
    <row r="1073" spans="1:3" x14ac:dyDescent="0.25">
      <c r="A1073" s="879"/>
      <c r="B1073" s="1452" t="s">
        <v>1455</v>
      </c>
      <c r="C1073" s="879"/>
    </row>
    <row r="1074" spans="1:3" x14ac:dyDescent="0.25">
      <c r="A1074" s="879"/>
      <c r="B1074" s="1452" t="s">
        <v>2042</v>
      </c>
      <c r="C1074" s="879"/>
    </row>
    <row r="1075" spans="1:3" x14ac:dyDescent="0.25">
      <c r="A1075" s="879"/>
      <c r="B1075" s="1452" t="s">
        <v>1688</v>
      </c>
      <c r="C1075" s="879"/>
    </row>
    <row r="1076" spans="1:3" x14ac:dyDescent="0.25">
      <c r="A1076" s="879"/>
      <c r="B1076" s="1452" t="s">
        <v>2043</v>
      </c>
      <c r="C1076" s="879"/>
    </row>
    <row r="1077" spans="1:3" x14ac:dyDescent="0.25">
      <c r="A1077" s="879"/>
      <c r="B1077" s="1452" t="s">
        <v>2044</v>
      </c>
      <c r="C1077" s="879"/>
    </row>
    <row r="1078" spans="1:3" x14ac:dyDescent="0.25">
      <c r="A1078" s="879"/>
      <c r="B1078" s="1452" t="s">
        <v>1367</v>
      </c>
      <c r="C1078" s="879"/>
    </row>
    <row r="1079" spans="1:3" x14ac:dyDescent="0.25">
      <c r="A1079" s="879"/>
      <c r="B1079" s="1452" t="s">
        <v>1450</v>
      </c>
      <c r="C1079" s="879"/>
    </row>
    <row r="1080" spans="1:3" x14ac:dyDescent="0.25">
      <c r="A1080" s="879"/>
      <c r="B1080" s="1452" t="s">
        <v>1451</v>
      </c>
      <c r="C1080" s="879"/>
    </row>
    <row r="1081" spans="1:3" x14ac:dyDescent="0.25">
      <c r="A1081" s="879"/>
      <c r="B1081" s="1452" t="s">
        <v>2045</v>
      </c>
      <c r="C1081" s="879"/>
    </row>
    <row r="1082" spans="1:3" x14ac:dyDescent="0.25">
      <c r="A1082" s="879"/>
      <c r="B1082" s="1452" t="s">
        <v>1892</v>
      </c>
      <c r="C1082" s="879"/>
    </row>
    <row r="1083" spans="1:3" x14ac:dyDescent="0.25">
      <c r="A1083" s="879"/>
      <c r="B1083" s="1452" t="s">
        <v>1682</v>
      </c>
      <c r="C1083" s="879"/>
    </row>
    <row r="1084" spans="1:3" x14ac:dyDescent="0.25">
      <c r="A1084" s="879"/>
      <c r="B1084" s="1452" t="s">
        <v>1517</v>
      </c>
      <c r="C1084" s="879"/>
    </row>
    <row r="1085" spans="1:3" x14ac:dyDescent="0.25">
      <c r="A1085" s="879"/>
      <c r="B1085" s="1452" t="s">
        <v>1684</v>
      </c>
      <c r="C1085" s="879"/>
    </row>
    <row r="1086" spans="1:3" x14ac:dyDescent="0.25">
      <c r="A1086" s="879"/>
      <c r="B1086" s="1452" t="s">
        <v>2046</v>
      </c>
      <c r="C1086" s="879"/>
    </row>
    <row r="1087" spans="1:3" x14ac:dyDescent="0.25">
      <c r="A1087" s="879"/>
      <c r="B1087" s="1452" t="s">
        <v>2047</v>
      </c>
      <c r="C1087" s="879"/>
    </row>
    <row r="1088" spans="1:3" x14ac:dyDescent="0.25">
      <c r="A1088" s="879"/>
      <c r="B1088" s="1452" t="s">
        <v>1685</v>
      </c>
      <c r="C1088" s="879"/>
    </row>
    <row r="1089" spans="1:3" x14ac:dyDescent="0.25">
      <c r="A1089" s="879"/>
      <c r="B1089" s="1452" t="s">
        <v>1686</v>
      </c>
      <c r="C1089" s="879"/>
    </row>
    <row r="1090" spans="1:3" x14ac:dyDescent="0.25">
      <c r="A1090" s="879"/>
      <c r="B1090" s="1452" t="s">
        <v>2048</v>
      </c>
      <c r="C1090" s="879"/>
    </row>
    <row r="1091" spans="1:3" x14ac:dyDescent="0.25">
      <c r="A1091" s="879"/>
      <c r="B1091" s="1452" t="s">
        <v>2049</v>
      </c>
      <c r="C1091" s="879"/>
    </row>
    <row r="1092" spans="1:3" x14ac:dyDescent="0.25">
      <c r="A1092" s="879"/>
      <c r="B1092" s="1452" t="s">
        <v>1455</v>
      </c>
      <c r="C1092" s="879"/>
    </row>
    <row r="1093" spans="1:3" x14ac:dyDescent="0.25">
      <c r="A1093" s="879"/>
      <c r="B1093" s="1452" t="s">
        <v>2050</v>
      </c>
      <c r="C1093" s="879"/>
    </row>
    <row r="1094" spans="1:3" x14ac:dyDescent="0.25">
      <c r="A1094" s="879"/>
      <c r="B1094" s="1452" t="s">
        <v>1688</v>
      </c>
      <c r="C1094" s="879"/>
    </row>
    <row r="1095" spans="1:3" x14ac:dyDescent="0.25">
      <c r="A1095" s="879"/>
      <c r="B1095" s="1452" t="s">
        <v>2051</v>
      </c>
      <c r="C1095" s="879"/>
    </row>
    <row r="1096" spans="1:3" x14ac:dyDescent="0.25">
      <c r="A1096" s="879"/>
      <c r="B1096" s="1452" t="s">
        <v>2052</v>
      </c>
      <c r="C1096" s="879"/>
    </row>
    <row r="1097" spans="1:3" x14ac:dyDescent="0.25">
      <c r="A1097" s="879"/>
      <c r="B1097" s="1452" t="s">
        <v>1367</v>
      </c>
      <c r="C1097" s="879"/>
    </row>
    <row r="1098" spans="1:3" x14ac:dyDescent="0.25">
      <c r="A1098" s="879"/>
      <c r="B1098" s="1452" t="s">
        <v>1450</v>
      </c>
      <c r="C1098" s="879"/>
    </row>
    <row r="1099" spans="1:3" x14ac:dyDescent="0.25">
      <c r="A1099" s="879"/>
      <c r="B1099" s="1452" t="s">
        <v>1451</v>
      </c>
      <c r="C1099" s="879"/>
    </row>
    <row r="1100" spans="1:3" x14ac:dyDescent="0.25">
      <c r="A1100" s="879"/>
      <c r="B1100" s="1452" t="s">
        <v>1452</v>
      </c>
      <c r="C1100" s="879"/>
    </row>
    <row r="1101" spans="1:3" x14ac:dyDescent="0.25">
      <c r="A1101" s="879"/>
      <c r="B1101" s="1452" t="s">
        <v>1681</v>
      </c>
      <c r="C1101" s="879"/>
    </row>
    <row r="1102" spans="1:3" x14ac:dyDescent="0.25">
      <c r="A1102" s="879"/>
      <c r="B1102" s="1452" t="s">
        <v>1682</v>
      </c>
      <c r="C1102" s="879"/>
    </row>
    <row r="1103" spans="1:3" x14ac:dyDescent="0.25">
      <c r="A1103" s="879"/>
      <c r="B1103" s="1452" t="s">
        <v>1517</v>
      </c>
      <c r="C1103" s="879"/>
    </row>
    <row r="1104" spans="1:3" x14ac:dyDescent="0.25">
      <c r="A1104" s="879"/>
      <c r="B1104" s="1452" t="s">
        <v>1684</v>
      </c>
      <c r="C1104" s="879"/>
    </row>
    <row r="1105" spans="1:3" x14ac:dyDescent="0.25">
      <c r="A1105" s="879"/>
      <c r="B1105" s="1452" t="s">
        <v>2053</v>
      </c>
      <c r="C1105" s="879"/>
    </row>
    <row r="1106" spans="1:3" x14ac:dyDescent="0.25">
      <c r="A1106" s="879"/>
      <c r="B1106" s="1452" t="s">
        <v>2054</v>
      </c>
      <c r="C1106" s="879"/>
    </row>
    <row r="1107" spans="1:3" x14ac:dyDescent="0.25">
      <c r="A1107" s="879"/>
      <c r="B1107" s="1452" t="s">
        <v>1685</v>
      </c>
      <c r="C1107" s="879"/>
    </row>
    <row r="1108" spans="1:3" x14ac:dyDescent="0.25">
      <c r="A1108" s="879"/>
      <c r="B1108" s="1452" t="s">
        <v>1686</v>
      </c>
      <c r="C1108" s="879"/>
    </row>
    <row r="1109" spans="1:3" x14ac:dyDescent="0.25">
      <c r="A1109" s="879"/>
      <c r="B1109" s="1452" t="s">
        <v>1581</v>
      </c>
      <c r="C1109" s="879"/>
    </row>
    <row r="1110" spans="1:3" x14ac:dyDescent="0.25">
      <c r="A1110" s="879"/>
      <c r="B1110" s="1452" t="s">
        <v>2055</v>
      </c>
      <c r="C1110" s="879"/>
    </row>
    <row r="1111" spans="1:3" x14ac:dyDescent="0.25">
      <c r="A1111" s="879"/>
      <c r="B1111" s="1452" t="s">
        <v>1455</v>
      </c>
      <c r="C1111" s="879"/>
    </row>
    <row r="1112" spans="1:3" x14ac:dyDescent="0.25">
      <c r="A1112" s="879"/>
      <c r="B1112" s="1452" t="s">
        <v>2056</v>
      </c>
      <c r="C1112" s="879"/>
    </row>
    <row r="1113" spans="1:3" x14ac:dyDescent="0.25">
      <c r="A1113" s="879"/>
      <c r="B1113" s="1452" t="s">
        <v>1688</v>
      </c>
      <c r="C1113" s="879"/>
    </row>
    <row r="1114" spans="1:3" x14ac:dyDescent="0.25">
      <c r="A1114" s="879"/>
      <c r="B1114" s="1452" t="s">
        <v>2057</v>
      </c>
      <c r="C1114" s="879"/>
    </row>
    <row r="1115" spans="1:3" x14ac:dyDescent="0.25">
      <c r="A1115" s="879"/>
      <c r="B1115" s="1452" t="s">
        <v>1690</v>
      </c>
      <c r="C1115" s="879"/>
    </row>
    <row r="1116" spans="1:3" x14ac:dyDescent="0.25">
      <c r="A1116" s="879"/>
      <c r="B1116" s="1452" t="s">
        <v>1367</v>
      </c>
      <c r="C1116" s="879"/>
    </row>
    <row r="1117" spans="1:3" x14ac:dyDescent="0.25">
      <c r="A1117" s="879"/>
      <c r="B1117" s="1452" t="s">
        <v>1691</v>
      </c>
      <c r="C1117" s="879"/>
    </row>
    <row r="1118" spans="1:3" x14ac:dyDescent="0.25">
      <c r="A1118" s="879"/>
      <c r="B1118" s="1452" t="s">
        <v>2058</v>
      </c>
      <c r="C1118" s="879"/>
    </row>
    <row r="1119" spans="1:3" x14ac:dyDescent="0.25">
      <c r="A1119" s="879"/>
      <c r="B1119" s="1452" t="s">
        <v>1693</v>
      </c>
      <c r="C1119" s="879"/>
    </row>
    <row r="1120" spans="1:3" x14ac:dyDescent="0.25">
      <c r="A1120" s="879"/>
      <c r="B1120" s="1452" t="s">
        <v>1694</v>
      </c>
      <c r="C1120" s="879"/>
    </row>
    <row r="1121" spans="1:3" x14ac:dyDescent="0.25">
      <c r="A1121" s="879"/>
      <c r="B1121" s="1452" t="s">
        <v>1695</v>
      </c>
      <c r="C1121" s="879"/>
    </row>
    <row r="1122" spans="1:3" x14ac:dyDescent="0.25">
      <c r="A1122" s="879"/>
      <c r="B1122" s="1452" t="s">
        <v>1696</v>
      </c>
      <c r="C1122" s="879"/>
    </row>
    <row r="1123" spans="1:3" x14ac:dyDescent="0.25">
      <c r="A1123" s="879"/>
      <c r="B1123" s="1452" t="s">
        <v>2059</v>
      </c>
      <c r="C1123" s="879"/>
    </row>
    <row r="1124" spans="1:3" x14ac:dyDescent="0.25">
      <c r="A1124" s="879"/>
      <c r="B1124" s="1452" t="s">
        <v>2060</v>
      </c>
      <c r="C1124" s="879"/>
    </row>
    <row r="1125" spans="1:3" x14ac:dyDescent="0.25">
      <c r="A1125" s="879"/>
      <c r="B1125" s="1452" t="s">
        <v>1699</v>
      </c>
      <c r="C1125" s="879"/>
    </row>
    <row r="1126" spans="1:3" x14ac:dyDescent="0.25">
      <c r="A1126" s="879"/>
      <c r="B1126" s="1452" t="s">
        <v>1700</v>
      </c>
      <c r="C1126" s="879"/>
    </row>
    <row r="1127" spans="1:3" x14ac:dyDescent="0.25">
      <c r="A1127" s="879"/>
      <c r="B1127" s="1452" t="s">
        <v>2061</v>
      </c>
      <c r="C1127" s="879"/>
    </row>
    <row r="1128" spans="1:3" x14ac:dyDescent="0.25">
      <c r="A1128" s="879"/>
      <c r="B1128" s="1452" t="s">
        <v>2062</v>
      </c>
      <c r="C1128" s="879"/>
    </row>
    <row r="1129" spans="1:3" x14ac:dyDescent="0.25">
      <c r="A1129" s="879"/>
      <c r="B1129" s="1452" t="s">
        <v>1703</v>
      </c>
      <c r="C1129" s="879"/>
    </row>
    <row r="1130" spans="1:3" x14ac:dyDescent="0.25">
      <c r="A1130" s="879"/>
      <c r="B1130" s="1452" t="s">
        <v>2063</v>
      </c>
      <c r="C1130" s="879"/>
    </row>
    <row r="1131" spans="1:3" x14ac:dyDescent="0.25">
      <c r="A1131" s="879"/>
      <c r="B1131" s="1452" t="s">
        <v>1705</v>
      </c>
      <c r="C1131" s="879"/>
    </row>
    <row r="1132" spans="1:3" x14ac:dyDescent="0.25">
      <c r="A1132" s="879"/>
      <c r="B1132" s="1452"/>
      <c r="C1132" s="879"/>
    </row>
    <row r="1133" spans="1:3" x14ac:dyDescent="0.25">
      <c r="A1133" s="879"/>
      <c r="B1133" s="1452"/>
      <c r="C1133" s="879"/>
    </row>
    <row r="1134" spans="1:3" x14ac:dyDescent="0.25">
      <c r="A1134" s="879"/>
      <c r="B1134" s="1452" t="s">
        <v>1368</v>
      </c>
      <c r="C1134" s="879"/>
    </row>
    <row r="1135" spans="1:3" x14ac:dyDescent="0.25">
      <c r="A1135" s="879"/>
      <c r="B1135" s="1452" t="s">
        <v>2064</v>
      </c>
      <c r="C1135" s="879"/>
    </row>
    <row r="1136" spans="1:3" x14ac:dyDescent="0.25">
      <c r="A1136" s="879"/>
      <c r="B1136" s="1452" t="s">
        <v>1368</v>
      </c>
      <c r="C1136" s="879"/>
    </row>
    <row r="1137" spans="1:3" x14ac:dyDescent="0.25">
      <c r="A1137" s="879"/>
      <c r="B1137" s="1452" t="s">
        <v>2065</v>
      </c>
      <c r="C1137" s="879"/>
    </row>
    <row r="1138" spans="1:3" x14ac:dyDescent="0.25">
      <c r="A1138" s="879"/>
      <c r="B1138" s="1452" t="s">
        <v>1367</v>
      </c>
      <c r="C1138" s="879"/>
    </row>
    <row r="1139" spans="1:3" x14ac:dyDescent="0.25">
      <c r="A1139" s="879"/>
      <c r="B1139" s="1452" t="s">
        <v>1369</v>
      </c>
      <c r="C1139" s="879"/>
    </row>
    <row r="1140" spans="1:3" x14ac:dyDescent="0.25">
      <c r="A1140" s="879"/>
      <c r="B1140" s="1452" t="s">
        <v>1370</v>
      </c>
      <c r="C1140" s="879"/>
    </row>
    <row r="1141" spans="1:3" x14ac:dyDescent="0.25">
      <c r="A1141" s="879"/>
      <c r="B1141" s="1452" t="s">
        <v>1367</v>
      </c>
      <c r="C1141" s="879"/>
    </row>
    <row r="1142" spans="1:3" x14ac:dyDescent="0.25">
      <c r="A1142" s="879"/>
      <c r="B1142" s="1452" t="s">
        <v>1460</v>
      </c>
      <c r="C1142" s="879"/>
    </row>
    <row r="1143" spans="1:3" x14ac:dyDescent="0.25">
      <c r="A1143" s="879"/>
      <c r="B1143" s="1452" t="s">
        <v>1461</v>
      </c>
      <c r="C1143" s="879"/>
    </row>
    <row r="1144" spans="1:3" x14ac:dyDescent="0.25">
      <c r="A1144" s="879"/>
      <c r="B1144" s="1452" t="s">
        <v>2066</v>
      </c>
      <c r="C1144" s="879"/>
    </row>
    <row r="1145" spans="1:3" x14ac:dyDescent="0.25">
      <c r="A1145" s="879"/>
      <c r="B1145" s="1452" t="s">
        <v>2067</v>
      </c>
      <c r="C1145" s="879"/>
    </row>
    <row r="1146" spans="1:3" x14ac:dyDescent="0.25">
      <c r="A1146" s="879"/>
      <c r="B1146" s="1452" t="s">
        <v>1934</v>
      </c>
      <c r="C1146" s="879"/>
    </row>
    <row r="1147" spans="1:3" x14ac:dyDescent="0.25">
      <c r="A1147" s="879"/>
      <c r="B1147" s="1452" t="s">
        <v>1935</v>
      </c>
      <c r="C1147" s="879"/>
    </row>
    <row r="1148" spans="1:3" x14ac:dyDescent="0.25">
      <c r="A1148" s="879"/>
      <c r="B1148" s="1452" t="s">
        <v>1936</v>
      </c>
      <c r="C1148" s="879"/>
    </row>
    <row r="1149" spans="1:3" x14ac:dyDescent="0.25">
      <c r="A1149" s="879"/>
      <c r="B1149" s="1452" t="s">
        <v>2068</v>
      </c>
      <c r="C1149" s="879"/>
    </row>
    <row r="1150" spans="1:3" x14ac:dyDescent="0.25">
      <c r="A1150" s="879"/>
      <c r="B1150" s="1452" t="s">
        <v>2069</v>
      </c>
      <c r="C1150" s="879"/>
    </row>
    <row r="1151" spans="1:3" x14ac:dyDescent="0.25">
      <c r="A1151" s="879"/>
      <c r="B1151" s="1452" t="s">
        <v>2070</v>
      </c>
      <c r="C1151" s="879"/>
    </row>
    <row r="1152" spans="1:3" x14ac:dyDescent="0.25">
      <c r="A1152" s="879"/>
      <c r="B1152" s="1452" t="s">
        <v>1462</v>
      </c>
      <c r="C1152" s="879"/>
    </row>
    <row r="1153" spans="1:3" x14ac:dyDescent="0.25">
      <c r="A1153" s="879"/>
      <c r="B1153" s="1452" t="s">
        <v>1382</v>
      </c>
      <c r="C1153" s="879"/>
    </row>
    <row r="1154" spans="1:3" x14ac:dyDescent="0.25">
      <c r="A1154" s="879"/>
      <c r="B1154" s="1452" t="s">
        <v>1367</v>
      </c>
      <c r="C1154" s="879"/>
    </row>
    <row r="1155" spans="1:3" x14ac:dyDescent="0.25">
      <c r="A1155" s="879"/>
      <c r="B1155" s="1452" t="s">
        <v>1460</v>
      </c>
      <c r="C1155" s="879"/>
    </row>
    <row r="1156" spans="1:3" x14ac:dyDescent="0.25">
      <c r="A1156" s="879"/>
      <c r="B1156" s="1452" t="s">
        <v>1940</v>
      </c>
      <c r="C1156" s="879"/>
    </row>
    <row r="1157" spans="1:3" x14ac:dyDescent="0.25">
      <c r="A1157" s="879"/>
      <c r="B1157" s="1452" t="s">
        <v>2071</v>
      </c>
      <c r="C1157" s="879"/>
    </row>
    <row r="1158" spans="1:3" x14ac:dyDescent="0.25">
      <c r="A1158" s="879"/>
      <c r="B1158" s="1452" t="s">
        <v>2072</v>
      </c>
      <c r="C1158" s="879"/>
    </row>
    <row r="1159" spans="1:3" x14ac:dyDescent="0.25">
      <c r="A1159" s="879"/>
      <c r="B1159" s="1452" t="s">
        <v>2073</v>
      </c>
      <c r="C1159" s="879"/>
    </row>
    <row r="1160" spans="1:3" x14ac:dyDescent="0.25">
      <c r="A1160" s="879"/>
      <c r="B1160" s="1452" t="s">
        <v>2074</v>
      </c>
      <c r="C1160" s="879"/>
    </row>
    <row r="1161" spans="1:3" x14ac:dyDescent="0.25">
      <c r="A1161" s="879"/>
      <c r="B1161" s="1452" t="s">
        <v>2075</v>
      </c>
      <c r="C1161" s="879"/>
    </row>
    <row r="1162" spans="1:3" x14ac:dyDescent="0.25">
      <c r="A1162" s="879"/>
      <c r="B1162" s="1452" t="s">
        <v>2076</v>
      </c>
      <c r="C1162" s="879"/>
    </row>
    <row r="1163" spans="1:3" x14ac:dyDescent="0.25">
      <c r="A1163" s="879"/>
      <c r="B1163" s="1452" t="s">
        <v>2077</v>
      </c>
      <c r="C1163" s="879"/>
    </row>
    <row r="1164" spans="1:3" x14ac:dyDescent="0.25">
      <c r="A1164" s="879"/>
      <c r="B1164" s="1452" t="s">
        <v>1574</v>
      </c>
      <c r="C1164" s="879"/>
    </row>
    <row r="1165" spans="1:3" x14ac:dyDescent="0.25">
      <c r="A1165" s="879"/>
      <c r="B1165" s="1452" t="s">
        <v>1465</v>
      </c>
      <c r="C1165" s="879"/>
    </row>
    <row r="1166" spans="1:3" x14ac:dyDescent="0.25">
      <c r="A1166" s="879"/>
      <c r="B1166" s="1452" t="s">
        <v>1466</v>
      </c>
      <c r="C1166" s="879"/>
    </row>
    <row r="1167" spans="1:3" x14ac:dyDescent="0.25">
      <c r="A1167" s="879"/>
      <c r="B1167" s="1452" t="s">
        <v>1467</v>
      </c>
      <c r="C1167" s="879"/>
    </row>
    <row r="1168" spans="1:3" x14ac:dyDescent="0.25">
      <c r="A1168" s="879"/>
      <c r="B1168" s="1452" t="s">
        <v>2078</v>
      </c>
      <c r="C1168" s="879"/>
    </row>
    <row r="1169" spans="1:3" x14ac:dyDescent="0.25">
      <c r="A1169" s="879"/>
      <c r="B1169" s="1452" t="s">
        <v>1469</v>
      </c>
      <c r="C1169" s="879"/>
    </row>
    <row r="1170" spans="1:3" x14ac:dyDescent="0.25">
      <c r="A1170" s="879"/>
      <c r="B1170" s="1452" t="s">
        <v>2079</v>
      </c>
      <c r="C1170" s="879"/>
    </row>
    <row r="1171" spans="1:3" x14ac:dyDescent="0.25">
      <c r="A1171" s="879"/>
      <c r="B1171" s="1452" t="s">
        <v>1950</v>
      </c>
      <c r="C1171" s="879"/>
    </row>
    <row r="1172" spans="1:3" x14ac:dyDescent="0.25">
      <c r="A1172" s="879"/>
      <c r="B1172" s="1452" t="s">
        <v>2080</v>
      </c>
      <c r="C1172" s="879"/>
    </row>
    <row r="1173" spans="1:3" x14ac:dyDescent="0.25">
      <c r="A1173" s="879"/>
      <c r="B1173" s="1452" t="s">
        <v>1952</v>
      </c>
      <c r="C1173" s="879"/>
    </row>
    <row r="1174" spans="1:3" x14ac:dyDescent="0.25">
      <c r="A1174" s="879"/>
      <c r="B1174" s="1452" t="s">
        <v>1953</v>
      </c>
      <c r="C1174" s="879"/>
    </row>
    <row r="1175" spans="1:3" x14ac:dyDescent="0.25">
      <c r="A1175" s="879"/>
      <c r="B1175" s="1452" t="s">
        <v>1471</v>
      </c>
      <c r="C1175" s="879"/>
    </row>
    <row r="1176" spans="1:3" x14ac:dyDescent="0.25">
      <c r="A1176" s="879"/>
      <c r="B1176" s="1452" t="s">
        <v>2081</v>
      </c>
      <c r="C1176" s="879"/>
    </row>
    <row r="1177" spans="1:3" x14ac:dyDescent="0.25">
      <c r="A1177" s="879"/>
      <c r="B1177" s="1452" t="s">
        <v>1955</v>
      </c>
      <c r="C1177" s="879"/>
    </row>
    <row r="1178" spans="1:3" x14ac:dyDescent="0.25">
      <c r="A1178" s="879"/>
      <c r="B1178" s="1452" t="s">
        <v>1473</v>
      </c>
      <c r="C1178" s="879"/>
    </row>
    <row r="1179" spans="1:3" x14ac:dyDescent="0.25">
      <c r="A1179" s="879"/>
      <c r="B1179" s="1452" t="s">
        <v>2082</v>
      </c>
      <c r="C1179" s="879"/>
    </row>
    <row r="1180" spans="1:3" x14ac:dyDescent="0.25">
      <c r="A1180" s="879"/>
      <c r="B1180" s="1452" t="s">
        <v>2083</v>
      </c>
      <c r="C1180" s="879"/>
    </row>
    <row r="1181" spans="1:3" x14ac:dyDescent="0.25">
      <c r="A1181" s="879"/>
      <c r="B1181" s="1452" t="s">
        <v>2084</v>
      </c>
      <c r="C1181" s="879"/>
    </row>
    <row r="1182" spans="1:3" x14ac:dyDescent="0.25">
      <c r="A1182" s="879"/>
      <c r="B1182" s="1452" t="s">
        <v>2085</v>
      </c>
      <c r="C1182" s="879"/>
    </row>
    <row r="1183" spans="1:3" x14ac:dyDescent="0.25">
      <c r="A1183" s="879"/>
      <c r="B1183" s="1452" t="s">
        <v>1476</v>
      </c>
      <c r="C1183" s="879"/>
    </row>
    <row r="1184" spans="1:3" x14ac:dyDescent="0.25">
      <c r="A1184" s="879"/>
      <c r="B1184" s="1452" t="s">
        <v>1477</v>
      </c>
      <c r="C1184" s="879"/>
    </row>
    <row r="1185" spans="1:3" x14ac:dyDescent="0.25">
      <c r="A1185" s="879"/>
      <c r="B1185" s="1452" t="s">
        <v>1478</v>
      </c>
      <c r="C1185" s="879"/>
    </row>
    <row r="1186" spans="1:3" x14ac:dyDescent="0.25">
      <c r="A1186" s="879"/>
      <c r="B1186" s="1452" t="s">
        <v>2086</v>
      </c>
      <c r="C1186" s="879"/>
    </row>
    <row r="1187" spans="1:3" x14ac:dyDescent="0.25">
      <c r="A1187" s="879"/>
      <c r="B1187" s="1452" t="s">
        <v>2087</v>
      </c>
      <c r="C1187" s="879"/>
    </row>
    <row r="1188" spans="1:3" x14ac:dyDescent="0.25">
      <c r="A1188" s="879"/>
      <c r="B1188" s="1452" t="s">
        <v>1479</v>
      </c>
      <c r="C1188" s="879"/>
    </row>
    <row r="1189" spans="1:3" x14ac:dyDescent="0.25">
      <c r="A1189" s="879"/>
      <c r="B1189" s="1452" t="s">
        <v>1480</v>
      </c>
      <c r="C1189" s="879"/>
    </row>
    <row r="1190" spans="1:3" x14ac:dyDescent="0.25">
      <c r="A1190" s="879"/>
      <c r="B1190" s="1452" t="s">
        <v>2088</v>
      </c>
      <c r="C1190" s="879"/>
    </row>
    <row r="1191" spans="1:3" x14ac:dyDescent="0.25">
      <c r="A1191" s="879"/>
      <c r="B1191" s="1452" t="s">
        <v>2089</v>
      </c>
      <c r="C1191" s="879"/>
    </row>
    <row r="1192" spans="1:3" x14ac:dyDescent="0.25">
      <c r="A1192" s="879"/>
      <c r="B1192" s="1452" t="s">
        <v>2090</v>
      </c>
      <c r="C1192" s="879"/>
    </row>
    <row r="1193" spans="1:3" x14ac:dyDescent="0.25">
      <c r="A1193" s="879"/>
      <c r="B1193" s="1452" t="s">
        <v>2091</v>
      </c>
      <c r="C1193" s="879"/>
    </row>
    <row r="1194" spans="1:3" x14ac:dyDescent="0.25">
      <c r="A1194" s="879"/>
      <c r="B1194" s="1452" t="s">
        <v>2092</v>
      </c>
      <c r="C1194" s="879"/>
    </row>
    <row r="1195" spans="1:3" x14ac:dyDescent="0.25">
      <c r="A1195" s="879"/>
      <c r="B1195" s="1452" t="s">
        <v>2093</v>
      </c>
      <c r="C1195" s="879"/>
    </row>
    <row r="1196" spans="1:3" x14ac:dyDescent="0.25">
      <c r="A1196" s="879"/>
      <c r="B1196" s="1452" t="s">
        <v>2094</v>
      </c>
      <c r="C1196" s="879"/>
    </row>
    <row r="1197" spans="1:3" x14ac:dyDescent="0.25">
      <c r="A1197" s="879"/>
      <c r="B1197" s="1452" t="s">
        <v>2095</v>
      </c>
      <c r="C1197" s="879"/>
    </row>
    <row r="1198" spans="1:3" x14ac:dyDescent="0.25">
      <c r="A1198" s="879"/>
      <c r="B1198" s="1452" t="s">
        <v>1580</v>
      </c>
      <c r="C1198" s="879"/>
    </row>
    <row r="1199" spans="1:3" x14ac:dyDescent="0.25">
      <c r="A1199" s="879"/>
      <c r="B1199" s="1452" t="s">
        <v>1481</v>
      </c>
      <c r="C1199" s="879"/>
    </row>
    <row r="1200" spans="1:3" x14ac:dyDescent="0.25">
      <c r="A1200" s="879"/>
      <c r="B1200" s="1452" t="s">
        <v>1482</v>
      </c>
      <c r="C1200" s="879"/>
    </row>
    <row r="1201" spans="1:3" x14ac:dyDescent="0.25">
      <c r="A1201" s="879"/>
      <c r="B1201" s="1452" t="s">
        <v>1483</v>
      </c>
      <c r="C1201" s="879"/>
    </row>
    <row r="1202" spans="1:3" x14ac:dyDescent="0.25">
      <c r="A1202" s="879"/>
      <c r="B1202" s="1452" t="s">
        <v>2096</v>
      </c>
      <c r="C1202" s="879"/>
    </row>
    <row r="1203" spans="1:3" x14ac:dyDescent="0.25">
      <c r="A1203" s="879"/>
      <c r="B1203" s="1452" t="s">
        <v>1430</v>
      </c>
      <c r="C1203" s="879"/>
    </row>
    <row r="1204" spans="1:3" x14ac:dyDescent="0.25">
      <c r="A1204" s="879"/>
      <c r="B1204" s="1452" t="s">
        <v>1367</v>
      </c>
      <c r="C1204" s="879"/>
    </row>
    <row r="1205" spans="1:3" x14ac:dyDescent="0.25">
      <c r="A1205" s="879"/>
      <c r="B1205" s="1452" t="s">
        <v>1449</v>
      </c>
      <c r="C1205" s="879"/>
    </row>
    <row r="1206" spans="1:3" x14ac:dyDescent="0.25">
      <c r="A1206" s="879"/>
      <c r="B1206" s="1452" t="s">
        <v>1367</v>
      </c>
      <c r="C1206" s="879"/>
    </row>
    <row r="1207" spans="1:3" x14ac:dyDescent="0.25">
      <c r="A1207" s="879"/>
      <c r="B1207" s="1452" t="s">
        <v>1450</v>
      </c>
      <c r="C1207" s="879"/>
    </row>
    <row r="1208" spans="1:3" x14ac:dyDescent="0.25">
      <c r="A1208" s="879"/>
      <c r="B1208" s="1452" t="s">
        <v>1451</v>
      </c>
      <c r="C1208" s="879"/>
    </row>
    <row r="1209" spans="1:3" x14ac:dyDescent="0.25">
      <c r="A1209" s="879"/>
      <c r="B1209" s="1452" t="s">
        <v>1972</v>
      </c>
      <c r="C1209" s="879"/>
    </row>
    <row r="1210" spans="1:3" x14ac:dyDescent="0.25">
      <c r="A1210" s="879"/>
      <c r="B1210" s="1452" t="s">
        <v>1973</v>
      </c>
      <c r="C1210" s="879"/>
    </row>
    <row r="1211" spans="1:3" x14ac:dyDescent="0.25">
      <c r="A1211" s="879"/>
      <c r="B1211" s="1452" t="s">
        <v>1974</v>
      </c>
      <c r="C1211" s="879"/>
    </row>
    <row r="1212" spans="1:3" x14ac:dyDescent="0.25">
      <c r="A1212" s="879"/>
      <c r="B1212" s="1452" t="s">
        <v>1975</v>
      </c>
      <c r="C1212" s="879"/>
    </row>
    <row r="1213" spans="1:3" x14ac:dyDescent="0.25">
      <c r="A1213" s="879"/>
      <c r="B1213" s="1452" t="s">
        <v>1684</v>
      </c>
      <c r="C1213" s="879"/>
    </row>
    <row r="1214" spans="1:3" x14ac:dyDescent="0.25">
      <c r="A1214" s="879"/>
      <c r="B1214" s="1452" t="s">
        <v>1453</v>
      </c>
      <c r="C1214" s="879"/>
    </row>
    <row r="1215" spans="1:3" x14ac:dyDescent="0.25">
      <c r="A1215" s="879"/>
      <c r="B1215" s="1452" t="s">
        <v>1976</v>
      </c>
      <c r="C1215" s="879"/>
    </row>
    <row r="1216" spans="1:3" x14ac:dyDescent="0.25">
      <c r="A1216" s="879"/>
      <c r="B1216" s="1452" t="s">
        <v>1977</v>
      </c>
      <c r="C1216" s="879"/>
    </row>
    <row r="1217" spans="1:3" x14ac:dyDescent="0.25">
      <c r="A1217" s="879"/>
      <c r="B1217" s="1452" t="s">
        <v>1978</v>
      </c>
      <c r="C1217" s="879"/>
    </row>
    <row r="1218" spans="1:3" x14ac:dyDescent="0.25">
      <c r="A1218" s="879"/>
      <c r="B1218" s="1452" t="s">
        <v>1454</v>
      </c>
      <c r="C1218" s="879"/>
    </row>
    <row r="1219" spans="1:3" x14ac:dyDescent="0.25">
      <c r="A1219" s="879"/>
      <c r="B1219" s="1452" t="s">
        <v>1979</v>
      </c>
      <c r="C1219" s="879"/>
    </row>
    <row r="1220" spans="1:3" x14ac:dyDescent="0.25">
      <c r="A1220" s="879"/>
      <c r="B1220" s="1452" t="s">
        <v>1455</v>
      </c>
      <c r="C1220" s="879"/>
    </row>
    <row r="1221" spans="1:3" x14ac:dyDescent="0.25">
      <c r="A1221" s="879"/>
      <c r="B1221" s="1452" t="s">
        <v>1980</v>
      </c>
      <c r="C1221" s="879"/>
    </row>
    <row r="1222" spans="1:3" x14ac:dyDescent="0.25">
      <c r="A1222" s="879"/>
      <c r="B1222" s="1452" t="s">
        <v>1688</v>
      </c>
      <c r="C1222" s="879"/>
    </row>
    <row r="1223" spans="1:3" x14ac:dyDescent="0.25">
      <c r="A1223" s="879"/>
      <c r="B1223" s="1452" t="s">
        <v>1981</v>
      </c>
      <c r="C1223" s="879"/>
    </row>
    <row r="1224" spans="1:3" x14ac:dyDescent="0.25">
      <c r="A1224" s="879"/>
      <c r="B1224" s="1452" t="s">
        <v>1456</v>
      </c>
      <c r="C1224" s="879"/>
    </row>
    <row r="1225" spans="1:3" x14ac:dyDescent="0.25">
      <c r="A1225" s="879"/>
      <c r="B1225" s="1452" t="s">
        <v>1367</v>
      </c>
      <c r="C1225" s="879"/>
    </row>
    <row r="1226" spans="1:3" x14ac:dyDescent="0.25">
      <c r="A1226" s="879"/>
      <c r="B1226" s="1452" t="s">
        <v>1450</v>
      </c>
      <c r="C1226" s="879"/>
    </row>
    <row r="1227" spans="1:3" x14ac:dyDescent="0.25">
      <c r="A1227" s="879"/>
      <c r="B1227" s="1452" t="s">
        <v>1451</v>
      </c>
      <c r="C1227" s="879"/>
    </row>
    <row r="1228" spans="1:3" x14ac:dyDescent="0.25">
      <c r="A1228" s="879"/>
      <c r="B1228" s="1452" t="s">
        <v>1972</v>
      </c>
      <c r="C1228" s="879"/>
    </row>
    <row r="1229" spans="1:3" x14ac:dyDescent="0.25">
      <c r="A1229" s="879"/>
      <c r="B1229" s="1452" t="s">
        <v>1973</v>
      </c>
      <c r="C1229" s="879"/>
    </row>
    <row r="1230" spans="1:3" x14ac:dyDescent="0.25">
      <c r="A1230" s="879"/>
      <c r="B1230" s="1452" t="s">
        <v>1974</v>
      </c>
      <c r="C1230" s="879"/>
    </row>
    <row r="1231" spans="1:3" x14ac:dyDescent="0.25">
      <c r="A1231" s="879"/>
      <c r="B1231" s="1452" t="s">
        <v>1975</v>
      </c>
      <c r="C1231" s="879"/>
    </row>
    <row r="1232" spans="1:3" x14ac:dyDescent="0.25">
      <c r="A1232" s="879"/>
      <c r="B1232" s="1452" t="s">
        <v>1684</v>
      </c>
      <c r="C1232" s="879"/>
    </row>
    <row r="1233" spans="1:3" x14ac:dyDescent="0.25">
      <c r="A1233" s="879"/>
      <c r="B1233" s="1452" t="s">
        <v>1453</v>
      </c>
      <c r="C1233" s="879"/>
    </row>
    <row r="1234" spans="1:3" x14ac:dyDescent="0.25">
      <c r="A1234" s="879"/>
      <c r="B1234" s="1452" t="s">
        <v>1976</v>
      </c>
      <c r="C1234" s="879"/>
    </row>
    <row r="1235" spans="1:3" x14ac:dyDescent="0.25">
      <c r="A1235" s="879"/>
      <c r="B1235" s="1452" t="s">
        <v>1977</v>
      </c>
      <c r="C1235" s="879"/>
    </row>
    <row r="1236" spans="1:3" x14ac:dyDescent="0.25">
      <c r="A1236" s="879"/>
      <c r="B1236" s="1452" t="s">
        <v>1978</v>
      </c>
      <c r="C1236" s="879"/>
    </row>
    <row r="1237" spans="1:3" x14ac:dyDescent="0.25">
      <c r="A1237" s="879"/>
      <c r="B1237" s="1452" t="s">
        <v>1454</v>
      </c>
      <c r="C1237" s="879"/>
    </row>
    <row r="1238" spans="1:3" x14ac:dyDescent="0.25">
      <c r="A1238" s="879"/>
      <c r="B1238" s="1452" t="s">
        <v>1979</v>
      </c>
      <c r="C1238" s="879"/>
    </row>
    <row r="1239" spans="1:3" x14ac:dyDescent="0.25">
      <c r="A1239" s="879"/>
      <c r="B1239" s="1452" t="s">
        <v>1455</v>
      </c>
      <c r="C1239" s="879"/>
    </row>
    <row r="1240" spans="1:3" x14ac:dyDescent="0.25">
      <c r="A1240" s="879"/>
      <c r="B1240" s="1452" t="s">
        <v>1980</v>
      </c>
      <c r="C1240" s="879"/>
    </row>
    <row r="1241" spans="1:3" x14ac:dyDescent="0.25">
      <c r="A1241" s="879"/>
      <c r="B1241" s="1452" t="s">
        <v>1688</v>
      </c>
      <c r="C1241" s="879"/>
    </row>
    <row r="1242" spans="1:3" x14ac:dyDescent="0.25">
      <c r="A1242" s="879"/>
      <c r="B1242" s="1452" t="s">
        <v>1981</v>
      </c>
      <c r="C1242" s="879"/>
    </row>
    <row r="1243" spans="1:3" x14ac:dyDescent="0.25">
      <c r="A1243" s="879"/>
      <c r="B1243" s="1452" t="s">
        <v>1690</v>
      </c>
      <c r="C1243" s="879"/>
    </row>
    <row r="1244" spans="1:3" x14ac:dyDescent="0.25">
      <c r="A1244" s="879"/>
      <c r="B1244" s="1452" t="s">
        <v>1367</v>
      </c>
      <c r="C1244" s="879"/>
    </row>
    <row r="1245" spans="1:3" x14ac:dyDescent="0.25">
      <c r="A1245" s="879"/>
      <c r="B1245" s="1452" t="s">
        <v>1691</v>
      </c>
      <c r="C1245" s="879"/>
    </row>
    <row r="1246" spans="1:3" x14ac:dyDescent="0.25">
      <c r="A1246" s="879"/>
      <c r="B1246" s="1452" t="s">
        <v>1692</v>
      </c>
      <c r="C1246" s="879"/>
    </row>
    <row r="1247" spans="1:3" x14ac:dyDescent="0.25">
      <c r="A1247" s="879"/>
      <c r="B1247" s="1452" t="s">
        <v>1693</v>
      </c>
      <c r="C1247" s="879"/>
    </row>
    <row r="1248" spans="1:3" x14ac:dyDescent="0.25">
      <c r="A1248" s="879"/>
      <c r="B1248" s="1452" t="s">
        <v>1694</v>
      </c>
      <c r="C1248" s="879"/>
    </row>
    <row r="1249" spans="1:3" x14ac:dyDescent="0.25">
      <c r="A1249" s="879"/>
      <c r="B1249" s="1452" t="s">
        <v>1695</v>
      </c>
      <c r="C1249" s="879"/>
    </row>
    <row r="1250" spans="1:3" x14ac:dyDescent="0.25">
      <c r="A1250" s="879"/>
      <c r="B1250" s="1452" t="s">
        <v>1696</v>
      </c>
      <c r="C1250" s="879"/>
    </row>
    <row r="1251" spans="1:3" x14ac:dyDescent="0.25">
      <c r="A1251" s="879"/>
      <c r="B1251" s="1452" t="s">
        <v>1697</v>
      </c>
      <c r="C1251" s="879"/>
    </row>
    <row r="1252" spans="1:3" x14ac:dyDescent="0.25">
      <c r="A1252" s="879"/>
      <c r="B1252" s="1452" t="s">
        <v>1698</v>
      </c>
      <c r="C1252" s="879"/>
    </row>
    <row r="1253" spans="1:3" x14ac:dyDescent="0.25">
      <c r="A1253" s="879"/>
      <c r="B1253" s="1452" t="s">
        <v>1699</v>
      </c>
      <c r="C1253" s="879"/>
    </row>
    <row r="1254" spans="1:3" x14ac:dyDescent="0.25">
      <c r="A1254" s="879"/>
      <c r="B1254" s="1452" t="s">
        <v>1700</v>
      </c>
      <c r="C1254" s="879"/>
    </row>
    <row r="1255" spans="1:3" x14ac:dyDescent="0.25">
      <c r="A1255" s="879"/>
      <c r="B1255" s="1452" t="s">
        <v>1701</v>
      </c>
      <c r="C1255" s="879"/>
    </row>
    <row r="1256" spans="1:3" x14ac:dyDescent="0.25">
      <c r="A1256" s="879"/>
      <c r="B1256" s="1452" t="s">
        <v>1702</v>
      </c>
      <c r="C1256" s="879"/>
    </row>
    <row r="1257" spans="1:3" x14ac:dyDescent="0.25">
      <c r="A1257" s="879"/>
      <c r="B1257" s="1452" t="s">
        <v>1703</v>
      </c>
      <c r="C1257" s="879"/>
    </row>
    <row r="1258" spans="1:3" x14ac:dyDescent="0.25">
      <c r="A1258" s="879"/>
      <c r="B1258" s="1452" t="s">
        <v>1704</v>
      </c>
      <c r="C1258" s="879"/>
    </row>
    <row r="1259" spans="1:3" x14ac:dyDescent="0.25">
      <c r="A1259" s="879"/>
      <c r="B1259" s="1452" t="s">
        <v>1705</v>
      </c>
      <c r="C1259" s="879"/>
    </row>
    <row r="1260" spans="1:3" x14ac:dyDescent="0.25">
      <c r="A1260" s="879"/>
      <c r="B1260" s="1452"/>
      <c r="C1260" s="879"/>
    </row>
    <row r="1261" spans="1:3" x14ac:dyDescent="0.25">
      <c r="A1261" s="879"/>
      <c r="B1261" s="1452"/>
      <c r="C1261" s="879"/>
    </row>
    <row r="1262" spans="1:3" x14ac:dyDescent="0.25">
      <c r="A1262" s="879"/>
      <c r="B1262" s="1452" t="s">
        <v>1368</v>
      </c>
      <c r="C1262" s="879"/>
    </row>
    <row r="1263" spans="1:3" x14ac:dyDescent="0.25">
      <c r="A1263" s="879"/>
      <c r="B1263" s="1452" t="s">
        <v>2097</v>
      </c>
      <c r="C1263" s="879"/>
    </row>
    <row r="1264" spans="1:3" x14ac:dyDescent="0.25">
      <c r="A1264" s="879"/>
      <c r="B1264" s="1452" t="s">
        <v>1368</v>
      </c>
      <c r="C1264" s="879"/>
    </row>
    <row r="1265" spans="1:3" x14ac:dyDescent="0.25">
      <c r="A1265" s="879"/>
      <c r="B1265" s="1452" t="s">
        <v>2098</v>
      </c>
      <c r="C1265" s="879"/>
    </row>
    <row r="1266" spans="1:3" x14ac:dyDescent="0.25">
      <c r="A1266" s="879"/>
      <c r="B1266" s="1452" t="s">
        <v>1367</v>
      </c>
      <c r="C1266" s="879"/>
    </row>
    <row r="1267" spans="1:3" x14ac:dyDescent="0.25">
      <c r="A1267" s="879"/>
      <c r="B1267" s="1452" t="s">
        <v>1369</v>
      </c>
      <c r="C1267" s="879"/>
    </row>
    <row r="1268" spans="1:3" x14ac:dyDescent="0.25">
      <c r="A1268" s="879"/>
      <c r="B1268" s="1452" t="s">
        <v>1370</v>
      </c>
      <c r="C1268" s="879"/>
    </row>
    <row r="1269" spans="1:3" x14ac:dyDescent="0.25">
      <c r="A1269" s="879"/>
      <c r="B1269" s="1452" t="s">
        <v>1367</v>
      </c>
      <c r="C1269" s="879"/>
    </row>
    <row r="1270" spans="1:3" x14ac:dyDescent="0.25">
      <c r="A1270" s="879"/>
      <c r="B1270" s="1452" t="s">
        <v>1460</v>
      </c>
      <c r="C1270" s="879"/>
    </row>
    <row r="1271" spans="1:3" x14ac:dyDescent="0.25">
      <c r="A1271" s="879"/>
      <c r="B1271" s="1452" t="s">
        <v>1461</v>
      </c>
      <c r="C1271" s="879"/>
    </row>
    <row r="1272" spans="1:3" x14ac:dyDescent="0.25">
      <c r="A1272" s="879"/>
      <c r="B1272" s="1452" t="s">
        <v>2099</v>
      </c>
      <c r="C1272" s="879"/>
    </row>
    <row r="1273" spans="1:3" x14ac:dyDescent="0.25">
      <c r="A1273" s="879"/>
      <c r="B1273" s="1452" t="s">
        <v>2100</v>
      </c>
      <c r="C1273" s="879"/>
    </row>
    <row r="1274" spans="1:3" x14ac:dyDescent="0.25">
      <c r="A1274" s="879"/>
      <c r="B1274" s="1452" t="s">
        <v>1651</v>
      </c>
      <c r="C1274" s="879"/>
    </row>
    <row r="1275" spans="1:3" x14ac:dyDescent="0.25">
      <c r="A1275" s="879"/>
      <c r="B1275" s="1452" t="s">
        <v>1652</v>
      </c>
      <c r="C1275" s="879"/>
    </row>
    <row r="1276" spans="1:3" x14ac:dyDescent="0.25">
      <c r="A1276" s="879"/>
      <c r="B1276" s="1452" t="s">
        <v>1653</v>
      </c>
      <c r="C1276" s="879"/>
    </row>
    <row r="1277" spans="1:3" x14ac:dyDescent="0.25">
      <c r="A1277" s="879"/>
      <c r="B1277" s="1452" t="s">
        <v>2101</v>
      </c>
      <c r="C1277" s="879"/>
    </row>
    <row r="1278" spans="1:3" x14ac:dyDescent="0.25">
      <c r="A1278" s="879"/>
      <c r="B1278" s="1452" t="s">
        <v>2102</v>
      </c>
      <c r="C1278" s="879"/>
    </row>
    <row r="1279" spans="1:3" x14ac:dyDescent="0.25">
      <c r="A1279" s="879"/>
      <c r="B1279" s="1452" t="s">
        <v>2103</v>
      </c>
      <c r="C1279" s="879"/>
    </row>
    <row r="1280" spans="1:3" x14ac:dyDescent="0.25">
      <c r="A1280" s="879"/>
      <c r="B1280" s="1452" t="s">
        <v>1462</v>
      </c>
      <c r="C1280" s="879"/>
    </row>
    <row r="1281" spans="1:3" x14ac:dyDescent="0.25">
      <c r="A1281" s="879"/>
      <c r="B1281" s="1452" t="s">
        <v>1382</v>
      </c>
      <c r="C1281" s="879"/>
    </row>
    <row r="1282" spans="1:3" x14ac:dyDescent="0.25">
      <c r="A1282" s="879"/>
      <c r="B1282" s="1452" t="s">
        <v>1367</v>
      </c>
      <c r="C1282" s="879"/>
    </row>
    <row r="1283" spans="1:3" x14ac:dyDescent="0.25">
      <c r="A1283" s="879"/>
      <c r="B1283" s="1452" t="s">
        <v>1460</v>
      </c>
      <c r="C1283" s="879"/>
    </row>
    <row r="1284" spans="1:3" x14ac:dyDescent="0.25">
      <c r="A1284" s="879"/>
      <c r="B1284" s="1452" t="s">
        <v>1463</v>
      </c>
      <c r="C1284" s="879"/>
    </row>
    <row r="1285" spans="1:3" x14ac:dyDescent="0.25">
      <c r="A1285" s="879"/>
      <c r="B1285" s="1452" t="s">
        <v>2104</v>
      </c>
      <c r="C1285" s="879"/>
    </row>
    <row r="1286" spans="1:3" x14ac:dyDescent="0.25">
      <c r="A1286" s="879"/>
      <c r="B1286" s="1452" t="s">
        <v>2105</v>
      </c>
      <c r="C1286" s="879"/>
    </row>
    <row r="1287" spans="1:3" x14ac:dyDescent="0.25">
      <c r="A1287" s="879"/>
      <c r="B1287" s="1452" t="s">
        <v>2106</v>
      </c>
      <c r="C1287" s="879"/>
    </row>
    <row r="1288" spans="1:3" x14ac:dyDescent="0.25">
      <c r="A1288" s="879"/>
      <c r="B1288" s="1452" t="s">
        <v>2107</v>
      </c>
      <c r="C1288" s="879"/>
    </row>
    <row r="1289" spans="1:3" x14ac:dyDescent="0.25">
      <c r="A1289" s="879"/>
      <c r="B1289" s="1452" t="s">
        <v>2108</v>
      </c>
      <c r="C1289" s="879"/>
    </row>
    <row r="1290" spans="1:3" x14ac:dyDescent="0.25">
      <c r="A1290" s="879"/>
      <c r="B1290" s="1452" t="s">
        <v>2109</v>
      </c>
      <c r="C1290" s="879"/>
    </row>
    <row r="1291" spans="1:3" x14ac:dyDescent="0.25">
      <c r="A1291" s="879"/>
      <c r="B1291" s="1452" t="s">
        <v>2110</v>
      </c>
      <c r="C1291" s="879"/>
    </row>
    <row r="1292" spans="1:3" x14ac:dyDescent="0.25">
      <c r="A1292" s="879"/>
      <c r="B1292" s="1452" t="s">
        <v>1464</v>
      </c>
      <c r="C1292" s="879"/>
    </row>
    <row r="1293" spans="1:3" x14ac:dyDescent="0.25">
      <c r="A1293" s="879"/>
      <c r="B1293" s="1452" t="s">
        <v>1465</v>
      </c>
      <c r="C1293" s="879"/>
    </row>
    <row r="1294" spans="1:3" x14ac:dyDescent="0.25">
      <c r="A1294" s="879"/>
      <c r="B1294" s="1452" t="s">
        <v>1466</v>
      </c>
      <c r="C1294" s="879"/>
    </row>
    <row r="1295" spans="1:3" x14ac:dyDescent="0.25">
      <c r="A1295" s="879"/>
      <c r="B1295" s="1452" t="s">
        <v>1467</v>
      </c>
      <c r="C1295" s="879"/>
    </row>
    <row r="1296" spans="1:3" x14ac:dyDescent="0.25">
      <c r="A1296" s="879"/>
      <c r="B1296" s="1452" t="s">
        <v>1468</v>
      </c>
      <c r="C1296" s="879"/>
    </row>
    <row r="1297" spans="1:3" x14ac:dyDescent="0.25">
      <c r="A1297" s="879"/>
      <c r="B1297" s="1452" t="s">
        <v>1469</v>
      </c>
      <c r="C1297" s="879"/>
    </row>
    <row r="1298" spans="1:3" x14ac:dyDescent="0.25">
      <c r="A1298" s="879"/>
      <c r="B1298" s="1452" t="s">
        <v>2111</v>
      </c>
      <c r="C1298" s="879"/>
    </row>
    <row r="1299" spans="1:3" x14ac:dyDescent="0.25">
      <c r="A1299" s="879"/>
      <c r="B1299" s="1452" t="s">
        <v>1470</v>
      </c>
      <c r="C1299" s="879"/>
    </row>
    <row r="1300" spans="1:3" x14ac:dyDescent="0.25">
      <c r="A1300" s="879"/>
      <c r="B1300" s="1452" t="s">
        <v>2112</v>
      </c>
      <c r="C1300" s="879"/>
    </row>
    <row r="1301" spans="1:3" x14ac:dyDescent="0.25">
      <c r="A1301" s="879"/>
      <c r="B1301" s="1452" t="s">
        <v>1666</v>
      </c>
      <c r="C1301" s="879"/>
    </row>
    <row r="1302" spans="1:3" x14ac:dyDescent="0.25">
      <c r="A1302" s="879"/>
      <c r="B1302" s="1452" t="s">
        <v>1667</v>
      </c>
      <c r="C1302" s="879"/>
    </row>
    <row r="1303" spans="1:3" x14ac:dyDescent="0.25">
      <c r="A1303" s="879"/>
      <c r="B1303" s="1452" t="s">
        <v>1471</v>
      </c>
      <c r="C1303" s="879"/>
    </row>
    <row r="1304" spans="1:3" x14ac:dyDescent="0.25">
      <c r="A1304" s="879"/>
      <c r="B1304" s="1452" t="s">
        <v>1472</v>
      </c>
      <c r="C1304" s="879"/>
    </row>
    <row r="1305" spans="1:3" x14ac:dyDescent="0.25">
      <c r="A1305" s="879"/>
      <c r="B1305" s="1452" t="s">
        <v>1668</v>
      </c>
      <c r="C1305" s="879"/>
    </row>
    <row r="1306" spans="1:3" x14ac:dyDescent="0.25">
      <c r="A1306" s="879"/>
      <c r="B1306" s="1452" t="s">
        <v>1473</v>
      </c>
      <c r="C1306" s="879"/>
    </row>
    <row r="1307" spans="1:3" x14ac:dyDescent="0.25">
      <c r="A1307" s="879"/>
      <c r="B1307" s="1452" t="s">
        <v>2113</v>
      </c>
      <c r="C1307" s="879"/>
    </row>
    <row r="1308" spans="1:3" x14ac:dyDescent="0.25">
      <c r="A1308" s="879"/>
      <c r="B1308" s="1452" t="s">
        <v>2114</v>
      </c>
      <c r="C1308" s="879"/>
    </row>
    <row r="1309" spans="1:3" x14ac:dyDescent="0.25">
      <c r="A1309" s="879"/>
      <c r="B1309" s="1452" t="s">
        <v>2115</v>
      </c>
      <c r="C1309" s="879"/>
    </row>
    <row r="1310" spans="1:3" x14ac:dyDescent="0.25">
      <c r="A1310" s="879"/>
      <c r="B1310" s="1452" t="s">
        <v>2116</v>
      </c>
      <c r="C1310" s="879"/>
    </row>
    <row r="1311" spans="1:3" x14ac:dyDescent="0.25">
      <c r="A1311" s="879"/>
      <c r="B1311" s="1452" t="s">
        <v>1476</v>
      </c>
      <c r="C1311" s="879"/>
    </row>
    <row r="1312" spans="1:3" x14ac:dyDescent="0.25">
      <c r="A1312" s="879"/>
      <c r="B1312" s="1452" t="s">
        <v>1477</v>
      </c>
      <c r="C1312" s="879"/>
    </row>
    <row r="1313" spans="1:3" x14ac:dyDescent="0.25">
      <c r="A1313" s="879"/>
      <c r="B1313" s="1452" t="s">
        <v>1478</v>
      </c>
      <c r="C1313" s="879"/>
    </row>
    <row r="1314" spans="1:3" x14ac:dyDescent="0.25">
      <c r="A1314" s="879"/>
      <c r="B1314" s="1452" t="s">
        <v>2117</v>
      </c>
      <c r="C1314" s="879"/>
    </row>
    <row r="1315" spans="1:3" x14ac:dyDescent="0.25">
      <c r="A1315" s="879"/>
      <c r="B1315" s="1452" t="s">
        <v>2118</v>
      </c>
      <c r="C1315" s="879"/>
    </row>
    <row r="1316" spans="1:3" x14ac:dyDescent="0.25">
      <c r="A1316" s="879"/>
      <c r="B1316" s="1452" t="s">
        <v>1479</v>
      </c>
      <c r="C1316" s="879"/>
    </row>
    <row r="1317" spans="1:3" x14ac:dyDescent="0.25">
      <c r="A1317" s="879"/>
      <c r="B1317" s="1452" t="s">
        <v>1480</v>
      </c>
      <c r="C1317" s="879"/>
    </row>
    <row r="1318" spans="1:3" x14ac:dyDescent="0.25">
      <c r="A1318" s="879"/>
      <c r="B1318" s="1452" t="s">
        <v>2119</v>
      </c>
      <c r="C1318" s="879"/>
    </row>
    <row r="1319" spans="1:3" x14ac:dyDescent="0.25">
      <c r="A1319" s="879"/>
      <c r="B1319" s="1452" t="s">
        <v>2120</v>
      </c>
      <c r="C1319" s="879"/>
    </row>
    <row r="1320" spans="1:3" x14ac:dyDescent="0.25">
      <c r="A1320" s="879"/>
      <c r="B1320" s="1452" t="s">
        <v>2121</v>
      </c>
      <c r="C1320" s="879"/>
    </row>
    <row r="1321" spans="1:3" x14ac:dyDescent="0.25">
      <c r="A1321" s="879"/>
      <c r="B1321" s="1452" t="s">
        <v>2122</v>
      </c>
      <c r="C1321" s="879"/>
    </row>
    <row r="1322" spans="1:3" x14ac:dyDescent="0.25">
      <c r="A1322" s="879"/>
      <c r="B1322" s="1452" t="s">
        <v>2123</v>
      </c>
      <c r="C1322" s="879"/>
    </row>
    <row r="1323" spans="1:3" x14ac:dyDescent="0.25">
      <c r="A1323" s="879"/>
      <c r="B1323" s="1452" t="s">
        <v>2124</v>
      </c>
      <c r="C1323" s="879"/>
    </row>
    <row r="1324" spans="1:3" x14ac:dyDescent="0.25">
      <c r="A1324" s="879"/>
      <c r="B1324" s="1452" t="s">
        <v>2125</v>
      </c>
      <c r="C1324" s="879"/>
    </row>
    <row r="1325" spans="1:3" x14ac:dyDescent="0.25">
      <c r="A1325" s="879"/>
      <c r="B1325" s="1452" t="s">
        <v>2126</v>
      </c>
      <c r="C1325" s="879"/>
    </row>
    <row r="1326" spans="1:3" x14ac:dyDescent="0.25">
      <c r="A1326" s="879"/>
      <c r="B1326" s="1452" t="s">
        <v>2127</v>
      </c>
      <c r="C1326" s="879"/>
    </row>
    <row r="1327" spans="1:3" x14ac:dyDescent="0.25">
      <c r="A1327" s="879"/>
      <c r="B1327" s="1452" t="s">
        <v>1481</v>
      </c>
      <c r="C1327" s="879"/>
    </row>
    <row r="1328" spans="1:3" x14ac:dyDescent="0.25">
      <c r="A1328" s="879"/>
      <c r="B1328" s="1452" t="s">
        <v>1482</v>
      </c>
      <c r="C1328" s="879"/>
    </row>
    <row r="1329" spans="1:3" x14ac:dyDescent="0.25">
      <c r="A1329" s="879"/>
      <c r="B1329" s="1452" t="s">
        <v>1483</v>
      </c>
      <c r="C1329" s="879"/>
    </row>
    <row r="1330" spans="1:3" x14ac:dyDescent="0.25">
      <c r="A1330" s="879"/>
      <c r="B1330" s="1452" t="s">
        <v>1484</v>
      </c>
      <c r="C1330" s="879"/>
    </row>
    <row r="1331" spans="1:3" x14ac:dyDescent="0.25">
      <c r="A1331" s="879"/>
      <c r="B1331" s="1452" t="s">
        <v>1430</v>
      </c>
      <c r="C1331" s="879"/>
    </row>
    <row r="1332" spans="1:3" x14ac:dyDescent="0.25">
      <c r="A1332" s="879"/>
      <c r="B1332" s="1452" t="s">
        <v>1367</v>
      </c>
      <c r="C1332" s="879"/>
    </row>
    <row r="1333" spans="1:3" x14ac:dyDescent="0.25">
      <c r="A1333" s="879"/>
      <c r="B1333" s="1452" t="s">
        <v>1449</v>
      </c>
      <c r="C1333" s="879"/>
    </row>
    <row r="1334" spans="1:3" x14ac:dyDescent="0.25">
      <c r="A1334" s="879"/>
      <c r="B1334" s="1452" t="s">
        <v>1367</v>
      </c>
      <c r="C1334" s="879"/>
    </row>
    <row r="1335" spans="1:3" x14ac:dyDescent="0.25">
      <c r="A1335" s="879"/>
      <c r="B1335" s="1452" t="s">
        <v>1450</v>
      </c>
      <c r="C1335" s="879"/>
    </row>
    <row r="1336" spans="1:3" x14ac:dyDescent="0.25">
      <c r="A1336" s="879"/>
      <c r="B1336" s="1452" t="s">
        <v>1451</v>
      </c>
      <c r="C1336" s="879"/>
    </row>
    <row r="1337" spans="1:3" x14ac:dyDescent="0.25">
      <c r="A1337" s="879"/>
      <c r="B1337" s="1452" t="s">
        <v>1452</v>
      </c>
      <c r="C1337" s="879"/>
    </row>
    <row r="1338" spans="1:3" x14ac:dyDescent="0.25">
      <c r="A1338" s="879"/>
      <c r="B1338" s="1452" t="s">
        <v>1681</v>
      </c>
      <c r="C1338" s="879"/>
    </row>
    <row r="1339" spans="1:3" x14ac:dyDescent="0.25">
      <c r="A1339" s="879"/>
      <c r="B1339" s="1452" t="s">
        <v>1682</v>
      </c>
      <c r="C1339" s="879"/>
    </row>
    <row r="1340" spans="1:3" x14ac:dyDescent="0.25">
      <c r="A1340" s="879"/>
      <c r="B1340" s="1452" t="s">
        <v>1683</v>
      </c>
      <c r="C1340" s="879"/>
    </row>
    <row r="1341" spans="1:3" x14ac:dyDescent="0.25">
      <c r="A1341" s="879"/>
      <c r="B1341" s="1452" t="s">
        <v>1684</v>
      </c>
      <c r="C1341" s="879"/>
    </row>
    <row r="1342" spans="1:3" x14ac:dyDescent="0.25">
      <c r="A1342" s="879"/>
      <c r="B1342" s="1452" t="s">
        <v>1453</v>
      </c>
      <c r="C1342" s="879"/>
    </row>
    <row r="1343" spans="1:3" x14ac:dyDescent="0.25">
      <c r="A1343" s="879"/>
      <c r="B1343" s="1452" t="s">
        <v>1485</v>
      </c>
      <c r="C1343" s="879"/>
    </row>
    <row r="1344" spans="1:3" x14ac:dyDescent="0.25">
      <c r="A1344" s="879"/>
      <c r="B1344" s="1452" t="s">
        <v>1685</v>
      </c>
      <c r="C1344" s="879"/>
    </row>
    <row r="1345" spans="1:3" x14ac:dyDescent="0.25">
      <c r="A1345" s="879"/>
      <c r="B1345" s="1452" t="s">
        <v>1686</v>
      </c>
      <c r="C1345" s="879"/>
    </row>
    <row r="1346" spans="1:3" x14ac:dyDescent="0.25">
      <c r="A1346" s="879"/>
      <c r="B1346" s="1452" t="s">
        <v>1454</v>
      </c>
      <c r="C1346" s="879"/>
    </row>
    <row r="1347" spans="1:3" x14ac:dyDescent="0.25">
      <c r="A1347" s="879"/>
      <c r="B1347" s="1452" t="s">
        <v>1486</v>
      </c>
      <c r="C1347" s="879"/>
    </row>
    <row r="1348" spans="1:3" x14ac:dyDescent="0.25">
      <c r="A1348" s="879"/>
      <c r="B1348" s="1452" t="s">
        <v>1455</v>
      </c>
      <c r="C1348" s="879"/>
    </row>
    <row r="1349" spans="1:3" x14ac:dyDescent="0.25">
      <c r="A1349" s="879"/>
      <c r="B1349" s="1452" t="s">
        <v>1687</v>
      </c>
      <c r="C1349" s="879"/>
    </row>
    <row r="1350" spans="1:3" x14ac:dyDescent="0.25">
      <c r="A1350" s="879"/>
      <c r="B1350" s="1452" t="s">
        <v>1688</v>
      </c>
      <c r="C1350" s="879"/>
    </row>
    <row r="1351" spans="1:3" x14ac:dyDescent="0.25">
      <c r="A1351" s="879"/>
      <c r="B1351" s="1452" t="s">
        <v>1689</v>
      </c>
      <c r="C1351" s="879"/>
    </row>
    <row r="1352" spans="1:3" x14ac:dyDescent="0.25">
      <c r="A1352" s="879"/>
      <c r="B1352" s="1452" t="s">
        <v>1456</v>
      </c>
      <c r="C1352" s="879"/>
    </row>
    <row r="1353" spans="1:3" x14ac:dyDescent="0.25">
      <c r="A1353" s="879"/>
      <c r="B1353" s="1452" t="s">
        <v>1367</v>
      </c>
      <c r="C1353" s="879"/>
    </row>
    <row r="1354" spans="1:3" x14ac:dyDescent="0.25">
      <c r="A1354" s="879"/>
      <c r="B1354" s="1452" t="s">
        <v>1450</v>
      </c>
      <c r="C1354" s="879"/>
    </row>
    <row r="1355" spans="1:3" x14ac:dyDescent="0.25">
      <c r="A1355" s="879"/>
      <c r="B1355" s="1452" t="s">
        <v>1451</v>
      </c>
      <c r="C1355" s="879"/>
    </row>
    <row r="1356" spans="1:3" x14ac:dyDescent="0.25">
      <c r="A1356" s="879"/>
      <c r="B1356" s="1452" t="s">
        <v>1452</v>
      </c>
      <c r="C1356" s="879"/>
    </row>
    <row r="1357" spans="1:3" x14ac:dyDescent="0.25">
      <c r="A1357" s="879"/>
      <c r="B1357" s="1452" t="s">
        <v>1681</v>
      </c>
      <c r="C1357" s="879"/>
    </row>
    <row r="1358" spans="1:3" x14ac:dyDescent="0.25">
      <c r="A1358" s="879"/>
      <c r="B1358" s="1452" t="s">
        <v>1682</v>
      </c>
      <c r="C1358" s="879"/>
    </row>
    <row r="1359" spans="1:3" x14ac:dyDescent="0.25">
      <c r="A1359" s="879"/>
      <c r="B1359" s="1452" t="s">
        <v>1683</v>
      </c>
      <c r="C1359" s="879"/>
    </row>
    <row r="1360" spans="1:3" x14ac:dyDescent="0.25">
      <c r="A1360" s="879"/>
      <c r="B1360" s="1452" t="s">
        <v>1684</v>
      </c>
      <c r="C1360" s="879"/>
    </row>
    <row r="1361" spans="1:3" x14ac:dyDescent="0.25">
      <c r="A1361" s="879"/>
      <c r="B1361" s="1452" t="s">
        <v>1453</v>
      </c>
      <c r="C1361" s="879"/>
    </row>
    <row r="1362" spans="1:3" x14ac:dyDescent="0.25">
      <c r="A1362" s="879"/>
      <c r="B1362" s="1452" t="s">
        <v>1485</v>
      </c>
      <c r="C1362" s="879"/>
    </row>
    <row r="1363" spans="1:3" x14ac:dyDescent="0.25">
      <c r="A1363" s="879"/>
      <c r="B1363" s="1452" t="s">
        <v>1685</v>
      </c>
      <c r="C1363" s="879"/>
    </row>
    <row r="1364" spans="1:3" x14ac:dyDescent="0.25">
      <c r="A1364" s="879"/>
      <c r="B1364" s="1452" t="s">
        <v>1686</v>
      </c>
      <c r="C1364" s="879"/>
    </row>
    <row r="1365" spans="1:3" x14ac:dyDescent="0.25">
      <c r="A1365" s="879"/>
      <c r="B1365" s="1452" t="s">
        <v>1454</v>
      </c>
      <c r="C1365" s="879"/>
    </row>
    <row r="1366" spans="1:3" x14ac:dyDescent="0.25">
      <c r="A1366" s="879"/>
      <c r="B1366" s="1452" t="s">
        <v>1486</v>
      </c>
      <c r="C1366" s="879"/>
    </row>
    <row r="1367" spans="1:3" x14ac:dyDescent="0.25">
      <c r="A1367" s="879"/>
      <c r="B1367" s="1452" t="s">
        <v>1455</v>
      </c>
      <c r="C1367" s="879"/>
    </row>
    <row r="1368" spans="1:3" x14ac:dyDescent="0.25">
      <c r="A1368" s="879"/>
      <c r="B1368" s="1452" t="s">
        <v>1687</v>
      </c>
      <c r="C1368" s="879"/>
    </row>
    <row r="1369" spans="1:3" x14ac:dyDescent="0.25">
      <c r="A1369" s="879"/>
      <c r="B1369" s="1452" t="s">
        <v>1688</v>
      </c>
      <c r="C1369" s="879"/>
    </row>
    <row r="1370" spans="1:3" x14ac:dyDescent="0.25">
      <c r="A1370" s="879"/>
      <c r="B1370" s="1452" t="s">
        <v>1689</v>
      </c>
      <c r="C1370" s="879"/>
    </row>
    <row r="1371" spans="1:3" x14ac:dyDescent="0.25">
      <c r="A1371" s="879"/>
      <c r="B1371" s="1452" t="s">
        <v>1690</v>
      </c>
      <c r="C1371" s="879"/>
    </row>
    <row r="1372" spans="1:3" x14ac:dyDescent="0.25">
      <c r="A1372" s="879"/>
      <c r="B1372" s="1452" t="s">
        <v>1367</v>
      </c>
      <c r="C1372" s="879"/>
    </row>
    <row r="1373" spans="1:3" x14ac:dyDescent="0.25">
      <c r="A1373" s="879"/>
      <c r="B1373" s="1452" t="s">
        <v>1691</v>
      </c>
      <c r="C1373" s="879"/>
    </row>
    <row r="1374" spans="1:3" x14ac:dyDescent="0.25">
      <c r="A1374" s="879"/>
      <c r="B1374" s="1452" t="s">
        <v>1692</v>
      </c>
      <c r="C1374" s="879"/>
    </row>
    <row r="1375" spans="1:3" x14ac:dyDescent="0.25">
      <c r="A1375" s="879"/>
      <c r="B1375" s="1452" t="s">
        <v>1693</v>
      </c>
      <c r="C1375" s="879"/>
    </row>
    <row r="1376" spans="1:3" x14ac:dyDescent="0.25">
      <c r="A1376" s="879"/>
      <c r="B1376" s="1452" t="s">
        <v>1694</v>
      </c>
      <c r="C1376" s="879"/>
    </row>
    <row r="1377" spans="1:3" x14ac:dyDescent="0.25">
      <c r="A1377" s="879"/>
      <c r="B1377" s="1452" t="s">
        <v>1695</v>
      </c>
      <c r="C1377" s="879"/>
    </row>
    <row r="1378" spans="1:3" x14ac:dyDescent="0.25">
      <c r="A1378" s="879"/>
      <c r="B1378" s="1452" t="s">
        <v>1696</v>
      </c>
      <c r="C1378" s="879"/>
    </row>
    <row r="1379" spans="1:3" x14ac:dyDescent="0.25">
      <c r="A1379" s="879"/>
      <c r="B1379" s="1452" t="s">
        <v>1697</v>
      </c>
      <c r="C1379" s="879"/>
    </row>
    <row r="1380" spans="1:3" x14ac:dyDescent="0.25">
      <c r="A1380" s="879"/>
      <c r="B1380" s="1452" t="s">
        <v>1698</v>
      </c>
      <c r="C1380" s="879"/>
    </row>
    <row r="1381" spans="1:3" x14ac:dyDescent="0.25">
      <c r="A1381" s="879"/>
      <c r="B1381" s="1452" t="s">
        <v>1699</v>
      </c>
      <c r="C1381" s="879"/>
    </row>
    <row r="1382" spans="1:3" x14ac:dyDescent="0.25">
      <c r="A1382" s="879"/>
      <c r="B1382" s="1452" t="s">
        <v>1700</v>
      </c>
      <c r="C1382" s="879"/>
    </row>
    <row r="1383" spans="1:3" x14ac:dyDescent="0.25">
      <c r="A1383" s="879"/>
      <c r="B1383" s="1452" t="s">
        <v>1701</v>
      </c>
      <c r="C1383" s="879"/>
    </row>
    <row r="1384" spans="1:3" x14ac:dyDescent="0.25">
      <c r="A1384" s="879"/>
      <c r="B1384" s="1452" t="s">
        <v>1702</v>
      </c>
      <c r="C1384" s="879"/>
    </row>
    <row r="1385" spans="1:3" x14ac:dyDescent="0.25">
      <c r="A1385" s="879"/>
      <c r="B1385" s="1452" t="s">
        <v>1703</v>
      </c>
      <c r="C1385" s="879"/>
    </row>
    <row r="1386" spans="1:3" x14ac:dyDescent="0.25">
      <c r="A1386" s="879"/>
      <c r="B1386" s="1452" t="s">
        <v>1704</v>
      </c>
      <c r="C1386" s="879"/>
    </row>
    <row r="1387" spans="1:3" x14ac:dyDescent="0.25">
      <c r="A1387" s="879"/>
      <c r="B1387" s="1452" t="s">
        <v>1705</v>
      </c>
      <c r="C1387" s="879"/>
    </row>
    <row r="1388" spans="1:3" x14ac:dyDescent="0.25">
      <c r="A1388" s="879"/>
      <c r="B1388" s="1452"/>
      <c r="C1388" s="879"/>
    </row>
    <row r="1389" spans="1:3" x14ac:dyDescent="0.25">
      <c r="A1389" s="879"/>
      <c r="B1389" s="1452"/>
      <c r="C1389" s="879"/>
    </row>
    <row r="1390" spans="1:3" x14ac:dyDescent="0.25">
      <c r="A1390" s="879"/>
      <c r="B1390" s="1452" t="s">
        <v>1368</v>
      </c>
      <c r="C1390" s="879"/>
    </row>
    <row r="1391" spans="1:3" x14ac:dyDescent="0.25">
      <c r="A1391" s="879"/>
      <c r="B1391" s="1452" t="s">
        <v>2128</v>
      </c>
      <c r="C1391" s="879"/>
    </row>
    <row r="1392" spans="1:3" x14ac:dyDescent="0.25">
      <c r="A1392" s="879"/>
      <c r="B1392" s="1452" t="s">
        <v>1368</v>
      </c>
      <c r="C1392" s="879"/>
    </row>
    <row r="1393" spans="1:3" x14ac:dyDescent="0.25">
      <c r="A1393" s="879"/>
      <c r="B1393" s="1452" t="s">
        <v>2129</v>
      </c>
      <c r="C1393" s="879"/>
    </row>
    <row r="1394" spans="1:3" x14ac:dyDescent="0.25">
      <c r="A1394" s="879"/>
      <c r="B1394" s="1452" t="s">
        <v>1367</v>
      </c>
      <c r="C1394" s="879"/>
    </row>
    <row r="1395" spans="1:3" x14ac:dyDescent="0.25">
      <c r="A1395" s="879"/>
      <c r="B1395" s="1452" t="s">
        <v>1369</v>
      </c>
      <c r="C1395" s="879"/>
    </row>
    <row r="1396" spans="1:3" x14ac:dyDescent="0.25">
      <c r="A1396" s="879"/>
      <c r="B1396" s="1452" t="s">
        <v>1370</v>
      </c>
      <c r="C1396" s="879"/>
    </row>
    <row r="1397" spans="1:3" x14ac:dyDescent="0.25">
      <c r="A1397" s="879"/>
      <c r="B1397" s="1452" t="s">
        <v>1367</v>
      </c>
      <c r="C1397" s="879"/>
    </row>
    <row r="1398" spans="1:3" x14ac:dyDescent="0.25">
      <c r="A1398" s="879"/>
      <c r="B1398" s="1452" t="s">
        <v>1460</v>
      </c>
      <c r="C1398" s="879"/>
    </row>
    <row r="1399" spans="1:3" x14ac:dyDescent="0.25">
      <c r="A1399" s="879"/>
      <c r="B1399" s="1452" t="s">
        <v>1461</v>
      </c>
      <c r="C1399" s="879"/>
    </row>
    <row r="1400" spans="1:3" x14ac:dyDescent="0.25">
      <c r="A1400" s="879"/>
      <c r="B1400" s="1452" t="s">
        <v>2130</v>
      </c>
      <c r="C1400" s="879"/>
    </row>
    <row r="1401" spans="1:3" x14ac:dyDescent="0.25">
      <c r="A1401" s="879"/>
      <c r="B1401" s="1452" t="s">
        <v>2131</v>
      </c>
      <c r="C1401" s="879"/>
    </row>
    <row r="1402" spans="1:3" x14ac:dyDescent="0.25">
      <c r="A1402" s="879"/>
      <c r="B1402" s="1452" t="s">
        <v>1751</v>
      </c>
      <c r="C1402" s="879"/>
    </row>
    <row r="1403" spans="1:3" x14ac:dyDescent="0.25">
      <c r="A1403" s="879"/>
      <c r="B1403" s="1452" t="s">
        <v>1752</v>
      </c>
      <c r="C1403" s="879"/>
    </row>
    <row r="1404" spans="1:3" x14ac:dyDescent="0.25">
      <c r="A1404" s="879"/>
      <c r="B1404" s="1452" t="s">
        <v>1753</v>
      </c>
      <c r="C1404" s="879"/>
    </row>
    <row r="1405" spans="1:3" x14ac:dyDescent="0.25">
      <c r="A1405" s="879"/>
      <c r="B1405" s="1452" t="s">
        <v>2132</v>
      </c>
      <c r="C1405" s="879"/>
    </row>
    <row r="1406" spans="1:3" x14ac:dyDescent="0.25">
      <c r="A1406" s="879"/>
      <c r="B1406" s="1452" t="s">
        <v>2133</v>
      </c>
      <c r="C1406" s="879"/>
    </row>
    <row r="1407" spans="1:3" x14ac:dyDescent="0.25">
      <c r="A1407" s="879"/>
      <c r="B1407" s="1452" t="s">
        <v>2134</v>
      </c>
      <c r="C1407" s="879"/>
    </row>
    <row r="1408" spans="1:3" x14ac:dyDescent="0.25">
      <c r="A1408" s="879"/>
      <c r="B1408" s="1452" t="s">
        <v>1462</v>
      </c>
      <c r="C1408" s="879"/>
    </row>
    <row r="1409" spans="1:3" x14ac:dyDescent="0.25">
      <c r="A1409" s="879"/>
      <c r="B1409" s="1452" t="s">
        <v>1382</v>
      </c>
      <c r="C1409" s="879"/>
    </row>
    <row r="1410" spans="1:3" x14ac:dyDescent="0.25">
      <c r="A1410" s="879"/>
      <c r="B1410" s="1452" t="s">
        <v>1367</v>
      </c>
      <c r="C1410" s="879"/>
    </row>
    <row r="1411" spans="1:3" x14ac:dyDescent="0.25">
      <c r="A1411" s="879"/>
      <c r="B1411" s="1452" t="s">
        <v>1460</v>
      </c>
      <c r="C1411" s="879"/>
    </row>
    <row r="1412" spans="1:3" x14ac:dyDescent="0.25">
      <c r="A1412" s="879"/>
      <c r="B1412" s="1452" t="s">
        <v>1757</v>
      </c>
      <c r="C1412" s="879"/>
    </row>
    <row r="1413" spans="1:3" x14ac:dyDescent="0.25">
      <c r="A1413" s="879"/>
      <c r="B1413" s="1452" t="s">
        <v>2135</v>
      </c>
      <c r="C1413" s="879"/>
    </row>
    <row r="1414" spans="1:3" x14ac:dyDescent="0.25">
      <c r="A1414" s="879"/>
      <c r="B1414" s="1452" t="s">
        <v>2136</v>
      </c>
      <c r="C1414" s="879"/>
    </row>
    <row r="1415" spans="1:3" x14ac:dyDescent="0.25">
      <c r="A1415" s="879"/>
      <c r="B1415" s="1452" t="s">
        <v>2137</v>
      </c>
      <c r="C1415" s="879"/>
    </row>
    <row r="1416" spans="1:3" x14ac:dyDescent="0.25">
      <c r="A1416" s="879"/>
      <c r="B1416" s="1452" t="s">
        <v>2138</v>
      </c>
      <c r="C1416" s="879"/>
    </row>
    <row r="1417" spans="1:3" x14ac:dyDescent="0.25">
      <c r="A1417" s="879"/>
      <c r="B1417" s="1452" t="s">
        <v>2139</v>
      </c>
      <c r="C1417" s="879"/>
    </row>
    <row r="1418" spans="1:3" x14ac:dyDescent="0.25">
      <c r="A1418" s="879"/>
      <c r="B1418" s="1452" t="s">
        <v>2140</v>
      </c>
      <c r="C1418" s="879"/>
    </row>
    <row r="1419" spans="1:3" x14ac:dyDescent="0.25">
      <c r="A1419" s="879"/>
      <c r="B1419" s="1452" t="s">
        <v>2141</v>
      </c>
      <c r="C1419" s="879"/>
    </row>
    <row r="1420" spans="1:3" x14ac:dyDescent="0.25">
      <c r="A1420" s="879"/>
      <c r="B1420" s="1452" t="s">
        <v>1765</v>
      </c>
      <c r="C1420" s="879"/>
    </row>
    <row r="1421" spans="1:3" x14ac:dyDescent="0.25">
      <c r="A1421" s="879"/>
      <c r="B1421" s="1452" t="s">
        <v>1766</v>
      </c>
      <c r="C1421" s="879"/>
    </row>
    <row r="1422" spans="1:3" x14ac:dyDescent="0.25">
      <c r="A1422" s="879"/>
      <c r="B1422" s="1452" t="s">
        <v>1466</v>
      </c>
      <c r="C1422" s="879"/>
    </row>
    <row r="1423" spans="1:3" x14ac:dyDescent="0.25">
      <c r="A1423" s="879"/>
      <c r="B1423" s="1452" t="s">
        <v>1467</v>
      </c>
      <c r="C1423" s="879"/>
    </row>
    <row r="1424" spans="1:3" x14ac:dyDescent="0.25">
      <c r="A1424" s="879"/>
      <c r="B1424" s="1452" t="s">
        <v>2142</v>
      </c>
      <c r="C1424" s="879"/>
    </row>
    <row r="1425" spans="1:3" x14ac:dyDescent="0.25">
      <c r="A1425" s="879"/>
      <c r="B1425" s="1452" t="s">
        <v>1469</v>
      </c>
      <c r="C1425" s="879"/>
    </row>
    <row r="1426" spans="1:3" x14ac:dyDescent="0.25">
      <c r="A1426" s="879"/>
      <c r="B1426" s="1452" t="s">
        <v>2143</v>
      </c>
      <c r="C1426" s="879"/>
    </row>
    <row r="1427" spans="1:3" x14ac:dyDescent="0.25">
      <c r="A1427" s="879"/>
      <c r="B1427" s="1452" t="s">
        <v>1769</v>
      </c>
      <c r="C1427" s="879"/>
    </row>
    <row r="1428" spans="1:3" x14ac:dyDescent="0.25">
      <c r="A1428" s="879"/>
      <c r="B1428" s="1452" t="s">
        <v>2144</v>
      </c>
      <c r="C1428" s="879"/>
    </row>
    <row r="1429" spans="1:3" x14ac:dyDescent="0.25">
      <c r="A1429" s="879"/>
      <c r="B1429" s="1452" t="s">
        <v>1771</v>
      </c>
      <c r="C1429" s="879"/>
    </row>
    <row r="1430" spans="1:3" x14ac:dyDescent="0.25">
      <c r="A1430" s="879"/>
      <c r="B1430" s="1452" t="s">
        <v>1772</v>
      </c>
      <c r="C1430" s="879"/>
    </row>
    <row r="1431" spans="1:3" x14ac:dyDescent="0.25">
      <c r="A1431" s="879"/>
      <c r="B1431" s="1452" t="s">
        <v>1471</v>
      </c>
      <c r="C1431" s="879"/>
    </row>
    <row r="1432" spans="1:3" x14ac:dyDescent="0.25">
      <c r="A1432" s="879"/>
      <c r="B1432" s="1452" t="s">
        <v>2145</v>
      </c>
      <c r="C1432" s="879"/>
    </row>
    <row r="1433" spans="1:3" x14ac:dyDescent="0.25">
      <c r="A1433" s="879"/>
      <c r="B1433" s="1452" t="s">
        <v>1773</v>
      </c>
      <c r="C1433" s="879"/>
    </row>
    <row r="1434" spans="1:3" x14ac:dyDescent="0.25">
      <c r="A1434" s="879"/>
      <c r="B1434" s="1452" t="s">
        <v>1473</v>
      </c>
      <c r="C1434" s="879"/>
    </row>
    <row r="1435" spans="1:3" x14ac:dyDescent="0.25">
      <c r="A1435" s="879"/>
      <c r="B1435" s="1452" t="s">
        <v>2146</v>
      </c>
      <c r="C1435" s="879"/>
    </row>
    <row r="1436" spans="1:3" x14ac:dyDescent="0.25">
      <c r="A1436" s="879"/>
      <c r="B1436" s="1452" t="s">
        <v>2147</v>
      </c>
      <c r="C1436" s="879"/>
    </row>
    <row r="1437" spans="1:3" x14ac:dyDescent="0.25">
      <c r="A1437" s="879"/>
      <c r="B1437" s="1452" t="s">
        <v>2148</v>
      </c>
      <c r="C1437" s="879"/>
    </row>
    <row r="1438" spans="1:3" x14ac:dyDescent="0.25">
      <c r="A1438" s="879"/>
      <c r="B1438" s="1452" t="s">
        <v>2149</v>
      </c>
      <c r="C1438" s="879"/>
    </row>
    <row r="1439" spans="1:3" x14ac:dyDescent="0.25">
      <c r="A1439" s="879"/>
      <c r="B1439" s="1452" t="s">
        <v>1476</v>
      </c>
      <c r="C1439" s="879"/>
    </row>
    <row r="1440" spans="1:3" x14ac:dyDescent="0.25">
      <c r="A1440" s="879"/>
      <c r="B1440" s="1452" t="s">
        <v>1477</v>
      </c>
      <c r="C1440" s="879"/>
    </row>
    <row r="1441" spans="1:3" x14ac:dyDescent="0.25">
      <c r="A1441" s="879"/>
      <c r="B1441" s="1452" t="s">
        <v>1478</v>
      </c>
      <c r="C1441" s="879"/>
    </row>
    <row r="1442" spans="1:3" x14ac:dyDescent="0.25">
      <c r="A1442" s="879"/>
      <c r="B1442" s="1452" t="s">
        <v>2150</v>
      </c>
      <c r="C1442" s="879"/>
    </row>
    <row r="1443" spans="1:3" x14ac:dyDescent="0.25">
      <c r="A1443" s="879"/>
      <c r="B1443" s="1452" t="s">
        <v>2151</v>
      </c>
      <c r="C1443" s="879"/>
    </row>
    <row r="1444" spans="1:3" x14ac:dyDescent="0.25">
      <c r="A1444" s="879"/>
      <c r="B1444" s="1452" t="s">
        <v>1479</v>
      </c>
      <c r="C1444" s="879"/>
    </row>
    <row r="1445" spans="1:3" x14ac:dyDescent="0.25">
      <c r="A1445" s="879"/>
      <c r="B1445" s="1452" t="s">
        <v>1480</v>
      </c>
      <c r="C1445" s="879"/>
    </row>
    <row r="1446" spans="1:3" x14ac:dyDescent="0.25">
      <c r="A1446" s="879"/>
      <c r="B1446" s="1452" t="s">
        <v>2152</v>
      </c>
      <c r="C1446" s="879"/>
    </row>
    <row r="1447" spans="1:3" x14ac:dyDescent="0.25">
      <c r="A1447" s="879"/>
      <c r="B1447" s="1452" t="s">
        <v>2153</v>
      </c>
      <c r="C1447" s="879"/>
    </row>
    <row r="1448" spans="1:3" x14ac:dyDescent="0.25">
      <c r="A1448" s="879"/>
      <c r="B1448" s="1452" t="s">
        <v>2154</v>
      </c>
      <c r="C1448" s="879"/>
    </row>
    <row r="1449" spans="1:3" x14ac:dyDescent="0.25">
      <c r="A1449" s="879"/>
      <c r="B1449" s="1452" t="s">
        <v>2155</v>
      </c>
      <c r="C1449" s="879"/>
    </row>
    <row r="1450" spans="1:3" x14ac:dyDescent="0.25">
      <c r="A1450" s="879"/>
      <c r="B1450" s="1452" t="s">
        <v>2156</v>
      </c>
      <c r="C1450" s="879"/>
    </row>
    <row r="1451" spans="1:3" x14ac:dyDescent="0.25">
      <c r="A1451" s="879"/>
      <c r="B1451" s="1452" t="s">
        <v>2157</v>
      </c>
      <c r="C1451" s="879"/>
    </row>
    <row r="1452" spans="1:3" x14ac:dyDescent="0.25">
      <c r="A1452" s="879"/>
      <c r="B1452" s="1452" t="s">
        <v>1593</v>
      </c>
      <c r="C1452" s="879"/>
    </row>
    <row r="1453" spans="1:3" x14ac:dyDescent="0.25">
      <c r="A1453" s="879"/>
      <c r="B1453" s="1452" t="s">
        <v>2158</v>
      </c>
      <c r="C1453" s="879"/>
    </row>
    <row r="1454" spans="1:3" x14ac:dyDescent="0.25">
      <c r="A1454" s="879"/>
      <c r="B1454" s="1452" t="s">
        <v>2159</v>
      </c>
      <c r="C1454" s="879"/>
    </row>
    <row r="1455" spans="1:3" x14ac:dyDescent="0.25">
      <c r="A1455" s="879"/>
      <c r="B1455" s="1452" t="s">
        <v>1481</v>
      </c>
      <c r="C1455" s="879"/>
    </row>
    <row r="1456" spans="1:3" x14ac:dyDescent="0.25">
      <c r="A1456" s="879"/>
      <c r="B1456" s="1452" t="s">
        <v>1789</v>
      </c>
      <c r="C1456" s="879"/>
    </row>
    <row r="1457" spans="1:3" x14ac:dyDescent="0.25">
      <c r="A1457" s="879"/>
      <c r="B1457" s="1452" t="s">
        <v>1483</v>
      </c>
      <c r="C1457" s="879"/>
    </row>
    <row r="1458" spans="1:3" x14ac:dyDescent="0.25">
      <c r="A1458" s="879"/>
      <c r="B1458" s="1452" t="s">
        <v>2160</v>
      </c>
      <c r="C1458" s="879"/>
    </row>
    <row r="1459" spans="1:3" x14ac:dyDescent="0.25">
      <c r="A1459" s="879"/>
      <c r="B1459" s="1452" t="s">
        <v>1430</v>
      </c>
      <c r="C1459" s="879"/>
    </row>
    <row r="1460" spans="1:3" x14ac:dyDescent="0.25">
      <c r="A1460" s="879"/>
      <c r="B1460" s="1452" t="s">
        <v>1367</v>
      </c>
      <c r="C1460" s="879"/>
    </row>
    <row r="1461" spans="1:3" x14ac:dyDescent="0.25">
      <c r="A1461" s="879"/>
      <c r="B1461" s="1452" t="s">
        <v>1449</v>
      </c>
      <c r="C1461" s="879"/>
    </row>
    <row r="1462" spans="1:3" x14ac:dyDescent="0.25">
      <c r="A1462" s="879"/>
      <c r="B1462" s="1452" t="s">
        <v>1367</v>
      </c>
      <c r="C1462" s="879"/>
    </row>
    <row r="1463" spans="1:3" x14ac:dyDescent="0.25">
      <c r="A1463" s="879"/>
      <c r="B1463" s="1452" t="s">
        <v>1450</v>
      </c>
      <c r="C1463" s="879"/>
    </row>
    <row r="1464" spans="1:3" x14ac:dyDescent="0.25">
      <c r="A1464" s="879"/>
      <c r="B1464" s="1452" t="s">
        <v>1451</v>
      </c>
      <c r="C1464" s="879"/>
    </row>
    <row r="1465" spans="1:3" x14ac:dyDescent="0.25">
      <c r="A1465" s="879"/>
      <c r="B1465" s="1452" t="s">
        <v>1452</v>
      </c>
      <c r="C1465" s="879"/>
    </row>
    <row r="1466" spans="1:3" x14ac:dyDescent="0.25">
      <c r="A1466" s="879"/>
      <c r="B1466" s="1452" t="s">
        <v>1681</v>
      </c>
      <c r="C1466" s="879"/>
    </row>
    <row r="1467" spans="1:3" x14ac:dyDescent="0.25">
      <c r="A1467" s="879"/>
      <c r="B1467" s="1452" t="s">
        <v>1682</v>
      </c>
      <c r="C1467" s="879"/>
    </row>
    <row r="1468" spans="1:3" x14ac:dyDescent="0.25">
      <c r="A1468" s="879"/>
      <c r="B1468" s="1452" t="s">
        <v>1791</v>
      </c>
      <c r="C1468" s="879"/>
    </row>
    <row r="1469" spans="1:3" x14ac:dyDescent="0.25">
      <c r="A1469" s="879"/>
      <c r="B1469" s="1452" t="s">
        <v>1684</v>
      </c>
      <c r="C1469" s="879"/>
    </row>
    <row r="1470" spans="1:3" x14ac:dyDescent="0.25">
      <c r="A1470" s="879"/>
      <c r="B1470" s="1452" t="s">
        <v>1453</v>
      </c>
      <c r="C1470" s="879"/>
    </row>
    <row r="1471" spans="1:3" x14ac:dyDescent="0.25">
      <c r="A1471" s="879"/>
      <c r="B1471" s="1452" t="s">
        <v>1792</v>
      </c>
      <c r="C1471" s="879"/>
    </row>
    <row r="1472" spans="1:3" x14ac:dyDescent="0.25">
      <c r="A1472" s="879"/>
      <c r="B1472" s="1452" t="s">
        <v>1685</v>
      </c>
      <c r="C1472" s="879"/>
    </row>
    <row r="1473" spans="1:3" x14ac:dyDescent="0.25">
      <c r="A1473" s="879"/>
      <c r="B1473" s="1452" t="s">
        <v>1686</v>
      </c>
      <c r="C1473" s="879"/>
    </row>
    <row r="1474" spans="1:3" x14ac:dyDescent="0.25">
      <c r="A1474" s="879"/>
      <c r="B1474" s="1452" t="s">
        <v>1454</v>
      </c>
      <c r="C1474" s="879"/>
    </row>
    <row r="1475" spans="1:3" x14ac:dyDescent="0.25">
      <c r="A1475" s="879"/>
      <c r="B1475" s="1452" t="s">
        <v>1793</v>
      </c>
      <c r="C1475" s="879"/>
    </row>
    <row r="1476" spans="1:3" x14ac:dyDescent="0.25">
      <c r="A1476" s="879"/>
      <c r="B1476" s="1452" t="s">
        <v>1455</v>
      </c>
      <c r="C1476" s="879"/>
    </row>
    <row r="1477" spans="1:3" x14ac:dyDescent="0.25">
      <c r="A1477" s="879"/>
      <c r="B1477" s="1452" t="s">
        <v>1794</v>
      </c>
      <c r="C1477" s="879"/>
    </row>
    <row r="1478" spans="1:3" x14ac:dyDescent="0.25">
      <c r="A1478" s="879"/>
      <c r="B1478" s="1452" t="s">
        <v>1688</v>
      </c>
      <c r="C1478" s="879"/>
    </row>
    <row r="1479" spans="1:3" x14ac:dyDescent="0.25">
      <c r="A1479" s="879"/>
      <c r="B1479" s="1452" t="s">
        <v>1795</v>
      </c>
      <c r="C1479" s="879"/>
    </row>
    <row r="1480" spans="1:3" x14ac:dyDescent="0.25">
      <c r="A1480" s="879"/>
      <c r="B1480" s="1452" t="s">
        <v>1456</v>
      </c>
      <c r="C1480" s="879"/>
    </row>
    <row r="1481" spans="1:3" x14ac:dyDescent="0.25">
      <c r="A1481" s="879"/>
      <c r="B1481" s="1452" t="s">
        <v>1367</v>
      </c>
      <c r="C1481" s="879"/>
    </row>
    <row r="1482" spans="1:3" x14ac:dyDescent="0.25">
      <c r="A1482" s="879"/>
      <c r="B1482" s="1452" t="s">
        <v>1450</v>
      </c>
      <c r="C1482" s="879"/>
    </row>
    <row r="1483" spans="1:3" x14ac:dyDescent="0.25">
      <c r="A1483" s="879"/>
      <c r="B1483" s="1452" t="s">
        <v>1451</v>
      </c>
      <c r="C1483" s="879"/>
    </row>
    <row r="1484" spans="1:3" x14ac:dyDescent="0.25">
      <c r="A1484" s="879"/>
      <c r="B1484" s="1452" t="s">
        <v>1452</v>
      </c>
      <c r="C1484" s="879"/>
    </row>
    <row r="1485" spans="1:3" x14ac:dyDescent="0.25">
      <c r="A1485" s="879"/>
      <c r="B1485" s="1452" t="s">
        <v>1681</v>
      </c>
      <c r="C1485" s="879"/>
    </row>
    <row r="1486" spans="1:3" x14ac:dyDescent="0.25">
      <c r="A1486" s="879"/>
      <c r="B1486" s="1452" t="s">
        <v>1682</v>
      </c>
      <c r="C1486" s="879"/>
    </row>
    <row r="1487" spans="1:3" x14ac:dyDescent="0.25">
      <c r="A1487" s="879"/>
      <c r="B1487" s="1452" t="s">
        <v>1791</v>
      </c>
      <c r="C1487" s="879"/>
    </row>
    <row r="1488" spans="1:3" x14ac:dyDescent="0.25">
      <c r="A1488" s="879"/>
      <c r="B1488" s="1452" t="s">
        <v>1684</v>
      </c>
      <c r="C1488" s="879"/>
    </row>
    <row r="1489" spans="1:3" x14ac:dyDescent="0.25">
      <c r="A1489" s="879"/>
      <c r="B1489" s="1452" t="s">
        <v>1453</v>
      </c>
      <c r="C1489" s="879"/>
    </row>
    <row r="1490" spans="1:3" x14ac:dyDescent="0.25">
      <c r="A1490" s="879"/>
      <c r="B1490" s="1452" t="s">
        <v>1792</v>
      </c>
      <c r="C1490" s="879"/>
    </row>
    <row r="1491" spans="1:3" x14ac:dyDescent="0.25">
      <c r="A1491" s="879"/>
      <c r="B1491" s="1452" t="s">
        <v>1685</v>
      </c>
      <c r="C1491" s="879"/>
    </row>
    <row r="1492" spans="1:3" x14ac:dyDescent="0.25">
      <c r="A1492" s="879"/>
      <c r="B1492" s="1452" t="s">
        <v>1686</v>
      </c>
      <c r="C1492" s="879"/>
    </row>
    <row r="1493" spans="1:3" x14ac:dyDescent="0.25">
      <c r="A1493" s="879"/>
      <c r="B1493" s="1452" t="s">
        <v>1454</v>
      </c>
      <c r="C1493" s="879"/>
    </row>
    <row r="1494" spans="1:3" x14ac:dyDescent="0.25">
      <c r="A1494" s="879"/>
      <c r="B1494" s="1452" t="s">
        <v>1793</v>
      </c>
      <c r="C1494" s="879"/>
    </row>
    <row r="1495" spans="1:3" x14ac:dyDescent="0.25">
      <c r="A1495" s="879"/>
      <c r="B1495" s="1452" t="s">
        <v>1455</v>
      </c>
      <c r="C1495" s="879"/>
    </row>
    <row r="1496" spans="1:3" x14ac:dyDescent="0.25">
      <c r="A1496" s="879"/>
      <c r="B1496" s="1452" t="s">
        <v>1794</v>
      </c>
      <c r="C1496" s="879"/>
    </row>
    <row r="1497" spans="1:3" x14ac:dyDescent="0.25">
      <c r="A1497" s="879"/>
      <c r="B1497" s="1452" t="s">
        <v>1688</v>
      </c>
      <c r="C1497" s="879"/>
    </row>
    <row r="1498" spans="1:3" x14ac:dyDescent="0.25">
      <c r="A1498" s="879"/>
      <c r="B1498" s="1452" t="s">
        <v>1795</v>
      </c>
      <c r="C1498" s="879"/>
    </row>
    <row r="1499" spans="1:3" x14ac:dyDescent="0.25">
      <c r="A1499" s="879"/>
      <c r="B1499" s="1452" t="s">
        <v>1690</v>
      </c>
      <c r="C1499" s="879"/>
    </row>
    <row r="1500" spans="1:3" x14ac:dyDescent="0.25">
      <c r="A1500" s="879"/>
      <c r="B1500" s="1452" t="s">
        <v>1367</v>
      </c>
      <c r="C1500" s="879"/>
    </row>
    <row r="1501" spans="1:3" x14ac:dyDescent="0.25">
      <c r="A1501" s="879"/>
      <c r="B1501" s="1452" t="s">
        <v>1691</v>
      </c>
      <c r="C1501" s="879"/>
    </row>
    <row r="1502" spans="1:3" x14ac:dyDescent="0.25">
      <c r="A1502" s="879"/>
      <c r="B1502" s="1452" t="s">
        <v>1692</v>
      </c>
      <c r="C1502" s="879"/>
    </row>
    <row r="1503" spans="1:3" x14ac:dyDescent="0.25">
      <c r="A1503" s="879"/>
      <c r="B1503" s="1452" t="s">
        <v>1693</v>
      </c>
      <c r="C1503" s="879"/>
    </row>
    <row r="1504" spans="1:3" x14ac:dyDescent="0.25">
      <c r="A1504" s="879"/>
      <c r="B1504" s="1452" t="s">
        <v>1694</v>
      </c>
      <c r="C1504" s="879"/>
    </row>
    <row r="1505" spans="1:3" x14ac:dyDescent="0.25">
      <c r="A1505" s="879"/>
      <c r="B1505" s="1452" t="s">
        <v>1695</v>
      </c>
      <c r="C1505" s="879"/>
    </row>
    <row r="1506" spans="1:3" x14ac:dyDescent="0.25">
      <c r="A1506" s="879"/>
      <c r="B1506" s="1452" t="s">
        <v>1696</v>
      </c>
      <c r="C1506" s="879"/>
    </row>
    <row r="1507" spans="1:3" x14ac:dyDescent="0.25">
      <c r="A1507" s="879"/>
      <c r="B1507" s="1452" t="s">
        <v>1697</v>
      </c>
      <c r="C1507" s="879"/>
    </row>
    <row r="1508" spans="1:3" x14ac:dyDescent="0.25">
      <c r="A1508" s="879"/>
      <c r="B1508" s="1452" t="s">
        <v>1698</v>
      </c>
      <c r="C1508" s="879"/>
    </row>
    <row r="1509" spans="1:3" x14ac:dyDescent="0.25">
      <c r="A1509" s="879"/>
      <c r="B1509" s="1452" t="s">
        <v>1699</v>
      </c>
      <c r="C1509" s="879"/>
    </row>
    <row r="1510" spans="1:3" x14ac:dyDescent="0.25">
      <c r="A1510" s="879"/>
      <c r="B1510" s="1452" t="s">
        <v>1700</v>
      </c>
      <c r="C1510" s="879"/>
    </row>
    <row r="1511" spans="1:3" x14ac:dyDescent="0.25">
      <c r="A1511" s="879"/>
      <c r="B1511" s="1452" t="s">
        <v>1701</v>
      </c>
      <c r="C1511" s="879"/>
    </row>
    <row r="1512" spans="1:3" x14ac:dyDescent="0.25">
      <c r="A1512" s="879"/>
      <c r="B1512" s="1452" t="s">
        <v>1702</v>
      </c>
      <c r="C1512" s="879"/>
    </row>
    <row r="1513" spans="1:3" x14ac:dyDescent="0.25">
      <c r="A1513" s="879"/>
      <c r="B1513" s="1452" t="s">
        <v>1703</v>
      </c>
      <c r="C1513" s="879"/>
    </row>
    <row r="1514" spans="1:3" x14ac:dyDescent="0.25">
      <c r="A1514" s="879"/>
      <c r="B1514" s="1452" t="s">
        <v>1704</v>
      </c>
      <c r="C1514" s="879"/>
    </row>
    <row r="1515" spans="1:3" x14ac:dyDescent="0.25">
      <c r="A1515" s="879"/>
      <c r="B1515" s="1452" t="s">
        <v>1705</v>
      </c>
      <c r="C1515" s="879"/>
    </row>
    <row r="1516" spans="1:3" x14ac:dyDescent="0.25">
      <c r="A1516" s="879"/>
      <c r="B1516" s="1452"/>
      <c r="C1516" s="879"/>
    </row>
    <row r="1517" spans="1:3" x14ac:dyDescent="0.25">
      <c r="A1517" s="879"/>
      <c r="B1517" s="1452"/>
      <c r="C1517" s="879"/>
    </row>
    <row r="1518" spans="1:3" x14ac:dyDescent="0.25">
      <c r="A1518" s="879"/>
      <c r="B1518" s="1452" t="s">
        <v>1368</v>
      </c>
      <c r="C1518" s="879"/>
    </row>
    <row r="1519" spans="1:3" x14ac:dyDescent="0.25">
      <c r="A1519" s="879"/>
      <c r="B1519" s="1452" t="s">
        <v>2161</v>
      </c>
      <c r="C1519" s="879"/>
    </row>
    <row r="1520" spans="1:3" x14ac:dyDescent="0.25">
      <c r="A1520" s="879"/>
      <c r="B1520" s="1452" t="s">
        <v>1368</v>
      </c>
      <c r="C1520" s="879"/>
    </row>
    <row r="1521" spans="1:3" x14ac:dyDescent="0.25">
      <c r="A1521" s="879"/>
      <c r="B1521" s="1452" t="s">
        <v>2162</v>
      </c>
      <c r="C1521" s="879"/>
    </row>
    <row r="1522" spans="1:3" x14ac:dyDescent="0.25">
      <c r="A1522" s="879"/>
      <c r="B1522" s="1452" t="s">
        <v>1367</v>
      </c>
      <c r="C1522" s="879"/>
    </row>
    <row r="1523" spans="1:3" x14ac:dyDescent="0.25">
      <c r="A1523" s="879"/>
      <c r="B1523" s="1452" t="s">
        <v>1369</v>
      </c>
      <c r="C1523" s="879"/>
    </row>
    <row r="1524" spans="1:3" x14ac:dyDescent="0.25">
      <c r="A1524" s="879"/>
      <c r="B1524" s="1452" t="s">
        <v>1370</v>
      </c>
      <c r="C1524" s="879"/>
    </row>
    <row r="1525" spans="1:3" x14ac:dyDescent="0.25">
      <c r="A1525" s="879"/>
      <c r="B1525" s="1452" t="s">
        <v>1367</v>
      </c>
      <c r="C1525" s="879"/>
    </row>
    <row r="1526" spans="1:3" x14ac:dyDescent="0.25">
      <c r="A1526" s="879"/>
      <c r="B1526" s="1452" t="s">
        <v>1460</v>
      </c>
      <c r="C1526" s="879"/>
    </row>
    <row r="1527" spans="1:3" x14ac:dyDescent="0.25">
      <c r="A1527" s="879"/>
      <c r="B1527" s="1452" t="s">
        <v>1461</v>
      </c>
      <c r="C1527" s="879"/>
    </row>
    <row r="1528" spans="1:3" x14ac:dyDescent="0.25">
      <c r="A1528" s="879"/>
      <c r="B1528" s="1452" t="s">
        <v>2163</v>
      </c>
      <c r="C1528" s="879"/>
    </row>
    <row r="1529" spans="1:3" x14ac:dyDescent="0.25">
      <c r="A1529" s="879"/>
      <c r="B1529" s="1452" t="s">
        <v>2164</v>
      </c>
      <c r="C1529" s="879"/>
    </row>
    <row r="1530" spans="1:3" x14ac:dyDescent="0.25">
      <c r="A1530" s="879"/>
      <c r="B1530" s="1452" t="s">
        <v>2165</v>
      </c>
      <c r="C1530" s="879"/>
    </row>
    <row r="1531" spans="1:3" x14ac:dyDescent="0.25">
      <c r="A1531" s="879"/>
      <c r="B1531" s="1452" t="s">
        <v>2166</v>
      </c>
      <c r="C1531" s="879"/>
    </row>
    <row r="1532" spans="1:3" x14ac:dyDescent="0.25">
      <c r="A1532" s="879"/>
      <c r="B1532" s="1452" t="s">
        <v>2167</v>
      </c>
      <c r="C1532" s="879"/>
    </row>
    <row r="1533" spans="1:3" x14ac:dyDescent="0.25">
      <c r="A1533" s="879"/>
      <c r="B1533" s="1452" t="s">
        <v>2168</v>
      </c>
      <c r="C1533" s="879"/>
    </row>
    <row r="1534" spans="1:3" x14ac:dyDescent="0.25">
      <c r="A1534" s="879"/>
      <c r="B1534" s="1452" t="s">
        <v>2169</v>
      </c>
      <c r="C1534" s="879"/>
    </row>
    <row r="1535" spans="1:3" x14ac:dyDescent="0.25">
      <c r="A1535" s="879"/>
      <c r="B1535" s="1452" t="s">
        <v>2170</v>
      </c>
      <c r="C1535" s="879"/>
    </row>
    <row r="1536" spans="1:3" x14ac:dyDescent="0.25">
      <c r="A1536" s="879"/>
      <c r="B1536" s="1452" t="s">
        <v>1462</v>
      </c>
      <c r="C1536" s="879"/>
    </row>
    <row r="1537" spans="1:3" x14ac:dyDescent="0.25">
      <c r="A1537" s="879"/>
      <c r="B1537" s="1452" t="s">
        <v>1382</v>
      </c>
      <c r="C1537" s="879"/>
    </row>
    <row r="1538" spans="1:3" x14ac:dyDescent="0.25">
      <c r="A1538" s="879"/>
      <c r="B1538" s="1452" t="s">
        <v>1367</v>
      </c>
      <c r="C1538" s="879"/>
    </row>
    <row r="1539" spans="1:3" x14ac:dyDescent="0.25">
      <c r="A1539" s="879"/>
      <c r="B1539" s="1452" t="s">
        <v>1460</v>
      </c>
      <c r="C1539" s="879"/>
    </row>
    <row r="1540" spans="1:3" x14ac:dyDescent="0.25">
      <c r="A1540" s="879"/>
      <c r="B1540" s="1452" t="s">
        <v>1463</v>
      </c>
      <c r="C1540" s="879"/>
    </row>
    <row r="1541" spans="1:3" x14ac:dyDescent="0.25">
      <c r="A1541" s="879"/>
      <c r="B1541" s="1452" t="s">
        <v>2171</v>
      </c>
      <c r="C1541" s="879"/>
    </row>
    <row r="1542" spans="1:3" x14ac:dyDescent="0.25">
      <c r="A1542" s="879"/>
      <c r="B1542" s="1452" t="s">
        <v>2172</v>
      </c>
      <c r="C1542" s="879"/>
    </row>
    <row r="1543" spans="1:3" x14ac:dyDescent="0.25">
      <c r="A1543" s="879"/>
      <c r="B1543" s="1452" t="s">
        <v>2173</v>
      </c>
      <c r="C1543" s="879"/>
    </row>
    <row r="1544" spans="1:3" x14ac:dyDescent="0.25">
      <c r="A1544" s="879"/>
      <c r="B1544" s="1452" t="s">
        <v>2174</v>
      </c>
      <c r="C1544" s="879"/>
    </row>
    <row r="1545" spans="1:3" x14ac:dyDescent="0.25">
      <c r="A1545" s="879"/>
      <c r="B1545" s="1452" t="s">
        <v>2175</v>
      </c>
      <c r="C1545" s="879"/>
    </row>
    <row r="1546" spans="1:3" x14ac:dyDescent="0.25">
      <c r="A1546" s="879"/>
      <c r="B1546" s="1452" t="s">
        <v>2176</v>
      </c>
      <c r="C1546" s="879"/>
    </row>
    <row r="1547" spans="1:3" x14ac:dyDescent="0.25">
      <c r="A1547" s="879"/>
      <c r="B1547" s="1452" t="s">
        <v>1663</v>
      </c>
      <c r="C1547" s="879"/>
    </row>
    <row r="1548" spans="1:3" x14ac:dyDescent="0.25">
      <c r="A1548" s="879"/>
      <c r="B1548" s="1452" t="s">
        <v>1464</v>
      </c>
      <c r="C1548" s="879"/>
    </row>
    <row r="1549" spans="1:3" x14ac:dyDescent="0.25">
      <c r="A1549" s="879"/>
      <c r="B1549" s="1452" t="s">
        <v>1465</v>
      </c>
      <c r="C1549" s="879"/>
    </row>
    <row r="1550" spans="1:3" x14ac:dyDescent="0.25">
      <c r="A1550" s="879"/>
      <c r="B1550" s="1452" t="s">
        <v>1466</v>
      </c>
      <c r="C1550" s="879"/>
    </row>
    <row r="1551" spans="1:3" x14ac:dyDescent="0.25">
      <c r="A1551" s="879"/>
      <c r="B1551" s="1452" t="s">
        <v>1467</v>
      </c>
      <c r="C1551" s="879"/>
    </row>
    <row r="1552" spans="1:3" x14ac:dyDescent="0.25">
      <c r="A1552" s="879"/>
      <c r="B1552" s="1452" t="s">
        <v>1468</v>
      </c>
      <c r="C1552" s="879"/>
    </row>
    <row r="1553" spans="1:3" x14ac:dyDescent="0.25">
      <c r="A1553" s="879"/>
      <c r="B1553" s="1452" t="s">
        <v>1469</v>
      </c>
      <c r="C1553" s="879"/>
    </row>
    <row r="1554" spans="1:3" x14ac:dyDescent="0.25">
      <c r="A1554" s="879"/>
      <c r="B1554" s="1452" t="s">
        <v>2177</v>
      </c>
      <c r="C1554" s="879"/>
    </row>
    <row r="1555" spans="1:3" x14ac:dyDescent="0.25">
      <c r="A1555" s="879"/>
      <c r="B1555" s="1452" t="s">
        <v>1470</v>
      </c>
      <c r="C1555" s="879"/>
    </row>
    <row r="1556" spans="1:3" x14ac:dyDescent="0.25">
      <c r="A1556" s="879"/>
      <c r="B1556" s="1452" t="s">
        <v>2178</v>
      </c>
      <c r="C1556" s="879"/>
    </row>
    <row r="1557" spans="1:3" x14ac:dyDescent="0.25">
      <c r="A1557" s="879"/>
      <c r="B1557" s="1452" t="s">
        <v>2179</v>
      </c>
      <c r="C1557" s="879"/>
    </row>
    <row r="1558" spans="1:3" x14ac:dyDescent="0.25">
      <c r="A1558" s="879"/>
      <c r="B1558" s="1452" t="s">
        <v>1667</v>
      </c>
      <c r="C1558" s="879"/>
    </row>
    <row r="1559" spans="1:3" x14ac:dyDescent="0.25">
      <c r="A1559" s="879"/>
      <c r="B1559" s="1452" t="s">
        <v>1471</v>
      </c>
      <c r="C1559" s="879"/>
    </row>
    <row r="1560" spans="1:3" x14ac:dyDescent="0.25">
      <c r="A1560" s="879"/>
      <c r="B1560" s="1452" t="s">
        <v>1472</v>
      </c>
      <c r="C1560" s="879"/>
    </row>
    <row r="1561" spans="1:3" x14ac:dyDescent="0.25">
      <c r="A1561" s="879"/>
      <c r="B1561" s="1452" t="s">
        <v>1668</v>
      </c>
      <c r="C1561" s="879"/>
    </row>
    <row r="1562" spans="1:3" x14ac:dyDescent="0.25">
      <c r="A1562" s="879"/>
      <c r="B1562" s="1452" t="s">
        <v>1473</v>
      </c>
      <c r="C1562" s="879"/>
    </row>
    <row r="1563" spans="1:3" x14ac:dyDescent="0.25">
      <c r="A1563" s="879"/>
      <c r="B1563" s="1452" t="s">
        <v>2180</v>
      </c>
      <c r="C1563" s="879"/>
    </row>
    <row r="1564" spans="1:3" x14ac:dyDescent="0.25">
      <c r="A1564" s="879"/>
      <c r="B1564" s="1452" t="s">
        <v>2114</v>
      </c>
      <c r="C1564" s="879"/>
    </row>
    <row r="1565" spans="1:3" x14ac:dyDescent="0.25">
      <c r="A1565" s="879"/>
      <c r="B1565" s="1452" t="s">
        <v>2181</v>
      </c>
      <c r="C1565" s="879"/>
    </row>
    <row r="1566" spans="1:3" x14ac:dyDescent="0.25">
      <c r="A1566" s="879"/>
      <c r="B1566" s="1452" t="s">
        <v>2182</v>
      </c>
      <c r="C1566" s="879"/>
    </row>
    <row r="1567" spans="1:3" x14ac:dyDescent="0.25">
      <c r="A1567" s="879"/>
      <c r="B1567" s="1452" t="s">
        <v>1476</v>
      </c>
      <c r="C1567" s="879"/>
    </row>
    <row r="1568" spans="1:3" x14ac:dyDescent="0.25">
      <c r="A1568" s="879"/>
      <c r="B1568" s="1452" t="s">
        <v>1477</v>
      </c>
      <c r="C1568" s="879"/>
    </row>
    <row r="1569" spans="1:3" x14ac:dyDescent="0.25">
      <c r="A1569" s="879"/>
      <c r="B1569" s="1452" t="s">
        <v>1478</v>
      </c>
      <c r="C1569" s="879"/>
    </row>
    <row r="1570" spans="1:3" x14ac:dyDescent="0.25">
      <c r="A1570" s="879"/>
      <c r="B1570" s="1452" t="s">
        <v>2183</v>
      </c>
      <c r="C1570" s="879"/>
    </row>
    <row r="1571" spans="1:3" x14ac:dyDescent="0.25">
      <c r="A1571" s="879"/>
      <c r="B1571" s="1452" t="s">
        <v>2184</v>
      </c>
      <c r="C1571" s="879"/>
    </row>
    <row r="1572" spans="1:3" x14ac:dyDescent="0.25">
      <c r="A1572" s="879"/>
      <c r="B1572" s="1452" t="s">
        <v>1479</v>
      </c>
      <c r="C1572" s="879"/>
    </row>
    <row r="1573" spans="1:3" x14ac:dyDescent="0.25">
      <c r="A1573" s="879"/>
      <c r="B1573" s="1452" t="s">
        <v>1480</v>
      </c>
      <c r="C1573" s="879"/>
    </row>
    <row r="1574" spans="1:3" x14ac:dyDescent="0.25">
      <c r="A1574" s="879"/>
      <c r="B1574" s="1452" t="s">
        <v>2185</v>
      </c>
      <c r="C1574" s="879"/>
    </row>
    <row r="1575" spans="1:3" x14ac:dyDescent="0.25">
      <c r="A1575" s="879"/>
      <c r="B1575" s="1452" t="s">
        <v>2186</v>
      </c>
      <c r="C1575" s="879"/>
    </row>
    <row r="1576" spans="1:3" x14ac:dyDescent="0.25">
      <c r="A1576" s="879"/>
      <c r="B1576" s="1452" t="s">
        <v>2187</v>
      </c>
      <c r="C1576" s="879"/>
    </row>
    <row r="1577" spans="1:3" x14ac:dyDescent="0.25">
      <c r="A1577" s="879"/>
      <c r="B1577" s="1452" t="s">
        <v>2188</v>
      </c>
      <c r="C1577" s="879"/>
    </row>
    <row r="1578" spans="1:3" x14ac:dyDescent="0.25">
      <c r="A1578" s="879"/>
      <c r="B1578" s="1452" t="s">
        <v>2189</v>
      </c>
      <c r="C1578" s="879"/>
    </row>
    <row r="1579" spans="1:3" x14ac:dyDescent="0.25">
      <c r="A1579" s="879"/>
      <c r="B1579" s="1452" t="s">
        <v>2190</v>
      </c>
      <c r="C1579" s="879"/>
    </row>
    <row r="1580" spans="1:3" x14ac:dyDescent="0.25">
      <c r="A1580" s="879"/>
      <c r="B1580" s="1452" t="s">
        <v>2191</v>
      </c>
      <c r="C1580" s="879"/>
    </row>
    <row r="1581" spans="1:3" x14ac:dyDescent="0.25">
      <c r="A1581" s="879"/>
      <c r="B1581" s="1452" t="s">
        <v>2192</v>
      </c>
      <c r="C1581" s="879"/>
    </row>
    <row r="1582" spans="1:3" x14ac:dyDescent="0.25">
      <c r="A1582" s="879"/>
      <c r="B1582" s="1452" t="s">
        <v>1680</v>
      </c>
      <c r="C1582" s="879"/>
    </row>
    <row r="1583" spans="1:3" x14ac:dyDescent="0.25">
      <c r="A1583" s="879"/>
      <c r="B1583" s="1452" t="s">
        <v>1481</v>
      </c>
      <c r="C1583" s="879"/>
    </row>
    <row r="1584" spans="1:3" x14ac:dyDescent="0.25">
      <c r="A1584" s="879"/>
      <c r="B1584" s="1452" t="s">
        <v>1482</v>
      </c>
      <c r="C1584" s="879"/>
    </row>
    <row r="1585" spans="1:3" x14ac:dyDescent="0.25">
      <c r="A1585" s="879"/>
      <c r="B1585" s="1452" t="s">
        <v>1483</v>
      </c>
      <c r="C1585" s="879"/>
    </row>
    <row r="1586" spans="1:3" x14ac:dyDescent="0.25">
      <c r="A1586" s="879"/>
      <c r="B1586" s="1452" t="s">
        <v>1484</v>
      </c>
      <c r="C1586" s="879"/>
    </row>
    <row r="1587" spans="1:3" x14ac:dyDescent="0.25">
      <c r="A1587" s="879"/>
      <c r="B1587" s="1452" t="s">
        <v>1430</v>
      </c>
      <c r="C1587" s="879"/>
    </row>
    <row r="1588" spans="1:3" x14ac:dyDescent="0.25">
      <c r="A1588" s="879"/>
      <c r="B1588" s="1452" t="s">
        <v>1367</v>
      </c>
      <c r="C1588" s="879"/>
    </row>
    <row r="1589" spans="1:3" x14ac:dyDescent="0.25">
      <c r="A1589" s="879"/>
      <c r="B1589" s="1452" t="s">
        <v>1449</v>
      </c>
      <c r="C1589" s="879"/>
    </row>
    <row r="1590" spans="1:3" x14ac:dyDescent="0.25">
      <c r="A1590" s="879"/>
      <c r="B1590" s="1452" t="s">
        <v>1367</v>
      </c>
      <c r="C1590" s="879"/>
    </row>
    <row r="1591" spans="1:3" x14ac:dyDescent="0.25">
      <c r="A1591" s="879"/>
      <c r="B1591" s="1452" t="s">
        <v>1450</v>
      </c>
      <c r="C1591" s="879"/>
    </row>
    <row r="1592" spans="1:3" x14ac:dyDescent="0.25">
      <c r="A1592" s="879"/>
      <c r="B1592" s="1452" t="s">
        <v>1451</v>
      </c>
      <c r="C1592" s="879"/>
    </row>
    <row r="1593" spans="1:3" x14ac:dyDescent="0.25">
      <c r="A1593" s="879"/>
      <c r="B1593" s="1452" t="s">
        <v>1452</v>
      </c>
      <c r="C1593" s="879"/>
    </row>
    <row r="1594" spans="1:3" x14ac:dyDescent="0.25">
      <c r="A1594" s="879"/>
      <c r="B1594" s="1452" t="s">
        <v>1681</v>
      </c>
      <c r="C1594" s="879"/>
    </row>
    <row r="1595" spans="1:3" x14ac:dyDescent="0.25">
      <c r="A1595" s="879"/>
      <c r="B1595" s="1452" t="s">
        <v>1682</v>
      </c>
      <c r="C1595" s="879"/>
    </row>
    <row r="1596" spans="1:3" x14ac:dyDescent="0.25">
      <c r="A1596" s="879"/>
      <c r="B1596" s="1452" t="s">
        <v>2193</v>
      </c>
      <c r="C1596" s="879"/>
    </row>
    <row r="1597" spans="1:3" x14ac:dyDescent="0.25">
      <c r="A1597" s="879"/>
      <c r="B1597" s="1452" t="s">
        <v>1684</v>
      </c>
      <c r="C1597" s="879"/>
    </row>
    <row r="1598" spans="1:3" x14ac:dyDescent="0.25">
      <c r="A1598" s="879"/>
      <c r="B1598" s="1452" t="s">
        <v>1453</v>
      </c>
      <c r="C1598" s="879"/>
    </row>
    <row r="1599" spans="1:3" x14ac:dyDescent="0.25">
      <c r="A1599" s="879"/>
      <c r="B1599" s="1452" t="s">
        <v>1485</v>
      </c>
      <c r="C1599" s="879"/>
    </row>
    <row r="1600" spans="1:3" x14ac:dyDescent="0.25">
      <c r="A1600" s="879"/>
      <c r="B1600" s="1452" t="s">
        <v>1685</v>
      </c>
      <c r="C1600" s="879"/>
    </row>
    <row r="1601" spans="1:3" x14ac:dyDescent="0.25">
      <c r="A1601" s="879"/>
      <c r="B1601" s="1452" t="s">
        <v>1686</v>
      </c>
      <c r="C1601" s="879"/>
    </row>
    <row r="1602" spans="1:3" x14ac:dyDescent="0.25">
      <c r="A1602" s="879"/>
      <c r="B1602" s="1452" t="s">
        <v>1454</v>
      </c>
      <c r="C1602" s="879"/>
    </row>
    <row r="1603" spans="1:3" x14ac:dyDescent="0.25">
      <c r="A1603" s="879"/>
      <c r="B1603" s="1452" t="s">
        <v>1486</v>
      </c>
      <c r="C1603" s="879"/>
    </row>
    <row r="1604" spans="1:3" x14ac:dyDescent="0.25">
      <c r="A1604" s="879"/>
      <c r="B1604" s="1452" t="s">
        <v>1455</v>
      </c>
      <c r="C1604" s="879"/>
    </row>
    <row r="1605" spans="1:3" x14ac:dyDescent="0.25">
      <c r="A1605" s="879"/>
      <c r="B1605" s="1452" t="s">
        <v>2194</v>
      </c>
      <c r="C1605" s="879"/>
    </row>
    <row r="1606" spans="1:3" x14ac:dyDescent="0.25">
      <c r="A1606" s="879"/>
      <c r="B1606" s="1452" t="s">
        <v>1688</v>
      </c>
      <c r="C1606" s="879"/>
    </row>
    <row r="1607" spans="1:3" x14ac:dyDescent="0.25">
      <c r="A1607" s="879"/>
      <c r="B1607" s="1452" t="s">
        <v>2195</v>
      </c>
      <c r="C1607" s="879"/>
    </row>
    <row r="1608" spans="1:3" x14ac:dyDescent="0.25">
      <c r="A1608" s="879"/>
      <c r="B1608" s="1452" t="s">
        <v>1456</v>
      </c>
      <c r="C1608" s="879"/>
    </row>
    <row r="1609" spans="1:3" x14ac:dyDescent="0.25">
      <c r="A1609" s="879"/>
      <c r="B1609" s="1452" t="s">
        <v>1367</v>
      </c>
      <c r="C1609" s="879"/>
    </row>
    <row r="1610" spans="1:3" x14ac:dyDescent="0.25">
      <c r="A1610" s="879"/>
      <c r="B1610" s="1452" t="s">
        <v>1450</v>
      </c>
      <c r="C1610" s="879"/>
    </row>
    <row r="1611" spans="1:3" x14ac:dyDescent="0.25">
      <c r="A1611" s="879"/>
      <c r="B1611" s="1452" t="s">
        <v>1451</v>
      </c>
      <c r="C1611" s="879"/>
    </row>
    <row r="1612" spans="1:3" x14ac:dyDescent="0.25">
      <c r="A1612" s="879"/>
      <c r="B1612" s="1452" t="s">
        <v>1452</v>
      </c>
      <c r="C1612" s="879"/>
    </row>
    <row r="1613" spans="1:3" x14ac:dyDescent="0.25">
      <c r="A1613" s="879"/>
      <c r="B1613" s="1452" t="s">
        <v>1681</v>
      </c>
      <c r="C1613" s="879"/>
    </row>
    <row r="1614" spans="1:3" x14ac:dyDescent="0.25">
      <c r="A1614" s="879"/>
      <c r="B1614" s="1452" t="s">
        <v>1682</v>
      </c>
      <c r="C1614" s="879"/>
    </row>
    <row r="1615" spans="1:3" x14ac:dyDescent="0.25">
      <c r="A1615" s="879"/>
      <c r="B1615" s="1452" t="s">
        <v>2193</v>
      </c>
      <c r="C1615" s="879"/>
    </row>
    <row r="1616" spans="1:3" x14ac:dyDescent="0.25">
      <c r="A1616" s="879"/>
      <c r="B1616" s="1452" t="s">
        <v>1684</v>
      </c>
      <c r="C1616" s="879"/>
    </row>
    <row r="1617" spans="1:3" x14ac:dyDescent="0.25">
      <c r="A1617" s="879"/>
      <c r="B1617" s="1452" t="s">
        <v>1453</v>
      </c>
      <c r="C1617" s="879"/>
    </row>
    <row r="1618" spans="1:3" x14ac:dyDescent="0.25">
      <c r="A1618" s="879"/>
      <c r="B1618" s="1452" t="s">
        <v>1485</v>
      </c>
      <c r="C1618" s="879"/>
    </row>
    <row r="1619" spans="1:3" x14ac:dyDescent="0.25">
      <c r="A1619" s="879"/>
      <c r="B1619" s="1452" t="s">
        <v>1685</v>
      </c>
      <c r="C1619" s="879"/>
    </row>
    <row r="1620" spans="1:3" x14ac:dyDescent="0.25">
      <c r="A1620" s="879"/>
      <c r="B1620" s="1452" t="s">
        <v>1686</v>
      </c>
      <c r="C1620" s="879"/>
    </row>
    <row r="1621" spans="1:3" x14ac:dyDescent="0.25">
      <c r="A1621" s="879"/>
      <c r="B1621" s="1452" t="s">
        <v>1454</v>
      </c>
      <c r="C1621" s="879"/>
    </row>
    <row r="1622" spans="1:3" x14ac:dyDescent="0.25">
      <c r="A1622" s="879"/>
      <c r="B1622" s="1452" t="s">
        <v>1486</v>
      </c>
      <c r="C1622" s="879"/>
    </row>
    <row r="1623" spans="1:3" x14ac:dyDescent="0.25">
      <c r="A1623" s="879"/>
      <c r="B1623" s="1452" t="s">
        <v>1455</v>
      </c>
      <c r="C1623" s="879"/>
    </row>
    <row r="1624" spans="1:3" x14ac:dyDescent="0.25">
      <c r="A1624" s="879"/>
      <c r="B1624" s="1452" t="s">
        <v>2194</v>
      </c>
      <c r="C1624" s="879"/>
    </row>
    <row r="1625" spans="1:3" x14ac:dyDescent="0.25">
      <c r="A1625" s="879"/>
      <c r="B1625" s="1452" t="s">
        <v>1688</v>
      </c>
      <c r="C1625" s="879"/>
    </row>
    <row r="1626" spans="1:3" x14ac:dyDescent="0.25">
      <c r="A1626" s="879"/>
      <c r="B1626" s="1452" t="s">
        <v>2195</v>
      </c>
      <c r="C1626" s="879"/>
    </row>
    <row r="1627" spans="1:3" x14ac:dyDescent="0.25">
      <c r="A1627" s="879"/>
      <c r="B1627" s="1452" t="s">
        <v>1690</v>
      </c>
      <c r="C1627" s="879"/>
    </row>
    <row r="1628" spans="1:3" x14ac:dyDescent="0.25">
      <c r="A1628" s="879"/>
      <c r="B1628" s="1452" t="s">
        <v>1367</v>
      </c>
      <c r="C1628" s="879"/>
    </row>
    <row r="1629" spans="1:3" x14ac:dyDescent="0.25">
      <c r="A1629" s="879"/>
      <c r="B1629" s="1452" t="s">
        <v>1691</v>
      </c>
      <c r="C1629" s="879"/>
    </row>
    <row r="1630" spans="1:3" x14ac:dyDescent="0.25">
      <c r="A1630" s="879"/>
      <c r="B1630" s="1452" t="s">
        <v>1692</v>
      </c>
      <c r="C1630" s="879"/>
    </row>
    <row r="1631" spans="1:3" x14ac:dyDescent="0.25">
      <c r="A1631" s="879"/>
      <c r="B1631" s="1452" t="s">
        <v>1693</v>
      </c>
      <c r="C1631" s="879"/>
    </row>
    <row r="1632" spans="1:3" x14ac:dyDescent="0.25">
      <c r="A1632" s="879"/>
      <c r="B1632" s="1452" t="s">
        <v>1694</v>
      </c>
      <c r="C1632" s="879"/>
    </row>
    <row r="1633" spans="1:3" x14ac:dyDescent="0.25">
      <c r="A1633" s="879"/>
      <c r="B1633" s="1452" t="s">
        <v>1695</v>
      </c>
      <c r="C1633" s="879"/>
    </row>
    <row r="1634" spans="1:3" x14ac:dyDescent="0.25">
      <c r="A1634" s="879"/>
      <c r="B1634" s="1452" t="s">
        <v>1696</v>
      </c>
      <c r="C1634" s="879"/>
    </row>
    <row r="1635" spans="1:3" x14ac:dyDescent="0.25">
      <c r="A1635" s="879"/>
      <c r="B1635" s="1452" t="s">
        <v>1697</v>
      </c>
      <c r="C1635" s="879"/>
    </row>
    <row r="1636" spans="1:3" x14ac:dyDescent="0.25">
      <c r="A1636" s="879"/>
      <c r="B1636" s="1452" t="s">
        <v>1698</v>
      </c>
      <c r="C1636" s="879"/>
    </row>
    <row r="1637" spans="1:3" x14ac:dyDescent="0.25">
      <c r="A1637" s="879"/>
      <c r="B1637" s="1452" t="s">
        <v>1699</v>
      </c>
      <c r="C1637" s="879"/>
    </row>
    <row r="1638" spans="1:3" x14ac:dyDescent="0.25">
      <c r="A1638" s="879"/>
      <c r="B1638" s="1452" t="s">
        <v>1700</v>
      </c>
      <c r="C1638" s="879"/>
    </row>
    <row r="1639" spans="1:3" x14ac:dyDescent="0.25">
      <c r="A1639" s="879"/>
      <c r="B1639" s="1452" t="s">
        <v>1701</v>
      </c>
      <c r="C1639" s="879"/>
    </row>
    <row r="1640" spans="1:3" x14ac:dyDescent="0.25">
      <c r="A1640" s="879"/>
      <c r="B1640" s="1452" t="s">
        <v>1702</v>
      </c>
      <c r="C1640" s="879"/>
    </row>
    <row r="1641" spans="1:3" x14ac:dyDescent="0.25">
      <c r="A1641" s="879"/>
      <c r="B1641" s="1452" t="s">
        <v>1703</v>
      </c>
      <c r="C1641" s="879"/>
    </row>
    <row r="1642" spans="1:3" x14ac:dyDescent="0.25">
      <c r="A1642" s="879"/>
      <c r="B1642" s="1452" t="s">
        <v>1704</v>
      </c>
      <c r="C1642" s="879"/>
    </row>
    <row r="1643" spans="1:3" x14ac:dyDescent="0.25">
      <c r="A1643" s="879"/>
      <c r="B1643" s="1452" t="s">
        <v>1705</v>
      </c>
      <c r="C1643" s="879"/>
    </row>
    <row r="1644" spans="1:3" x14ac:dyDescent="0.25">
      <c r="A1644" s="879"/>
      <c r="B1644" s="1452"/>
      <c r="C1644" s="879"/>
    </row>
    <row r="1645" spans="1:3" x14ac:dyDescent="0.25">
      <c r="A1645" s="879"/>
      <c r="B1645" s="1452"/>
      <c r="C1645" s="879"/>
    </row>
    <row r="1646" spans="1:3" x14ac:dyDescent="0.25">
      <c r="A1646" s="879"/>
      <c r="B1646" s="1452" t="s">
        <v>1368</v>
      </c>
      <c r="C1646" s="879"/>
    </row>
    <row r="1647" spans="1:3" x14ac:dyDescent="0.25">
      <c r="A1647" s="879"/>
      <c r="B1647" s="1452" t="s">
        <v>2196</v>
      </c>
      <c r="C1647" s="879"/>
    </row>
    <row r="1648" spans="1:3" x14ac:dyDescent="0.25">
      <c r="A1648" s="879"/>
      <c r="B1648" s="1452" t="s">
        <v>1368</v>
      </c>
      <c r="C1648" s="879"/>
    </row>
    <row r="1649" spans="1:3" x14ac:dyDescent="0.25">
      <c r="A1649" s="879"/>
      <c r="B1649" s="1452" t="s">
        <v>2197</v>
      </c>
      <c r="C1649" s="879"/>
    </row>
    <row r="1650" spans="1:3" x14ac:dyDescent="0.25">
      <c r="A1650" s="879"/>
      <c r="B1650" s="1452" t="s">
        <v>1367</v>
      </c>
      <c r="C1650" s="879"/>
    </row>
    <row r="1651" spans="1:3" x14ac:dyDescent="0.25">
      <c r="A1651" s="879"/>
      <c r="B1651" s="1452" t="s">
        <v>1369</v>
      </c>
      <c r="C1651" s="879"/>
    </row>
    <row r="1652" spans="1:3" x14ac:dyDescent="0.25">
      <c r="A1652" s="879"/>
      <c r="B1652" s="1452" t="s">
        <v>1370</v>
      </c>
      <c r="C1652" s="879"/>
    </row>
    <row r="1653" spans="1:3" x14ac:dyDescent="0.25">
      <c r="A1653" s="879"/>
      <c r="B1653" s="1452" t="s">
        <v>1367</v>
      </c>
      <c r="C1653" s="879"/>
    </row>
    <row r="1654" spans="1:3" x14ac:dyDescent="0.25">
      <c r="A1654" s="879"/>
      <c r="B1654" s="1452" t="s">
        <v>1534</v>
      </c>
      <c r="C1654" s="879"/>
    </row>
    <row r="1655" spans="1:3" x14ac:dyDescent="0.25">
      <c r="A1655" s="879"/>
      <c r="B1655" s="1452" t="s">
        <v>1509</v>
      </c>
      <c r="C1655" s="879"/>
    </row>
    <row r="1656" spans="1:3" x14ac:dyDescent="0.25">
      <c r="A1656" s="879"/>
      <c r="B1656" s="1452" t="s">
        <v>1510</v>
      </c>
      <c r="C1656" s="879"/>
    </row>
    <row r="1657" spans="1:3" x14ac:dyDescent="0.25">
      <c r="A1657" s="879"/>
      <c r="B1657" s="1452" t="s">
        <v>1650</v>
      </c>
      <c r="C1657" s="879"/>
    </row>
    <row r="1658" spans="1:3" x14ac:dyDescent="0.25">
      <c r="A1658" s="879"/>
      <c r="B1658" s="1452" t="s">
        <v>1710</v>
      </c>
      <c r="C1658" s="879"/>
    </row>
    <row r="1659" spans="1:3" x14ac:dyDescent="0.25">
      <c r="A1659" s="879"/>
      <c r="B1659" s="1452" t="s">
        <v>1711</v>
      </c>
      <c r="C1659" s="879"/>
    </row>
    <row r="1660" spans="1:3" x14ac:dyDescent="0.25">
      <c r="A1660" s="879"/>
      <c r="B1660" s="1452" t="s">
        <v>1712</v>
      </c>
      <c r="C1660" s="879"/>
    </row>
    <row r="1661" spans="1:3" x14ac:dyDescent="0.25">
      <c r="A1661" s="879"/>
      <c r="B1661" s="1452" t="s">
        <v>1535</v>
      </c>
      <c r="C1661" s="879"/>
    </row>
    <row r="1662" spans="1:3" x14ac:dyDescent="0.25">
      <c r="A1662" s="879"/>
      <c r="B1662" s="1452" t="s">
        <v>1536</v>
      </c>
      <c r="C1662" s="879"/>
    </row>
    <row r="1663" spans="1:3" x14ac:dyDescent="0.25">
      <c r="A1663" s="879"/>
      <c r="B1663" s="1452" t="s">
        <v>2198</v>
      </c>
      <c r="C1663" s="879"/>
    </row>
    <row r="1664" spans="1:3" x14ac:dyDescent="0.25">
      <c r="A1664" s="879"/>
      <c r="B1664" s="1452" t="s">
        <v>1716</v>
      </c>
      <c r="C1664" s="879"/>
    </row>
    <row r="1665" spans="1:3" x14ac:dyDescent="0.25">
      <c r="A1665" s="879"/>
      <c r="B1665" s="1452" t="s">
        <v>1382</v>
      </c>
      <c r="C1665" s="879"/>
    </row>
    <row r="1666" spans="1:3" x14ac:dyDescent="0.25">
      <c r="A1666" s="879"/>
      <c r="B1666" s="1452" t="s">
        <v>1367</v>
      </c>
      <c r="C1666" s="879"/>
    </row>
    <row r="1667" spans="1:3" x14ac:dyDescent="0.25">
      <c r="A1667" s="879"/>
      <c r="B1667" s="1452" t="s">
        <v>1534</v>
      </c>
      <c r="C1667" s="879"/>
    </row>
    <row r="1668" spans="1:3" x14ac:dyDescent="0.25">
      <c r="A1668" s="879"/>
      <c r="B1668" s="1452" t="s">
        <v>1537</v>
      </c>
      <c r="C1668" s="879"/>
    </row>
    <row r="1669" spans="1:3" x14ac:dyDescent="0.25">
      <c r="A1669" s="879"/>
      <c r="B1669" s="1452" t="s">
        <v>1538</v>
      </c>
      <c r="C1669" s="879"/>
    </row>
    <row r="1670" spans="1:3" x14ac:dyDescent="0.25">
      <c r="A1670" s="879"/>
      <c r="B1670" s="1452" t="s">
        <v>1539</v>
      </c>
      <c r="C1670" s="879"/>
    </row>
    <row r="1671" spans="1:3" x14ac:dyDescent="0.25">
      <c r="A1671" s="879"/>
      <c r="B1671" s="1452" t="s">
        <v>2199</v>
      </c>
      <c r="C1671" s="879"/>
    </row>
    <row r="1672" spans="1:3" x14ac:dyDescent="0.25">
      <c r="A1672" s="879"/>
      <c r="B1672" s="1452" t="s">
        <v>1540</v>
      </c>
      <c r="C1672" s="879"/>
    </row>
    <row r="1673" spans="1:3" x14ac:dyDescent="0.25">
      <c r="A1673" s="879"/>
      <c r="B1673" s="1452" t="s">
        <v>1541</v>
      </c>
      <c r="C1673" s="879"/>
    </row>
    <row r="1674" spans="1:3" x14ac:dyDescent="0.25">
      <c r="A1674" s="879"/>
      <c r="B1674" s="1452" t="s">
        <v>1542</v>
      </c>
      <c r="C1674" s="879"/>
    </row>
    <row r="1675" spans="1:3" x14ac:dyDescent="0.25">
      <c r="A1675" s="879"/>
      <c r="B1675" s="1452" t="s">
        <v>1543</v>
      </c>
      <c r="C1675" s="879"/>
    </row>
    <row r="1676" spans="1:3" x14ac:dyDescent="0.25">
      <c r="A1676" s="879"/>
      <c r="B1676" s="1452" t="s">
        <v>1464</v>
      </c>
      <c r="C1676" s="879"/>
    </row>
    <row r="1677" spans="1:3" x14ac:dyDescent="0.25">
      <c r="A1677" s="879"/>
      <c r="B1677" s="1452" t="s">
        <v>1465</v>
      </c>
      <c r="C1677" s="879"/>
    </row>
    <row r="1678" spans="1:3" x14ac:dyDescent="0.25">
      <c r="A1678" s="879"/>
      <c r="B1678" s="1452" t="s">
        <v>1466</v>
      </c>
      <c r="C1678" s="879"/>
    </row>
    <row r="1679" spans="1:3" x14ac:dyDescent="0.25">
      <c r="A1679" s="879"/>
      <c r="B1679" s="1452" t="s">
        <v>1544</v>
      </c>
      <c r="C1679" s="879"/>
    </row>
    <row r="1680" spans="1:3" x14ac:dyDescent="0.25">
      <c r="A1680" s="879"/>
      <c r="B1680" s="1452" t="s">
        <v>1468</v>
      </c>
      <c r="C1680" s="879"/>
    </row>
    <row r="1681" spans="1:3" x14ac:dyDescent="0.25">
      <c r="A1681" s="879"/>
      <c r="B1681" s="1452" t="s">
        <v>1469</v>
      </c>
      <c r="C1681" s="879"/>
    </row>
    <row r="1682" spans="1:3" x14ac:dyDescent="0.25">
      <c r="A1682" s="879"/>
      <c r="B1682" s="1452" t="s">
        <v>1511</v>
      </c>
      <c r="C1682" s="879"/>
    </row>
    <row r="1683" spans="1:3" x14ac:dyDescent="0.25">
      <c r="A1683" s="879"/>
      <c r="B1683" s="1452" t="s">
        <v>1545</v>
      </c>
      <c r="C1683" s="879"/>
    </row>
    <row r="1684" spans="1:3" x14ac:dyDescent="0.25">
      <c r="A1684" s="879"/>
      <c r="B1684" s="1452" t="s">
        <v>1546</v>
      </c>
      <c r="C1684" s="879"/>
    </row>
    <row r="1685" spans="1:3" x14ac:dyDescent="0.25">
      <c r="A1685" s="879"/>
      <c r="B1685" s="1452" t="s">
        <v>1726</v>
      </c>
      <c r="C1685" s="879"/>
    </row>
    <row r="1686" spans="1:3" x14ac:dyDescent="0.25">
      <c r="A1686" s="879"/>
      <c r="B1686" s="1452" t="s">
        <v>1547</v>
      </c>
      <c r="C1686" s="879"/>
    </row>
    <row r="1687" spans="1:3" x14ac:dyDescent="0.25">
      <c r="A1687" s="879"/>
      <c r="B1687" s="1452" t="s">
        <v>2200</v>
      </c>
      <c r="C1687" s="879"/>
    </row>
    <row r="1688" spans="1:3" x14ac:dyDescent="0.25">
      <c r="A1688" s="879"/>
      <c r="B1688" s="1452" t="s">
        <v>2201</v>
      </c>
      <c r="C1688" s="879"/>
    </row>
    <row r="1689" spans="1:3" x14ac:dyDescent="0.25">
      <c r="A1689" s="879"/>
      <c r="B1689" s="1452" t="s">
        <v>1548</v>
      </c>
      <c r="C1689" s="879"/>
    </row>
    <row r="1690" spans="1:3" x14ac:dyDescent="0.25">
      <c r="A1690" s="879"/>
      <c r="B1690" s="1452" t="s">
        <v>1473</v>
      </c>
      <c r="C1690" s="879"/>
    </row>
    <row r="1691" spans="1:3" x14ac:dyDescent="0.25">
      <c r="A1691" s="879"/>
      <c r="B1691" s="1452" t="s">
        <v>1549</v>
      </c>
      <c r="C1691" s="879"/>
    </row>
    <row r="1692" spans="1:3" x14ac:dyDescent="0.25">
      <c r="A1692" s="879"/>
      <c r="B1692" s="1452" t="s">
        <v>1550</v>
      </c>
      <c r="C1692" s="879"/>
    </row>
    <row r="1693" spans="1:3" x14ac:dyDescent="0.25">
      <c r="A1693" s="879"/>
      <c r="B1693" s="1452" t="s">
        <v>1551</v>
      </c>
      <c r="C1693" s="879"/>
    </row>
    <row r="1694" spans="1:3" x14ac:dyDescent="0.25">
      <c r="A1694" s="879"/>
      <c r="B1694" s="1452" t="s">
        <v>1552</v>
      </c>
      <c r="C1694" s="879"/>
    </row>
    <row r="1695" spans="1:3" x14ac:dyDescent="0.25">
      <c r="A1695" s="879"/>
      <c r="B1695" s="1452" t="s">
        <v>1553</v>
      </c>
      <c r="C1695" s="879"/>
    </row>
    <row r="1696" spans="1:3" x14ac:dyDescent="0.25">
      <c r="A1696" s="879"/>
      <c r="B1696" s="1452" t="s">
        <v>1732</v>
      </c>
      <c r="C1696" s="879"/>
    </row>
    <row r="1697" spans="1:3" x14ac:dyDescent="0.25">
      <c r="A1697" s="879"/>
      <c r="B1697" s="1452" t="s">
        <v>1512</v>
      </c>
      <c r="C1697" s="879"/>
    </row>
    <row r="1698" spans="1:3" x14ac:dyDescent="0.25">
      <c r="A1698" s="879"/>
      <c r="B1698" s="1452" t="s">
        <v>1554</v>
      </c>
      <c r="C1698" s="879"/>
    </row>
    <row r="1699" spans="1:3" x14ac:dyDescent="0.25">
      <c r="A1699" s="879"/>
      <c r="B1699" s="1452" t="s">
        <v>2202</v>
      </c>
      <c r="C1699" s="879"/>
    </row>
    <row r="1700" spans="1:3" x14ac:dyDescent="0.25">
      <c r="A1700" s="879"/>
      <c r="B1700" s="1452" t="s">
        <v>1513</v>
      </c>
      <c r="C1700" s="879"/>
    </row>
    <row r="1701" spans="1:3" x14ac:dyDescent="0.25">
      <c r="A1701" s="879"/>
      <c r="B1701" s="1452" t="s">
        <v>1555</v>
      </c>
      <c r="C1701" s="879"/>
    </row>
    <row r="1702" spans="1:3" x14ac:dyDescent="0.25">
      <c r="A1702" s="879"/>
      <c r="B1702" s="1452" t="s">
        <v>1556</v>
      </c>
      <c r="C1702" s="879"/>
    </row>
    <row r="1703" spans="1:3" x14ac:dyDescent="0.25">
      <c r="A1703" s="879"/>
      <c r="B1703" s="1452" t="s">
        <v>1557</v>
      </c>
      <c r="C1703" s="879"/>
    </row>
    <row r="1704" spans="1:3" x14ac:dyDescent="0.25">
      <c r="A1704" s="879"/>
      <c r="B1704" s="1452" t="s">
        <v>1558</v>
      </c>
      <c r="C1704" s="879"/>
    </row>
    <row r="1705" spans="1:3" x14ac:dyDescent="0.25">
      <c r="A1705" s="879"/>
      <c r="B1705" s="1452" t="s">
        <v>1559</v>
      </c>
      <c r="C1705" s="879"/>
    </row>
    <row r="1706" spans="1:3" x14ac:dyDescent="0.25">
      <c r="A1706" s="879"/>
      <c r="B1706" s="1452" t="s">
        <v>1560</v>
      </c>
      <c r="C1706" s="879"/>
    </row>
    <row r="1707" spans="1:3" x14ac:dyDescent="0.25">
      <c r="A1707" s="879"/>
      <c r="B1707" s="1452" t="s">
        <v>1561</v>
      </c>
      <c r="C1707" s="879"/>
    </row>
    <row r="1708" spans="1:3" x14ac:dyDescent="0.25">
      <c r="A1708" s="879"/>
      <c r="B1708" s="1452" t="s">
        <v>1514</v>
      </c>
      <c r="C1708" s="879"/>
    </row>
    <row r="1709" spans="1:3" x14ac:dyDescent="0.25">
      <c r="A1709" s="879"/>
      <c r="B1709" s="1452" t="s">
        <v>1515</v>
      </c>
      <c r="C1709" s="879"/>
    </row>
    <row r="1710" spans="1:3" x14ac:dyDescent="0.25">
      <c r="A1710" s="879"/>
      <c r="B1710" s="1452" t="s">
        <v>1516</v>
      </c>
      <c r="C1710" s="879"/>
    </row>
    <row r="1711" spans="1:3" x14ac:dyDescent="0.25">
      <c r="A1711" s="879"/>
      <c r="B1711" s="1452" t="s">
        <v>1481</v>
      </c>
      <c r="C1711" s="879"/>
    </row>
    <row r="1712" spans="1:3" x14ac:dyDescent="0.25">
      <c r="A1712" s="879"/>
      <c r="B1712" s="1452" t="s">
        <v>1562</v>
      </c>
      <c r="C1712" s="879"/>
    </row>
    <row r="1713" spans="1:3" x14ac:dyDescent="0.25">
      <c r="A1713" s="879"/>
      <c r="B1713" s="1452" t="s">
        <v>1744</v>
      </c>
      <c r="C1713" s="879"/>
    </row>
    <row r="1714" spans="1:3" x14ac:dyDescent="0.25">
      <c r="A1714" s="879"/>
      <c r="B1714" s="1452" t="s">
        <v>1484</v>
      </c>
      <c r="C1714" s="879"/>
    </row>
    <row r="1715" spans="1:3" x14ac:dyDescent="0.25">
      <c r="A1715" s="879"/>
      <c r="B1715" s="1452" t="s">
        <v>1430</v>
      </c>
      <c r="C1715" s="879"/>
    </row>
    <row r="1716" spans="1:3" x14ac:dyDescent="0.25">
      <c r="A1716" s="879"/>
      <c r="B1716" s="1452" t="s">
        <v>1367</v>
      </c>
      <c r="C1716" s="879"/>
    </row>
    <row r="1717" spans="1:3" x14ac:dyDescent="0.25">
      <c r="A1717" s="879"/>
      <c r="B1717" s="1452" t="s">
        <v>1504</v>
      </c>
      <c r="C1717" s="879"/>
    </row>
    <row r="1718" spans="1:3" x14ac:dyDescent="0.25">
      <c r="A1718" s="879"/>
      <c r="B1718" s="1452" t="s">
        <v>1367</v>
      </c>
      <c r="C1718" s="879"/>
    </row>
    <row r="1719" spans="1:3" x14ac:dyDescent="0.25">
      <c r="A1719" s="879"/>
      <c r="B1719" s="1452" t="s">
        <v>1450</v>
      </c>
      <c r="C1719" s="879"/>
    </row>
    <row r="1720" spans="1:3" x14ac:dyDescent="0.25">
      <c r="A1720" s="879"/>
      <c r="B1720" s="1452" t="s">
        <v>1451</v>
      </c>
      <c r="C1720" s="879"/>
    </row>
    <row r="1721" spans="1:3" x14ac:dyDescent="0.25">
      <c r="A1721" s="879"/>
      <c r="B1721" s="1452" t="s">
        <v>1452</v>
      </c>
      <c r="C1721" s="879"/>
    </row>
    <row r="1722" spans="1:3" x14ac:dyDescent="0.25">
      <c r="A1722" s="879"/>
      <c r="B1722" s="1452" t="s">
        <v>1681</v>
      </c>
      <c r="C1722" s="879"/>
    </row>
    <row r="1723" spans="1:3" x14ac:dyDescent="0.25">
      <c r="A1723" s="879"/>
      <c r="B1723" s="1452" t="s">
        <v>1682</v>
      </c>
      <c r="C1723" s="879"/>
    </row>
    <row r="1724" spans="1:3" x14ac:dyDescent="0.25">
      <c r="A1724" s="879"/>
      <c r="B1724" s="1452" t="s">
        <v>1517</v>
      </c>
      <c r="C1724" s="879"/>
    </row>
    <row r="1725" spans="1:3" x14ac:dyDescent="0.25">
      <c r="A1725" s="879"/>
      <c r="B1725" s="1452" t="s">
        <v>1684</v>
      </c>
      <c r="C1725" s="879"/>
    </row>
    <row r="1726" spans="1:3" x14ac:dyDescent="0.25">
      <c r="A1726" s="879"/>
      <c r="B1726" s="1452" t="s">
        <v>1453</v>
      </c>
      <c r="C1726" s="879"/>
    </row>
    <row r="1727" spans="1:3" x14ac:dyDescent="0.25">
      <c r="A1727" s="879"/>
      <c r="B1727" s="1452" t="s">
        <v>1745</v>
      </c>
      <c r="C1727" s="879"/>
    </row>
    <row r="1728" spans="1:3" x14ac:dyDescent="0.25">
      <c r="A1728" s="879"/>
      <c r="B1728" s="1452" t="s">
        <v>1685</v>
      </c>
      <c r="C1728" s="879"/>
    </row>
    <row r="1729" spans="1:3" x14ac:dyDescent="0.25">
      <c r="A1729" s="879"/>
      <c r="B1729" s="1452" t="s">
        <v>1686</v>
      </c>
      <c r="C1729" s="879"/>
    </row>
    <row r="1730" spans="1:3" x14ac:dyDescent="0.25">
      <c r="A1730" s="879"/>
      <c r="B1730" s="1452" t="s">
        <v>1454</v>
      </c>
      <c r="C1730" s="879"/>
    </row>
    <row r="1731" spans="1:3" x14ac:dyDescent="0.25">
      <c r="A1731" s="879"/>
      <c r="B1731" s="1452" t="s">
        <v>1486</v>
      </c>
      <c r="C1731" s="879"/>
    </row>
    <row r="1732" spans="1:3" x14ac:dyDescent="0.25">
      <c r="A1732" s="879"/>
      <c r="B1732" s="1452" t="s">
        <v>1455</v>
      </c>
      <c r="C1732" s="879"/>
    </row>
    <row r="1733" spans="1:3" x14ac:dyDescent="0.25">
      <c r="A1733" s="879"/>
      <c r="B1733" s="1452" t="s">
        <v>1518</v>
      </c>
      <c r="C1733" s="879"/>
    </row>
    <row r="1734" spans="1:3" x14ac:dyDescent="0.25">
      <c r="A1734" s="879"/>
      <c r="B1734" s="1452" t="s">
        <v>1688</v>
      </c>
      <c r="C1734" s="879"/>
    </row>
    <row r="1735" spans="1:3" x14ac:dyDescent="0.25">
      <c r="A1735" s="879"/>
      <c r="B1735" s="1452" t="s">
        <v>1746</v>
      </c>
      <c r="C1735" s="879"/>
    </row>
    <row r="1736" spans="1:3" x14ac:dyDescent="0.25">
      <c r="A1736" s="879"/>
      <c r="B1736" s="1452" t="s">
        <v>1533</v>
      </c>
      <c r="C1736" s="879"/>
    </row>
    <row r="1737" spans="1:3" x14ac:dyDescent="0.25">
      <c r="A1737" s="879"/>
      <c r="B1737" s="1452" t="s">
        <v>1367</v>
      </c>
      <c r="C1737" s="879"/>
    </row>
    <row r="1738" spans="1:3" x14ac:dyDescent="0.25">
      <c r="A1738" s="879"/>
      <c r="B1738" s="1452" t="s">
        <v>1450</v>
      </c>
      <c r="C1738" s="879"/>
    </row>
    <row r="1739" spans="1:3" x14ac:dyDescent="0.25">
      <c r="A1739" s="879"/>
      <c r="B1739" s="1452" t="s">
        <v>1451</v>
      </c>
      <c r="C1739" s="879"/>
    </row>
    <row r="1740" spans="1:3" x14ac:dyDescent="0.25">
      <c r="A1740" s="879"/>
      <c r="B1740" s="1452" t="s">
        <v>1452</v>
      </c>
      <c r="C1740" s="879"/>
    </row>
    <row r="1741" spans="1:3" x14ac:dyDescent="0.25">
      <c r="A1741" s="879"/>
      <c r="B1741" s="1452" t="s">
        <v>1681</v>
      </c>
      <c r="C1741" s="879"/>
    </row>
    <row r="1742" spans="1:3" x14ac:dyDescent="0.25">
      <c r="A1742" s="879"/>
      <c r="B1742" s="1452" t="s">
        <v>1682</v>
      </c>
      <c r="C1742" s="879"/>
    </row>
    <row r="1743" spans="1:3" x14ac:dyDescent="0.25">
      <c r="A1743" s="879"/>
      <c r="B1743" s="1452" t="s">
        <v>1517</v>
      </c>
      <c r="C1743" s="879"/>
    </row>
    <row r="1744" spans="1:3" x14ac:dyDescent="0.25">
      <c r="A1744" s="879"/>
      <c r="B1744" s="1452" t="s">
        <v>1684</v>
      </c>
      <c r="C1744" s="879"/>
    </row>
    <row r="1745" spans="1:3" x14ac:dyDescent="0.25">
      <c r="A1745" s="879"/>
      <c r="B1745" s="1452" t="s">
        <v>1453</v>
      </c>
      <c r="C1745" s="879"/>
    </row>
    <row r="1746" spans="1:3" x14ac:dyDescent="0.25">
      <c r="A1746" s="879"/>
      <c r="B1746" s="1452" t="s">
        <v>1745</v>
      </c>
      <c r="C1746" s="879"/>
    </row>
    <row r="1747" spans="1:3" x14ac:dyDescent="0.25">
      <c r="A1747" s="879"/>
      <c r="B1747" s="1452" t="s">
        <v>1685</v>
      </c>
      <c r="C1747" s="879"/>
    </row>
    <row r="1748" spans="1:3" x14ac:dyDescent="0.25">
      <c r="A1748" s="879"/>
      <c r="B1748" s="1452" t="s">
        <v>1686</v>
      </c>
      <c r="C1748" s="879"/>
    </row>
    <row r="1749" spans="1:3" x14ac:dyDescent="0.25">
      <c r="A1749" s="879"/>
      <c r="B1749" s="1452" t="s">
        <v>1454</v>
      </c>
      <c r="C1749" s="879"/>
    </row>
    <row r="1750" spans="1:3" x14ac:dyDescent="0.25">
      <c r="A1750" s="879"/>
      <c r="B1750" s="1452" t="s">
        <v>1486</v>
      </c>
      <c r="C1750" s="879"/>
    </row>
    <row r="1751" spans="1:3" x14ac:dyDescent="0.25">
      <c r="A1751" s="879"/>
      <c r="B1751" s="1452" t="s">
        <v>1455</v>
      </c>
      <c r="C1751" s="879"/>
    </row>
    <row r="1752" spans="1:3" x14ac:dyDescent="0.25">
      <c r="A1752" s="879"/>
      <c r="B1752" s="1452" t="s">
        <v>1518</v>
      </c>
      <c r="C1752" s="879"/>
    </row>
    <row r="1753" spans="1:3" x14ac:dyDescent="0.25">
      <c r="A1753" s="879"/>
      <c r="B1753" s="1452" t="s">
        <v>1688</v>
      </c>
      <c r="C1753" s="879"/>
    </row>
    <row r="1754" spans="1:3" x14ac:dyDescent="0.25">
      <c r="A1754" s="879"/>
      <c r="B1754" s="1452" t="s">
        <v>1746</v>
      </c>
      <c r="C1754" s="879"/>
    </row>
    <row r="1755" spans="1:3" x14ac:dyDescent="0.25">
      <c r="A1755" s="879"/>
      <c r="B1755" s="1452" t="s">
        <v>1690</v>
      </c>
      <c r="C1755" s="879"/>
    </row>
    <row r="1756" spans="1:3" x14ac:dyDescent="0.25">
      <c r="A1756" s="879"/>
      <c r="B1756" s="1452" t="s">
        <v>1367</v>
      </c>
      <c r="C1756" s="879"/>
    </row>
    <row r="1757" spans="1:3" x14ac:dyDescent="0.25">
      <c r="A1757" s="879"/>
      <c r="B1757" s="1452" t="s">
        <v>1691</v>
      </c>
      <c r="C1757" s="879"/>
    </row>
    <row r="1758" spans="1:3" x14ac:dyDescent="0.25">
      <c r="A1758" s="879"/>
      <c r="B1758" s="1452" t="s">
        <v>1692</v>
      </c>
      <c r="C1758" s="879"/>
    </row>
    <row r="1759" spans="1:3" x14ac:dyDescent="0.25">
      <c r="A1759" s="879"/>
      <c r="B1759" s="1452" t="s">
        <v>1693</v>
      </c>
      <c r="C1759" s="879"/>
    </row>
    <row r="1760" spans="1:3" x14ac:dyDescent="0.25">
      <c r="A1760" s="879"/>
      <c r="B1760" s="1452" t="s">
        <v>1694</v>
      </c>
      <c r="C1760" s="879"/>
    </row>
    <row r="1761" spans="1:3" x14ac:dyDescent="0.25">
      <c r="A1761" s="879"/>
      <c r="B1761" s="1452" t="s">
        <v>1695</v>
      </c>
      <c r="C1761" s="879"/>
    </row>
    <row r="1762" spans="1:3" x14ac:dyDescent="0.25">
      <c r="A1762" s="879"/>
      <c r="B1762" s="1452" t="s">
        <v>1696</v>
      </c>
      <c r="C1762" s="879"/>
    </row>
    <row r="1763" spans="1:3" x14ac:dyDescent="0.25">
      <c r="A1763" s="879"/>
      <c r="B1763" s="1452" t="s">
        <v>1697</v>
      </c>
      <c r="C1763" s="879"/>
    </row>
    <row r="1764" spans="1:3" x14ac:dyDescent="0.25">
      <c r="A1764" s="879"/>
      <c r="B1764" s="1452" t="s">
        <v>2203</v>
      </c>
      <c r="C1764" s="879"/>
    </row>
    <row r="1765" spans="1:3" x14ac:dyDescent="0.25">
      <c r="A1765" s="879"/>
      <c r="B1765" s="1452" t="s">
        <v>1699</v>
      </c>
      <c r="C1765" s="879"/>
    </row>
    <row r="1766" spans="1:3" x14ac:dyDescent="0.25">
      <c r="A1766" s="879"/>
      <c r="B1766" s="1452" t="s">
        <v>1700</v>
      </c>
      <c r="C1766" s="879"/>
    </row>
    <row r="1767" spans="1:3" x14ac:dyDescent="0.25">
      <c r="A1767" s="879"/>
      <c r="B1767" s="1452" t="s">
        <v>1701</v>
      </c>
      <c r="C1767" s="879"/>
    </row>
    <row r="1768" spans="1:3" x14ac:dyDescent="0.25">
      <c r="A1768" s="879"/>
      <c r="B1768" s="1452" t="s">
        <v>1702</v>
      </c>
      <c r="C1768" s="879"/>
    </row>
    <row r="1769" spans="1:3" x14ac:dyDescent="0.25">
      <c r="A1769" s="879"/>
      <c r="B1769" s="1452" t="s">
        <v>1703</v>
      </c>
      <c r="C1769" s="879"/>
    </row>
    <row r="1770" spans="1:3" x14ac:dyDescent="0.25">
      <c r="A1770" s="879"/>
      <c r="B1770" s="1452" t="s">
        <v>1704</v>
      </c>
      <c r="C1770" s="879"/>
    </row>
    <row r="1771" spans="1:3" x14ac:dyDescent="0.25">
      <c r="A1771" s="879"/>
      <c r="B1771" s="1452" t="s">
        <v>1705</v>
      </c>
      <c r="C1771" s="879"/>
    </row>
    <row r="1772" spans="1:3" x14ac:dyDescent="0.25">
      <c r="A1772" s="879"/>
      <c r="B1772" s="1452"/>
      <c r="C1772" s="879"/>
    </row>
    <row r="1773" spans="1:3" x14ac:dyDescent="0.25">
      <c r="A1773" s="879"/>
      <c r="B1773" s="1452"/>
      <c r="C1773" s="879"/>
    </row>
    <row r="1774" spans="1:3" x14ac:dyDescent="0.25">
      <c r="A1774" s="879"/>
      <c r="B1774" s="1452" t="s">
        <v>1368</v>
      </c>
      <c r="C1774" s="879"/>
    </row>
    <row r="1775" spans="1:3" x14ac:dyDescent="0.25">
      <c r="A1775" s="879"/>
      <c r="B1775" s="1452" t="s">
        <v>2204</v>
      </c>
      <c r="C1775" s="879"/>
    </row>
    <row r="1776" spans="1:3" x14ac:dyDescent="0.25">
      <c r="A1776" s="879"/>
      <c r="B1776" s="1452" t="s">
        <v>1368</v>
      </c>
      <c r="C1776" s="879"/>
    </row>
    <row r="1777" spans="1:3" x14ac:dyDescent="0.25">
      <c r="A1777" s="879"/>
      <c r="B1777" s="1452" t="s">
        <v>2205</v>
      </c>
      <c r="C1777" s="879"/>
    </row>
    <row r="1778" spans="1:3" x14ac:dyDescent="0.25">
      <c r="A1778" s="879"/>
      <c r="B1778" s="1452" t="s">
        <v>1367</v>
      </c>
      <c r="C1778" s="879"/>
    </row>
    <row r="1779" spans="1:3" x14ac:dyDescent="0.25">
      <c r="A1779" s="879"/>
      <c r="B1779" s="1452" t="s">
        <v>1369</v>
      </c>
      <c r="C1779" s="879"/>
    </row>
    <row r="1780" spans="1:3" x14ac:dyDescent="0.25">
      <c r="A1780" s="879"/>
      <c r="B1780" s="1452" t="s">
        <v>1370</v>
      </c>
      <c r="C1780" s="879"/>
    </row>
    <row r="1781" spans="1:3" x14ac:dyDescent="0.25">
      <c r="A1781" s="879"/>
      <c r="B1781" s="1452" t="s">
        <v>1367</v>
      </c>
      <c r="C1781" s="879"/>
    </row>
    <row r="1782" spans="1:3" x14ac:dyDescent="0.25">
      <c r="A1782" s="879"/>
      <c r="B1782" s="1452" t="s">
        <v>1520</v>
      </c>
      <c r="C1782" s="879"/>
    </row>
    <row r="1783" spans="1:3" x14ac:dyDescent="0.25">
      <c r="A1783" s="879"/>
      <c r="B1783" s="1452" t="s">
        <v>1563</v>
      </c>
      <c r="C1783" s="879"/>
    </row>
    <row r="1784" spans="1:3" x14ac:dyDescent="0.25">
      <c r="A1784" s="879"/>
      <c r="B1784" s="1452" t="s">
        <v>1985</v>
      </c>
      <c r="C1784" s="879"/>
    </row>
    <row r="1785" spans="1:3" x14ac:dyDescent="0.25">
      <c r="A1785" s="879"/>
      <c r="B1785" s="1452" t="s">
        <v>1986</v>
      </c>
      <c r="C1785" s="879"/>
    </row>
    <row r="1786" spans="1:3" x14ac:dyDescent="0.25">
      <c r="A1786" s="879"/>
      <c r="B1786" s="1452" t="s">
        <v>2206</v>
      </c>
      <c r="C1786" s="879"/>
    </row>
    <row r="1787" spans="1:3" x14ac:dyDescent="0.25">
      <c r="A1787" s="879"/>
      <c r="B1787" s="1452" t="s">
        <v>2207</v>
      </c>
      <c r="C1787" s="879"/>
    </row>
    <row r="1788" spans="1:3" x14ac:dyDescent="0.25">
      <c r="A1788" s="879"/>
      <c r="B1788" s="1452" t="s">
        <v>2208</v>
      </c>
      <c r="C1788" s="879"/>
    </row>
    <row r="1789" spans="1:3" x14ac:dyDescent="0.25">
      <c r="A1789" s="879"/>
      <c r="B1789" s="1452" t="s">
        <v>2209</v>
      </c>
      <c r="C1789" s="879"/>
    </row>
    <row r="1790" spans="1:3" x14ac:dyDescent="0.25">
      <c r="A1790" s="879"/>
      <c r="B1790" s="1452" t="s">
        <v>2210</v>
      </c>
      <c r="C1790" s="879"/>
    </row>
    <row r="1791" spans="1:3" x14ac:dyDescent="0.25">
      <c r="A1791" s="879"/>
      <c r="B1791" s="1452" t="s">
        <v>2211</v>
      </c>
      <c r="C1791" s="879"/>
    </row>
    <row r="1792" spans="1:3" x14ac:dyDescent="0.25">
      <c r="A1792" s="879"/>
      <c r="B1792" s="1452" t="s">
        <v>1564</v>
      </c>
      <c r="C1792" s="879"/>
    </row>
    <row r="1793" spans="1:3" x14ac:dyDescent="0.25">
      <c r="A1793" s="879"/>
      <c r="B1793" s="1452" t="s">
        <v>1382</v>
      </c>
      <c r="C1793" s="879"/>
    </row>
    <row r="1794" spans="1:3" x14ac:dyDescent="0.25">
      <c r="A1794" s="879"/>
      <c r="B1794" s="1452" t="s">
        <v>1367</v>
      </c>
      <c r="C1794" s="879"/>
    </row>
    <row r="1795" spans="1:3" x14ac:dyDescent="0.25">
      <c r="A1795" s="879"/>
      <c r="B1795" s="1452" t="s">
        <v>1520</v>
      </c>
      <c r="C1795" s="879"/>
    </row>
    <row r="1796" spans="1:3" x14ac:dyDescent="0.25">
      <c r="A1796" s="879"/>
      <c r="B1796" s="1452" t="s">
        <v>2212</v>
      </c>
      <c r="C1796" s="879"/>
    </row>
    <row r="1797" spans="1:3" x14ac:dyDescent="0.25">
      <c r="A1797" s="879"/>
      <c r="B1797" s="1452" t="s">
        <v>2213</v>
      </c>
      <c r="C1797" s="879"/>
    </row>
    <row r="1798" spans="1:3" x14ac:dyDescent="0.25">
      <c r="A1798" s="879"/>
      <c r="B1798" s="1452" t="s">
        <v>2214</v>
      </c>
      <c r="C1798" s="879"/>
    </row>
    <row r="1799" spans="1:3" x14ac:dyDescent="0.25">
      <c r="A1799" s="879"/>
      <c r="B1799" s="1452" t="s">
        <v>2215</v>
      </c>
      <c r="C1799" s="879"/>
    </row>
    <row r="1800" spans="1:3" x14ac:dyDescent="0.25">
      <c r="A1800" s="879"/>
      <c r="B1800" s="1452" t="s">
        <v>2216</v>
      </c>
      <c r="C1800" s="879"/>
    </row>
    <row r="1801" spans="1:3" x14ac:dyDescent="0.25">
      <c r="A1801" s="879"/>
      <c r="B1801" s="1452" t="s">
        <v>2217</v>
      </c>
      <c r="C1801" s="879"/>
    </row>
    <row r="1802" spans="1:3" x14ac:dyDescent="0.25">
      <c r="A1802" s="879"/>
      <c r="B1802" s="1452" t="s">
        <v>2218</v>
      </c>
      <c r="C1802" s="879"/>
    </row>
    <row r="1803" spans="1:3" x14ac:dyDescent="0.25">
      <c r="A1803" s="879"/>
      <c r="B1803" s="1452" t="s">
        <v>2219</v>
      </c>
      <c r="C1803" s="879"/>
    </row>
    <row r="1804" spans="1:3" x14ac:dyDescent="0.25">
      <c r="A1804" s="879"/>
      <c r="B1804" s="1452" t="s">
        <v>2220</v>
      </c>
      <c r="C1804" s="879"/>
    </row>
    <row r="1805" spans="1:3" x14ac:dyDescent="0.25">
      <c r="A1805" s="879"/>
      <c r="B1805" s="1452" t="s">
        <v>2221</v>
      </c>
      <c r="C1805" s="879"/>
    </row>
    <row r="1806" spans="1:3" x14ac:dyDescent="0.25">
      <c r="A1806" s="879"/>
      <c r="B1806" s="1452" t="s">
        <v>1565</v>
      </c>
      <c r="C1806" s="879"/>
    </row>
    <row r="1807" spans="1:3" x14ac:dyDescent="0.25">
      <c r="A1807" s="879"/>
      <c r="B1807" s="1452" t="s">
        <v>1566</v>
      </c>
      <c r="C1807" s="879"/>
    </row>
    <row r="1808" spans="1:3" x14ac:dyDescent="0.25">
      <c r="A1808" s="879"/>
      <c r="B1808" s="1452" t="s">
        <v>2006</v>
      </c>
      <c r="C1808" s="879"/>
    </row>
    <row r="1809" spans="1:3" x14ac:dyDescent="0.25">
      <c r="A1809" s="879"/>
      <c r="B1809" s="1452" t="s">
        <v>1525</v>
      </c>
      <c r="C1809" s="879"/>
    </row>
    <row r="1810" spans="1:3" x14ac:dyDescent="0.25">
      <c r="A1810" s="879"/>
      <c r="B1810" s="1452" t="s">
        <v>2222</v>
      </c>
      <c r="C1810" s="879"/>
    </row>
    <row r="1811" spans="1:3" x14ac:dyDescent="0.25">
      <c r="A1811" s="879"/>
      <c r="B1811" s="1452" t="s">
        <v>2223</v>
      </c>
      <c r="C1811" s="879"/>
    </row>
    <row r="1812" spans="1:3" x14ac:dyDescent="0.25">
      <c r="A1812" s="879"/>
      <c r="B1812" s="1452" t="s">
        <v>2224</v>
      </c>
      <c r="C1812" s="879"/>
    </row>
    <row r="1813" spans="1:3" x14ac:dyDescent="0.25">
      <c r="A1813" s="879"/>
      <c r="B1813" s="1452" t="s">
        <v>2225</v>
      </c>
      <c r="C1813" s="879"/>
    </row>
    <row r="1814" spans="1:3" x14ac:dyDescent="0.25">
      <c r="A1814" s="879"/>
      <c r="B1814" s="1452" t="s">
        <v>2226</v>
      </c>
      <c r="C1814" s="879"/>
    </row>
    <row r="1815" spans="1:3" x14ac:dyDescent="0.25">
      <c r="A1815" s="879"/>
      <c r="B1815" s="1452" t="s">
        <v>1567</v>
      </c>
      <c r="C1815" s="879"/>
    </row>
    <row r="1816" spans="1:3" x14ac:dyDescent="0.25">
      <c r="A1816" s="879"/>
      <c r="B1816" s="1452" t="s">
        <v>2013</v>
      </c>
      <c r="C1816" s="879"/>
    </row>
    <row r="1817" spans="1:3" x14ac:dyDescent="0.25">
      <c r="A1817" s="879"/>
      <c r="B1817" s="1452" t="s">
        <v>2227</v>
      </c>
      <c r="C1817" s="879"/>
    </row>
    <row r="1818" spans="1:3" x14ac:dyDescent="0.25">
      <c r="A1818" s="879"/>
      <c r="B1818" s="1452" t="s">
        <v>1527</v>
      </c>
      <c r="C1818" s="879"/>
    </row>
    <row r="1819" spans="1:3" x14ac:dyDescent="0.25">
      <c r="A1819" s="879"/>
      <c r="B1819" s="1452" t="s">
        <v>2228</v>
      </c>
      <c r="C1819" s="879"/>
    </row>
    <row r="1820" spans="1:3" x14ac:dyDescent="0.25">
      <c r="A1820" s="879"/>
      <c r="B1820" s="1452" t="s">
        <v>2229</v>
      </c>
      <c r="C1820" s="879"/>
    </row>
    <row r="1821" spans="1:3" x14ac:dyDescent="0.25">
      <c r="A1821" s="879"/>
      <c r="B1821" s="1452" t="s">
        <v>2230</v>
      </c>
      <c r="C1821" s="879"/>
    </row>
    <row r="1822" spans="1:3" x14ac:dyDescent="0.25">
      <c r="A1822" s="879"/>
      <c r="B1822" s="1452" t="s">
        <v>2231</v>
      </c>
      <c r="C1822" s="879"/>
    </row>
    <row r="1823" spans="1:3" x14ac:dyDescent="0.25">
      <c r="A1823" s="879"/>
      <c r="B1823" s="1452" t="s">
        <v>1568</v>
      </c>
      <c r="C1823" s="879"/>
    </row>
    <row r="1824" spans="1:3" x14ac:dyDescent="0.25">
      <c r="A1824" s="879"/>
      <c r="B1824" s="1452" t="s">
        <v>1569</v>
      </c>
      <c r="C1824" s="879"/>
    </row>
    <row r="1825" spans="1:3" x14ac:dyDescent="0.25">
      <c r="A1825" s="879"/>
      <c r="B1825" s="1452" t="s">
        <v>1570</v>
      </c>
      <c r="C1825" s="879"/>
    </row>
    <row r="1826" spans="1:3" x14ac:dyDescent="0.25">
      <c r="A1826" s="879"/>
      <c r="B1826" s="1452" t="s">
        <v>2232</v>
      </c>
      <c r="C1826" s="879"/>
    </row>
    <row r="1827" spans="1:3" x14ac:dyDescent="0.25">
      <c r="A1827" s="879"/>
      <c r="B1827" s="1452" t="s">
        <v>2233</v>
      </c>
      <c r="C1827" s="879"/>
    </row>
    <row r="1828" spans="1:3" x14ac:dyDescent="0.25">
      <c r="A1828" s="879"/>
      <c r="B1828" s="1452" t="s">
        <v>1571</v>
      </c>
      <c r="C1828" s="879"/>
    </row>
    <row r="1829" spans="1:3" x14ac:dyDescent="0.25">
      <c r="A1829" s="879"/>
      <c r="B1829" s="1452" t="s">
        <v>2234</v>
      </c>
      <c r="C1829" s="879"/>
    </row>
    <row r="1830" spans="1:3" x14ac:dyDescent="0.25">
      <c r="A1830" s="879"/>
      <c r="B1830" s="1452" t="s">
        <v>2235</v>
      </c>
      <c r="C1830" s="879"/>
    </row>
    <row r="1831" spans="1:3" x14ac:dyDescent="0.25">
      <c r="A1831" s="879"/>
      <c r="B1831" s="1452" t="s">
        <v>2236</v>
      </c>
      <c r="C1831" s="879"/>
    </row>
    <row r="1832" spans="1:3" x14ac:dyDescent="0.25">
      <c r="A1832" s="879"/>
      <c r="B1832" s="1452" t="s">
        <v>2237</v>
      </c>
      <c r="C1832" s="879"/>
    </row>
    <row r="1833" spans="1:3" x14ac:dyDescent="0.25">
      <c r="A1833" s="879"/>
      <c r="B1833" s="1452" t="s">
        <v>2238</v>
      </c>
      <c r="C1833" s="879"/>
    </row>
    <row r="1834" spans="1:3" x14ac:dyDescent="0.25">
      <c r="A1834" s="879"/>
      <c r="B1834" s="1452" t="s">
        <v>2239</v>
      </c>
      <c r="C1834" s="879"/>
    </row>
    <row r="1835" spans="1:3" x14ac:dyDescent="0.25">
      <c r="A1835" s="879"/>
      <c r="B1835" s="1452" t="s">
        <v>2240</v>
      </c>
      <c r="C1835" s="879"/>
    </row>
    <row r="1836" spans="1:3" x14ac:dyDescent="0.25">
      <c r="A1836" s="879"/>
      <c r="B1836" s="1452" t="s">
        <v>2241</v>
      </c>
      <c r="C1836" s="879"/>
    </row>
    <row r="1837" spans="1:3" x14ac:dyDescent="0.25">
      <c r="A1837" s="879"/>
      <c r="B1837" s="1452" t="s">
        <v>2242</v>
      </c>
      <c r="C1837" s="879"/>
    </row>
    <row r="1838" spans="1:3" x14ac:dyDescent="0.25">
      <c r="A1838" s="879"/>
      <c r="B1838" s="1452" t="s">
        <v>2243</v>
      </c>
      <c r="C1838" s="879"/>
    </row>
    <row r="1839" spans="1:3" x14ac:dyDescent="0.25">
      <c r="A1839" s="879"/>
      <c r="B1839" s="1452" t="s">
        <v>1531</v>
      </c>
      <c r="C1839" s="879"/>
    </row>
    <row r="1840" spans="1:3" x14ac:dyDescent="0.25">
      <c r="A1840" s="879"/>
      <c r="B1840" s="1452" t="s">
        <v>2034</v>
      </c>
      <c r="C1840" s="879"/>
    </row>
    <row r="1841" spans="1:3" x14ac:dyDescent="0.25">
      <c r="A1841" s="879"/>
      <c r="B1841" s="1452" t="s">
        <v>1572</v>
      </c>
      <c r="C1841" s="879"/>
    </row>
    <row r="1842" spans="1:3" x14ac:dyDescent="0.25">
      <c r="A1842" s="879"/>
      <c r="B1842" s="1452" t="s">
        <v>1532</v>
      </c>
      <c r="C1842" s="879"/>
    </row>
    <row r="1843" spans="1:3" x14ac:dyDescent="0.25">
      <c r="A1843" s="879"/>
      <c r="B1843" s="1452" t="s">
        <v>1430</v>
      </c>
      <c r="C1843" s="879"/>
    </row>
    <row r="1844" spans="1:3" x14ac:dyDescent="0.25">
      <c r="A1844" s="879"/>
      <c r="B1844" s="1452" t="s">
        <v>1367</v>
      </c>
      <c r="C1844" s="879"/>
    </row>
    <row r="1845" spans="1:3" x14ac:dyDescent="0.25">
      <c r="A1845" s="879"/>
      <c r="B1845" s="1452" t="s">
        <v>1449</v>
      </c>
      <c r="C1845" s="879"/>
    </row>
    <row r="1846" spans="1:3" x14ac:dyDescent="0.25">
      <c r="A1846" s="879"/>
      <c r="B1846" s="1452" t="s">
        <v>1367</v>
      </c>
      <c r="C1846" s="879"/>
    </row>
    <row r="1847" spans="1:3" x14ac:dyDescent="0.25">
      <c r="A1847" s="879"/>
      <c r="B1847" s="1452" t="s">
        <v>1450</v>
      </c>
      <c r="C1847" s="879"/>
    </row>
    <row r="1848" spans="1:3" x14ac:dyDescent="0.25">
      <c r="A1848" s="879"/>
      <c r="B1848" s="1452" t="s">
        <v>1451</v>
      </c>
      <c r="C1848" s="879"/>
    </row>
    <row r="1849" spans="1:3" x14ac:dyDescent="0.25">
      <c r="A1849" s="879"/>
      <c r="B1849" s="1452" t="s">
        <v>2045</v>
      </c>
      <c r="C1849" s="879"/>
    </row>
    <row r="1850" spans="1:3" x14ac:dyDescent="0.25">
      <c r="A1850" s="879"/>
      <c r="B1850" s="1452" t="s">
        <v>1892</v>
      </c>
      <c r="C1850" s="879"/>
    </row>
    <row r="1851" spans="1:3" x14ac:dyDescent="0.25">
      <c r="A1851" s="879"/>
      <c r="B1851" s="1452" t="s">
        <v>1682</v>
      </c>
      <c r="C1851" s="879"/>
    </row>
    <row r="1852" spans="1:3" x14ac:dyDescent="0.25">
      <c r="A1852" s="879"/>
      <c r="B1852" s="1452" t="s">
        <v>1517</v>
      </c>
      <c r="C1852" s="879"/>
    </row>
    <row r="1853" spans="1:3" x14ac:dyDescent="0.25">
      <c r="A1853" s="879"/>
      <c r="B1853" s="1452" t="s">
        <v>1684</v>
      </c>
      <c r="C1853" s="879"/>
    </row>
    <row r="1854" spans="1:3" x14ac:dyDescent="0.25">
      <c r="A1854" s="879"/>
      <c r="B1854" s="1452" t="s">
        <v>2046</v>
      </c>
      <c r="C1854" s="879"/>
    </row>
    <row r="1855" spans="1:3" x14ac:dyDescent="0.25">
      <c r="A1855" s="879"/>
      <c r="B1855" s="1452" t="s">
        <v>2047</v>
      </c>
      <c r="C1855" s="879"/>
    </row>
    <row r="1856" spans="1:3" x14ac:dyDescent="0.25">
      <c r="A1856" s="879"/>
      <c r="B1856" s="1452" t="s">
        <v>1685</v>
      </c>
      <c r="C1856" s="879"/>
    </row>
    <row r="1857" spans="1:3" x14ac:dyDescent="0.25">
      <c r="A1857" s="879"/>
      <c r="B1857" s="1452" t="s">
        <v>1686</v>
      </c>
      <c r="C1857" s="879"/>
    </row>
    <row r="1858" spans="1:3" x14ac:dyDescent="0.25">
      <c r="A1858" s="879"/>
      <c r="B1858" s="1452" t="s">
        <v>2048</v>
      </c>
      <c r="C1858" s="879"/>
    </row>
    <row r="1859" spans="1:3" x14ac:dyDescent="0.25">
      <c r="A1859" s="879"/>
      <c r="B1859" s="1452" t="s">
        <v>2049</v>
      </c>
      <c r="C1859" s="879"/>
    </row>
    <row r="1860" spans="1:3" x14ac:dyDescent="0.25">
      <c r="A1860" s="879"/>
      <c r="B1860" s="1452" t="s">
        <v>1455</v>
      </c>
      <c r="C1860" s="879"/>
    </row>
    <row r="1861" spans="1:3" x14ac:dyDescent="0.25">
      <c r="A1861" s="879"/>
      <c r="B1861" s="1452" t="s">
        <v>2050</v>
      </c>
      <c r="C1861" s="879"/>
    </row>
    <row r="1862" spans="1:3" x14ac:dyDescent="0.25">
      <c r="A1862" s="879"/>
      <c r="B1862" s="1452" t="s">
        <v>1688</v>
      </c>
      <c r="C1862" s="879"/>
    </row>
    <row r="1863" spans="1:3" x14ac:dyDescent="0.25">
      <c r="A1863" s="879"/>
      <c r="B1863" s="1452" t="s">
        <v>2051</v>
      </c>
      <c r="C1863" s="879"/>
    </row>
    <row r="1864" spans="1:3" x14ac:dyDescent="0.25">
      <c r="A1864" s="879"/>
      <c r="B1864" s="1452" t="s">
        <v>1456</v>
      </c>
      <c r="C1864" s="879"/>
    </row>
    <row r="1865" spans="1:3" x14ac:dyDescent="0.25">
      <c r="A1865" s="879"/>
      <c r="B1865" s="1452" t="s">
        <v>1367</v>
      </c>
      <c r="C1865" s="879"/>
    </row>
    <row r="1866" spans="1:3" x14ac:dyDescent="0.25">
      <c r="A1866" s="879"/>
      <c r="B1866" s="1452" t="s">
        <v>1450</v>
      </c>
      <c r="C1866" s="879"/>
    </row>
    <row r="1867" spans="1:3" x14ac:dyDescent="0.25">
      <c r="A1867" s="879"/>
      <c r="B1867" s="1452" t="s">
        <v>1451</v>
      </c>
      <c r="C1867" s="879"/>
    </row>
    <row r="1868" spans="1:3" x14ac:dyDescent="0.25">
      <c r="A1868" s="879"/>
      <c r="B1868" s="1452" t="s">
        <v>2045</v>
      </c>
      <c r="C1868" s="879"/>
    </row>
    <row r="1869" spans="1:3" x14ac:dyDescent="0.25">
      <c r="A1869" s="879"/>
      <c r="B1869" s="1452" t="s">
        <v>1892</v>
      </c>
      <c r="C1869" s="879"/>
    </row>
    <row r="1870" spans="1:3" x14ac:dyDescent="0.25">
      <c r="A1870" s="879"/>
      <c r="B1870" s="1452" t="s">
        <v>1682</v>
      </c>
      <c r="C1870" s="879"/>
    </row>
    <row r="1871" spans="1:3" x14ac:dyDescent="0.25">
      <c r="A1871" s="879"/>
      <c r="B1871" s="1452" t="s">
        <v>1517</v>
      </c>
      <c r="C1871" s="879"/>
    </row>
    <row r="1872" spans="1:3" x14ac:dyDescent="0.25">
      <c r="A1872" s="879"/>
      <c r="B1872" s="1452" t="s">
        <v>1684</v>
      </c>
      <c r="C1872" s="879"/>
    </row>
    <row r="1873" spans="1:3" x14ac:dyDescent="0.25">
      <c r="A1873" s="879"/>
      <c r="B1873" s="1452" t="s">
        <v>2046</v>
      </c>
      <c r="C1873" s="879"/>
    </row>
    <row r="1874" spans="1:3" x14ac:dyDescent="0.25">
      <c r="A1874" s="879"/>
      <c r="B1874" s="1452" t="s">
        <v>2047</v>
      </c>
      <c r="C1874" s="879"/>
    </row>
    <row r="1875" spans="1:3" x14ac:dyDescent="0.25">
      <c r="A1875" s="879"/>
      <c r="B1875" s="1452" t="s">
        <v>1685</v>
      </c>
      <c r="C1875" s="879"/>
    </row>
    <row r="1876" spans="1:3" x14ac:dyDescent="0.25">
      <c r="A1876" s="879"/>
      <c r="B1876" s="1452" t="s">
        <v>1686</v>
      </c>
      <c r="C1876" s="879"/>
    </row>
    <row r="1877" spans="1:3" x14ac:dyDescent="0.25">
      <c r="A1877" s="879"/>
      <c r="B1877" s="1452" t="s">
        <v>2048</v>
      </c>
      <c r="C1877" s="879"/>
    </row>
    <row r="1878" spans="1:3" x14ac:dyDescent="0.25">
      <c r="A1878" s="879"/>
      <c r="B1878" s="1452" t="s">
        <v>2049</v>
      </c>
      <c r="C1878" s="879"/>
    </row>
    <row r="1879" spans="1:3" x14ac:dyDescent="0.25">
      <c r="A1879" s="879"/>
      <c r="B1879" s="1452" t="s">
        <v>1455</v>
      </c>
      <c r="C1879" s="879"/>
    </row>
    <row r="1880" spans="1:3" x14ac:dyDescent="0.25">
      <c r="A1880" s="879"/>
      <c r="B1880" s="1452" t="s">
        <v>2050</v>
      </c>
      <c r="C1880" s="879"/>
    </row>
    <row r="1881" spans="1:3" x14ac:dyDescent="0.25">
      <c r="A1881" s="879"/>
      <c r="B1881" s="1452" t="s">
        <v>1688</v>
      </c>
      <c r="C1881" s="879"/>
    </row>
    <row r="1882" spans="1:3" x14ac:dyDescent="0.25">
      <c r="A1882" s="879"/>
      <c r="B1882" s="1452" t="s">
        <v>2051</v>
      </c>
      <c r="C1882" s="879"/>
    </row>
    <row r="1883" spans="1:3" x14ac:dyDescent="0.25">
      <c r="A1883" s="879"/>
      <c r="B1883" s="1452" t="s">
        <v>1459</v>
      </c>
      <c r="C1883" s="879"/>
    </row>
    <row r="1884" spans="1:3" x14ac:dyDescent="0.25">
      <c r="A1884" s="879"/>
      <c r="B1884" s="1452" t="s">
        <v>1367</v>
      </c>
      <c r="C1884" s="879"/>
    </row>
    <row r="1885" spans="1:3" x14ac:dyDescent="0.25">
      <c r="A1885" s="879"/>
      <c r="B1885" s="1452" t="s">
        <v>1450</v>
      </c>
      <c r="C1885" s="879"/>
    </row>
    <row r="1886" spans="1:3" x14ac:dyDescent="0.25">
      <c r="A1886" s="879"/>
      <c r="B1886" s="1452" t="s">
        <v>1451</v>
      </c>
      <c r="C1886" s="879"/>
    </row>
    <row r="1887" spans="1:3" x14ac:dyDescent="0.25">
      <c r="A1887" s="879"/>
      <c r="B1887" s="1452" t="s">
        <v>1452</v>
      </c>
      <c r="C1887" s="879"/>
    </row>
    <row r="1888" spans="1:3" x14ac:dyDescent="0.25">
      <c r="A1888" s="879"/>
      <c r="B1888" s="1452" t="s">
        <v>1681</v>
      </c>
      <c r="C1888" s="879"/>
    </row>
    <row r="1889" spans="1:3" x14ac:dyDescent="0.25">
      <c r="A1889" s="879"/>
      <c r="B1889" s="1452" t="s">
        <v>1682</v>
      </c>
      <c r="C1889" s="879"/>
    </row>
    <row r="1890" spans="1:3" x14ac:dyDescent="0.25">
      <c r="A1890" s="879"/>
      <c r="B1890" s="1452" t="s">
        <v>1517</v>
      </c>
      <c r="C1890" s="879"/>
    </row>
    <row r="1891" spans="1:3" x14ac:dyDescent="0.25">
      <c r="A1891" s="879"/>
      <c r="B1891" s="1452" t="s">
        <v>1684</v>
      </c>
      <c r="C1891" s="879"/>
    </row>
    <row r="1892" spans="1:3" x14ac:dyDescent="0.25">
      <c r="A1892" s="879"/>
      <c r="B1892" s="1452" t="s">
        <v>2244</v>
      </c>
      <c r="C1892" s="879"/>
    </row>
    <row r="1893" spans="1:3" x14ac:dyDescent="0.25">
      <c r="A1893" s="879"/>
      <c r="B1893" s="1452" t="s">
        <v>2245</v>
      </c>
      <c r="C1893" s="879"/>
    </row>
    <row r="1894" spans="1:3" x14ac:dyDescent="0.25">
      <c r="A1894" s="879"/>
      <c r="B1894" s="1452" t="s">
        <v>1685</v>
      </c>
      <c r="C1894" s="879"/>
    </row>
    <row r="1895" spans="1:3" x14ac:dyDescent="0.25">
      <c r="A1895" s="879"/>
      <c r="B1895" s="1452" t="s">
        <v>1686</v>
      </c>
      <c r="C1895" s="879"/>
    </row>
    <row r="1896" spans="1:3" x14ac:dyDescent="0.25">
      <c r="A1896" s="879"/>
      <c r="B1896" s="1452" t="s">
        <v>1454</v>
      </c>
      <c r="C1896" s="879"/>
    </row>
    <row r="1897" spans="1:3" x14ac:dyDescent="0.25">
      <c r="A1897" s="879"/>
      <c r="B1897" s="1452" t="s">
        <v>2246</v>
      </c>
      <c r="C1897" s="879"/>
    </row>
    <row r="1898" spans="1:3" x14ac:dyDescent="0.25">
      <c r="A1898" s="879"/>
      <c r="B1898" s="1452" t="s">
        <v>1455</v>
      </c>
      <c r="C1898" s="879"/>
    </row>
    <row r="1899" spans="1:3" x14ac:dyDescent="0.25">
      <c r="A1899" s="879"/>
      <c r="B1899" s="1452" t="s">
        <v>1518</v>
      </c>
      <c r="C1899" s="879"/>
    </row>
    <row r="1900" spans="1:3" x14ac:dyDescent="0.25">
      <c r="A1900" s="879"/>
      <c r="B1900" s="1452" t="s">
        <v>1688</v>
      </c>
      <c r="C1900" s="879"/>
    </row>
    <row r="1901" spans="1:3" x14ac:dyDescent="0.25">
      <c r="A1901" s="879"/>
      <c r="B1901" s="1452" t="s">
        <v>1458</v>
      </c>
      <c r="C1901" s="879"/>
    </row>
    <row r="1902" spans="1:3" x14ac:dyDescent="0.25">
      <c r="A1902" s="879"/>
      <c r="B1902" s="1452" t="s">
        <v>1690</v>
      </c>
      <c r="C1902" s="879"/>
    </row>
    <row r="1903" spans="1:3" x14ac:dyDescent="0.25">
      <c r="A1903" s="879"/>
      <c r="B1903" s="1452" t="s">
        <v>1367</v>
      </c>
      <c r="C1903" s="879"/>
    </row>
    <row r="1904" spans="1:3" x14ac:dyDescent="0.25">
      <c r="A1904" s="879"/>
      <c r="B1904" s="1452" t="s">
        <v>1691</v>
      </c>
      <c r="C1904" s="879"/>
    </row>
    <row r="1905" spans="1:3" x14ac:dyDescent="0.25">
      <c r="A1905" s="879"/>
      <c r="B1905" s="1452" t="s">
        <v>2058</v>
      </c>
      <c r="C1905" s="879"/>
    </row>
    <row r="1906" spans="1:3" x14ac:dyDescent="0.25">
      <c r="A1906" s="879"/>
      <c r="B1906" s="1452" t="s">
        <v>1693</v>
      </c>
      <c r="C1906" s="879"/>
    </row>
    <row r="1907" spans="1:3" x14ac:dyDescent="0.25">
      <c r="A1907" s="879"/>
      <c r="B1907" s="1452" t="s">
        <v>1694</v>
      </c>
      <c r="C1907" s="879"/>
    </row>
    <row r="1908" spans="1:3" x14ac:dyDescent="0.25">
      <c r="A1908" s="879"/>
      <c r="B1908" s="1452" t="s">
        <v>1695</v>
      </c>
      <c r="C1908" s="879"/>
    </row>
    <row r="1909" spans="1:3" x14ac:dyDescent="0.25">
      <c r="A1909" s="879"/>
      <c r="B1909" s="1452" t="s">
        <v>1696</v>
      </c>
      <c r="C1909" s="879"/>
    </row>
    <row r="1910" spans="1:3" x14ac:dyDescent="0.25">
      <c r="A1910" s="879"/>
      <c r="B1910" s="1452" t="s">
        <v>2059</v>
      </c>
      <c r="C1910" s="879"/>
    </row>
    <row r="1911" spans="1:3" x14ac:dyDescent="0.25">
      <c r="A1911" s="879"/>
      <c r="B1911" s="1452" t="s">
        <v>2060</v>
      </c>
      <c r="C1911" s="879"/>
    </row>
    <row r="1912" spans="1:3" x14ac:dyDescent="0.25">
      <c r="A1912" s="879"/>
      <c r="B1912" s="1452" t="s">
        <v>1699</v>
      </c>
      <c r="C1912" s="879"/>
    </row>
    <row r="1913" spans="1:3" x14ac:dyDescent="0.25">
      <c r="A1913" s="879"/>
      <c r="B1913" s="1452" t="s">
        <v>1700</v>
      </c>
      <c r="C1913" s="879"/>
    </row>
    <row r="1914" spans="1:3" x14ac:dyDescent="0.25">
      <c r="A1914" s="879"/>
      <c r="B1914" s="1452" t="s">
        <v>2061</v>
      </c>
      <c r="C1914" s="879"/>
    </row>
    <row r="1915" spans="1:3" x14ac:dyDescent="0.25">
      <c r="A1915" s="879"/>
      <c r="B1915" s="1452" t="s">
        <v>2062</v>
      </c>
      <c r="C1915" s="879"/>
    </row>
    <row r="1916" spans="1:3" x14ac:dyDescent="0.25">
      <c r="A1916" s="879"/>
      <c r="B1916" s="1452" t="s">
        <v>1703</v>
      </c>
      <c r="C1916" s="879"/>
    </row>
    <row r="1917" spans="1:3" x14ac:dyDescent="0.25">
      <c r="A1917" s="879"/>
      <c r="B1917" s="1452" t="s">
        <v>2063</v>
      </c>
      <c r="C1917" s="879"/>
    </row>
    <row r="1918" spans="1:3" x14ac:dyDescent="0.25">
      <c r="A1918" s="879"/>
      <c r="B1918" s="1452" t="s">
        <v>1705</v>
      </c>
      <c r="C1918" s="879"/>
    </row>
    <row r="1919" spans="1:3" x14ac:dyDescent="0.25">
      <c r="A1919" s="879"/>
      <c r="B1919" s="1452"/>
      <c r="C1919" s="879"/>
    </row>
    <row r="1920" spans="1:3" x14ac:dyDescent="0.25">
      <c r="A1920" s="879"/>
      <c r="B1920" s="1452"/>
      <c r="C1920" s="879"/>
    </row>
    <row r="1921" spans="1:3" x14ac:dyDescent="0.25">
      <c r="A1921" s="879"/>
      <c r="B1921" s="1452" t="s">
        <v>1368</v>
      </c>
      <c r="C1921" s="879"/>
    </row>
    <row r="1922" spans="1:3" x14ac:dyDescent="0.25">
      <c r="A1922" s="879"/>
      <c r="B1922" s="1452" t="s">
        <v>2247</v>
      </c>
      <c r="C1922" s="879"/>
    </row>
    <row r="1923" spans="1:3" x14ac:dyDescent="0.25">
      <c r="A1923" s="879"/>
      <c r="B1923" s="1452" t="s">
        <v>1368</v>
      </c>
      <c r="C1923" s="879"/>
    </row>
    <row r="1924" spans="1:3" x14ac:dyDescent="0.25">
      <c r="A1924" s="879"/>
      <c r="B1924" s="1452" t="s">
        <v>2248</v>
      </c>
      <c r="C1924" s="879"/>
    </row>
    <row r="1925" spans="1:3" x14ac:dyDescent="0.25">
      <c r="A1925" s="879"/>
      <c r="B1925" s="1452" t="s">
        <v>1367</v>
      </c>
      <c r="C1925" s="879"/>
    </row>
    <row r="1926" spans="1:3" x14ac:dyDescent="0.25">
      <c r="A1926" s="879"/>
      <c r="B1926" s="1452" t="s">
        <v>1369</v>
      </c>
      <c r="C1926" s="879"/>
    </row>
    <row r="1927" spans="1:3" x14ac:dyDescent="0.25">
      <c r="A1927" s="879"/>
      <c r="B1927" s="1452" t="s">
        <v>1370</v>
      </c>
      <c r="C1927" s="879"/>
    </row>
    <row r="1928" spans="1:3" x14ac:dyDescent="0.25">
      <c r="A1928" s="879"/>
      <c r="B1928" s="1452" t="s">
        <v>1367</v>
      </c>
      <c r="C1928" s="879"/>
    </row>
    <row r="1929" spans="1:3" x14ac:dyDescent="0.25">
      <c r="A1929" s="879"/>
      <c r="B1929" s="1452" t="s">
        <v>1371</v>
      </c>
      <c r="C1929" s="879"/>
    </row>
    <row r="1930" spans="1:3" x14ac:dyDescent="0.25">
      <c r="A1930" s="879"/>
      <c r="B1930" s="1452" t="s">
        <v>1372</v>
      </c>
      <c r="C1930" s="879"/>
    </row>
    <row r="1931" spans="1:3" x14ac:dyDescent="0.25">
      <c r="A1931" s="879"/>
      <c r="B1931" s="1452" t="s">
        <v>1373</v>
      </c>
      <c r="C1931" s="879"/>
    </row>
    <row r="1932" spans="1:3" x14ac:dyDescent="0.25">
      <c r="A1932" s="879"/>
      <c r="B1932" s="1452" t="s">
        <v>1374</v>
      </c>
      <c r="C1932" s="879"/>
    </row>
    <row r="1933" spans="1:3" x14ac:dyDescent="0.25">
      <c r="A1933" s="879"/>
      <c r="B1933" s="1452" t="s">
        <v>1375</v>
      </c>
      <c r="C1933" s="879"/>
    </row>
    <row r="1934" spans="1:3" x14ac:dyDescent="0.25">
      <c r="A1934" s="879"/>
      <c r="B1934" s="1452" t="s">
        <v>1376</v>
      </c>
      <c r="C1934" s="879"/>
    </row>
    <row r="1935" spans="1:3" x14ac:dyDescent="0.25">
      <c r="A1935" s="879"/>
      <c r="B1935" s="1452" t="s">
        <v>1377</v>
      </c>
      <c r="C1935" s="879"/>
    </row>
    <row r="1936" spans="1:3" x14ac:dyDescent="0.25">
      <c r="A1936" s="879"/>
      <c r="B1936" s="1452" t="s">
        <v>1378</v>
      </c>
      <c r="C1936" s="879"/>
    </row>
    <row r="1937" spans="1:3" x14ac:dyDescent="0.25">
      <c r="A1937" s="879"/>
      <c r="B1937" s="1452" t="s">
        <v>1379</v>
      </c>
      <c r="C1937" s="879"/>
    </row>
    <row r="1938" spans="1:3" x14ac:dyDescent="0.25">
      <c r="A1938" s="879"/>
      <c r="B1938" s="1452" t="s">
        <v>1380</v>
      </c>
      <c r="C1938" s="879"/>
    </row>
    <row r="1939" spans="1:3" x14ac:dyDescent="0.25">
      <c r="A1939" s="879"/>
      <c r="B1939" s="1452" t="s">
        <v>1381</v>
      </c>
      <c r="C1939" s="879"/>
    </row>
    <row r="1940" spans="1:3" x14ac:dyDescent="0.25">
      <c r="A1940" s="879"/>
      <c r="B1940" s="1452" t="s">
        <v>1382</v>
      </c>
      <c r="C1940" s="879"/>
    </row>
    <row r="1941" spans="1:3" x14ac:dyDescent="0.25">
      <c r="A1941" s="879"/>
      <c r="B1941" s="1452" t="s">
        <v>1367</v>
      </c>
      <c r="C1941" s="879"/>
    </row>
    <row r="1942" spans="1:3" x14ac:dyDescent="0.25">
      <c r="A1942" s="879"/>
      <c r="B1942" s="1452" t="s">
        <v>1371</v>
      </c>
      <c r="C1942" s="879"/>
    </row>
    <row r="1943" spans="1:3" x14ac:dyDescent="0.25">
      <c r="A1943" s="879"/>
      <c r="B1943" s="1452" t="s">
        <v>1383</v>
      </c>
      <c r="C1943" s="879"/>
    </row>
    <row r="1944" spans="1:3" x14ac:dyDescent="0.25">
      <c r="A1944" s="879"/>
      <c r="B1944" s="1452" t="s">
        <v>1384</v>
      </c>
      <c r="C1944" s="879"/>
    </row>
    <row r="1945" spans="1:3" x14ac:dyDescent="0.25">
      <c r="A1945" s="879"/>
      <c r="B1945" s="1452" t="s">
        <v>1385</v>
      </c>
      <c r="C1945" s="879"/>
    </row>
    <row r="1946" spans="1:3" x14ac:dyDescent="0.25">
      <c r="A1946" s="879"/>
      <c r="B1946" s="1452" t="s">
        <v>1386</v>
      </c>
      <c r="C1946" s="879"/>
    </row>
    <row r="1947" spans="1:3" x14ac:dyDescent="0.25">
      <c r="A1947" s="879"/>
      <c r="B1947" s="1452" t="s">
        <v>1387</v>
      </c>
      <c r="C1947" s="879"/>
    </row>
    <row r="1948" spans="1:3" x14ac:dyDescent="0.25">
      <c r="A1948" s="879"/>
      <c r="B1948" s="1452" t="s">
        <v>1388</v>
      </c>
      <c r="C1948" s="879"/>
    </row>
    <row r="1949" spans="1:3" x14ac:dyDescent="0.25">
      <c r="A1949" s="879"/>
      <c r="B1949" s="1452" t="s">
        <v>1389</v>
      </c>
      <c r="C1949" s="879"/>
    </row>
    <row r="1950" spans="1:3" x14ac:dyDescent="0.25">
      <c r="A1950" s="879"/>
      <c r="B1950" s="1452" t="s">
        <v>1390</v>
      </c>
      <c r="C1950" s="879"/>
    </row>
    <row r="1951" spans="1:3" x14ac:dyDescent="0.25">
      <c r="A1951" s="879"/>
      <c r="B1951" s="1452" t="s">
        <v>1391</v>
      </c>
      <c r="C1951" s="879"/>
    </row>
    <row r="1952" spans="1:3" x14ac:dyDescent="0.25">
      <c r="A1952" s="879"/>
      <c r="B1952" s="1452" t="s">
        <v>1392</v>
      </c>
      <c r="C1952" s="879"/>
    </row>
    <row r="1953" spans="1:3" x14ac:dyDescent="0.25">
      <c r="A1953" s="879"/>
      <c r="B1953" s="1452" t="s">
        <v>1393</v>
      </c>
      <c r="C1953" s="879"/>
    </row>
    <row r="1954" spans="1:3" x14ac:dyDescent="0.25">
      <c r="A1954" s="879"/>
      <c r="B1954" s="1452" t="s">
        <v>1394</v>
      </c>
      <c r="C1954" s="879"/>
    </row>
    <row r="1955" spans="1:3" x14ac:dyDescent="0.25">
      <c r="A1955" s="879"/>
      <c r="B1955" s="1452" t="s">
        <v>1395</v>
      </c>
      <c r="C1955" s="879"/>
    </row>
    <row r="1956" spans="1:3" x14ac:dyDescent="0.25">
      <c r="A1956" s="879"/>
      <c r="B1956" s="1452" t="s">
        <v>1396</v>
      </c>
      <c r="C1956" s="879"/>
    </row>
    <row r="1957" spans="1:3" x14ac:dyDescent="0.25">
      <c r="A1957" s="879"/>
      <c r="B1957" s="1452" t="s">
        <v>1397</v>
      </c>
      <c r="C1957" s="879"/>
    </row>
    <row r="1958" spans="1:3" x14ac:dyDescent="0.25">
      <c r="A1958" s="879"/>
      <c r="B1958" s="1452" t="s">
        <v>1398</v>
      </c>
      <c r="C1958" s="879"/>
    </row>
    <row r="1959" spans="1:3" x14ac:dyDescent="0.25">
      <c r="A1959" s="879"/>
      <c r="B1959" s="1452" t="s">
        <v>1399</v>
      </c>
      <c r="C1959" s="879"/>
    </row>
    <row r="1960" spans="1:3" x14ac:dyDescent="0.25">
      <c r="A1960" s="879"/>
      <c r="B1960" s="1452" t="s">
        <v>1400</v>
      </c>
      <c r="C1960" s="879"/>
    </row>
    <row r="1961" spans="1:3" x14ac:dyDescent="0.25">
      <c r="A1961" s="879"/>
      <c r="B1961" s="1452" t="s">
        <v>1401</v>
      </c>
      <c r="C1961" s="879"/>
    </row>
    <row r="1962" spans="1:3" x14ac:dyDescent="0.25">
      <c r="A1962" s="879"/>
      <c r="B1962" s="1452" t="s">
        <v>1402</v>
      </c>
      <c r="C1962" s="879"/>
    </row>
    <row r="1963" spans="1:3" x14ac:dyDescent="0.25">
      <c r="A1963" s="879"/>
      <c r="B1963" s="1452" t="s">
        <v>1403</v>
      </c>
      <c r="C1963" s="879"/>
    </row>
    <row r="1964" spans="1:3" x14ac:dyDescent="0.25">
      <c r="A1964" s="879"/>
      <c r="B1964" s="1452" t="s">
        <v>1404</v>
      </c>
      <c r="C1964" s="879"/>
    </row>
    <row r="1965" spans="1:3" x14ac:dyDescent="0.25">
      <c r="A1965" s="879"/>
      <c r="B1965" s="1452" t="s">
        <v>1405</v>
      </c>
      <c r="C1965" s="879"/>
    </row>
    <row r="1966" spans="1:3" x14ac:dyDescent="0.25">
      <c r="A1966" s="879"/>
      <c r="B1966" s="1452" t="s">
        <v>1406</v>
      </c>
      <c r="C1966" s="879"/>
    </row>
    <row r="1967" spans="1:3" x14ac:dyDescent="0.25">
      <c r="A1967" s="879"/>
      <c r="B1967" s="1452" t="s">
        <v>1407</v>
      </c>
      <c r="C1967" s="879"/>
    </row>
    <row r="1968" spans="1:3" x14ac:dyDescent="0.25">
      <c r="A1968" s="879"/>
      <c r="B1968" s="1452" t="s">
        <v>1408</v>
      </c>
      <c r="C1968" s="879"/>
    </row>
    <row r="1969" spans="1:3" x14ac:dyDescent="0.25">
      <c r="A1969" s="879"/>
      <c r="B1969" s="1452" t="s">
        <v>1409</v>
      </c>
      <c r="C1969" s="879"/>
    </row>
    <row r="1970" spans="1:3" x14ac:dyDescent="0.25">
      <c r="A1970" s="879"/>
      <c r="B1970" s="1452" t="s">
        <v>1410</v>
      </c>
      <c r="C1970" s="879"/>
    </row>
    <row r="1971" spans="1:3" x14ac:dyDescent="0.25">
      <c r="A1971" s="879"/>
      <c r="B1971" s="1452" t="s">
        <v>1411</v>
      </c>
      <c r="C1971" s="879"/>
    </row>
    <row r="1972" spans="1:3" x14ac:dyDescent="0.25">
      <c r="A1972" s="879"/>
      <c r="B1972" s="1452" t="s">
        <v>1412</v>
      </c>
      <c r="C1972" s="879"/>
    </row>
    <row r="1973" spans="1:3" x14ac:dyDescent="0.25">
      <c r="A1973" s="879"/>
      <c r="B1973" s="1452" t="s">
        <v>1413</v>
      </c>
      <c r="C1973" s="879"/>
    </row>
    <row r="1974" spans="1:3" x14ac:dyDescent="0.25">
      <c r="A1974" s="879"/>
      <c r="B1974" s="1452" t="s">
        <v>1414</v>
      </c>
      <c r="C1974" s="879"/>
    </row>
    <row r="1975" spans="1:3" x14ac:dyDescent="0.25">
      <c r="A1975" s="879"/>
      <c r="B1975" s="1452" t="s">
        <v>1415</v>
      </c>
      <c r="C1975" s="879"/>
    </row>
    <row r="1976" spans="1:3" x14ac:dyDescent="0.25">
      <c r="A1976" s="879"/>
      <c r="B1976" s="1452" t="s">
        <v>1416</v>
      </c>
      <c r="C1976" s="879"/>
    </row>
    <row r="1977" spans="1:3" x14ac:dyDescent="0.25">
      <c r="A1977" s="879"/>
      <c r="B1977" s="1452" t="s">
        <v>1417</v>
      </c>
      <c r="C1977" s="879"/>
    </row>
    <row r="1978" spans="1:3" x14ac:dyDescent="0.25">
      <c r="A1978" s="879"/>
      <c r="B1978" s="1452" t="s">
        <v>1418</v>
      </c>
      <c r="C1978" s="879"/>
    </row>
    <row r="1979" spans="1:3" x14ac:dyDescent="0.25">
      <c r="A1979" s="879"/>
      <c r="B1979" s="1452" t="s">
        <v>1419</v>
      </c>
      <c r="C1979" s="879"/>
    </row>
    <row r="1980" spans="1:3" x14ac:dyDescent="0.25">
      <c r="A1980" s="879"/>
      <c r="B1980" s="1452" t="s">
        <v>1420</v>
      </c>
      <c r="C1980" s="879"/>
    </row>
    <row r="1981" spans="1:3" x14ac:dyDescent="0.25">
      <c r="A1981" s="879"/>
      <c r="B1981" s="1452" t="s">
        <v>1421</v>
      </c>
      <c r="C1981" s="879"/>
    </row>
    <row r="1982" spans="1:3" x14ac:dyDescent="0.25">
      <c r="A1982" s="879"/>
      <c r="B1982" s="1452" t="s">
        <v>1422</v>
      </c>
      <c r="C1982" s="879"/>
    </row>
    <row r="1983" spans="1:3" x14ac:dyDescent="0.25">
      <c r="A1983" s="879"/>
      <c r="B1983" s="1452" t="s">
        <v>1423</v>
      </c>
      <c r="C1983" s="879"/>
    </row>
    <row r="1984" spans="1:3" x14ac:dyDescent="0.25">
      <c r="A1984" s="879"/>
      <c r="B1984" s="1452" t="s">
        <v>1424</v>
      </c>
      <c r="C1984" s="879"/>
    </row>
    <row r="1985" spans="1:3" x14ac:dyDescent="0.25">
      <c r="A1985" s="879"/>
      <c r="B1985" s="1452" t="s">
        <v>1425</v>
      </c>
      <c r="C1985" s="879"/>
    </row>
    <row r="1986" spans="1:3" x14ac:dyDescent="0.25">
      <c r="A1986" s="879"/>
      <c r="B1986" s="1452" t="s">
        <v>1426</v>
      </c>
      <c r="C1986" s="879"/>
    </row>
    <row r="1987" spans="1:3" x14ac:dyDescent="0.25">
      <c r="A1987" s="879"/>
      <c r="B1987" s="1452" t="s">
        <v>1427</v>
      </c>
      <c r="C1987" s="879"/>
    </row>
    <row r="1988" spans="1:3" x14ac:dyDescent="0.25">
      <c r="A1988" s="879"/>
      <c r="B1988" s="1452" t="s">
        <v>1428</v>
      </c>
      <c r="C1988" s="879"/>
    </row>
    <row r="1989" spans="1:3" x14ac:dyDescent="0.25">
      <c r="A1989" s="879"/>
      <c r="B1989" s="1452" t="s">
        <v>1429</v>
      </c>
      <c r="C1989" s="879"/>
    </row>
    <row r="1990" spans="1:3" x14ac:dyDescent="0.25">
      <c r="A1990" s="879"/>
      <c r="B1990" s="1452" t="s">
        <v>1430</v>
      </c>
      <c r="C1990" s="879"/>
    </row>
    <row r="1991" spans="1:3" x14ac:dyDescent="0.25">
      <c r="A1991" s="879"/>
      <c r="B1991" s="1452" t="s">
        <v>1367</v>
      </c>
      <c r="C1991" s="879"/>
    </row>
    <row r="1992" spans="1:3" x14ac:dyDescent="0.25">
      <c r="A1992" s="879"/>
      <c r="B1992" s="1452" t="s">
        <v>1431</v>
      </c>
      <c r="C1992" s="879"/>
    </row>
    <row r="1993" spans="1:3" x14ac:dyDescent="0.25">
      <c r="A1993" s="879"/>
      <c r="B1993" s="1452"/>
      <c r="C1993" s="879"/>
    </row>
    <row r="1994" spans="1:3" x14ac:dyDescent="0.25">
      <c r="A1994" s="879"/>
      <c r="B1994" s="1452"/>
      <c r="C1994" s="879"/>
    </row>
    <row r="1995" spans="1:3" x14ac:dyDescent="0.25">
      <c r="A1995" s="879"/>
      <c r="B1995" s="1452" t="s">
        <v>1368</v>
      </c>
      <c r="C1995" s="879"/>
    </row>
    <row r="1996" spans="1:3" x14ac:dyDescent="0.25">
      <c r="A1996" s="879"/>
      <c r="B1996" s="1452" t="s">
        <v>2249</v>
      </c>
      <c r="C1996" s="879"/>
    </row>
    <row r="1997" spans="1:3" x14ac:dyDescent="0.25">
      <c r="A1997" s="879"/>
      <c r="B1997" s="1452" t="s">
        <v>1368</v>
      </c>
      <c r="C1997" s="879"/>
    </row>
    <row r="1998" spans="1:3" x14ac:dyDescent="0.25">
      <c r="A1998" s="879"/>
      <c r="B1998" s="1452" t="s">
        <v>2250</v>
      </c>
      <c r="C1998" s="879"/>
    </row>
    <row r="1999" spans="1:3" x14ac:dyDescent="0.25">
      <c r="A1999" s="879"/>
      <c r="B1999" s="1452" t="s">
        <v>1367</v>
      </c>
      <c r="C1999" s="879"/>
    </row>
    <row r="2000" spans="1:3" x14ac:dyDescent="0.25">
      <c r="A2000" s="879"/>
      <c r="B2000" s="1452" t="s">
        <v>1369</v>
      </c>
      <c r="C2000" s="879"/>
    </row>
    <row r="2001" spans="1:3" x14ac:dyDescent="0.25">
      <c r="A2001" s="879"/>
      <c r="B2001" s="1452" t="s">
        <v>1370</v>
      </c>
      <c r="C2001" s="879"/>
    </row>
    <row r="2002" spans="1:3" x14ac:dyDescent="0.25">
      <c r="A2002" s="879"/>
      <c r="B2002" s="1452" t="s">
        <v>1367</v>
      </c>
      <c r="C2002" s="879"/>
    </row>
    <row r="2003" spans="1:3" x14ac:dyDescent="0.25">
      <c r="A2003" s="879"/>
      <c r="B2003" s="1452" t="s">
        <v>1432</v>
      </c>
      <c r="C2003" s="879"/>
    </row>
    <row r="2004" spans="1:3" x14ac:dyDescent="0.25">
      <c r="A2004" s="879"/>
      <c r="B2004" s="1452" t="s">
        <v>1487</v>
      </c>
      <c r="C2004" s="879"/>
    </row>
    <row r="2005" spans="1:3" x14ac:dyDescent="0.25">
      <c r="A2005" s="879"/>
      <c r="B2005" s="1452" t="s">
        <v>2251</v>
      </c>
      <c r="C2005" s="879"/>
    </row>
    <row r="2006" spans="1:3" x14ac:dyDescent="0.25">
      <c r="A2006" s="879"/>
      <c r="B2006" s="1452" t="s">
        <v>2252</v>
      </c>
      <c r="C2006" s="879"/>
    </row>
    <row r="2007" spans="1:3" x14ac:dyDescent="0.25">
      <c r="A2007" s="879"/>
      <c r="B2007" s="1452" t="s">
        <v>1488</v>
      </c>
      <c r="C2007" s="879"/>
    </row>
    <row r="2008" spans="1:3" x14ac:dyDescent="0.25">
      <c r="A2008" s="879"/>
      <c r="B2008" s="1452" t="s">
        <v>1489</v>
      </c>
      <c r="C2008" s="879"/>
    </row>
    <row r="2009" spans="1:3" x14ac:dyDescent="0.25">
      <c r="A2009" s="879"/>
      <c r="B2009" s="1452" t="s">
        <v>1490</v>
      </c>
      <c r="C2009" s="879"/>
    </row>
    <row r="2010" spans="1:3" x14ac:dyDescent="0.25">
      <c r="A2010" s="879"/>
      <c r="B2010" s="1452" t="s">
        <v>2253</v>
      </c>
      <c r="C2010" s="879"/>
    </row>
    <row r="2011" spans="1:3" x14ac:dyDescent="0.25">
      <c r="A2011" s="879"/>
      <c r="B2011" s="1452" t="s">
        <v>2254</v>
      </c>
      <c r="C2011" s="879"/>
    </row>
    <row r="2012" spans="1:3" x14ac:dyDescent="0.25">
      <c r="A2012" s="879"/>
      <c r="B2012" s="1452" t="s">
        <v>1491</v>
      </c>
      <c r="C2012" s="879"/>
    </row>
    <row r="2013" spans="1:3" x14ac:dyDescent="0.25">
      <c r="A2013" s="879"/>
      <c r="B2013" s="1452" t="s">
        <v>1492</v>
      </c>
      <c r="C2013" s="879"/>
    </row>
    <row r="2014" spans="1:3" x14ac:dyDescent="0.25">
      <c r="A2014" s="879"/>
      <c r="B2014" s="1452" t="s">
        <v>1382</v>
      </c>
      <c r="C2014" s="879"/>
    </row>
    <row r="2015" spans="1:3" x14ac:dyDescent="0.25">
      <c r="A2015" s="879"/>
      <c r="B2015" s="1452" t="s">
        <v>1367</v>
      </c>
      <c r="C2015" s="879"/>
    </row>
    <row r="2016" spans="1:3" x14ac:dyDescent="0.25">
      <c r="A2016" s="879"/>
      <c r="B2016" s="1452" t="s">
        <v>1432</v>
      </c>
      <c r="C2016" s="879"/>
    </row>
    <row r="2017" spans="1:3" x14ac:dyDescent="0.25">
      <c r="A2017" s="879"/>
      <c r="B2017" s="1452" t="s">
        <v>2255</v>
      </c>
      <c r="C2017" s="879"/>
    </row>
    <row r="2018" spans="1:3" x14ac:dyDescent="0.25">
      <c r="A2018" s="879"/>
      <c r="B2018" s="1452" t="s">
        <v>2256</v>
      </c>
      <c r="C2018" s="879"/>
    </row>
    <row r="2019" spans="1:3" x14ac:dyDescent="0.25">
      <c r="A2019" s="879"/>
      <c r="B2019" s="1452" t="s">
        <v>2257</v>
      </c>
      <c r="C2019" s="879"/>
    </row>
    <row r="2020" spans="1:3" x14ac:dyDescent="0.25">
      <c r="A2020" s="879"/>
      <c r="B2020" s="1452" t="s">
        <v>1493</v>
      </c>
      <c r="C2020" s="879"/>
    </row>
    <row r="2021" spans="1:3" x14ac:dyDescent="0.25">
      <c r="A2021" s="879"/>
      <c r="B2021" s="1452" t="s">
        <v>2258</v>
      </c>
      <c r="C2021" s="879"/>
    </row>
    <row r="2022" spans="1:3" x14ac:dyDescent="0.25">
      <c r="A2022" s="879"/>
      <c r="B2022" s="1452" t="s">
        <v>2259</v>
      </c>
      <c r="C2022" s="879"/>
    </row>
    <row r="2023" spans="1:3" x14ac:dyDescent="0.25">
      <c r="A2023" s="879"/>
      <c r="B2023" s="1452" t="s">
        <v>2260</v>
      </c>
      <c r="C2023" s="879"/>
    </row>
    <row r="2024" spans="1:3" x14ac:dyDescent="0.25">
      <c r="A2024" s="879"/>
      <c r="B2024" s="1452" t="s">
        <v>2261</v>
      </c>
      <c r="C2024" s="879"/>
    </row>
    <row r="2025" spans="1:3" x14ac:dyDescent="0.25">
      <c r="A2025" s="879"/>
      <c r="B2025" s="1452" t="s">
        <v>2262</v>
      </c>
      <c r="C2025" s="879"/>
    </row>
    <row r="2026" spans="1:3" x14ac:dyDescent="0.25">
      <c r="A2026" s="879"/>
      <c r="B2026" s="1452" t="s">
        <v>2263</v>
      </c>
      <c r="C2026" s="879"/>
    </row>
    <row r="2027" spans="1:3" x14ac:dyDescent="0.25">
      <c r="A2027" s="879"/>
      <c r="B2027" s="1452" t="s">
        <v>1494</v>
      </c>
      <c r="C2027" s="879"/>
    </row>
    <row r="2028" spans="1:3" x14ac:dyDescent="0.25">
      <c r="A2028" s="879"/>
      <c r="B2028" s="1452" t="s">
        <v>1495</v>
      </c>
      <c r="C2028" s="879"/>
    </row>
    <row r="2029" spans="1:3" x14ac:dyDescent="0.25">
      <c r="A2029" s="879"/>
      <c r="B2029" s="1452" t="s">
        <v>1496</v>
      </c>
      <c r="C2029" s="879"/>
    </row>
    <row r="2030" spans="1:3" x14ac:dyDescent="0.25">
      <c r="A2030" s="879"/>
      <c r="B2030" s="1452" t="s">
        <v>1437</v>
      </c>
      <c r="C2030" s="879"/>
    </row>
    <row r="2031" spans="1:3" x14ac:dyDescent="0.25">
      <c r="A2031" s="879"/>
      <c r="B2031" s="1452" t="s">
        <v>1497</v>
      </c>
      <c r="C2031" s="879"/>
    </row>
    <row r="2032" spans="1:3" x14ac:dyDescent="0.25">
      <c r="A2032" s="879"/>
      <c r="B2032" s="1452" t="s">
        <v>1498</v>
      </c>
      <c r="C2032" s="879"/>
    </row>
    <row r="2033" spans="1:3" x14ac:dyDescent="0.25">
      <c r="A2033" s="879"/>
      <c r="B2033" s="1452" t="s">
        <v>2264</v>
      </c>
      <c r="C2033" s="879"/>
    </row>
    <row r="2034" spans="1:3" x14ac:dyDescent="0.25">
      <c r="A2034" s="879"/>
      <c r="B2034" s="1452" t="s">
        <v>1499</v>
      </c>
      <c r="C2034" s="879"/>
    </row>
    <row r="2035" spans="1:3" x14ac:dyDescent="0.25">
      <c r="A2035" s="879"/>
      <c r="B2035" s="1452" t="s">
        <v>2265</v>
      </c>
      <c r="C2035" s="879"/>
    </row>
    <row r="2036" spans="1:3" x14ac:dyDescent="0.25">
      <c r="A2036" s="879"/>
      <c r="B2036" s="1452" t="s">
        <v>1500</v>
      </c>
      <c r="C2036" s="879"/>
    </row>
    <row r="2037" spans="1:3" x14ac:dyDescent="0.25">
      <c r="A2037" s="879"/>
      <c r="B2037" s="1452" t="s">
        <v>2266</v>
      </c>
      <c r="C2037" s="879"/>
    </row>
    <row r="2038" spans="1:3" x14ac:dyDescent="0.25">
      <c r="A2038" s="879"/>
      <c r="B2038" s="1452" t="s">
        <v>2267</v>
      </c>
      <c r="C2038" s="879"/>
    </row>
    <row r="2039" spans="1:3" x14ac:dyDescent="0.25">
      <c r="A2039" s="879"/>
      <c r="B2039" s="1452" t="s">
        <v>1440</v>
      </c>
      <c r="C2039" s="879"/>
    </row>
    <row r="2040" spans="1:3" x14ac:dyDescent="0.25">
      <c r="A2040" s="879"/>
      <c r="B2040" s="1452" t="s">
        <v>2268</v>
      </c>
      <c r="C2040" s="879"/>
    </row>
    <row r="2041" spans="1:3" x14ac:dyDescent="0.25">
      <c r="A2041" s="879"/>
      <c r="B2041" s="1452" t="s">
        <v>2269</v>
      </c>
      <c r="C2041" s="879"/>
    </row>
    <row r="2042" spans="1:3" x14ac:dyDescent="0.25">
      <c r="A2042" s="879"/>
      <c r="B2042" s="1452" t="s">
        <v>2270</v>
      </c>
      <c r="C2042" s="879"/>
    </row>
    <row r="2043" spans="1:3" x14ac:dyDescent="0.25">
      <c r="A2043" s="879"/>
      <c r="B2043" s="1452" t="s">
        <v>2271</v>
      </c>
      <c r="C2043" s="879"/>
    </row>
    <row r="2044" spans="1:3" x14ac:dyDescent="0.25">
      <c r="A2044" s="879"/>
      <c r="B2044" s="1452" t="s">
        <v>1441</v>
      </c>
      <c r="C2044" s="879"/>
    </row>
    <row r="2045" spans="1:3" x14ac:dyDescent="0.25">
      <c r="A2045" s="879"/>
      <c r="B2045" s="1452" t="s">
        <v>1501</v>
      </c>
      <c r="C2045" s="879"/>
    </row>
    <row r="2046" spans="1:3" x14ac:dyDescent="0.25">
      <c r="A2046" s="879"/>
      <c r="B2046" s="1452" t="s">
        <v>1502</v>
      </c>
      <c r="C2046" s="879"/>
    </row>
    <row r="2047" spans="1:3" x14ac:dyDescent="0.25">
      <c r="A2047" s="879"/>
      <c r="B2047" s="1452" t="s">
        <v>2272</v>
      </c>
      <c r="C2047" s="879"/>
    </row>
    <row r="2048" spans="1:3" x14ac:dyDescent="0.25">
      <c r="A2048" s="879"/>
      <c r="B2048" s="1452" t="s">
        <v>2273</v>
      </c>
      <c r="C2048" s="879"/>
    </row>
    <row r="2049" spans="1:3" x14ac:dyDescent="0.25">
      <c r="A2049" s="879"/>
      <c r="B2049" s="1452" t="s">
        <v>1503</v>
      </c>
      <c r="C2049" s="879"/>
    </row>
    <row r="2050" spans="1:3" x14ac:dyDescent="0.25">
      <c r="A2050" s="879"/>
      <c r="B2050" s="1452" t="s">
        <v>1445</v>
      </c>
      <c r="C2050" s="879"/>
    </row>
    <row r="2051" spans="1:3" x14ac:dyDescent="0.25">
      <c r="A2051" s="879"/>
      <c r="B2051" s="1452" t="s">
        <v>2274</v>
      </c>
      <c r="C2051" s="879"/>
    </row>
    <row r="2052" spans="1:3" x14ac:dyDescent="0.25">
      <c r="A2052" s="879"/>
      <c r="B2052" s="1452" t="s">
        <v>2275</v>
      </c>
      <c r="C2052" s="879"/>
    </row>
    <row r="2053" spans="1:3" x14ac:dyDescent="0.25">
      <c r="A2053" s="879"/>
      <c r="B2053" s="1452" t="s">
        <v>2276</v>
      </c>
      <c r="C2053" s="879"/>
    </row>
    <row r="2054" spans="1:3" x14ac:dyDescent="0.25">
      <c r="A2054" s="879"/>
      <c r="B2054" s="1452" t="s">
        <v>2277</v>
      </c>
      <c r="C2054" s="879"/>
    </row>
    <row r="2055" spans="1:3" x14ac:dyDescent="0.25">
      <c r="A2055" s="879"/>
      <c r="B2055" s="1452" t="s">
        <v>2278</v>
      </c>
      <c r="C2055" s="879"/>
    </row>
    <row r="2056" spans="1:3" x14ac:dyDescent="0.25">
      <c r="A2056" s="879"/>
      <c r="B2056" s="1452" t="s">
        <v>2279</v>
      </c>
      <c r="C2056" s="879"/>
    </row>
    <row r="2057" spans="1:3" x14ac:dyDescent="0.25">
      <c r="A2057" s="879"/>
      <c r="B2057" s="1452" t="s">
        <v>2280</v>
      </c>
      <c r="C2057" s="879"/>
    </row>
    <row r="2058" spans="1:3" x14ac:dyDescent="0.25">
      <c r="A2058" s="879"/>
      <c r="B2058" s="1452" t="s">
        <v>2281</v>
      </c>
      <c r="C2058" s="879"/>
    </row>
    <row r="2059" spans="1:3" x14ac:dyDescent="0.25">
      <c r="A2059" s="879"/>
      <c r="B2059" s="1452" t="s">
        <v>2282</v>
      </c>
      <c r="C2059" s="879"/>
    </row>
    <row r="2060" spans="1:3" x14ac:dyDescent="0.25">
      <c r="A2060" s="879"/>
      <c r="B2060" s="1452" t="s">
        <v>1446</v>
      </c>
      <c r="C2060" s="879"/>
    </row>
    <row r="2061" spans="1:3" x14ac:dyDescent="0.25">
      <c r="A2061" s="879"/>
      <c r="B2061" s="1452" t="s">
        <v>1573</v>
      </c>
      <c r="C2061" s="879"/>
    </row>
    <row r="2062" spans="1:3" x14ac:dyDescent="0.25">
      <c r="A2062" s="879"/>
      <c r="B2062" s="1452" t="s">
        <v>1447</v>
      </c>
      <c r="C2062" s="879"/>
    </row>
    <row r="2063" spans="1:3" x14ac:dyDescent="0.25">
      <c r="A2063" s="879"/>
      <c r="B2063" s="1452" t="s">
        <v>1448</v>
      </c>
      <c r="C2063" s="879"/>
    </row>
    <row r="2064" spans="1:3" x14ac:dyDescent="0.25">
      <c r="A2064" s="879"/>
      <c r="B2064" s="1452" t="s">
        <v>1430</v>
      </c>
      <c r="C2064" s="879"/>
    </row>
    <row r="2065" spans="1:3" x14ac:dyDescent="0.25">
      <c r="A2065" s="879"/>
      <c r="B2065" s="1452" t="s">
        <v>1367</v>
      </c>
      <c r="C2065" s="879"/>
    </row>
    <row r="2066" spans="1:3" x14ac:dyDescent="0.25">
      <c r="A2066" s="879"/>
      <c r="B2066" s="1452" t="s">
        <v>1504</v>
      </c>
      <c r="C2066" s="879"/>
    </row>
    <row r="2067" spans="1:3" x14ac:dyDescent="0.25">
      <c r="A2067" s="879"/>
      <c r="B2067" s="1452" t="s">
        <v>1367</v>
      </c>
      <c r="C2067" s="879"/>
    </row>
    <row r="2068" spans="1:3" x14ac:dyDescent="0.25">
      <c r="A2068" s="879"/>
      <c r="B2068" s="1452" t="s">
        <v>1450</v>
      </c>
      <c r="C2068" s="879"/>
    </row>
    <row r="2069" spans="1:3" x14ac:dyDescent="0.25">
      <c r="A2069" s="879"/>
      <c r="B2069" s="1452" t="s">
        <v>1451</v>
      </c>
      <c r="C2069" s="879"/>
    </row>
    <row r="2070" spans="1:3" x14ac:dyDescent="0.25">
      <c r="A2070" s="879"/>
      <c r="B2070" s="1452" t="s">
        <v>2283</v>
      </c>
      <c r="C2070" s="879"/>
    </row>
    <row r="2071" spans="1:3" x14ac:dyDescent="0.25">
      <c r="A2071" s="879"/>
      <c r="B2071" s="1452" t="s">
        <v>1681</v>
      </c>
      <c r="C2071" s="879"/>
    </row>
    <row r="2072" spans="1:3" x14ac:dyDescent="0.25">
      <c r="A2072" s="879"/>
      <c r="B2072" s="1452" t="s">
        <v>1682</v>
      </c>
      <c r="C2072" s="879"/>
    </row>
    <row r="2073" spans="1:3" x14ac:dyDescent="0.25">
      <c r="A2073" s="879"/>
      <c r="B2073" s="1452" t="s">
        <v>1517</v>
      </c>
      <c r="C2073" s="879"/>
    </row>
    <row r="2074" spans="1:3" x14ac:dyDescent="0.25">
      <c r="A2074" s="879"/>
      <c r="B2074" s="1452" t="s">
        <v>1684</v>
      </c>
      <c r="C2074" s="879"/>
    </row>
    <row r="2075" spans="1:3" x14ac:dyDescent="0.25">
      <c r="A2075" s="879"/>
      <c r="B2075" s="1452" t="s">
        <v>2284</v>
      </c>
      <c r="C2075" s="879"/>
    </row>
    <row r="2076" spans="1:3" x14ac:dyDescent="0.25">
      <c r="A2076" s="879"/>
      <c r="B2076" s="1452" t="s">
        <v>2285</v>
      </c>
      <c r="C2076" s="879"/>
    </row>
    <row r="2077" spans="1:3" x14ac:dyDescent="0.25">
      <c r="A2077" s="879"/>
      <c r="B2077" s="1452" t="s">
        <v>1685</v>
      </c>
      <c r="C2077" s="879"/>
    </row>
    <row r="2078" spans="1:3" x14ac:dyDescent="0.25">
      <c r="A2078" s="879"/>
      <c r="B2078" s="1452" t="s">
        <v>1686</v>
      </c>
      <c r="C2078" s="879"/>
    </row>
    <row r="2079" spans="1:3" x14ac:dyDescent="0.25">
      <c r="A2079" s="879"/>
      <c r="B2079" s="1452" t="s">
        <v>2286</v>
      </c>
      <c r="C2079" s="879"/>
    </row>
    <row r="2080" spans="1:3" x14ac:dyDescent="0.25">
      <c r="A2080" s="879"/>
      <c r="B2080" s="1452" t="s">
        <v>2287</v>
      </c>
      <c r="C2080" s="879"/>
    </row>
    <row r="2081" spans="1:3" x14ac:dyDescent="0.25">
      <c r="A2081" s="879"/>
      <c r="B2081" s="1452" t="s">
        <v>1455</v>
      </c>
      <c r="C2081" s="879"/>
    </row>
    <row r="2082" spans="1:3" x14ac:dyDescent="0.25">
      <c r="A2082" s="879"/>
      <c r="B2082" s="1452" t="s">
        <v>2288</v>
      </c>
      <c r="C2082" s="879"/>
    </row>
    <row r="2083" spans="1:3" x14ac:dyDescent="0.25">
      <c r="A2083" s="879"/>
      <c r="B2083" s="1452" t="s">
        <v>1688</v>
      </c>
      <c r="C2083" s="879"/>
    </row>
    <row r="2084" spans="1:3" x14ac:dyDescent="0.25">
      <c r="A2084" s="879"/>
      <c r="B2084" s="1452" t="s">
        <v>1458</v>
      </c>
      <c r="C2084" s="879"/>
    </row>
    <row r="2085" spans="1:3" x14ac:dyDescent="0.25">
      <c r="A2085" s="879"/>
      <c r="B2085" s="1452" t="s">
        <v>1505</v>
      </c>
      <c r="C2085" s="879"/>
    </row>
    <row r="2086" spans="1:3" x14ac:dyDescent="0.25">
      <c r="A2086" s="879"/>
      <c r="B2086" s="1452" t="s">
        <v>1367</v>
      </c>
      <c r="C2086" s="879"/>
    </row>
    <row r="2087" spans="1:3" x14ac:dyDescent="0.25">
      <c r="A2087" s="879"/>
      <c r="B2087" s="1452" t="s">
        <v>1450</v>
      </c>
      <c r="C2087" s="879"/>
    </row>
    <row r="2088" spans="1:3" x14ac:dyDescent="0.25">
      <c r="A2088" s="879"/>
      <c r="B2088" s="1452" t="s">
        <v>1451</v>
      </c>
      <c r="C2088" s="879"/>
    </row>
    <row r="2089" spans="1:3" x14ac:dyDescent="0.25">
      <c r="A2089" s="879"/>
      <c r="B2089" s="1452" t="s">
        <v>2283</v>
      </c>
      <c r="C2089" s="879"/>
    </row>
    <row r="2090" spans="1:3" x14ac:dyDescent="0.25">
      <c r="A2090" s="879"/>
      <c r="B2090" s="1452" t="s">
        <v>1681</v>
      </c>
      <c r="C2090" s="879"/>
    </row>
    <row r="2091" spans="1:3" x14ac:dyDescent="0.25">
      <c r="A2091" s="879"/>
      <c r="B2091" s="1452" t="s">
        <v>1682</v>
      </c>
      <c r="C2091" s="879"/>
    </row>
    <row r="2092" spans="1:3" x14ac:dyDescent="0.25">
      <c r="A2092" s="879"/>
      <c r="B2092" s="1452" t="s">
        <v>1517</v>
      </c>
      <c r="C2092" s="879"/>
    </row>
    <row r="2093" spans="1:3" x14ac:dyDescent="0.25">
      <c r="A2093" s="879"/>
      <c r="B2093" s="1452" t="s">
        <v>1684</v>
      </c>
      <c r="C2093" s="879"/>
    </row>
    <row r="2094" spans="1:3" x14ac:dyDescent="0.25">
      <c r="A2094" s="879"/>
      <c r="B2094" s="1452" t="s">
        <v>2284</v>
      </c>
      <c r="C2094" s="879"/>
    </row>
    <row r="2095" spans="1:3" x14ac:dyDescent="0.25">
      <c r="A2095" s="879"/>
      <c r="B2095" s="1452" t="s">
        <v>2285</v>
      </c>
      <c r="C2095" s="879"/>
    </row>
    <row r="2096" spans="1:3" x14ac:dyDescent="0.25">
      <c r="A2096" s="879"/>
      <c r="B2096" s="1452" t="s">
        <v>1685</v>
      </c>
      <c r="C2096" s="879"/>
    </row>
    <row r="2097" spans="1:3" x14ac:dyDescent="0.25">
      <c r="A2097" s="879"/>
      <c r="B2097" s="1452" t="s">
        <v>1686</v>
      </c>
      <c r="C2097" s="879"/>
    </row>
    <row r="2098" spans="1:3" x14ac:dyDescent="0.25">
      <c r="A2098" s="879"/>
      <c r="B2098" s="1452" t="s">
        <v>2286</v>
      </c>
      <c r="C2098" s="879"/>
    </row>
    <row r="2099" spans="1:3" x14ac:dyDescent="0.25">
      <c r="A2099" s="879"/>
      <c r="B2099" s="1452" t="s">
        <v>2287</v>
      </c>
      <c r="C2099" s="879"/>
    </row>
    <row r="2100" spans="1:3" x14ac:dyDescent="0.25">
      <c r="A2100" s="879"/>
      <c r="B2100" s="1452" t="s">
        <v>1455</v>
      </c>
      <c r="C2100" s="879"/>
    </row>
    <row r="2101" spans="1:3" x14ac:dyDescent="0.25">
      <c r="A2101" s="879"/>
      <c r="B2101" s="1452" t="s">
        <v>2288</v>
      </c>
      <c r="C2101" s="879"/>
    </row>
    <row r="2102" spans="1:3" x14ac:dyDescent="0.25">
      <c r="A2102" s="879"/>
      <c r="B2102" s="1452" t="s">
        <v>1688</v>
      </c>
      <c r="C2102" s="879"/>
    </row>
    <row r="2103" spans="1:3" x14ac:dyDescent="0.25">
      <c r="A2103" s="879"/>
      <c r="B2103" s="1452" t="s">
        <v>1458</v>
      </c>
      <c r="C2103" s="879"/>
    </row>
    <row r="2104" spans="1:3" x14ac:dyDescent="0.25">
      <c r="A2104" s="879"/>
      <c r="B2104" s="1452" t="s">
        <v>1506</v>
      </c>
      <c r="C2104" s="879"/>
    </row>
    <row r="2105" spans="1:3" x14ac:dyDescent="0.25">
      <c r="A2105" s="879"/>
      <c r="B2105" s="1452" t="s">
        <v>1367</v>
      </c>
      <c r="C2105" s="879"/>
    </row>
    <row r="2106" spans="1:3" x14ac:dyDescent="0.25">
      <c r="A2106" s="879"/>
      <c r="B2106" s="1452" t="s">
        <v>1450</v>
      </c>
      <c r="C2106" s="879"/>
    </row>
    <row r="2107" spans="1:3" x14ac:dyDescent="0.25">
      <c r="A2107" s="879"/>
      <c r="B2107" s="1452" t="s">
        <v>1451</v>
      </c>
      <c r="C2107" s="879"/>
    </row>
    <row r="2108" spans="1:3" x14ac:dyDescent="0.25">
      <c r="A2108" s="879"/>
      <c r="B2108" s="1452" t="s">
        <v>2283</v>
      </c>
      <c r="C2108" s="879"/>
    </row>
    <row r="2109" spans="1:3" x14ac:dyDescent="0.25">
      <c r="A2109" s="879"/>
      <c r="B2109" s="1452" t="s">
        <v>1681</v>
      </c>
      <c r="C2109" s="879"/>
    </row>
    <row r="2110" spans="1:3" x14ac:dyDescent="0.25">
      <c r="A2110" s="879"/>
      <c r="B2110" s="1452" t="s">
        <v>1682</v>
      </c>
      <c r="C2110" s="879"/>
    </row>
    <row r="2111" spans="1:3" x14ac:dyDescent="0.25">
      <c r="A2111" s="879"/>
      <c r="B2111" s="1452" t="s">
        <v>1517</v>
      </c>
      <c r="C2111" s="879"/>
    </row>
    <row r="2112" spans="1:3" x14ac:dyDescent="0.25">
      <c r="A2112" s="879"/>
      <c r="B2112" s="1452" t="s">
        <v>1684</v>
      </c>
      <c r="C2112" s="879"/>
    </row>
    <row r="2113" spans="1:3" x14ac:dyDescent="0.25">
      <c r="A2113" s="879"/>
      <c r="B2113" s="1452" t="s">
        <v>2284</v>
      </c>
      <c r="C2113" s="879"/>
    </row>
    <row r="2114" spans="1:3" x14ac:dyDescent="0.25">
      <c r="A2114" s="879"/>
      <c r="B2114" s="1452" t="s">
        <v>2285</v>
      </c>
      <c r="C2114" s="879"/>
    </row>
    <row r="2115" spans="1:3" x14ac:dyDescent="0.25">
      <c r="A2115" s="879"/>
      <c r="B2115" s="1452" t="s">
        <v>1685</v>
      </c>
      <c r="C2115" s="879"/>
    </row>
    <row r="2116" spans="1:3" x14ac:dyDescent="0.25">
      <c r="A2116" s="879"/>
      <c r="B2116" s="1452" t="s">
        <v>1686</v>
      </c>
      <c r="C2116" s="879"/>
    </row>
    <row r="2117" spans="1:3" x14ac:dyDescent="0.25">
      <c r="A2117" s="879"/>
      <c r="B2117" s="1452" t="s">
        <v>2286</v>
      </c>
      <c r="C2117" s="879"/>
    </row>
    <row r="2118" spans="1:3" x14ac:dyDescent="0.25">
      <c r="A2118" s="879"/>
      <c r="B2118" s="1452" t="s">
        <v>2287</v>
      </c>
      <c r="C2118" s="879"/>
    </row>
    <row r="2119" spans="1:3" x14ac:dyDescent="0.25">
      <c r="A2119" s="879"/>
      <c r="B2119" s="1452" t="s">
        <v>1455</v>
      </c>
      <c r="C2119" s="879"/>
    </row>
    <row r="2120" spans="1:3" x14ac:dyDescent="0.25">
      <c r="A2120" s="879"/>
      <c r="B2120" s="1452" t="s">
        <v>2288</v>
      </c>
      <c r="C2120" s="879"/>
    </row>
    <row r="2121" spans="1:3" x14ac:dyDescent="0.25">
      <c r="A2121" s="879"/>
      <c r="B2121" s="1452" t="s">
        <v>1688</v>
      </c>
      <c r="C2121" s="879"/>
    </row>
    <row r="2122" spans="1:3" x14ac:dyDescent="0.25">
      <c r="A2122" s="879"/>
      <c r="B2122" s="1452" t="s">
        <v>1458</v>
      </c>
      <c r="C2122" s="879"/>
    </row>
    <row r="2123" spans="1:3" x14ac:dyDescent="0.25">
      <c r="A2123" s="879"/>
      <c r="B2123" s="1452" t="s">
        <v>1507</v>
      </c>
      <c r="C2123" s="879"/>
    </row>
    <row r="2124" spans="1:3" x14ac:dyDescent="0.25">
      <c r="A2124" s="879"/>
      <c r="B2124" s="1452" t="s">
        <v>1367</v>
      </c>
      <c r="C2124" s="879"/>
    </row>
    <row r="2125" spans="1:3" x14ac:dyDescent="0.25">
      <c r="A2125" s="879"/>
      <c r="B2125" s="1452" t="s">
        <v>1450</v>
      </c>
      <c r="C2125" s="879"/>
    </row>
    <row r="2126" spans="1:3" x14ac:dyDescent="0.25">
      <c r="A2126" s="879"/>
      <c r="B2126" s="1452" t="s">
        <v>1451</v>
      </c>
      <c r="C2126" s="879"/>
    </row>
    <row r="2127" spans="1:3" x14ac:dyDescent="0.25">
      <c r="A2127" s="879"/>
      <c r="B2127" s="1452" t="s">
        <v>2283</v>
      </c>
      <c r="C2127" s="879"/>
    </row>
    <row r="2128" spans="1:3" x14ac:dyDescent="0.25">
      <c r="A2128" s="879"/>
      <c r="B2128" s="1452" t="s">
        <v>1681</v>
      </c>
      <c r="C2128" s="879"/>
    </row>
    <row r="2129" spans="1:3" x14ac:dyDescent="0.25">
      <c r="A2129" s="879"/>
      <c r="B2129" s="1452" t="s">
        <v>1682</v>
      </c>
      <c r="C2129" s="879"/>
    </row>
    <row r="2130" spans="1:3" x14ac:dyDescent="0.25">
      <c r="A2130" s="879"/>
      <c r="B2130" s="1452" t="s">
        <v>1517</v>
      </c>
      <c r="C2130" s="879"/>
    </row>
    <row r="2131" spans="1:3" x14ac:dyDescent="0.25">
      <c r="A2131" s="879"/>
      <c r="B2131" s="1452" t="s">
        <v>1684</v>
      </c>
      <c r="C2131" s="879"/>
    </row>
    <row r="2132" spans="1:3" x14ac:dyDescent="0.25">
      <c r="A2132" s="879"/>
      <c r="B2132" s="1452" t="s">
        <v>2284</v>
      </c>
      <c r="C2132" s="879"/>
    </row>
    <row r="2133" spans="1:3" x14ac:dyDescent="0.25">
      <c r="A2133" s="879"/>
      <c r="B2133" s="1452" t="s">
        <v>2285</v>
      </c>
      <c r="C2133" s="879"/>
    </row>
    <row r="2134" spans="1:3" x14ac:dyDescent="0.25">
      <c r="A2134" s="879"/>
      <c r="B2134" s="1452" t="s">
        <v>1685</v>
      </c>
      <c r="C2134" s="879"/>
    </row>
    <row r="2135" spans="1:3" x14ac:dyDescent="0.25">
      <c r="A2135" s="879"/>
      <c r="B2135" s="1452" t="s">
        <v>1686</v>
      </c>
      <c r="C2135" s="879"/>
    </row>
    <row r="2136" spans="1:3" x14ac:dyDescent="0.25">
      <c r="A2136" s="879"/>
      <c r="B2136" s="1452" t="s">
        <v>2286</v>
      </c>
      <c r="C2136" s="879"/>
    </row>
    <row r="2137" spans="1:3" x14ac:dyDescent="0.25">
      <c r="A2137" s="879"/>
      <c r="B2137" s="1452" t="s">
        <v>2287</v>
      </c>
      <c r="C2137" s="879"/>
    </row>
    <row r="2138" spans="1:3" x14ac:dyDescent="0.25">
      <c r="A2138" s="879"/>
      <c r="B2138" s="1452" t="s">
        <v>1455</v>
      </c>
      <c r="C2138" s="879"/>
    </row>
    <row r="2139" spans="1:3" x14ac:dyDescent="0.25">
      <c r="A2139" s="879"/>
      <c r="B2139" s="1452" t="s">
        <v>2288</v>
      </c>
      <c r="C2139" s="879"/>
    </row>
    <row r="2140" spans="1:3" x14ac:dyDescent="0.25">
      <c r="A2140" s="879"/>
      <c r="B2140" s="1452" t="s">
        <v>1688</v>
      </c>
      <c r="C2140" s="879"/>
    </row>
    <row r="2141" spans="1:3" x14ac:dyDescent="0.25">
      <c r="A2141" s="879"/>
      <c r="B2141" s="1452" t="s">
        <v>1458</v>
      </c>
      <c r="C2141" s="879"/>
    </row>
    <row r="2142" spans="1:3" x14ac:dyDescent="0.25">
      <c r="A2142" s="879"/>
      <c r="B2142" s="1452" t="s">
        <v>1690</v>
      </c>
      <c r="C2142" s="879"/>
    </row>
    <row r="2143" spans="1:3" x14ac:dyDescent="0.25">
      <c r="A2143" s="879"/>
      <c r="B2143" s="1452" t="s">
        <v>1367</v>
      </c>
      <c r="C2143" s="879"/>
    </row>
    <row r="2144" spans="1:3" x14ac:dyDescent="0.25">
      <c r="A2144" s="879"/>
      <c r="B2144" s="1452" t="s">
        <v>1691</v>
      </c>
      <c r="C2144" s="879"/>
    </row>
    <row r="2145" spans="1:3" x14ac:dyDescent="0.25">
      <c r="A2145" s="879"/>
      <c r="B2145" s="1452" t="s">
        <v>2289</v>
      </c>
      <c r="C2145" s="879"/>
    </row>
    <row r="2146" spans="1:3" x14ac:dyDescent="0.25">
      <c r="A2146" s="879"/>
      <c r="B2146" s="1452" t="s">
        <v>2290</v>
      </c>
      <c r="C2146" s="879"/>
    </row>
    <row r="2147" spans="1:3" x14ac:dyDescent="0.25">
      <c r="A2147" s="879"/>
      <c r="B2147" s="1452" t="s">
        <v>2291</v>
      </c>
      <c r="C2147" s="879"/>
    </row>
    <row r="2148" spans="1:3" x14ac:dyDescent="0.25">
      <c r="A2148" s="879"/>
      <c r="B2148" s="1452" t="s">
        <v>1695</v>
      </c>
      <c r="C2148" s="879"/>
    </row>
    <row r="2149" spans="1:3" x14ac:dyDescent="0.25">
      <c r="A2149" s="879"/>
      <c r="B2149" s="1452" t="s">
        <v>1696</v>
      </c>
      <c r="C2149" s="879"/>
    </row>
    <row r="2150" spans="1:3" x14ac:dyDescent="0.25">
      <c r="A2150" s="879"/>
      <c r="B2150" s="1452" t="s">
        <v>1845</v>
      </c>
      <c r="C2150" s="879"/>
    </row>
    <row r="2151" spans="1:3" x14ac:dyDescent="0.25">
      <c r="A2151" s="879"/>
      <c r="B2151" s="1452" t="s">
        <v>1846</v>
      </c>
      <c r="C2151" s="879"/>
    </row>
    <row r="2152" spans="1:3" x14ac:dyDescent="0.25">
      <c r="A2152" s="879"/>
      <c r="B2152" s="1452" t="s">
        <v>1699</v>
      </c>
      <c r="C2152" s="879"/>
    </row>
    <row r="2153" spans="1:3" x14ac:dyDescent="0.25">
      <c r="A2153" s="879"/>
      <c r="B2153" s="1452" t="s">
        <v>1700</v>
      </c>
      <c r="C2153" s="879"/>
    </row>
    <row r="2154" spans="1:3" x14ac:dyDescent="0.25">
      <c r="A2154" s="879"/>
      <c r="B2154" s="1452" t="s">
        <v>1847</v>
      </c>
      <c r="C2154" s="879"/>
    </row>
    <row r="2155" spans="1:3" x14ac:dyDescent="0.25">
      <c r="A2155" s="879"/>
      <c r="B2155" s="1452" t="s">
        <v>1848</v>
      </c>
      <c r="C2155" s="879"/>
    </row>
    <row r="2156" spans="1:3" x14ac:dyDescent="0.25">
      <c r="A2156" s="879"/>
      <c r="B2156" s="1452" t="s">
        <v>1703</v>
      </c>
      <c r="C2156" s="879"/>
    </row>
    <row r="2157" spans="1:3" x14ac:dyDescent="0.25">
      <c r="A2157" s="879"/>
      <c r="B2157" s="1452" t="s">
        <v>1849</v>
      </c>
      <c r="C2157" s="879"/>
    </row>
    <row r="2158" spans="1:3" x14ac:dyDescent="0.25">
      <c r="A2158" s="879"/>
      <c r="B2158" s="1452" t="s">
        <v>1705</v>
      </c>
      <c r="C2158" s="879"/>
    </row>
    <row r="2159" spans="1:3" x14ac:dyDescent="0.25">
      <c r="A2159" s="879"/>
      <c r="B2159" s="1452"/>
      <c r="C2159" s="879"/>
    </row>
    <row r="2160" spans="1:3" x14ac:dyDescent="0.25">
      <c r="A2160" s="879"/>
      <c r="B2160" s="1452"/>
      <c r="C2160" s="879"/>
    </row>
    <row r="2161" spans="1:3" x14ac:dyDescent="0.25">
      <c r="A2161" s="879"/>
      <c r="B2161" s="1452" t="s">
        <v>1368</v>
      </c>
      <c r="C2161" s="879"/>
    </row>
    <row r="2162" spans="1:3" x14ac:dyDescent="0.25">
      <c r="A2162" s="879"/>
      <c r="B2162" s="1452" t="s">
        <v>2292</v>
      </c>
      <c r="C2162" s="879"/>
    </row>
    <row r="2163" spans="1:3" x14ac:dyDescent="0.25">
      <c r="A2163" s="879"/>
      <c r="B2163" s="1452" t="s">
        <v>1368</v>
      </c>
      <c r="C2163" s="879"/>
    </row>
    <row r="2164" spans="1:3" x14ac:dyDescent="0.25">
      <c r="A2164" s="879"/>
      <c r="B2164" s="1452" t="s">
        <v>2293</v>
      </c>
      <c r="C2164" s="879"/>
    </row>
    <row r="2165" spans="1:3" x14ac:dyDescent="0.25">
      <c r="A2165" s="879"/>
      <c r="B2165" s="1452" t="s">
        <v>1367</v>
      </c>
      <c r="C2165" s="879"/>
    </row>
    <row r="2166" spans="1:3" x14ac:dyDescent="0.25">
      <c r="A2166" s="879"/>
      <c r="B2166" s="1452" t="s">
        <v>1369</v>
      </c>
      <c r="C2166" s="879"/>
    </row>
    <row r="2167" spans="1:3" x14ac:dyDescent="0.25">
      <c r="A2167" s="879"/>
      <c r="B2167" s="1452" t="s">
        <v>1370</v>
      </c>
      <c r="C2167" s="879"/>
    </row>
    <row r="2168" spans="1:3" x14ac:dyDescent="0.25">
      <c r="A2168" s="879"/>
      <c r="B2168" s="1452" t="s">
        <v>1367</v>
      </c>
      <c r="C2168" s="879"/>
    </row>
    <row r="2169" spans="1:3" x14ac:dyDescent="0.25">
      <c r="A2169" s="879"/>
      <c r="B2169" s="1452" t="s">
        <v>1371</v>
      </c>
      <c r="C2169" s="879"/>
    </row>
    <row r="2170" spans="1:3" x14ac:dyDescent="0.25">
      <c r="A2170" s="879"/>
      <c r="B2170" s="1452" t="s">
        <v>1372</v>
      </c>
      <c r="C2170" s="879"/>
    </row>
    <row r="2171" spans="1:3" x14ac:dyDescent="0.25">
      <c r="A2171" s="879"/>
      <c r="B2171" s="1452" t="s">
        <v>1373</v>
      </c>
      <c r="C2171" s="879"/>
    </row>
    <row r="2172" spans="1:3" x14ac:dyDescent="0.25">
      <c r="A2172" s="879"/>
      <c r="B2172" s="1452" t="s">
        <v>1374</v>
      </c>
      <c r="C2172" s="879"/>
    </row>
    <row r="2173" spans="1:3" x14ac:dyDescent="0.25">
      <c r="A2173" s="879"/>
      <c r="B2173" s="1452" t="s">
        <v>1375</v>
      </c>
      <c r="C2173" s="879"/>
    </row>
    <row r="2174" spans="1:3" x14ac:dyDescent="0.25">
      <c r="A2174" s="879"/>
      <c r="B2174" s="1452" t="s">
        <v>1376</v>
      </c>
      <c r="C2174" s="879"/>
    </row>
    <row r="2175" spans="1:3" x14ac:dyDescent="0.25">
      <c r="A2175" s="879"/>
      <c r="B2175" s="1452" t="s">
        <v>1377</v>
      </c>
      <c r="C2175" s="879"/>
    </row>
    <row r="2176" spans="1:3" x14ac:dyDescent="0.25">
      <c r="A2176" s="879"/>
      <c r="B2176" s="1452" t="s">
        <v>1378</v>
      </c>
      <c r="C2176" s="879"/>
    </row>
    <row r="2177" spans="1:3" x14ac:dyDescent="0.25">
      <c r="A2177" s="879"/>
      <c r="B2177" s="1452" t="s">
        <v>1379</v>
      </c>
      <c r="C2177" s="879"/>
    </row>
    <row r="2178" spans="1:3" x14ac:dyDescent="0.25">
      <c r="A2178" s="879"/>
      <c r="B2178" s="1452" t="s">
        <v>1380</v>
      </c>
      <c r="C2178" s="879"/>
    </row>
    <row r="2179" spans="1:3" x14ac:dyDescent="0.25">
      <c r="A2179" s="879"/>
      <c r="B2179" s="1452" t="s">
        <v>1381</v>
      </c>
      <c r="C2179" s="879"/>
    </row>
    <row r="2180" spans="1:3" x14ac:dyDescent="0.25">
      <c r="A2180" s="879"/>
      <c r="B2180" s="1452" t="s">
        <v>1382</v>
      </c>
      <c r="C2180" s="879"/>
    </row>
    <row r="2181" spans="1:3" x14ac:dyDescent="0.25">
      <c r="A2181" s="879"/>
      <c r="B2181" s="1452" t="s">
        <v>1367</v>
      </c>
      <c r="C2181" s="879"/>
    </row>
    <row r="2182" spans="1:3" x14ac:dyDescent="0.25">
      <c r="A2182" s="879"/>
      <c r="B2182" s="1452" t="s">
        <v>1371</v>
      </c>
      <c r="C2182" s="879"/>
    </row>
    <row r="2183" spans="1:3" x14ac:dyDescent="0.25">
      <c r="A2183" s="879"/>
      <c r="B2183" s="1452" t="s">
        <v>1383</v>
      </c>
      <c r="C2183" s="879"/>
    </row>
    <row r="2184" spans="1:3" x14ac:dyDescent="0.25">
      <c r="A2184" s="879"/>
      <c r="B2184" s="1452" t="s">
        <v>1384</v>
      </c>
      <c r="C2184" s="879"/>
    </row>
    <row r="2185" spans="1:3" x14ac:dyDescent="0.25">
      <c r="A2185" s="879"/>
      <c r="B2185" s="1452" t="s">
        <v>1385</v>
      </c>
      <c r="C2185" s="879"/>
    </row>
    <row r="2186" spans="1:3" x14ac:dyDescent="0.25">
      <c r="A2186" s="879"/>
      <c r="B2186" s="1452" t="s">
        <v>1386</v>
      </c>
      <c r="C2186" s="879"/>
    </row>
    <row r="2187" spans="1:3" x14ac:dyDescent="0.25">
      <c r="A2187" s="879"/>
      <c r="B2187" s="1452" t="s">
        <v>1387</v>
      </c>
      <c r="C2187" s="879"/>
    </row>
    <row r="2188" spans="1:3" x14ac:dyDescent="0.25">
      <c r="A2188" s="879"/>
      <c r="B2188" s="1452" t="s">
        <v>1388</v>
      </c>
      <c r="C2188" s="879"/>
    </row>
    <row r="2189" spans="1:3" x14ac:dyDescent="0.25">
      <c r="A2189" s="879"/>
      <c r="B2189" s="1452" t="s">
        <v>1389</v>
      </c>
      <c r="C2189" s="879"/>
    </row>
    <row r="2190" spans="1:3" x14ac:dyDescent="0.25">
      <c r="A2190" s="879"/>
      <c r="B2190" s="1452" t="s">
        <v>1390</v>
      </c>
      <c r="C2190" s="879"/>
    </row>
    <row r="2191" spans="1:3" x14ac:dyDescent="0.25">
      <c r="A2191" s="879"/>
      <c r="B2191" s="1452" t="s">
        <v>1391</v>
      </c>
      <c r="C2191" s="879"/>
    </row>
    <row r="2192" spans="1:3" x14ac:dyDescent="0.25">
      <c r="A2192" s="879"/>
      <c r="B2192" s="1452" t="s">
        <v>1392</v>
      </c>
      <c r="C2192" s="879"/>
    </row>
    <row r="2193" spans="1:3" x14ac:dyDescent="0.25">
      <c r="A2193" s="879"/>
      <c r="B2193" s="1452" t="s">
        <v>1393</v>
      </c>
      <c r="C2193" s="879"/>
    </row>
    <row r="2194" spans="1:3" x14ac:dyDescent="0.25">
      <c r="A2194" s="879"/>
      <c r="B2194" s="1452" t="s">
        <v>1394</v>
      </c>
      <c r="C2194" s="879"/>
    </row>
    <row r="2195" spans="1:3" x14ac:dyDescent="0.25">
      <c r="A2195" s="879"/>
      <c r="B2195" s="1452" t="s">
        <v>1395</v>
      </c>
      <c r="C2195" s="879"/>
    </row>
    <row r="2196" spans="1:3" x14ac:dyDescent="0.25">
      <c r="A2196" s="879"/>
      <c r="B2196" s="1452" t="s">
        <v>1396</v>
      </c>
      <c r="C2196" s="879"/>
    </row>
    <row r="2197" spans="1:3" x14ac:dyDescent="0.25">
      <c r="A2197" s="879"/>
      <c r="B2197" s="1452" t="s">
        <v>1397</v>
      </c>
      <c r="C2197" s="879"/>
    </row>
    <row r="2198" spans="1:3" x14ac:dyDescent="0.25">
      <c r="A2198" s="879"/>
      <c r="B2198" s="1452" t="s">
        <v>1398</v>
      </c>
      <c r="C2198" s="879"/>
    </row>
    <row r="2199" spans="1:3" x14ac:dyDescent="0.25">
      <c r="A2199" s="879"/>
      <c r="B2199" s="1452" t="s">
        <v>1399</v>
      </c>
      <c r="C2199" s="879"/>
    </row>
    <row r="2200" spans="1:3" x14ac:dyDescent="0.25">
      <c r="A2200" s="879"/>
      <c r="B2200" s="1452" t="s">
        <v>1400</v>
      </c>
      <c r="C2200" s="879"/>
    </row>
    <row r="2201" spans="1:3" x14ac:dyDescent="0.25">
      <c r="A2201" s="879"/>
      <c r="B2201" s="1452" t="s">
        <v>1401</v>
      </c>
      <c r="C2201" s="879"/>
    </row>
    <row r="2202" spans="1:3" x14ac:dyDescent="0.25">
      <c r="A2202" s="879"/>
      <c r="B2202" s="1452" t="s">
        <v>1402</v>
      </c>
      <c r="C2202" s="879"/>
    </row>
    <row r="2203" spans="1:3" x14ac:dyDescent="0.25">
      <c r="A2203" s="879"/>
      <c r="B2203" s="1452" t="s">
        <v>1403</v>
      </c>
      <c r="C2203" s="879"/>
    </row>
    <row r="2204" spans="1:3" x14ac:dyDescent="0.25">
      <c r="A2204" s="879"/>
      <c r="B2204" s="1452" t="s">
        <v>1404</v>
      </c>
      <c r="C2204" s="879"/>
    </row>
    <row r="2205" spans="1:3" x14ac:dyDescent="0.25">
      <c r="A2205" s="879"/>
      <c r="B2205" s="1452" t="s">
        <v>1405</v>
      </c>
      <c r="C2205" s="879"/>
    </row>
    <row r="2206" spans="1:3" x14ac:dyDescent="0.25">
      <c r="A2206" s="879"/>
      <c r="B2206" s="1452" t="s">
        <v>1406</v>
      </c>
      <c r="C2206" s="879"/>
    </row>
    <row r="2207" spans="1:3" x14ac:dyDescent="0.25">
      <c r="A2207" s="879"/>
      <c r="B2207" s="1452" t="s">
        <v>1407</v>
      </c>
      <c r="C2207" s="879"/>
    </row>
    <row r="2208" spans="1:3" x14ac:dyDescent="0.25">
      <c r="A2208" s="879"/>
      <c r="B2208" s="1452" t="s">
        <v>1408</v>
      </c>
      <c r="C2208" s="879"/>
    </row>
    <row r="2209" spans="1:3" x14ac:dyDescent="0.25">
      <c r="A2209" s="879"/>
      <c r="B2209" s="1452" t="s">
        <v>1409</v>
      </c>
      <c r="C2209" s="879"/>
    </row>
    <row r="2210" spans="1:3" x14ac:dyDescent="0.25">
      <c r="A2210" s="879"/>
      <c r="B2210" s="1452" t="s">
        <v>1410</v>
      </c>
      <c r="C2210" s="879"/>
    </row>
    <row r="2211" spans="1:3" x14ac:dyDescent="0.25">
      <c r="A2211" s="879"/>
      <c r="B2211" s="1452" t="s">
        <v>1411</v>
      </c>
      <c r="C2211" s="879"/>
    </row>
    <row r="2212" spans="1:3" x14ac:dyDescent="0.25">
      <c r="A2212" s="879"/>
      <c r="B2212" s="1452" t="s">
        <v>1412</v>
      </c>
      <c r="C2212" s="879"/>
    </row>
    <row r="2213" spans="1:3" x14ac:dyDescent="0.25">
      <c r="A2213" s="879"/>
      <c r="B2213" s="1452" t="s">
        <v>1413</v>
      </c>
      <c r="C2213" s="879"/>
    </row>
    <row r="2214" spans="1:3" x14ac:dyDescent="0.25">
      <c r="A2214" s="879"/>
      <c r="B2214" s="1452" t="s">
        <v>1414</v>
      </c>
      <c r="C2214" s="879"/>
    </row>
    <row r="2215" spans="1:3" x14ac:dyDescent="0.25">
      <c r="A2215" s="879"/>
      <c r="B2215" s="1452" t="s">
        <v>1415</v>
      </c>
      <c r="C2215" s="879"/>
    </row>
    <row r="2216" spans="1:3" x14ac:dyDescent="0.25">
      <c r="A2216" s="879"/>
      <c r="B2216" s="1452" t="s">
        <v>1416</v>
      </c>
      <c r="C2216" s="879"/>
    </row>
    <row r="2217" spans="1:3" x14ac:dyDescent="0.25">
      <c r="A2217" s="879"/>
      <c r="B2217" s="1452" t="s">
        <v>1417</v>
      </c>
      <c r="C2217" s="879"/>
    </row>
    <row r="2218" spans="1:3" x14ac:dyDescent="0.25">
      <c r="A2218" s="879"/>
      <c r="B2218" s="1452" t="s">
        <v>1418</v>
      </c>
      <c r="C2218" s="879"/>
    </row>
    <row r="2219" spans="1:3" x14ac:dyDescent="0.25">
      <c r="A2219" s="879"/>
      <c r="B2219" s="1452" t="s">
        <v>1419</v>
      </c>
      <c r="C2219" s="879"/>
    </row>
    <row r="2220" spans="1:3" x14ac:dyDescent="0.25">
      <c r="A2220" s="879"/>
      <c r="B2220" s="1452" t="s">
        <v>1420</v>
      </c>
      <c r="C2220" s="879"/>
    </row>
    <row r="2221" spans="1:3" x14ac:dyDescent="0.25">
      <c r="A2221" s="879"/>
      <c r="B2221" s="1452" t="s">
        <v>1421</v>
      </c>
      <c r="C2221" s="879"/>
    </row>
    <row r="2222" spans="1:3" x14ac:dyDescent="0.25">
      <c r="A2222" s="879"/>
      <c r="B2222" s="1452" t="s">
        <v>1422</v>
      </c>
      <c r="C2222" s="879"/>
    </row>
    <row r="2223" spans="1:3" x14ac:dyDescent="0.25">
      <c r="A2223" s="879"/>
      <c r="B2223" s="1452" t="s">
        <v>1423</v>
      </c>
      <c r="C2223" s="879"/>
    </row>
    <row r="2224" spans="1:3" x14ac:dyDescent="0.25">
      <c r="A2224" s="879"/>
      <c r="B2224" s="1452" t="s">
        <v>1424</v>
      </c>
      <c r="C2224" s="879"/>
    </row>
    <row r="2225" spans="1:3" x14ac:dyDescent="0.25">
      <c r="A2225" s="879"/>
      <c r="B2225" s="1452" t="s">
        <v>1425</v>
      </c>
      <c r="C2225" s="879"/>
    </row>
    <row r="2226" spans="1:3" x14ac:dyDescent="0.25">
      <c r="A2226" s="879"/>
      <c r="B2226" s="1452" t="s">
        <v>1426</v>
      </c>
      <c r="C2226" s="879"/>
    </row>
    <row r="2227" spans="1:3" x14ac:dyDescent="0.25">
      <c r="A2227" s="879"/>
      <c r="B2227" s="1452" t="s">
        <v>1427</v>
      </c>
      <c r="C2227" s="879"/>
    </row>
    <row r="2228" spans="1:3" x14ac:dyDescent="0.25">
      <c r="A2228" s="879"/>
      <c r="B2228" s="1452" t="s">
        <v>1428</v>
      </c>
      <c r="C2228" s="879"/>
    </row>
    <row r="2229" spans="1:3" x14ac:dyDescent="0.25">
      <c r="A2229" s="879"/>
      <c r="B2229" s="1452" t="s">
        <v>1429</v>
      </c>
      <c r="C2229" s="879"/>
    </row>
    <row r="2230" spans="1:3" x14ac:dyDescent="0.25">
      <c r="A2230" s="879"/>
      <c r="B2230" s="1452" t="s">
        <v>1430</v>
      </c>
      <c r="C2230" s="879"/>
    </row>
    <row r="2231" spans="1:3" x14ac:dyDescent="0.25">
      <c r="A2231" s="879"/>
      <c r="B2231" s="1452" t="s">
        <v>1367</v>
      </c>
      <c r="C2231" s="879"/>
    </row>
    <row r="2232" spans="1:3" x14ac:dyDescent="0.25">
      <c r="A2232" s="879"/>
      <c r="B2232" s="1452" t="s">
        <v>1431</v>
      </c>
      <c r="C2232" s="879"/>
    </row>
    <row r="2233" spans="1:3" x14ac:dyDescent="0.25">
      <c r="A2233" s="879"/>
      <c r="B2233" s="1452"/>
      <c r="C2233" s="879"/>
    </row>
    <row r="2234" spans="1:3" x14ac:dyDescent="0.25">
      <c r="A2234" s="879"/>
      <c r="B2234" s="1452"/>
      <c r="C2234" s="879"/>
    </row>
    <row r="2235" spans="1:3" x14ac:dyDescent="0.25">
      <c r="A2235" s="879"/>
      <c r="B2235" s="1452" t="s">
        <v>1368</v>
      </c>
      <c r="C2235" s="879"/>
    </row>
    <row r="2236" spans="1:3" x14ac:dyDescent="0.25">
      <c r="A2236" s="879"/>
      <c r="B2236" s="1452" t="s">
        <v>2294</v>
      </c>
      <c r="C2236" s="879"/>
    </row>
    <row r="2237" spans="1:3" x14ac:dyDescent="0.25">
      <c r="A2237" s="879"/>
      <c r="B2237" s="1452" t="s">
        <v>1368</v>
      </c>
      <c r="C2237" s="879"/>
    </row>
    <row r="2238" spans="1:3" x14ac:dyDescent="0.25">
      <c r="A2238" s="879"/>
      <c r="B2238" s="1452" t="s">
        <v>2295</v>
      </c>
      <c r="C2238" s="879"/>
    </row>
    <row r="2239" spans="1:3" x14ac:dyDescent="0.25">
      <c r="A2239" s="879"/>
      <c r="B2239" s="1452" t="s">
        <v>1367</v>
      </c>
      <c r="C2239" s="879"/>
    </row>
    <row r="2240" spans="1:3" x14ac:dyDescent="0.25">
      <c r="A2240" s="879"/>
      <c r="B2240" s="1452" t="s">
        <v>1369</v>
      </c>
      <c r="C2240" s="879"/>
    </row>
    <row r="2241" spans="1:3" x14ac:dyDescent="0.25">
      <c r="A2241" s="879"/>
      <c r="B2241" s="1452" t="s">
        <v>1370</v>
      </c>
      <c r="C2241" s="879"/>
    </row>
    <row r="2242" spans="1:3" x14ac:dyDescent="0.25">
      <c r="A2242" s="879"/>
      <c r="B2242" s="1452" t="s">
        <v>1367</v>
      </c>
      <c r="C2242" s="879"/>
    </row>
    <row r="2243" spans="1:3" x14ac:dyDescent="0.25">
      <c r="A2243" s="879"/>
      <c r="B2243" s="1452" t="s">
        <v>2296</v>
      </c>
      <c r="C2243" s="879"/>
    </row>
    <row r="2244" spans="1:3" x14ac:dyDescent="0.25">
      <c r="A2244" s="879"/>
      <c r="B2244" s="1452" t="s">
        <v>2297</v>
      </c>
      <c r="C2244" s="879"/>
    </row>
    <row r="2245" spans="1:3" x14ac:dyDescent="0.25">
      <c r="A2245" s="879"/>
      <c r="B2245" s="1452" t="s">
        <v>2298</v>
      </c>
      <c r="C2245" s="879"/>
    </row>
    <row r="2246" spans="1:3" x14ac:dyDescent="0.25">
      <c r="A2246" s="879"/>
      <c r="B2246" s="1452" t="s">
        <v>2299</v>
      </c>
      <c r="C2246" s="879"/>
    </row>
    <row r="2247" spans="1:3" x14ac:dyDescent="0.25">
      <c r="A2247" s="879"/>
      <c r="B2247" s="1452" t="s">
        <v>2300</v>
      </c>
      <c r="C2247" s="879"/>
    </row>
    <row r="2248" spans="1:3" x14ac:dyDescent="0.25">
      <c r="A2248" s="879"/>
      <c r="B2248" s="1452" t="s">
        <v>2301</v>
      </c>
      <c r="C2248" s="879"/>
    </row>
    <row r="2249" spans="1:3" x14ac:dyDescent="0.25">
      <c r="A2249" s="879"/>
      <c r="B2249" s="1452" t="s">
        <v>2302</v>
      </c>
      <c r="C2249" s="879"/>
    </row>
    <row r="2250" spans="1:3" x14ac:dyDescent="0.25">
      <c r="A2250" s="879"/>
      <c r="B2250" s="1452" t="s">
        <v>2303</v>
      </c>
      <c r="C2250" s="879"/>
    </row>
    <row r="2251" spans="1:3" x14ac:dyDescent="0.25">
      <c r="A2251" s="879"/>
      <c r="B2251" s="1452" t="s">
        <v>2304</v>
      </c>
      <c r="C2251" s="879"/>
    </row>
    <row r="2252" spans="1:3" x14ac:dyDescent="0.25">
      <c r="A2252" s="879"/>
      <c r="B2252" s="1452" t="s">
        <v>2305</v>
      </c>
      <c r="C2252" s="879"/>
    </row>
    <row r="2253" spans="1:3" x14ac:dyDescent="0.25">
      <c r="A2253" s="879"/>
      <c r="B2253" s="1452" t="s">
        <v>2306</v>
      </c>
      <c r="C2253" s="879"/>
    </row>
    <row r="2254" spans="1:3" x14ac:dyDescent="0.25">
      <c r="A2254" s="879"/>
      <c r="B2254" s="1452" t="s">
        <v>1382</v>
      </c>
      <c r="C2254" s="879"/>
    </row>
    <row r="2255" spans="1:3" x14ac:dyDescent="0.25">
      <c r="A2255" s="879"/>
      <c r="B2255" s="1452" t="s">
        <v>1367</v>
      </c>
      <c r="C2255" s="879"/>
    </row>
    <row r="2256" spans="1:3" x14ac:dyDescent="0.25">
      <c r="A2256" s="879"/>
      <c r="B2256" s="1452" t="s">
        <v>2296</v>
      </c>
      <c r="C2256" s="879"/>
    </row>
    <row r="2257" spans="1:3" x14ac:dyDescent="0.25">
      <c r="A2257" s="879"/>
      <c r="B2257" s="1452" t="s">
        <v>2307</v>
      </c>
      <c r="C2257" s="879"/>
    </row>
    <row r="2258" spans="1:3" x14ac:dyDescent="0.25">
      <c r="A2258" s="879"/>
      <c r="B2258" s="1452" t="s">
        <v>2308</v>
      </c>
      <c r="C2258" s="879"/>
    </row>
    <row r="2259" spans="1:3" x14ac:dyDescent="0.25">
      <c r="A2259" s="879"/>
      <c r="B2259" s="1452" t="s">
        <v>2309</v>
      </c>
      <c r="C2259" s="879"/>
    </row>
    <row r="2260" spans="1:3" x14ac:dyDescent="0.25">
      <c r="A2260" s="879"/>
      <c r="B2260" s="1452" t="s">
        <v>2310</v>
      </c>
      <c r="C2260" s="879"/>
    </row>
    <row r="2261" spans="1:3" x14ac:dyDescent="0.25">
      <c r="A2261" s="879"/>
      <c r="B2261" s="1452" t="s">
        <v>2311</v>
      </c>
      <c r="C2261" s="879"/>
    </row>
    <row r="2262" spans="1:3" x14ac:dyDescent="0.25">
      <c r="A2262" s="879"/>
      <c r="B2262" s="1452" t="s">
        <v>2312</v>
      </c>
      <c r="C2262" s="879"/>
    </row>
    <row r="2263" spans="1:3" x14ac:dyDescent="0.25">
      <c r="A2263" s="879"/>
      <c r="B2263" s="1452" t="s">
        <v>2313</v>
      </c>
      <c r="C2263" s="879"/>
    </row>
    <row r="2264" spans="1:3" x14ac:dyDescent="0.25">
      <c r="A2264" s="879"/>
      <c r="B2264" s="1452" t="s">
        <v>2314</v>
      </c>
      <c r="C2264" s="879"/>
    </row>
    <row r="2265" spans="1:3" x14ac:dyDescent="0.25">
      <c r="A2265" s="879"/>
      <c r="B2265" s="1452" t="s">
        <v>2315</v>
      </c>
      <c r="C2265" s="879"/>
    </row>
    <row r="2266" spans="1:3" x14ac:dyDescent="0.25">
      <c r="A2266" s="879"/>
      <c r="B2266" s="1452" t="s">
        <v>2316</v>
      </c>
      <c r="C2266" s="879"/>
    </row>
    <row r="2267" spans="1:3" x14ac:dyDescent="0.25">
      <c r="A2267" s="879"/>
      <c r="B2267" s="1452" t="s">
        <v>2317</v>
      </c>
      <c r="C2267" s="879"/>
    </row>
    <row r="2268" spans="1:3" x14ac:dyDescent="0.25">
      <c r="A2268" s="879"/>
      <c r="B2268" s="1452" t="s">
        <v>2318</v>
      </c>
      <c r="C2268" s="879"/>
    </row>
    <row r="2269" spans="1:3" x14ac:dyDescent="0.25">
      <c r="A2269" s="879"/>
      <c r="B2269" s="1452" t="s">
        <v>2319</v>
      </c>
      <c r="C2269" s="879"/>
    </row>
    <row r="2270" spans="1:3" x14ac:dyDescent="0.25">
      <c r="A2270" s="879"/>
      <c r="B2270" s="1452" t="s">
        <v>2320</v>
      </c>
      <c r="C2270" s="879"/>
    </row>
    <row r="2271" spans="1:3" x14ac:dyDescent="0.25">
      <c r="A2271" s="879"/>
      <c r="B2271" s="1452" t="s">
        <v>2321</v>
      </c>
      <c r="C2271" s="879"/>
    </row>
    <row r="2272" spans="1:3" x14ac:dyDescent="0.25">
      <c r="A2272" s="879"/>
      <c r="B2272" s="1452" t="s">
        <v>2322</v>
      </c>
      <c r="C2272" s="879"/>
    </row>
    <row r="2273" spans="1:3" x14ac:dyDescent="0.25">
      <c r="A2273" s="879"/>
      <c r="B2273" s="1452" t="s">
        <v>2323</v>
      </c>
      <c r="C2273" s="879"/>
    </row>
    <row r="2274" spans="1:3" x14ac:dyDescent="0.25">
      <c r="A2274" s="879"/>
      <c r="B2274" s="1452" t="s">
        <v>2324</v>
      </c>
      <c r="C2274" s="879"/>
    </row>
    <row r="2275" spans="1:3" x14ac:dyDescent="0.25">
      <c r="A2275" s="879"/>
      <c r="B2275" s="1452" t="s">
        <v>2325</v>
      </c>
      <c r="C2275" s="879"/>
    </row>
    <row r="2276" spans="1:3" x14ac:dyDescent="0.25">
      <c r="A2276" s="879"/>
      <c r="B2276" s="1452" t="s">
        <v>2326</v>
      </c>
      <c r="C2276" s="879"/>
    </row>
    <row r="2277" spans="1:3" x14ac:dyDescent="0.25">
      <c r="A2277" s="879"/>
      <c r="B2277" s="1452" t="s">
        <v>2327</v>
      </c>
      <c r="C2277" s="879"/>
    </row>
    <row r="2278" spans="1:3" x14ac:dyDescent="0.25">
      <c r="A2278" s="879"/>
      <c r="B2278" s="1452" t="s">
        <v>2328</v>
      </c>
      <c r="C2278" s="879"/>
    </row>
    <row r="2279" spans="1:3" x14ac:dyDescent="0.25">
      <c r="A2279" s="879"/>
      <c r="B2279" s="1452" t="s">
        <v>2329</v>
      </c>
      <c r="C2279" s="879"/>
    </row>
    <row r="2280" spans="1:3" x14ac:dyDescent="0.25">
      <c r="A2280" s="879"/>
      <c r="B2280" s="1452" t="s">
        <v>2330</v>
      </c>
      <c r="C2280" s="879"/>
    </row>
    <row r="2281" spans="1:3" x14ac:dyDescent="0.25">
      <c r="A2281" s="879"/>
      <c r="B2281" s="1452" t="s">
        <v>2331</v>
      </c>
      <c r="C2281" s="879"/>
    </row>
    <row r="2282" spans="1:3" x14ac:dyDescent="0.25">
      <c r="A2282" s="879"/>
      <c r="B2282" s="1452" t="s">
        <v>2332</v>
      </c>
      <c r="C2282" s="879"/>
    </row>
    <row r="2283" spans="1:3" x14ac:dyDescent="0.25">
      <c r="A2283" s="879"/>
      <c r="B2283" s="1452" t="s">
        <v>2333</v>
      </c>
      <c r="C2283" s="879"/>
    </row>
    <row r="2284" spans="1:3" x14ac:dyDescent="0.25">
      <c r="A2284" s="879"/>
      <c r="B2284" s="1452" t="s">
        <v>2334</v>
      </c>
      <c r="C2284" s="879"/>
    </row>
    <row r="2285" spans="1:3" x14ac:dyDescent="0.25">
      <c r="A2285" s="879"/>
      <c r="B2285" s="1452" t="s">
        <v>2335</v>
      </c>
      <c r="C2285" s="879"/>
    </row>
    <row r="2286" spans="1:3" x14ac:dyDescent="0.25">
      <c r="A2286" s="879"/>
      <c r="B2286" s="1452" t="s">
        <v>2336</v>
      </c>
      <c r="C2286" s="879"/>
    </row>
    <row r="2287" spans="1:3" x14ac:dyDescent="0.25">
      <c r="A2287" s="879"/>
      <c r="B2287" s="1452" t="s">
        <v>2337</v>
      </c>
      <c r="C2287" s="879"/>
    </row>
    <row r="2288" spans="1:3" x14ac:dyDescent="0.25">
      <c r="A2288" s="879"/>
      <c r="B2288" s="1452" t="s">
        <v>2338</v>
      </c>
      <c r="C2288" s="879"/>
    </row>
    <row r="2289" spans="1:3" x14ac:dyDescent="0.25">
      <c r="A2289" s="879"/>
      <c r="B2289" s="1452" t="s">
        <v>2339</v>
      </c>
      <c r="C2289" s="879"/>
    </row>
    <row r="2290" spans="1:3" x14ac:dyDescent="0.25">
      <c r="A2290" s="879"/>
      <c r="B2290" s="1452" t="s">
        <v>2340</v>
      </c>
      <c r="C2290" s="879"/>
    </row>
    <row r="2291" spans="1:3" x14ac:dyDescent="0.25">
      <c r="A2291" s="879"/>
      <c r="B2291" s="1452" t="s">
        <v>2341</v>
      </c>
      <c r="C2291" s="879"/>
    </row>
    <row r="2292" spans="1:3" x14ac:dyDescent="0.25">
      <c r="A2292" s="879"/>
      <c r="B2292" s="1452" t="s">
        <v>2342</v>
      </c>
      <c r="C2292" s="879"/>
    </row>
    <row r="2293" spans="1:3" x14ac:dyDescent="0.25">
      <c r="A2293" s="879"/>
      <c r="B2293" s="1452" t="s">
        <v>2343</v>
      </c>
      <c r="C2293" s="879"/>
    </row>
    <row r="2294" spans="1:3" x14ac:dyDescent="0.25">
      <c r="A2294" s="879"/>
      <c r="B2294" s="1452" t="s">
        <v>2344</v>
      </c>
      <c r="C2294" s="879"/>
    </row>
    <row r="2295" spans="1:3" x14ac:dyDescent="0.25">
      <c r="A2295" s="879"/>
      <c r="B2295" s="1452" t="s">
        <v>2345</v>
      </c>
      <c r="C2295" s="879"/>
    </row>
    <row r="2296" spans="1:3" x14ac:dyDescent="0.25">
      <c r="A2296" s="879"/>
      <c r="B2296" s="1452" t="s">
        <v>2346</v>
      </c>
      <c r="C2296" s="879"/>
    </row>
    <row r="2297" spans="1:3" x14ac:dyDescent="0.25">
      <c r="A2297" s="879"/>
      <c r="B2297" s="1452" t="s">
        <v>2347</v>
      </c>
      <c r="C2297" s="879"/>
    </row>
    <row r="2298" spans="1:3" x14ac:dyDescent="0.25">
      <c r="A2298" s="879"/>
      <c r="B2298" s="1452" t="s">
        <v>2348</v>
      </c>
      <c r="C2298" s="879"/>
    </row>
    <row r="2299" spans="1:3" x14ac:dyDescent="0.25">
      <c r="A2299" s="879"/>
      <c r="B2299" s="1452" t="s">
        <v>2349</v>
      </c>
      <c r="C2299" s="879"/>
    </row>
    <row r="2300" spans="1:3" x14ac:dyDescent="0.25">
      <c r="A2300" s="879"/>
      <c r="B2300" s="1452" t="s">
        <v>2350</v>
      </c>
      <c r="C2300" s="879"/>
    </row>
    <row r="2301" spans="1:3" x14ac:dyDescent="0.25">
      <c r="A2301" s="879"/>
      <c r="B2301" s="1452" t="s">
        <v>2351</v>
      </c>
      <c r="C2301" s="879"/>
    </row>
    <row r="2302" spans="1:3" x14ac:dyDescent="0.25">
      <c r="A2302" s="879"/>
      <c r="B2302" s="1452" t="s">
        <v>2352</v>
      </c>
      <c r="C2302" s="879"/>
    </row>
    <row r="2303" spans="1:3" x14ac:dyDescent="0.25">
      <c r="A2303" s="879"/>
      <c r="B2303" s="1452" t="s">
        <v>2353</v>
      </c>
      <c r="C2303" s="879"/>
    </row>
    <row r="2304" spans="1:3" x14ac:dyDescent="0.25">
      <c r="A2304" s="879"/>
      <c r="B2304" s="1452" t="s">
        <v>1430</v>
      </c>
      <c r="C2304" s="879"/>
    </row>
    <row r="2305" spans="1:3" x14ac:dyDescent="0.25">
      <c r="A2305" s="879"/>
      <c r="B2305" s="1452" t="s">
        <v>1367</v>
      </c>
      <c r="C2305" s="879"/>
    </row>
    <row r="2306" spans="1:3" x14ac:dyDescent="0.25">
      <c r="A2306" s="879"/>
      <c r="B2306" s="1452" t="s">
        <v>1504</v>
      </c>
      <c r="C2306" s="879"/>
    </row>
    <row r="2307" spans="1:3" x14ac:dyDescent="0.25">
      <c r="A2307" s="879"/>
      <c r="B2307" s="1452" t="s">
        <v>1367</v>
      </c>
      <c r="C2307" s="879"/>
    </row>
    <row r="2308" spans="1:3" x14ac:dyDescent="0.25">
      <c r="A2308" s="879"/>
      <c r="B2308" s="1452" t="s">
        <v>1450</v>
      </c>
      <c r="C2308" s="879"/>
    </row>
    <row r="2309" spans="1:3" x14ac:dyDescent="0.25">
      <c r="A2309" s="879"/>
      <c r="B2309" s="1452" t="s">
        <v>1451</v>
      </c>
      <c r="C2309" s="879"/>
    </row>
    <row r="2310" spans="1:3" x14ac:dyDescent="0.25">
      <c r="A2310" s="879"/>
      <c r="B2310" s="1452" t="s">
        <v>2354</v>
      </c>
      <c r="C2310" s="879"/>
    </row>
    <row r="2311" spans="1:3" x14ac:dyDescent="0.25">
      <c r="A2311" s="879"/>
      <c r="B2311" s="1452" t="s">
        <v>2355</v>
      </c>
      <c r="C2311" s="879"/>
    </row>
    <row r="2312" spans="1:3" x14ac:dyDescent="0.25">
      <c r="A2312" s="879"/>
      <c r="B2312" s="1452" t="s">
        <v>2356</v>
      </c>
      <c r="C2312" s="879"/>
    </row>
    <row r="2313" spans="1:3" x14ac:dyDescent="0.25">
      <c r="A2313" s="879"/>
      <c r="B2313" s="1452" t="s">
        <v>2357</v>
      </c>
      <c r="C2313" s="879"/>
    </row>
    <row r="2314" spans="1:3" x14ac:dyDescent="0.25">
      <c r="A2314" s="879"/>
      <c r="B2314" s="1452" t="s">
        <v>1684</v>
      </c>
      <c r="C2314" s="879"/>
    </row>
    <row r="2315" spans="1:3" x14ac:dyDescent="0.25">
      <c r="A2315" s="879"/>
      <c r="B2315" s="1452" t="s">
        <v>2358</v>
      </c>
      <c r="C2315" s="879"/>
    </row>
    <row r="2316" spans="1:3" x14ac:dyDescent="0.25">
      <c r="A2316" s="879"/>
      <c r="B2316" s="1452" t="s">
        <v>2359</v>
      </c>
      <c r="C2316" s="879"/>
    </row>
    <row r="2317" spans="1:3" x14ac:dyDescent="0.25">
      <c r="A2317" s="879"/>
      <c r="B2317" s="1452" t="s">
        <v>1685</v>
      </c>
      <c r="C2317" s="879"/>
    </row>
    <row r="2318" spans="1:3" x14ac:dyDescent="0.25">
      <c r="A2318" s="879"/>
      <c r="B2318" s="1452" t="s">
        <v>1686</v>
      </c>
      <c r="C2318" s="879"/>
    </row>
    <row r="2319" spans="1:3" x14ac:dyDescent="0.25">
      <c r="A2319" s="879"/>
      <c r="B2319" s="1452" t="s">
        <v>1454</v>
      </c>
      <c r="C2319" s="879"/>
    </row>
    <row r="2320" spans="1:3" x14ac:dyDescent="0.25">
      <c r="A2320" s="879"/>
      <c r="B2320" s="1452" t="s">
        <v>2360</v>
      </c>
      <c r="C2320" s="879"/>
    </row>
    <row r="2321" spans="1:3" x14ac:dyDescent="0.25">
      <c r="A2321" s="879"/>
      <c r="B2321" s="1452" t="s">
        <v>1455</v>
      </c>
      <c r="C2321" s="879"/>
    </row>
    <row r="2322" spans="1:3" x14ac:dyDescent="0.25">
      <c r="A2322" s="879"/>
      <c r="B2322" s="1452" t="s">
        <v>2361</v>
      </c>
      <c r="C2322" s="879"/>
    </row>
    <row r="2323" spans="1:3" x14ac:dyDescent="0.25">
      <c r="A2323" s="879"/>
      <c r="B2323" s="1452" t="s">
        <v>1688</v>
      </c>
      <c r="C2323" s="879"/>
    </row>
    <row r="2324" spans="1:3" x14ac:dyDescent="0.25">
      <c r="A2324" s="879"/>
      <c r="B2324" s="1452" t="s">
        <v>1458</v>
      </c>
      <c r="C2324" s="879"/>
    </row>
    <row r="2325" spans="1:3" x14ac:dyDescent="0.25">
      <c r="A2325" s="879"/>
      <c r="B2325" s="1452" t="s">
        <v>1505</v>
      </c>
      <c r="C2325" s="879"/>
    </row>
    <row r="2326" spans="1:3" x14ac:dyDescent="0.25">
      <c r="A2326" s="879"/>
      <c r="B2326" s="1452" t="s">
        <v>1367</v>
      </c>
      <c r="C2326" s="879"/>
    </row>
    <row r="2327" spans="1:3" x14ac:dyDescent="0.25">
      <c r="A2327" s="879"/>
      <c r="B2327" s="1452" t="s">
        <v>1450</v>
      </c>
      <c r="C2327" s="879"/>
    </row>
    <row r="2328" spans="1:3" x14ac:dyDescent="0.25">
      <c r="A2328" s="879"/>
      <c r="B2328" s="1452" t="s">
        <v>1451</v>
      </c>
      <c r="C2328" s="879"/>
    </row>
    <row r="2329" spans="1:3" x14ac:dyDescent="0.25">
      <c r="A2329" s="879"/>
      <c r="B2329" s="1452" t="s">
        <v>2362</v>
      </c>
      <c r="C2329" s="879"/>
    </row>
    <row r="2330" spans="1:3" x14ac:dyDescent="0.25">
      <c r="A2330" s="879"/>
      <c r="B2330" s="1452" t="s">
        <v>2363</v>
      </c>
      <c r="C2330" s="879"/>
    </row>
    <row r="2331" spans="1:3" x14ac:dyDescent="0.25">
      <c r="A2331" s="879"/>
      <c r="B2331" s="1452" t="s">
        <v>2356</v>
      </c>
      <c r="C2331" s="879"/>
    </row>
    <row r="2332" spans="1:3" x14ac:dyDescent="0.25">
      <c r="A2332" s="879"/>
      <c r="B2332" s="1452" t="s">
        <v>2364</v>
      </c>
      <c r="C2332" s="879"/>
    </row>
    <row r="2333" spans="1:3" x14ac:dyDescent="0.25">
      <c r="A2333" s="879"/>
      <c r="B2333" s="1452" t="s">
        <v>1684</v>
      </c>
      <c r="C2333" s="879"/>
    </row>
    <row r="2334" spans="1:3" x14ac:dyDescent="0.25">
      <c r="A2334" s="879"/>
      <c r="B2334" s="1452" t="s">
        <v>2358</v>
      </c>
      <c r="C2334" s="879"/>
    </row>
    <row r="2335" spans="1:3" x14ac:dyDescent="0.25">
      <c r="A2335" s="879"/>
      <c r="B2335" s="1452" t="s">
        <v>2359</v>
      </c>
      <c r="C2335" s="879"/>
    </row>
    <row r="2336" spans="1:3" x14ac:dyDescent="0.25">
      <c r="A2336" s="879"/>
      <c r="B2336" s="1452" t="s">
        <v>1685</v>
      </c>
      <c r="C2336" s="879"/>
    </row>
    <row r="2337" spans="1:3" x14ac:dyDescent="0.25">
      <c r="A2337" s="879"/>
      <c r="B2337" s="1452" t="s">
        <v>1686</v>
      </c>
      <c r="C2337" s="879"/>
    </row>
    <row r="2338" spans="1:3" x14ac:dyDescent="0.25">
      <c r="A2338" s="879"/>
      <c r="B2338" s="1452" t="s">
        <v>1454</v>
      </c>
      <c r="C2338" s="879"/>
    </row>
    <row r="2339" spans="1:3" x14ac:dyDescent="0.25">
      <c r="A2339" s="879"/>
      <c r="B2339" s="1452" t="s">
        <v>2365</v>
      </c>
      <c r="C2339" s="879"/>
    </row>
    <row r="2340" spans="1:3" x14ac:dyDescent="0.25">
      <c r="A2340" s="879"/>
      <c r="B2340" s="1452" t="s">
        <v>1455</v>
      </c>
      <c r="C2340" s="879"/>
    </row>
    <row r="2341" spans="1:3" x14ac:dyDescent="0.25">
      <c r="A2341" s="879"/>
      <c r="B2341" s="1452" t="s">
        <v>2366</v>
      </c>
      <c r="C2341" s="879"/>
    </row>
    <row r="2342" spans="1:3" x14ac:dyDescent="0.25">
      <c r="A2342" s="879"/>
      <c r="B2342" s="1452" t="s">
        <v>1688</v>
      </c>
      <c r="C2342" s="879"/>
    </row>
    <row r="2343" spans="1:3" x14ac:dyDescent="0.25">
      <c r="A2343" s="879"/>
      <c r="B2343" s="1452" t="s">
        <v>1458</v>
      </c>
      <c r="C2343" s="879"/>
    </row>
    <row r="2344" spans="1:3" x14ac:dyDescent="0.25">
      <c r="A2344" s="879"/>
      <c r="B2344" s="1452" t="s">
        <v>2367</v>
      </c>
      <c r="C2344" s="879"/>
    </row>
    <row r="2345" spans="1:3" x14ac:dyDescent="0.25">
      <c r="A2345" s="879"/>
      <c r="B2345" s="1452" t="s">
        <v>1367</v>
      </c>
      <c r="C2345" s="879"/>
    </row>
    <row r="2346" spans="1:3" x14ac:dyDescent="0.25">
      <c r="A2346" s="879"/>
      <c r="B2346" s="1452" t="s">
        <v>1450</v>
      </c>
      <c r="C2346" s="879"/>
    </row>
    <row r="2347" spans="1:3" x14ac:dyDescent="0.25">
      <c r="A2347" s="879"/>
      <c r="B2347" s="1452" t="s">
        <v>1451</v>
      </c>
      <c r="C2347" s="879"/>
    </row>
    <row r="2348" spans="1:3" x14ac:dyDescent="0.25">
      <c r="A2348" s="879"/>
      <c r="B2348" s="1452" t="s">
        <v>1452</v>
      </c>
      <c r="C2348" s="879"/>
    </row>
    <row r="2349" spans="1:3" x14ac:dyDescent="0.25">
      <c r="A2349" s="879"/>
      <c r="B2349" s="1452" t="s">
        <v>1681</v>
      </c>
      <c r="C2349" s="879"/>
    </row>
    <row r="2350" spans="1:3" x14ac:dyDescent="0.25">
      <c r="A2350" s="879"/>
      <c r="B2350" s="1452" t="s">
        <v>1682</v>
      </c>
      <c r="C2350" s="879"/>
    </row>
    <row r="2351" spans="1:3" x14ac:dyDescent="0.25">
      <c r="A2351" s="879"/>
      <c r="B2351" s="1452" t="s">
        <v>1517</v>
      </c>
      <c r="C2351" s="879"/>
    </row>
    <row r="2352" spans="1:3" x14ac:dyDescent="0.25">
      <c r="A2352" s="879"/>
      <c r="B2352" s="1452" t="s">
        <v>1684</v>
      </c>
      <c r="C2352" s="879"/>
    </row>
    <row r="2353" spans="1:3" x14ac:dyDescent="0.25">
      <c r="A2353" s="879"/>
      <c r="B2353" s="1452" t="s">
        <v>1453</v>
      </c>
      <c r="C2353" s="879"/>
    </row>
    <row r="2354" spans="1:3" x14ac:dyDescent="0.25">
      <c r="A2354" s="879"/>
      <c r="B2354" s="1452" t="s">
        <v>1485</v>
      </c>
      <c r="C2354" s="879"/>
    </row>
    <row r="2355" spans="1:3" x14ac:dyDescent="0.25">
      <c r="A2355" s="879"/>
      <c r="B2355" s="1452" t="s">
        <v>1685</v>
      </c>
      <c r="C2355" s="879"/>
    </row>
    <row r="2356" spans="1:3" x14ac:dyDescent="0.25">
      <c r="A2356" s="879"/>
      <c r="B2356" s="1452" t="s">
        <v>1686</v>
      </c>
      <c r="C2356" s="879"/>
    </row>
    <row r="2357" spans="1:3" x14ac:dyDescent="0.25">
      <c r="A2357" s="879"/>
      <c r="B2357" s="1452" t="s">
        <v>1454</v>
      </c>
      <c r="C2357" s="879"/>
    </row>
    <row r="2358" spans="1:3" x14ac:dyDescent="0.25">
      <c r="A2358" s="879"/>
      <c r="B2358" s="1452" t="s">
        <v>1486</v>
      </c>
      <c r="C2358" s="879"/>
    </row>
    <row r="2359" spans="1:3" x14ac:dyDescent="0.25">
      <c r="A2359" s="879"/>
      <c r="B2359" s="1452" t="s">
        <v>1455</v>
      </c>
      <c r="C2359" s="879"/>
    </row>
    <row r="2360" spans="1:3" x14ac:dyDescent="0.25">
      <c r="A2360" s="879"/>
      <c r="B2360" s="1452" t="s">
        <v>1518</v>
      </c>
      <c r="C2360" s="879"/>
    </row>
    <row r="2361" spans="1:3" x14ac:dyDescent="0.25">
      <c r="A2361" s="879"/>
      <c r="B2361" s="1452" t="s">
        <v>2368</v>
      </c>
      <c r="C2361" s="879"/>
    </row>
    <row r="2362" spans="1:3" x14ac:dyDescent="0.25">
      <c r="A2362" s="879"/>
      <c r="B2362" s="1452" t="s">
        <v>1458</v>
      </c>
      <c r="C2362" s="879"/>
    </row>
    <row r="2363" spans="1:3" x14ac:dyDescent="0.25">
      <c r="A2363" s="879"/>
      <c r="B2363" s="1452" t="s">
        <v>1506</v>
      </c>
      <c r="C2363" s="879"/>
    </row>
    <row r="2364" spans="1:3" x14ac:dyDescent="0.25">
      <c r="A2364" s="879"/>
      <c r="B2364" s="1452" t="s">
        <v>1367</v>
      </c>
      <c r="C2364" s="879"/>
    </row>
    <row r="2365" spans="1:3" x14ac:dyDescent="0.25">
      <c r="A2365" s="879"/>
      <c r="B2365" s="1452" t="s">
        <v>1450</v>
      </c>
      <c r="C2365" s="879"/>
    </row>
    <row r="2366" spans="1:3" x14ac:dyDescent="0.25">
      <c r="A2366" s="879"/>
      <c r="B2366" s="1452" t="s">
        <v>1451</v>
      </c>
      <c r="C2366" s="879"/>
    </row>
    <row r="2367" spans="1:3" x14ac:dyDescent="0.25">
      <c r="A2367" s="879"/>
      <c r="B2367" s="1452" t="s">
        <v>2362</v>
      </c>
      <c r="C2367" s="879"/>
    </row>
    <row r="2368" spans="1:3" x14ac:dyDescent="0.25">
      <c r="A2368" s="879"/>
      <c r="B2368" s="1452" t="s">
        <v>2363</v>
      </c>
      <c r="C2368" s="879"/>
    </row>
    <row r="2369" spans="1:3" x14ac:dyDescent="0.25">
      <c r="A2369" s="879"/>
      <c r="B2369" s="1452" t="s">
        <v>2356</v>
      </c>
      <c r="C2369" s="879"/>
    </row>
    <row r="2370" spans="1:3" x14ac:dyDescent="0.25">
      <c r="A2370" s="879"/>
      <c r="B2370" s="1452" t="s">
        <v>2364</v>
      </c>
      <c r="C2370" s="879"/>
    </row>
    <row r="2371" spans="1:3" x14ac:dyDescent="0.25">
      <c r="A2371" s="879"/>
      <c r="B2371" s="1452" t="s">
        <v>1684</v>
      </c>
      <c r="C2371" s="879"/>
    </row>
    <row r="2372" spans="1:3" x14ac:dyDescent="0.25">
      <c r="A2372" s="879"/>
      <c r="B2372" s="1452" t="s">
        <v>2358</v>
      </c>
      <c r="C2372" s="879"/>
    </row>
    <row r="2373" spans="1:3" x14ac:dyDescent="0.25">
      <c r="A2373" s="879"/>
      <c r="B2373" s="1452" t="s">
        <v>2359</v>
      </c>
      <c r="C2373" s="879"/>
    </row>
    <row r="2374" spans="1:3" x14ac:dyDescent="0.25">
      <c r="A2374" s="879"/>
      <c r="B2374" s="1452" t="s">
        <v>1685</v>
      </c>
      <c r="C2374" s="879"/>
    </row>
    <row r="2375" spans="1:3" x14ac:dyDescent="0.25">
      <c r="A2375" s="879"/>
      <c r="B2375" s="1452" t="s">
        <v>1686</v>
      </c>
      <c r="C2375" s="879"/>
    </row>
    <row r="2376" spans="1:3" x14ac:dyDescent="0.25">
      <c r="A2376" s="879"/>
      <c r="B2376" s="1452" t="s">
        <v>1454</v>
      </c>
      <c r="C2376" s="879"/>
    </row>
    <row r="2377" spans="1:3" x14ac:dyDescent="0.25">
      <c r="A2377" s="879"/>
      <c r="B2377" s="1452" t="s">
        <v>2365</v>
      </c>
      <c r="C2377" s="879"/>
    </row>
    <row r="2378" spans="1:3" x14ac:dyDescent="0.25">
      <c r="A2378" s="879"/>
      <c r="B2378" s="1452" t="s">
        <v>1455</v>
      </c>
      <c r="C2378" s="879"/>
    </row>
    <row r="2379" spans="1:3" x14ac:dyDescent="0.25">
      <c r="A2379" s="879"/>
      <c r="B2379" s="1452" t="s">
        <v>2366</v>
      </c>
      <c r="C2379" s="879"/>
    </row>
    <row r="2380" spans="1:3" x14ac:dyDescent="0.25">
      <c r="A2380" s="879"/>
      <c r="B2380" s="1452" t="s">
        <v>1688</v>
      </c>
      <c r="C2380" s="879"/>
    </row>
    <row r="2381" spans="1:3" x14ac:dyDescent="0.25">
      <c r="A2381" s="879"/>
      <c r="B2381" s="1452" t="s">
        <v>1458</v>
      </c>
      <c r="C2381" s="879"/>
    </row>
    <row r="2382" spans="1:3" x14ac:dyDescent="0.25">
      <c r="A2382" s="879"/>
      <c r="B2382" s="1452" t="s">
        <v>1506</v>
      </c>
      <c r="C2382" s="879"/>
    </row>
    <row r="2383" spans="1:3" x14ac:dyDescent="0.25">
      <c r="A2383" s="879"/>
      <c r="B2383" s="1452" t="s">
        <v>1367</v>
      </c>
      <c r="C2383" s="879"/>
    </row>
    <row r="2384" spans="1:3" x14ac:dyDescent="0.25">
      <c r="A2384" s="879"/>
      <c r="B2384" s="1452" t="s">
        <v>1450</v>
      </c>
      <c r="C2384" s="879"/>
    </row>
    <row r="2385" spans="1:3" x14ac:dyDescent="0.25">
      <c r="A2385" s="879"/>
      <c r="B2385" s="1452" t="s">
        <v>1451</v>
      </c>
      <c r="C2385" s="879"/>
    </row>
    <row r="2386" spans="1:3" x14ac:dyDescent="0.25">
      <c r="A2386" s="879"/>
      <c r="B2386" s="1452" t="s">
        <v>2369</v>
      </c>
      <c r="C2386" s="879"/>
    </row>
    <row r="2387" spans="1:3" x14ac:dyDescent="0.25">
      <c r="A2387" s="879"/>
      <c r="B2387" s="1452" t="s">
        <v>2370</v>
      </c>
      <c r="C2387" s="879"/>
    </row>
    <row r="2388" spans="1:3" x14ac:dyDescent="0.25">
      <c r="A2388" s="879"/>
      <c r="B2388" s="1452" t="s">
        <v>2356</v>
      </c>
      <c r="C2388" s="879"/>
    </row>
    <row r="2389" spans="1:3" x14ac:dyDescent="0.25">
      <c r="A2389" s="879"/>
      <c r="B2389" s="1452" t="s">
        <v>2357</v>
      </c>
      <c r="C2389" s="879"/>
    </row>
    <row r="2390" spans="1:3" x14ac:dyDescent="0.25">
      <c r="A2390" s="879"/>
      <c r="B2390" s="1452" t="s">
        <v>1684</v>
      </c>
      <c r="C2390" s="879"/>
    </row>
    <row r="2391" spans="1:3" x14ac:dyDescent="0.25">
      <c r="A2391" s="879"/>
      <c r="B2391" s="1452" t="s">
        <v>2358</v>
      </c>
      <c r="C2391" s="879"/>
    </row>
    <row r="2392" spans="1:3" x14ac:dyDescent="0.25">
      <c r="A2392" s="879"/>
      <c r="B2392" s="1452" t="s">
        <v>2359</v>
      </c>
      <c r="C2392" s="879"/>
    </row>
    <row r="2393" spans="1:3" x14ac:dyDescent="0.25">
      <c r="A2393" s="879"/>
      <c r="B2393" s="1452" t="s">
        <v>1685</v>
      </c>
      <c r="C2393" s="879"/>
    </row>
    <row r="2394" spans="1:3" x14ac:dyDescent="0.25">
      <c r="A2394" s="879"/>
      <c r="B2394" s="1452" t="s">
        <v>1686</v>
      </c>
      <c r="C2394" s="879"/>
    </row>
    <row r="2395" spans="1:3" x14ac:dyDescent="0.25">
      <c r="A2395" s="879"/>
      <c r="B2395" s="1452" t="s">
        <v>1454</v>
      </c>
      <c r="C2395" s="879"/>
    </row>
    <row r="2396" spans="1:3" x14ac:dyDescent="0.25">
      <c r="A2396" s="879"/>
      <c r="B2396" s="1452" t="s">
        <v>2371</v>
      </c>
      <c r="C2396" s="879"/>
    </row>
    <row r="2397" spans="1:3" x14ac:dyDescent="0.25">
      <c r="A2397" s="879"/>
      <c r="B2397" s="1452" t="s">
        <v>1455</v>
      </c>
      <c r="C2397" s="879"/>
    </row>
    <row r="2398" spans="1:3" x14ac:dyDescent="0.25">
      <c r="A2398" s="879"/>
      <c r="B2398" s="1452" t="s">
        <v>2361</v>
      </c>
      <c r="C2398" s="879"/>
    </row>
    <row r="2399" spans="1:3" x14ac:dyDescent="0.25">
      <c r="A2399" s="879"/>
      <c r="B2399" s="1452" t="s">
        <v>1688</v>
      </c>
      <c r="C2399" s="879"/>
    </row>
    <row r="2400" spans="1:3" x14ac:dyDescent="0.25">
      <c r="A2400" s="879"/>
      <c r="B2400" s="1452" t="s">
        <v>1458</v>
      </c>
      <c r="C2400" s="879"/>
    </row>
    <row r="2401" spans="1:3" x14ac:dyDescent="0.25">
      <c r="A2401" s="879"/>
      <c r="B2401" s="1452" t="s">
        <v>1690</v>
      </c>
      <c r="C2401" s="879"/>
    </row>
    <row r="2402" spans="1:3" x14ac:dyDescent="0.25">
      <c r="A2402" s="879"/>
      <c r="B2402" s="1452" t="s">
        <v>1367</v>
      </c>
      <c r="C2402" s="879"/>
    </row>
    <row r="2403" spans="1:3" x14ac:dyDescent="0.25">
      <c r="A2403" s="879"/>
      <c r="B2403" s="1452" t="s">
        <v>1691</v>
      </c>
      <c r="C2403" s="879"/>
    </row>
    <row r="2404" spans="1:3" x14ac:dyDescent="0.25">
      <c r="A2404" s="879"/>
      <c r="B2404" s="1452" t="s">
        <v>2372</v>
      </c>
      <c r="C2404" s="879"/>
    </row>
    <row r="2405" spans="1:3" x14ac:dyDescent="0.25">
      <c r="A2405" s="879"/>
      <c r="B2405" s="1452" t="s">
        <v>2373</v>
      </c>
      <c r="C2405" s="879"/>
    </row>
    <row r="2406" spans="1:3" x14ac:dyDescent="0.25">
      <c r="A2406" s="879"/>
      <c r="B2406" s="1452" t="s">
        <v>2374</v>
      </c>
      <c r="C2406" s="879"/>
    </row>
    <row r="2407" spans="1:3" x14ac:dyDescent="0.25">
      <c r="A2407" s="879"/>
      <c r="B2407" s="1452" t="s">
        <v>2375</v>
      </c>
      <c r="C2407" s="879"/>
    </row>
    <row r="2408" spans="1:3" x14ac:dyDescent="0.25">
      <c r="A2408" s="879"/>
      <c r="B2408" s="1452" t="s">
        <v>1696</v>
      </c>
      <c r="C2408" s="879"/>
    </row>
    <row r="2409" spans="1:3" x14ac:dyDescent="0.25">
      <c r="A2409" s="879"/>
      <c r="B2409" s="1452" t="s">
        <v>2376</v>
      </c>
      <c r="C2409" s="879"/>
    </row>
    <row r="2410" spans="1:3" x14ac:dyDescent="0.25">
      <c r="A2410" s="879"/>
      <c r="B2410" s="1452" t="s">
        <v>2377</v>
      </c>
      <c r="C2410" s="879"/>
    </row>
    <row r="2411" spans="1:3" x14ac:dyDescent="0.25">
      <c r="A2411" s="879"/>
      <c r="B2411" s="1452" t="s">
        <v>1699</v>
      </c>
      <c r="C2411" s="879"/>
    </row>
    <row r="2412" spans="1:3" x14ac:dyDescent="0.25">
      <c r="A2412" s="879"/>
      <c r="B2412" s="1452" t="s">
        <v>1700</v>
      </c>
      <c r="C2412" s="879"/>
    </row>
    <row r="2413" spans="1:3" x14ac:dyDescent="0.25">
      <c r="A2413" s="879"/>
      <c r="B2413" s="1452" t="s">
        <v>1701</v>
      </c>
      <c r="C2413" s="879"/>
    </row>
    <row r="2414" spans="1:3" x14ac:dyDescent="0.25">
      <c r="A2414" s="879"/>
      <c r="B2414" s="1452" t="s">
        <v>2378</v>
      </c>
      <c r="C2414" s="879"/>
    </row>
    <row r="2415" spans="1:3" x14ac:dyDescent="0.25">
      <c r="A2415" s="879"/>
      <c r="B2415" s="1452" t="s">
        <v>1703</v>
      </c>
      <c r="C2415" s="879"/>
    </row>
    <row r="2416" spans="1:3" x14ac:dyDescent="0.25">
      <c r="A2416" s="879"/>
      <c r="B2416" s="1452" t="s">
        <v>2379</v>
      </c>
      <c r="C2416" s="879"/>
    </row>
    <row r="2417" spans="1:3" x14ac:dyDescent="0.25">
      <c r="A2417" s="879"/>
      <c r="B2417" s="1452" t="s">
        <v>2380</v>
      </c>
      <c r="C2417" s="879"/>
    </row>
    <row r="2418" spans="1:3" x14ac:dyDescent="0.25">
      <c r="A2418" s="879"/>
      <c r="B2418" s="1452"/>
      <c r="C2418" s="879"/>
    </row>
    <row r="2419" spans="1:3" x14ac:dyDescent="0.25">
      <c r="A2419" s="879"/>
      <c r="B2419" s="1452"/>
      <c r="C2419" s="879"/>
    </row>
    <row r="2420" spans="1:3" x14ac:dyDescent="0.25">
      <c r="A2420" s="879"/>
      <c r="B2420" s="1452" t="s">
        <v>1368</v>
      </c>
      <c r="C2420" s="879"/>
    </row>
    <row r="2421" spans="1:3" x14ac:dyDescent="0.25">
      <c r="A2421" s="879"/>
      <c r="B2421" s="1452" t="s">
        <v>2381</v>
      </c>
      <c r="C2421" s="879"/>
    </row>
    <row r="2422" spans="1:3" x14ac:dyDescent="0.25">
      <c r="A2422" s="879"/>
      <c r="B2422" s="1452" t="s">
        <v>1368</v>
      </c>
      <c r="C2422" s="879"/>
    </row>
    <row r="2423" spans="1:3" x14ac:dyDescent="0.25">
      <c r="A2423" s="879"/>
      <c r="B2423" s="1452" t="s">
        <v>2382</v>
      </c>
      <c r="C2423" s="879"/>
    </row>
    <row r="2424" spans="1:3" x14ac:dyDescent="0.25">
      <c r="A2424" s="879"/>
      <c r="B2424" s="1452" t="s">
        <v>1367</v>
      </c>
      <c r="C2424" s="879"/>
    </row>
    <row r="2425" spans="1:3" x14ac:dyDescent="0.25">
      <c r="A2425" s="879"/>
      <c r="B2425" s="1452" t="s">
        <v>1369</v>
      </c>
      <c r="C2425" s="879"/>
    </row>
    <row r="2426" spans="1:3" x14ac:dyDescent="0.25">
      <c r="A2426" s="879"/>
      <c r="B2426" s="1452" t="s">
        <v>1370</v>
      </c>
      <c r="C2426" s="879"/>
    </row>
    <row r="2427" spans="1:3" x14ac:dyDescent="0.25">
      <c r="A2427" s="879"/>
      <c r="B2427" s="1452" t="s">
        <v>1367</v>
      </c>
      <c r="C2427" s="879"/>
    </row>
    <row r="2428" spans="1:3" x14ac:dyDescent="0.25">
      <c r="A2428" s="879"/>
      <c r="B2428" s="1452" t="s">
        <v>1520</v>
      </c>
      <c r="C2428" s="879"/>
    </row>
    <row r="2429" spans="1:3" x14ac:dyDescent="0.25">
      <c r="A2429" s="879"/>
      <c r="B2429" s="1452" t="s">
        <v>1521</v>
      </c>
      <c r="C2429" s="879"/>
    </row>
    <row r="2430" spans="1:3" x14ac:dyDescent="0.25">
      <c r="A2430" s="879"/>
      <c r="B2430" s="1452" t="s">
        <v>2383</v>
      </c>
      <c r="C2430" s="879"/>
    </row>
    <row r="2431" spans="1:3" x14ac:dyDescent="0.25">
      <c r="A2431" s="879"/>
      <c r="B2431" s="1452" t="s">
        <v>2384</v>
      </c>
      <c r="C2431" s="879"/>
    </row>
    <row r="2432" spans="1:3" x14ac:dyDescent="0.25">
      <c r="A2432" s="879"/>
      <c r="B2432" s="1452" t="s">
        <v>1583</v>
      </c>
      <c r="C2432" s="879"/>
    </row>
    <row r="2433" spans="1:3" x14ac:dyDescent="0.25">
      <c r="A2433" s="879"/>
      <c r="B2433" s="1452" t="s">
        <v>1584</v>
      </c>
      <c r="C2433" s="879"/>
    </row>
    <row r="2434" spans="1:3" x14ac:dyDescent="0.25">
      <c r="A2434" s="879"/>
      <c r="B2434" s="1452" t="s">
        <v>1585</v>
      </c>
      <c r="C2434" s="879"/>
    </row>
    <row r="2435" spans="1:3" x14ac:dyDescent="0.25">
      <c r="A2435" s="879"/>
      <c r="B2435" s="1452" t="s">
        <v>2385</v>
      </c>
      <c r="C2435" s="879"/>
    </row>
    <row r="2436" spans="1:3" x14ac:dyDescent="0.25">
      <c r="A2436" s="879"/>
      <c r="B2436" s="1452" t="s">
        <v>2386</v>
      </c>
      <c r="C2436" s="879"/>
    </row>
    <row r="2437" spans="1:3" x14ac:dyDescent="0.25">
      <c r="A2437" s="879"/>
      <c r="B2437" s="1452" t="s">
        <v>1586</v>
      </c>
      <c r="C2437" s="879"/>
    </row>
    <row r="2438" spans="1:3" x14ac:dyDescent="0.25">
      <c r="A2438" s="879"/>
      <c r="B2438" s="1452" t="s">
        <v>1587</v>
      </c>
      <c r="C2438" s="879"/>
    </row>
    <row r="2439" spans="1:3" x14ac:dyDescent="0.25">
      <c r="A2439" s="879"/>
      <c r="B2439" s="1452" t="s">
        <v>1382</v>
      </c>
      <c r="C2439" s="879"/>
    </row>
    <row r="2440" spans="1:3" x14ac:dyDescent="0.25">
      <c r="A2440" s="879"/>
      <c r="B2440" s="1452" t="s">
        <v>1367</v>
      </c>
      <c r="C2440" s="879"/>
    </row>
    <row r="2441" spans="1:3" x14ac:dyDescent="0.25">
      <c r="A2441" s="879"/>
      <c r="B2441" s="1452" t="s">
        <v>1520</v>
      </c>
      <c r="C2441" s="879"/>
    </row>
    <row r="2442" spans="1:3" x14ac:dyDescent="0.25">
      <c r="A2442" s="879"/>
      <c r="B2442" s="1452" t="s">
        <v>2387</v>
      </c>
      <c r="C2442" s="879"/>
    </row>
    <row r="2443" spans="1:3" x14ac:dyDescent="0.25">
      <c r="A2443" s="879"/>
      <c r="B2443" s="1452" t="s">
        <v>2388</v>
      </c>
      <c r="C2443" s="879"/>
    </row>
    <row r="2444" spans="1:3" x14ac:dyDescent="0.25">
      <c r="A2444" s="879"/>
      <c r="B2444" s="1452" t="s">
        <v>2389</v>
      </c>
      <c r="C2444" s="879"/>
    </row>
    <row r="2445" spans="1:3" x14ac:dyDescent="0.25">
      <c r="A2445" s="879"/>
      <c r="B2445" s="1452" t="s">
        <v>1588</v>
      </c>
      <c r="C2445" s="879"/>
    </row>
    <row r="2446" spans="1:3" x14ac:dyDescent="0.25">
      <c r="A2446" s="879"/>
      <c r="B2446" s="1452" t="s">
        <v>2390</v>
      </c>
      <c r="C2446" s="879"/>
    </row>
    <row r="2447" spans="1:3" x14ac:dyDescent="0.25">
      <c r="A2447" s="879"/>
      <c r="B2447" s="1452" t="s">
        <v>2391</v>
      </c>
      <c r="C2447" s="879"/>
    </row>
    <row r="2448" spans="1:3" x14ac:dyDescent="0.25">
      <c r="A2448" s="879"/>
      <c r="B2448" s="1452" t="s">
        <v>2392</v>
      </c>
      <c r="C2448" s="879"/>
    </row>
    <row r="2449" spans="1:3" x14ac:dyDescent="0.25">
      <c r="A2449" s="879"/>
      <c r="B2449" s="1452" t="s">
        <v>2393</v>
      </c>
      <c r="C2449" s="879"/>
    </row>
    <row r="2450" spans="1:3" x14ac:dyDescent="0.25">
      <c r="A2450" s="879"/>
      <c r="B2450" s="1452" t="s">
        <v>2394</v>
      </c>
      <c r="C2450" s="879"/>
    </row>
    <row r="2451" spans="1:3" x14ac:dyDescent="0.25">
      <c r="A2451" s="879"/>
      <c r="B2451" s="1452" t="s">
        <v>2395</v>
      </c>
      <c r="C2451" s="879"/>
    </row>
    <row r="2452" spans="1:3" x14ac:dyDescent="0.25">
      <c r="A2452" s="879"/>
      <c r="B2452" s="1452" t="s">
        <v>1522</v>
      </c>
      <c r="C2452" s="879"/>
    </row>
    <row r="2453" spans="1:3" x14ac:dyDescent="0.25">
      <c r="A2453" s="879"/>
      <c r="B2453" s="1452" t="s">
        <v>1523</v>
      </c>
      <c r="C2453" s="879"/>
    </row>
    <row r="2454" spans="1:3" x14ac:dyDescent="0.25">
      <c r="A2454" s="879"/>
      <c r="B2454" s="1452" t="s">
        <v>1524</v>
      </c>
      <c r="C2454" s="879"/>
    </row>
    <row r="2455" spans="1:3" x14ac:dyDescent="0.25">
      <c r="A2455" s="879"/>
      <c r="B2455" s="1452" t="s">
        <v>1525</v>
      </c>
      <c r="C2455" s="879"/>
    </row>
    <row r="2456" spans="1:3" x14ac:dyDescent="0.25">
      <c r="A2456" s="879"/>
      <c r="B2456" s="1452" t="s">
        <v>1526</v>
      </c>
      <c r="C2456" s="879"/>
    </row>
    <row r="2457" spans="1:3" x14ac:dyDescent="0.25">
      <c r="A2457" s="879"/>
      <c r="B2457" s="1452" t="s">
        <v>1589</v>
      </c>
      <c r="C2457" s="879"/>
    </row>
    <row r="2458" spans="1:3" x14ac:dyDescent="0.25">
      <c r="A2458" s="879"/>
      <c r="B2458" s="1452" t="s">
        <v>2396</v>
      </c>
      <c r="C2458" s="879"/>
    </row>
    <row r="2459" spans="1:3" x14ac:dyDescent="0.25">
      <c r="A2459" s="879"/>
      <c r="B2459" s="1452" t="s">
        <v>1590</v>
      </c>
      <c r="C2459" s="879"/>
    </row>
    <row r="2460" spans="1:3" x14ac:dyDescent="0.25">
      <c r="A2460" s="879"/>
      <c r="B2460" s="1452" t="s">
        <v>2397</v>
      </c>
      <c r="C2460" s="879"/>
    </row>
    <row r="2461" spans="1:3" x14ac:dyDescent="0.25">
      <c r="A2461" s="879"/>
      <c r="B2461" s="1452" t="s">
        <v>1567</v>
      </c>
      <c r="C2461" s="879"/>
    </row>
    <row r="2462" spans="1:3" x14ac:dyDescent="0.25">
      <c r="A2462" s="879"/>
      <c r="B2462" s="1452" t="s">
        <v>2398</v>
      </c>
      <c r="C2462" s="879"/>
    </row>
    <row r="2463" spans="1:3" x14ac:dyDescent="0.25">
      <c r="A2463" s="879"/>
      <c r="B2463" s="1452" t="s">
        <v>2399</v>
      </c>
      <c r="C2463" s="879"/>
    </row>
    <row r="2464" spans="1:3" x14ac:dyDescent="0.25">
      <c r="A2464" s="879"/>
      <c r="B2464" s="1452" t="s">
        <v>1527</v>
      </c>
      <c r="C2464" s="879"/>
    </row>
    <row r="2465" spans="1:3" x14ac:dyDescent="0.25">
      <c r="A2465" s="879"/>
      <c r="B2465" s="1452" t="s">
        <v>2400</v>
      </c>
      <c r="C2465" s="879"/>
    </row>
    <row r="2466" spans="1:3" x14ac:dyDescent="0.25">
      <c r="A2466" s="879"/>
      <c r="B2466" s="1452" t="s">
        <v>2401</v>
      </c>
      <c r="C2466" s="879"/>
    </row>
    <row r="2467" spans="1:3" x14ac:dyDescent="0.25">
      <c r="A2467" s="879"/>
      <c r="B2467" s="1452" t="s">
        <v>2402</v>
      </c>
      <c r="C2467" s="879"/>
    </row>
    <row r="2468" spans="1:3" x14ac:dyDescent="0.25">
      <c r="A2468" s="879"/>
      <c r="B2468" s="1452" t="s">
        <v>2403</v>
      </c>
      <c r="C2468" s="879"/>
    </row>
    <row r="2469" spans="1:3" x14ac:dyDescent="0.25">
      <c r="A2469" s="879"/>
      <c r="B2469" s="1452" t="s">
        <v>2404</v>
      </c>
      <c r="C2469" s="879"/>
    </row>
    <row r="2470" spans="1:3" x14ac:dyDescent="0.25">
      <c r="A2470" s="879"/>
      <c r="B2470" s="1452" t="s">
        <v>1591</v>
      </c>
      <c r="C2470" s="879"/>
    </row>
    <row r="2471" spans="1:3" x14ac:dyDescent="0.25">
      <c r="A2471" s="879"/>
      <c r="B2471" s="1452" t="s">
        <v>1529</v>
      </c>
      <c r="C2471" s="879"/>
    </row>
    <row r="2472" spans="1:3" x14ac:dyDescent="0.25">
      <c r="A2472" s="879"/>
      <c r="B2472" s="1452" t="s">
        <v>2405</v>
      </c>
      <c r="C2472" s="879"/>
    </row>
    <row r="2473" spans="1:3" x14ac:dyDescent="0.25">
      <c r="A2473" s="879"/>
      <c r="B2473" s="1452" t="s">
        <v>2406</v>
      </c>
      <c r="C2473" s="879"/>
    </row>
    <row r="2474" spans="1:3" x14ac:dyDescent="0.25">
      <c r="A2474" s="879"/>
      <c r="B2474" s="1452" t="s">
        <v>1530</v>
      </c>
      <c r="C2474" s="879"/>
    </row>
    <row r="2475" spans="1:3" x14ac:dyDescent="0.25">
      <c r="A2475" s="879"/>
      <c r="B2475" s="1452" t="s">
        <v>2407</v>
      </c>
      <c r="C2475" s="879"/>
    </row>
    <row r="2476" spans="1:3" x14ac:dyDescent="0.25">
      <c r="A2476" s="879"/>
      <c r="B2476" s="1452" t="s">
        <v>2408</v>
      </c>
      <c r="C2476" s="879"/>
    </row>
    <row r="2477" spans="1:3" x14ac:dyDescent="0.25">
      <c r="A2477" s="879"/>
      <c r="B2477" s="1452" t="s">
        <v>2409</v>
      </c>
      <c r="C2477" s="879"/>
    </row>
    <row r="2478" spans="1:3" x14ac:dyDescent="0.25">
      <c r="A2478" s="879"/>
      <c r="B2478" s="1452" t="s">
        <v>2410</v>
      </c>
      <c r="C2478" s="879"/>
    </row>
    <row r="2479" spans="1:3" x14ac:dyDescent="0.25">
      <c r="A2479" s="879"/>
      <c r="B2479" s="1452" t="s">
        <v>2411</v>
      </c>
      <c r="C2479" s="879"/>
    </row>
    <row r="2480" spans="1:3" x14ac:dyDescent="0.25">
      <c r="A2480" s="879"/>
      <c r="B2480" s="1452" t="s">
        <v>2412</v>
      </c>
      <c r="C2480" s="879"/>
    </row>
    <row r="2481" spans="1:3" x14ac:dyDescent="0.25">
      <c r="A2481" s="879"/>
      <c r="B2481" s="1452" t="s">
        <v>2413</v>
      </c>
      <c r="C2481" s="879"/>
    </row>
    <row r="2482" spans="1:3" x14ac:dyDescent="0.25">
      <c r="A2482" s="879"/>
      <c r="B2482" s="1452" t="s">
        <v>2414</v>
      </c>
      <c r="C2482" s="879"/>
    </row>
    <row r="2483" spans="1:3" x14ac:dyDescent="0.25">
      <c r="A2483" s="879"/>
      <c r="B2483" s="1452" t="s">
        <v>2415</v>
      </c>
      <c r="C2483" s="879"/>
    </row>
    <row r="2484" spans="1:3" x14ac:dyDescent="0.25">
      <c r="A2484" s="879"/>
      <c r="B2484" s="1452" t="s">
        <v>2416</v>
      </c>
      <c r="C2484" s="879"/>
    </row>
    <row r="2485" spans="1:3" x14ac:dyDescent="0.25">
      <c r="A2485" s="879"/>
      <c r="B2485" s="1452" t="s">
        <v>1531</v>
      </c>
      <c r="C2485" s="879"/>
    </row>
    <row r="2486" spans="1:3" x14ac:dyDescent="0.25">
      <c r="A2486" s="879"/>
      <c r="B2486" s="1452" t="s">
        <v>1592</v>
      </c>
      <c r="C2486" s="879"/>
    </row>
    <row r="2487" spans="1:3" x14ac:dyDescent="0.25">
      <c r="A2487" s="879"/>
      <c r="B2487" s="1452" t="s">
        <v>1572</v>
      </c>
      <c r="C2487" s="879"/>
    </row>
    <row r="2488" spans="1:3" x14ac:dyDescent="0.25">
      <c r="A2488" s="879"/>
      <c r="B2488" s="1452" t="s">
        <v>1532</v>
      </c>
      <c r="C2488" s="879"/>
    </row>
    <row r="2489" spans="1:3" x14ac:dyDescent="0.25">
      <c r="A2489" s="879"/>
      <c r="B2489" s="1452" t="s">
        <v>1430</v>
      </c>
      <c r="C2489" s="879"/>
    </row>
    <row r="2490" spans="1:3" x14ac:dyDescent="0.25">
      <c r="A2490" s="879"/>
      <c r="B2490" s="1452" t="s">
        <v>1367</v>
      </c>
      <c r="C2490" s="879"/>
    </row>
    <row r="2491" spans="1:3" x14ac:dyDescent="0.25">
      <c r="A2491" s="879"/>
      <c r="B2491" s="1452" t="s">
        <v>1504</v>
      </c>
      <c r="C2491" s="879"/>
    </row>
    <row r="2492" spans="1:3" x14ac:dyDescent="0.25">
      <c r="A2492" s="879"/>
      <c r="B2492" s="1452" t="s">
        <v>1367</v>
      </c>
      <c r="C2492" s="879"/>
    </row>
    <row r="2493" spans="1:3" x14ac:dyDescent="0.25">
      <c r="A2493" s="879"/>
      <c r="B2493" s="1452" t="s">
        <v>1450</v>
      </c>
      <c r="C2493" s="879"/>
    </row>
    <row r="2494" spans="1:3" x14ac:dyDescent="0.25">
      <c r="A2494" s="879"/>
      <c r="B2494" s="1452" t="s">
        <v>1451</v>
      </c>
      <c r="C2494" s="879"/>
    </row>
    <row r="2495" spans="1:3" x14ac:dyDescent="0.25">
      <c r="A2495" s="879"/>
      <c r="B2495" s="1452" t="s">
        <v>2417</v>
      </c>
      <c r="C2495" s="879"/>
    </row>
    <row r="2496" spans="1:3" x14ac:dyDescent="0.25">
      <c r="A2496" s="879"/>
      <c r="B2496" s="1452" t="s">
        <v>1681</v>
      </c>
      <c r="C2496" s="879"/>
    </row>
    <row r="2497" spans="1:3" x14ac:dyDescent="0.25">
      <c r="A2497" s="879"/>
      <c r="B2497" s="1452" t="s">
        <v>1682</v>
      </c>
      <c r="C2497" s="879"/>
    </row>
    <row r="2498" spans="1:3" x14ac:dyDescent="0.25">
      <c r="A2498" s="879"/>
      <c r="B2498" s="1452" t="s">
        <v>1517</v>
      </c>
      <c r="C2498" s="879"/>
    </row>
    <row r="2499" spans="1:3" x14ac:dyDescent="0.25">
      <c r="A2499" s="879"/>
      <c r="B2499" s="1452" t="s">
        <v>1684</v>
      </c>
      <c r="C2499" s="879"/>
    </row>
    <row r="2500" spans="1:3" x14ac:dyDescent="0.25">
      <c r="A2500" s="879"/>
      <c r="B2500" s="1452" t="s">
        <v>2418</v>
      </c>
      <c r="C2500" s="879"/>
    </row>
    <row r="2501" spans="1:3" x14ac:dyDescent="0.25">
      <c r="A2501" s="879"/>
      <c r="B2501" s="1452" t="s">
        <v>2419</v>
      </c>
      <c r="C2501" s="879"/>
    </row>
    <row r="2502" spans="1:3" x14ac:dyDescent="0.25">
      <c r="A2502" s="879"/>
      <c r="B2502" s="1452" t="s">
        <v>1685</v>
      </c>
      <c r="C2502" s="879"/>
    </row>
    <row r="2503" spans="1:3" x14ac:dyDescent="0.25">
      <c r="A2503" s="879"/>
      <c r="B2503" s="1452" t="s">
        <v>1686</v>
      </c>
      <c r="C2503" s="879"/>
    </row>
    <row r="2504" spans="1:3" x14ac:dyDescent="0.25">
      <c r="A2504" s="879"/>
      <c r="B2504" s="1452" t="s">
        <v>2420</v>
      </c>
      <c r="C2504" s="879"/>
    </row>
    <row r="2505" spans="1:3" x14ac:dyDescent="0.25">
      <c r="A2505" s="879"/>
      <c r="B2505" s="1452" t="s">
        <v>2421</v>
      </c>
      <c r="C2505" s="879"/>
    </row>
    <row r="2506" spans="1:3" x14ac:dyDescent="0.25">
      <c r="A2506" s="879"/>
      <c r="B2506" s="1452" t="s">
        <v>1455</v>
      </c>
      <c r="C2506" s="879"/>
    </row>
    <row r="2507" spans="1:3" x14ac:dyDescent="0.25">
      <c r="A2507" s="879"/>
      <c r="B2507" s="1452" t="s">
        <v>2422</v>
      </c>
      <c r="C2507" s="879"/>
    </row>
    <row r="2508" spans="1:3" x14ac:dyDescent="0.25">
      <c r="A2508" s="879"/>
      <c r="B2508" s="1452" t="s">
        <v>1688</v>
      </c>
      <c r="C2508" s="879"/>
    </row>
    <row r="2509" spans="1:3" x14ac:dyDescent="0.25">
      <c r="A2509" s="879"/>
      <c r="B2509" s="1452" t="s">
        <v>1458</v>
      </c>
      <c r="C2509" s="879"/>
    </row>
    <row r="2510" spans="1:3" x14ac:dyDescent="0.25">
      <c r="A2510" s="879"/>
      <c r="B2510" s="1452" t="s">
        <v>1505</v>
      </c>
      <c r="C2510" s="879"/>
    </row>
    <row r="2511" spans="1:3" x14ac:dyDescent="0.25">
      <c r="A2511" s="879"/>
      <c r="B2511" s="1452" t="s">
        <v>1367</v>
      </c>
      <c r="C2511" s="879"/>
    </row>
    <row r="2512" spans="1:3" x14ac:dyDescent="0.25">
      <c r="A2512" s="879"/>
      <c r="B2512" s="1452" t="s">
        <v>1450</v>
      </c>
      <c r="C2512" s="879"/>
    </row>
    <row r="2513" spans="1:3" x14ac:dyDescent="0.25">
      <c r="A2513" s="879"/>
      <c r="B2513" s="1452" t="s">
        <v>1451</v>
      </c>
      <c r="C2513" s="879"/>
    </row>
    <row r="2514" spans="1:3" x14ac:dyDescent="0.25">
      <c r="A2514" s="879"/>
      <c r="B2514" s="1452" t="s">
        <v>2423</v>
      </c>
      <c r="C2514" s="879"/>
    </row>
    <row r="2515" spans="1:3" x14ac:dyDescent="0.25">
      <c r="A2515" s="879"/>
      <c r="B2515" s="1452" t="s">
        <v>1681</v>
      </c>
      <c r="C2515" s="879"/>
    </row>
    <row r="2516" spans="1:3" x14ac:dyDescent="0.25">
      <c r="A2516" s="879"/>
      <c r="B2516" s="1452" t="s">
        <v>1682</v>
      </c>
      <c r="C2516" s="879"/>
    </row>
    <row r="2517" spans="1:3" x14ac:dyDescent="0.25">
      <c r="A2517" s="879"/>
      <c r="B2517" s="1452" t="s">
        <v>1517</v>
      </c>
      <c r="C2517" s="879"/>
    </row>
    <row r="2518" spans="1:3" x14ac:dyDescent="0.25">
      <c r="A2518" s="879"/>
      <c r="B2518" s="1452" t="s">
        <v>1684</v>
      </c>
      <c r="C2518" s="879"/>
    </row>
    <row r="2519" spans="1:3" x14ac:dyDescent="0.25">
      <c r="A2519" s="879"/>
      <c r="B2519" s="1452" t="s">
        <v>2424</v>
      </c>
      <c r="C2519" s="879"/>
    </row>
    <row r="2520" spans="1:3" x14ac:dyDescent="0.25">
      <c r="A2520" s="879"/>
      <c r="B2520" s="1452" t="s">
        <v>2425</v>
      </c>
      <c r="C2520" s="879"/>
    </row>
    <row r="2521" spans="1:3" x14ac:dyDescent="0.25">
      <c r="A2521" s="879"/>
      <c r="B2521" s="1452" t="s">
        <v>1685</v>
      </c>
      <c r="C2521" s="879"/>
    </row>
    <row r="2522" spans="1:3" x14ac:dyDescent="0.25">
      <c r="A2522" s="879"/>
      <c r="B2522" s="1452" t="s">
        <v>1686</v>
      </c>
      <c r="C2522" s="879"/>
    </row>
    <row r="2523" spans="1:3" x14ac:dyDescent="0.25">
      <c r="A2523" s="879"/>
      <c r="B2523" s="1452" t="s">
        <v>2426</v>
      </c>
      <c r="C2523" s="879"/>
    </row>
    <row r="2524" spans="1:3" x14ac:dyDescent="0.25">
      <c r="A2524" s="879"/>
      <c r="B2524" s="1452" t="s">
        <v>2427</v>
      </c>
      <c r="C2524" s="879"/>
    </row>
    <row r="2525" spans="1:3" x14ac:dyDescent="0.25">
      <c r="A2525" s="879"/>
      <c r="B2525" s="1452" t="s">
        <v>1455</v>
      </c>
      <c r="C2525" s="879"/>
    </row>
    <row r="2526" spans="1:3" x14ac:dyDescent="0.25">
      <c r="A2526" s="879"/>
      <c r="B2526" s="1452" t="s">
        <v>2428</v>
      </c>
      <c r="C2526" s="879"/>
    </row>
    <row r="2527" spans="1:3" x14ac:dyDescent="0.25">
      <c r="A2527" s="879"/>
      <c r="B2527" s="1452" t="s">
        <v>1688</v>
      </c>
      <c r="C2527" s="879"/>
    </row>
    <row r="2528" spans="1:3" x14ac:dyDescent="0.25">
      <c r="A2528" s="879"/>
      <c r="B2528" s="1452" t="s">
        <v>1458</v>
      </c>
      <c r="C2528" s="879"/>
    </row>
    <row r="2529" spans="1:3" x14ac:dyDescent="0.25">
      <c r="A2529" s="879"/>
      <c r="B2529" s="1452" t="s">
        <v>1533</v>
      </c>
      <c r="C2529" s="879"/>
    </row>
    <row r="2530" spans="1:3" x14ac:dyDescent="0.25">
      <c r="A2530" s="879"/>
      <c r="B2530" s="1452" t="s">
        <v>1367</v>
      </c>
      <c r="C2530" s="879"/>
    </row>
    <row r="2531" spans="1:3" x14ac:dyDescent="0.25">
      <c r="A2531" s="879"/>
      <c r="B2531" s="1452" t="s">
        <v>1450</v>
      </c>
      <c r="C2531" s="879"/>
    </row>
    <row r="2532" spans="1:3" x14ac:dyDescent="0.25">
      <c r="A2532" s="879"/>
      <c r="B2532" s="1452" t="s">
        <v>1451</v>
      </c>
      <c r="C2532" s="879"/>
    </row>
    <row r="2533" spans="1:3" x14ac:dyDescent="0.25">
      <c r="A2533" s="879"/>
      <c r="B2533" s="1452" t="s">
        <v>2417</v>
      </c>
      <c r="C2533" s="879"/>
    </row>
    <row r="2534" spans="1:3" x14ac:dyDescent="0.25">
      <c r="A2534" s="879"/>
      <c r="B2534" s="1452" t="s">
        <v>1681</v>
      </c>
      <c r="C2534" s="879"/>
    </row>
    <row r="2535" spans="1:3" x14ac:dyDescent="0.25">
      <c r="A2535" s="879"/>
      <c r="B2535" s="1452" t="s">
        <v>1682</v>
      </c>
      <c r="C2535" s="879"/>
    </row>
    <row r="2536" spans="1:3" x14ac:dyDescent="0.25">
      <c r="A2536" s="879"/>
      <c r="B2536" s="1452" t="s">
        <v>1517</v>
      </c>
      <c r="C2536" s="879"/>
    </row>
    <row r="2537" spans="1:3" x14ac:dyDescent="0.25">
      <c r="A2537" s="879"/>
      <c r="B2537" s="1452" t="s">
        <v>1684</v>
      </c>
      <c r="C2537" s="879"/>
    </row>
    <row r="2538" spans="1:3" x14ac:dyDescent="0.25">
      <c r="A2538" s="879"/>
      <c r="B2538" s="1452" t="s">
        <v>2418</v>
      </c>
      <c r="C2538" s="879"/>
    </row>
    <row r="2539" spans="1:3" x14ac:dyDescent="0.25">
      <c r="A2539" s="879"/>
      <c r="B2539" s="1452" t="s">
        <v>2419</v>
      </c>
      <c r="C2539" s="879"/>
    </row>
    <row r="2540" spans="1:3" x14ac:dyDescent="0.25">
      <c r="A2540" s="879"/>
      <c r="B2540" s="1452" t="s">
        <v>1685</v>
      </c>
      <c r="C2540" s="879"/>
    </row>
    <row r="2541" spans="1:3" x14ac:dyDescent="0.25">
      <c r="A2541" s="879"/>
      <c r="B2541" s="1452" t="s">
        <v>1686</v>
      </c>
      <c r="C2541" s="879"/>
    </row>
    <row r="2542" spans="1:3" x14ac:dyDescent="0.25">
      <c r="A2542" s="879"/>
      <c r="B2542" s="1452" t="s">
        <v>2420</v>
      </c>
      <c r="C2542" s="879"/>
    </row>
    <row r="2543" spans="1:3" x14ac:dyDescent="0.25">
      <c r="A2543" s="879"/>
      <c r="B2543" s="1452" t="s">
        <v>2421</v>
      </c>
      <c r="C2543" s="879"/>
    </row>
    <row r="2544" spans="1:3" x14ac:dyDescent="0.25">
      <c r="A2544" s="879"/>
      <c r="B2544" s="1452" t="s">
        <v>1455</v>
      </c>
      <c r="C2544" s="879"/>
    </row>
    <row r="2545" spans="1:3" x14ac:dyDescent="0.25">
      <c r="A2545" s="879"/>
      <c r="B2545" s="1452" t="s">
        <v>2422</v>
      </c>
      <c r="C2545" s="879"/>
    </row>
    <row r="2546" spans="1:3" x14ac:dyDescent="0.25">
      <c r="A2546" s="879"/>
      <c r="B2546" s="1452" t="s">
        <v>1688</v>
      </c>
      <c r="C2546" s="879"/>
    </row>
    <row r="2547" spans="1:3" x14ac:dyDescent="0.25">
      <c r="A2547" s="879"/>
      <c r="B2547" s="1452" t="s">
        <v>1458</v>
      </c>
      <c r="C2547" s="879"/>
    </row>
    <row r="2548" spans="1:3" x14ac:dyDescent="0.25">
      <c r="A2548" s="879"/>
      <c r="B2548" s="1452" t="s">
        <v>1690</v>
      </c>
      <c r="C2548" s="879"/>
    </row>
    <row r="2549" spans="1:3" x14ac:dyDescent="0.25">
      <c r="A2549" s="879"/>
      <c r="B2549" s="1452" t="s">
        <v>1367</v>
      </c>
      <c r="C2549" s="879"/>
    </row>
    <row r="2550" spans="1:3" x14ac:dyDescent="0.25">
      <c r="A2550" s="879"/>
      <c r="B2550" s="1452" t="s">
        <v>1691</v>
      </c>
      <c r="C2550" s="879"/>
    </row>
    <row r="2551" spans="1:3" x14ac:dyDescent="0.25">
      <c r="A2551" s="879"/>
      <c r="B2551" s="1452" t="s">
        <v>2429</v>
      </c>
      <c r="C2551" s="879"/>
    </row>
    <row r="2552" spans="1:3" x14ac:dyDescent="0.25">
      <c r="A2552" s="879"/>
      <c r="B2552" s="1452" t="s">
        <v>2430</v>
      </c>
      <c r="C2552" s="879"/>
    </row>
    <row r="2553" spans="1:3" x14ac:dyDescent="0.25">
      <c r="A2553" s="879"/>
      <c r="B2553" s="1452" t="s">
        <v>1694</v>
      </c>
      <c r="C2553" s="879"/>
    </row>
    <row r="2554" spans="1:3" x14ac:dyDescent="0.25">
      <c r="A2554" s="879"/>
      <c r="B2554" s="1452" t="s">
        <v>1695</v>
      </c>
      <c r="C2554" s="879"/>
    </row>
    <row r="2555" spans="1:3" x14ac:dyDescent="0.25">
      <c r="A2555" s="879"/>
      <c r="B2555" s="1452" t="s">
        <v>1696</v>
      </c>
      <c r="C2555" s="879"/>
    </row>
    <row r="2556" spans="1:3" x14ac:dyDescent="0.25">
      <c r="A2556" s="879"/>
      <c r="B2556" s="1452" t="s">
        <v>2431</v>
      </c>
      <c r="C2556" s="879"/>
    </row>
    <row r="2557" spans="1:3" x14ac:dyDescent="0.25">
      <c r="A2557" s="879"/>
      <c r="B2557" s="1452" t="s">
        <v>2432</v>
      </c>
      <c r="C2557" s="879"/>
    </row>
    <row r="2558" spans="1:3" x14ac:dyDescent="0.25">
      <c r="A2558" s="879"/>
      <c r="B2558" s="1452" t="s">
        <v>1699</v>
      </c>
      <c r="C2558" s="879"/>
    </row>
    <row r="2559" spans="1:3" x14ac:dyDescent="0.25">
      <c r="A2559" s="879"/>
      <c r="B2559" s="1452" t="s">
        <v>1700</v>
      </c>
      <c r="C2559" s="879"/>
    </row>
    <row r="2560" spans="1:3" x14ac:dyDescent="0.25">
      <c r="A2560" s="879"/>
      <c r="B2560" s="1452" t="s">
        <v>2433</v>
      </c>
      <c r="C2560" s="879"/>
    </row>
    <row r="2561" spans="1:3" x14ac:dyDescent="0.25">
      <c r="A2561" s="879"/>
      <c r="B2561" s="1452" t="s">
        <v>2434</v>
      </c>
      <c r="C2561" s="879"/>
    </row>
    <row r="2562" spans="1:3" x14ac:dyDescent="0.25">
      <c r="A2562" s="879"/>
      <c r="B2562" s="1452" t="s">
        <v>1703</v>
      </c>
      <c r="C2562" s="879"/>
    </row>
    <row r="2563" spans="1:3" x14ac:dyDescent="0.25">
      <c r="A2563" s="879"/>
      <c r="B2563" s="1452" t="s">
        <v>2435</v>
      </c>
      <c r="C2563" s="879"/>
    </row>
    <row r="2564" spans="1:3" x14ac:dyDescent="0.25">
      <c r="A2564" s="879"/>
      <c r="B2564" s="1452" t="s">
        <v>1705</v>
      </c>
      <c r="C2564" s="879"/>
    </row>
    <row r="2565" spans="1:3" x14ac:dyDescent="0.25">
      <c r="A2565" s="879"/>
      <c r="B2565" s="1452"/>
      <c r="C2565" s="879"/>
    </row>
    <row r="2566" spans="1:3" x14ac:dyDescent="0.25">
      <c r="A2566" s="879"/>
      <c r="B2566" s="1452"/>
      <c r="C2566" s="879"/>
    </row>
    <row r="2567" spans="1:3" x14ac:dyDescent="0.25">
      <c r="A2567" s="879"/>
      <c r="B2567" s="1452" t="s">
        <v>1368</v>
      </c>
      <c r="C2567" s="879"/>
    </row>
    <row r="2568" spans="1:3" x14ac:dyDescent="0.25">
      <c r="A2568" s="879"/>
      <c r="B2568" s="1452" t="s">
        <v>2436</v>
      </c>
      <c r="C2568" s="879"/>
    </row>
    <row r="2569" spans="1:3" x14ac:dyDescent="0.25">
      <c r="A2569" s="879"/>
      <c r="B2569" s="1452" t="s">
        <v>1368</v>
      </c>
      <c r="C2569" s="879"/>
    </row>
    <row r="2570" spans="1:3" x14ac:dyDescent="0.25">
      <c r="A2570" s="879"/>
      <c r="B2570" s="1452" t="s">
        <v>2437</v>
      </c>
      <c r="C2570" s="879"/>
    </row>
    <row r="2571" spans="1:3" x14ac:dyDescent="0.25">
      <c r="A2571" s="879"/>
      <c r="B2571" s="1452" t="s">
        <v>1367</v>
      </c>
      <c r="C2571" s="879"/>
    </row>
    <row r="2572" spans="1:3" x14ac:dyDescent="0.25">
      <c r="A2572" s="879"/>
      <c r="B2572" s="1452" t="s">
        <v>1369</v>
      </c>
      <c r="C2572" s="879"/>
    </row>
    <row r="2573" spans="1:3" x14ac:dyDescent="0.25">
      <c r="A2573" s="879"/>
      <c r="B2573" s="1452" t="s">
        <v>1370</v>
      </c>
      <c r="C2573" s="879"/>
    </row>
    <row r="2574" spans="1:3" x14ac:dyDescent="0.25">
      <c r="A2574" s="879"/>
      <c r="B2574" s="1452" t="s">
        <v>1367</v>
      </c>
      <c r="C2574" s="879"/>
    </row>
    <row r="2575" spans="1:3" x14ac:dyDescent="0.25">
      <c r="A2575" s="879"/>
      <c r="B2575" s="1452" t="s">
        <v>1432</v>
      </c>
      <c r="C2575" s="879"/>
    </row>
    <row r="2576" spans="1:3" x14ac:dyDescent="0.25">
      <c r="A2576" s="879"/>
      <c r="B2576" s="1452" t="s">
        <v>1487</v>
      </c>
      <c r="C2576" s="879"/>
    </row>
    <row r="2577" spans="1:3" x14ac:dyDescent="0.25">
      <c r="A2577" s="879"/>
      <c r="B2577" s="1452" t="s">
        <v>1798</v>
      </c>
      <c r="C2577" s="879"/>
    </row>
    <row r="2578" spans="1:3" x14ac:dyDescent="0.25">
      <c r="A2578" s="879"/>
      <c r="B2578" s="1452" t="s">
        <v>1799</v>
      </c>
      <c r="C2578" s="879"/>
    </row>
    <row r="2579" spans="1:3" x14ac:dyDescent="0.25">
      <c r="A2579" s="879"/>
      <c r="B2579" s="1452" t="s">
        <v>1488</v>
      </c>
      <c r="C2579" s="879"/>
    </row>
    <row r="2580" spans="1:3" x14ac:dyDescent="0.25">
      <c r="A2580" s="879"/>
      <c r="B2580" s="1452" t="s">
        <v>1489</v>
      </c>
      <c r="C2580" s="879"/>
    </row>
    <row r="2581" spans="1:3" x14ac:dyDescent="0.25">
      <c r="A2581" s="879"/>
      <c r="B2581" s="1452" t="s">
        <v>1490</v>
      </c>
      <c r="C2581" s="879"/>
    </row>
    <row r="2582" spans="1:3" x14ac:dyDescent="0.25">
      <c r="A2582" s="879"/>
      <c r="B2582" s="1452" t="s">
        <v>1803</v>
      </c>
      <c r="C2582" s="879"/>
    </row>
    <row r="2583" spans="1:3" x14ac:dyDescent="0.25">
      <c r="A2583" s="879"/>
      <c r="B2583" s="1452" t="s">
        <v>1804</v>
      </c>
      <c r="C2583" s="879"/>
    </row>
    <row r="2584" spans="1:3" x14ac:dyDescent="0.25">
      <c r="A2584" s="879"/>
      <c r="B2584" s="1452" t="s">
        <v>1491</v>
      </c>
      <c r="C2584" s="879"/>
    </row>
    <row r="2585" spans="1:3" x14ac:dyDescent="0.25">
      <c r="A2585" s="879"/>
      <c r="B2585" s="1452" t="s">
        <v>1492</v>
      </c>
      <c r="C2585" s="879"/>
    </row>
    <row r="2586" spans="1:3" x14ac:dyDescent="0.25">
      <c r="A2586" s="879"/>
      <c r="B2586" s="1452" t="s">
        <v>1382</v>
      </c>
      <c r="C2586" s="879"/>
    </row>
    <row r="2587" spans="1:3" x14ac:dyDescent="0.25">
      <c r="A2587" s="879"/>
      <c r="B2587" s="1452" t="s">
        <v>1367</v>
      </c>
      <c r="C2587" s="879"/>
    </row>
    <row r="2588" spans="1:3" x14ac:dyDescent="0.25">
      <c r="A2588" s="879"/>
      <c r="B2588" s="1452" t="s">
        <v>1432</v>
      </c>
      <c r="C2588" s="879"/>
    </row>
    <row r="2589" spans="1:3" x14ac:dyDescent="0.25">
      <c r="A2589" s="879"/>
      <c r="B2589" s="1452" t="s">
        <v>1806</v>
      </c>
      <c r="C2589" s="879"/>
    </row>
    <row r="2590" spans="1:3" x14ac:dyDescent="0.25">
      <c r="A2590" s="879"/>
      <c r="B2590" s="1452" t="s">
        <v>1807</v>
      </c>
      <c r="C2590" s="879"/>
    </row>
    <row r="2591" spans="1:3" x14ac:dyDescent="0.25">
      <c r="A2591" s="879"/>
      <c r="B2591" s="1452" t="s">
        <v>1808</v>
      </c>
      <c r="C2591" s="879"/>
    </row>
    <row r="2592" spans="1:3" x14ac:dyDescent="0.25">
      <c r="A2592" s="879"/>
      <c r="B2592" s="1452" t="s">
        <v>1493</v>
      </c>
      <c r="C2592" s="879"/>
    </row>
    <row r="2593" spans="1:3" x14ac:dyDescent="0.25">
      <c r="A2593" s="879"/>
      <c r="B2593" s="1452" t="s">
        <v>1810</v>
      </c>
      <c r="C2593" s="879"/>
    </row>
    <row r="2594" spans="1:3" x14ac:dyDescent="0.25">
      <c r="A2594" s="879"/>
      <c r="B2594" s="1452" t="s">
        <v>1811</v>
      </c>
      <c r="C2594" s="879"/>
    </row>
    <row r="2595" spans="1:3" x14ac:dyDescent="0.25">
      <c r="A2595" s="879"/>
      <c r="B2595" s="1452" t="s">
        <v>1812</v>
      </c>
      <c r="C2595" s="879"/>
    </row>
    <row r="2596" spans="1:3" x14ac:dyDescent="0.25">
      <c r="A2596" s="879"/>
      <c r="B2596" s="1452" t="s">
        <v>1813</v>
      </c>
      <c r="C2596" s="879"/>
    </row>
    <row r="2597" spans="1:3" x14ac:dyDescent="0.25">
      <c r="A2597" s="879"/>
      <c r="B2597" s="1452" t="s">
        <v>1814</v>
      </c>
      <c r="C2597" s="879"/>
    </row>
    <row r="2598" spans="1:3" x14ac:dyDescent="0.25">
      <c r="A2598" s="879"/>
      <c r="B2598" s="1452" t="s">
        <v>1815</v>
      </c>
      <c r="C2598" s="879"/>
    </row>
    <row r="2599" spans="1:3" x14ac:dyDescent="0.25">
      <c r="A2599" s="879"/>
      <c r="B2599" s="1452" t="s">
        <v>1494</v>
      </c>
      <c r="C2599" s="879"/>
    </row>
    <row r="2600" spans="1:3" x14ac:dyDescent="0.25">
      <c r="A2600" s="879"/>
      <c r="B2600" s="1452" t="s">
        <v>1495</v>
      </c>
      <c r="C2600" s="879"/>
    </row>
    <row r="2601" spans="1:3" x14ac:dyDescent="0.25">
      <c r="A2601" s="879"/>
      <c r="B2601" s="1452" t="s">
        <v>1496</v>
      </c>
      <c r="C2601" s="879"/>
    </row>
    <row r="2602" spans="1:3" x14ac:dyDescent="0.25">
      <c r="A2602" s="879"/>
      <c r="B2602" s="1452" t="s">
        <v>1437</v>
      </c>
      <c r="C2602" s="879"/>
    </row>
    <row r="2603" spans="1:3" x14ac:dyDescent="0.25">
      <c r="A2603" s="879"/>
      <c r="B2603" s="1452" t="s">
        <v>1497</v>
      </c>
      <c r="C2603" s="879"/>
    </row>
    <row r="2604" spans="1:3" x14ac:dyDescent="0.25">
      <c r="A2604" s="879"/>
      <c r="B2604" s="1452" t="s">
        <v>1498</v>
      </c>
      <c r="C2604" s="879"/>
    </row>
    <row r="2605" spans="1:3" x14ac:dyDescent="0.25">
      <c r="A2605" s="879"/>
      <c r="B2605" s="1452" t="s">
        <v>1819</v>
      </c>
      <c r="C2605" s="879"/>
    </row>
    <row r="2606" spans="1:3" x14ac:dyDescent="0.25">
      <c r="A2606" s="879"/>
      <c r="B2606" s="1452" t="s">
        <v>1499</v>
      </c>
      <c r="C2606" s="879"/>
    </row>
    <row r="2607" spans="1:3" x14ac:dyDescent="0.25">
      <c r="A2607" s="879"/>
      <c r="B2607" s="1452" t="s">
        <v>1821</v>
      </c>
      <c r="C2607" s="879"/>
    </row>
    <row r="2608" spans="1:3" x14ac:dyDescent="0.25">
      <c r="A2608" s="879"/>
      <c r="B2608" s="1452" t="s">
        <v>1500</v>
      </c>
      <c r="C2608" s="879"/>
    </row>
    <row r="2609" spans="1:3" x14ac:dyDescent="0.25">
      <c r="A2609" s="879"/>
      <c r="B2609" s="1452" t="s">
        <v>1439</v>
      </c>
      <c r="C2609" s="879"/>
    </row>
    <row r="2610" spans="1:3" x14ac:dyDescent="0.25">
      <c r="A2610" s="879"/>
      <c r="B2610" s="1452" t="s">
        <v>1822</v>
      </c>
      <c r="C2610" s="879"/>
    </row>
    <row r="2611" spans="1:3" x14ac:dyDescent="0.25">
      <c r="A2611" s="879"/>
      <c r="B2611" s="1452" t="s">
        <v>1440</v>
      </c>
      <c r="C2611" s="879"/>
    </row>
    <row r="2612" spans="1:3" x14ac:dyDescent="0.25">
      <c r="A2612" s="879"/>
      <c r="B2612" s="1452" t="s">
        <v>1823</v>
      </c>
      <c r="C2612" s="879"/>
    </row>
    <row r="2613" spans="1:3" x14ac:dyDescent="0.25">
      <c r="A2613" s="879"/>
      <c r="B2613" s="1452" t="s">
        <v>1824</v>
      </c>
      <c r="C2613" s="879"/>
    </row>
    <row r="2614" spans="1:3" x14ac:dyDescent="0.25">
      <c r="A2614" s="879"/>
      <c r="B2614" s="1452" t="s">
        <v>1825</v>
      </c>
      <c r="C2614" s="879"/>
    </row>
    <row r="2615" spans="1:3" x14ac:dyDescent="0.25">
      <c r="A2615" s="879"/>
      <c r="B2615" s="1452" t="s">
        <v>2438</v>
      </c>
      <c r="C2615" s="879"/>
    </row>
    <row r="2616" spans="1:3" x14ac:dyDescent="0.25">
      <c r="A2616" s="879"/>
      <c r="B2616" s="1452" t="s">
        <v>1441</v>
      </c>
      <c r="C2616" s="879"/>
    </row>
    <row r="2617" spans="1:3" x14ac:dyDescent="0.25">
      <c r="A2617" s="879"/>
      <c r="B2617" s="1452" t="s">
        <v>1501</v>
      </c>
      <c r="C2617" s="879"/>
    </row>
    <row r="2618" spans="1:3" x14ac:dyDescent="0.25">
      <c r="A2618" s="879"/>
      <c r="B2618" s="1452" t="s">
        <v>1502</v>
      </c>
      <c r="C2618" s="879"/>
    </row>
    <row r="2619" spans="1:3" x14ac:dyDescent="0.25">
      <c r="A2619" s="879"/>
      <c r="B2619" s="1452" t="s">
        <v>1827</v>
      </c>
      <c r="C2619" s="879"/>
    </row>
    <row r="2620" spans="1:3" x14ac:dyDescent="0.25">
      <c r="A2620" s="879"/>
      <c r="B2620" s="1452" t="s">
        <v>1828</v>
      </c>
      <c r="C2620" s="879"/>
    </row>
    <row r="2621" spans="1:3" x14ac:dyDescent="0.25">
      <c r="A2621" s="879"/>
      <c r="B2621" s="1452" t="s">
        <v>1503</v>
      </c>
      <c r="C2621" s="879"/>
    </row>
    <row r="2622" spans="1:3" x14ac:dyDescent="0.25">
      <c r="A2622" s="879"/>
      <c r="B2622" s="1452" t="s">
        <v>1445</v>
      </c>
      <c r="C2622" s="879"/>
    </row>
    <row r="2623" spans="1:3" x14ac:dyDescent="0.25">
      <c r="A2623" s="879"/>
      <c r="B2623" s="1452" t="s">
        <v>2439</v>
      </c>
      <c r="C2623" s="879"/>
    </row>
    <row r="2624" spans="1:3" x14ac:dyDescent="0.25">
      <c r="A2624" s="879"/>
      <c r="B2624" s="1452" t="s">
        <v>2440</v>
      </c>
      <c r="C2624" s="879"/>
    </row>
    <row r="2625" spans="1:3" x14ac:dyDescent="0.25">
      <c r="A2625" s="879"/>
      <c r="B2625" s="1452" t="s">
        <v>1831</v>
      </c>
      <c r="C2625" s="879"/>
    </row>
    <row r="2626" spans="1:3" x14ac:dyDescent="0.25">
      <c r="A2626" s="879"/>
      <c r="B2626" s="1452" t="s">
        <v>1832</v>
      </c>
      <c r="C2626" s="879"/>
    </row>
    <row r="2627" spans="1:3" x14ac:dyDescent="0.25">
      <c r="A2627" s="879"/>
      <c r="B2627" s="1452" t="s">
        <v>1833</v>
      </c>
      <c r="C2627" s="879"/>
    </row>
    <row r="2628" spans="1:3" x14ac:dyDescent="0.25">
      <c r="A2628" s="879"/>
      <c r="B2628" s="1452" t="s">
        <v>1834</v>
      </c>
      <c r="C2628" s="879"/>
    </row>
    <row r="2629" spans="1:3" x14ac:dyDescent="0.25">
      <c r="A2629" s="879"/>
      <c r="B2629" s="1452" t="s">
        <v>2441</v>
      </c>
      <c r="C2629" s="879"/>
    </row>
    <row r="2630" spans="1:3" x14ac:dyDescent="0.25">
      <c r="A2630" s="879"/>
      <c r="B2630" s="1452" t="s">
        <v>2442</v>
      </c>
      <c r="C2630" s="879"/>
    </row>
    <row r="2631" spans="1:3" x14ac:dyDescent="0.25">
      <c r="A2631" s="879"/>
      <c r="B2631" s="1452" t="s">
        <v>2443</v>
      </c>
      <c r="C2631" s="879"/>
    </row>
    <row r="2632" spans="1:3" x14ac:dyDescent="0.25">
      <c r="A2632" s="879"/>
      <c r="B2632" s="1452" t="s">
        <v>1446</v>
      </c>
      <c r="C2632" s="879"/>
    </row>
    <row r="2633" spans="1:3" x14ac:dyDescent="0.25">
      <c r="A2633" s="879"/>
      <c r="B2633" s="1452" t="s">
        <v>1838</v>
      </c>
      <c r="C2633" s="879"/>
    </row>
    <row r="2634" spans="1:3" x14ac:dyDescent="0.25">
      <c r="A2634" s="879"/>
      <c r="B2634" s="1452" t="s">
        <v>1447</v>
      </c>
      <c r="C2634" s="879"/>
    </row>
    <row r="2635" spans="1:3" x14ac:dyDescent="0.25">
      <c r="A2635" s="879"/>
      <c r="B2635" s="1452" t="s">
        <v>1448</v>
      </c>
      <c r="C2635" s="879"/>
    </row>
    <row r="2636" spans="1:3" x14ac:dyDescent="0.25">
      <c r="A2636" s="879"/>
      <c r="B2636" s="1452" t="s">
        <v>1430</v>
      </c>
      <c r="C2636" s="879"/>
    </row>
    <row r="2637" spans="1:3" x14ac:dyDescent="0.25">
      <c r="A2637" s="879"/>
      <c r="B2637" s="1452" t="s">
        <v>1367</v>
      </c>
      <c r="C2637" s="879"/>
    </row>
    <row r="2638" spans="1:3" x14ac:dyDescent="0.25">
      <c r="A2638" s="879"/>
      <c r="B2638" s="1452" t="s">
        <v>1504</v>
      </c>
      <c r="C2638" s="879"/>
    </row>
    <row r="2639" spans="1:3" x14ac:dyDescent="0.25">
      <c r="A2639" s="879"/>
      <c r="B2639" s="1452" t="s">
        <v>1367</v>
      </c>
      <c r="C2639" s="879"/>
    </row>
    <row r="2640" spans="1:3" x14ac:dyDescent="0.25">
      <c r="A2640" s="879"/>
      <c r="B2640" s="1452" t="s">
        <v>1450</v>
      </c>
      <c r="C2640" s="879"/>
    </row>
    <row r="2641" spans="1:3" x14ac:dyDescent="0.25">
      <c r="A2641" s="879"/>
      <c r="B2641" s="1452" t="s">
        <v>1451</v>
      </c>
      <c r="C2641" s="879"/>
    </row>
    <row r="2642" spans="1:3" x14ac:dyDescent="0.25">
      <c r="A2642" s="879"/>
      <c r="B2642" s="1452" t="s">
        <v>1452</v>
      </c>
      <c r="C2642" s="879"/>
    </row>
    <row r="2643" spans="1:3" x14ac:dyDescent="0.25">
      <c r="A2643" s="879"/>
      <c r="B2643" s="1452" t="s">
        <v>1681</v>
      </c>
      <c r="C2643" s="879"/>
    </row>
    <row r="2644" spans="1:3" x14ac:dyDescent="0.25">
      <c r="A2644" s="879"/>
      <c r="B2644" s="1452" t="s">
        <v>1682</v>
      </c>
      <c r="C2644" s="879"/>
    </row>
    <row r="2645" spans="1:3" x14ac:dyDescent="0.25">
      <c r="A2645" s="879"/>
      <c r="B2645" s="1452" t="s">
        <v>1840</v>
      </c>
      <c r="C2645" s="879"/>
    </row>
    <row r="2646" spans="1:3" x14ac:dyDescent="0.25">
      <c r="A2646" s="879"/>
      <c r="B2646" s="1452" t="s">
        <v>1684</v>
      </c>
      <c r="C2646" s="879"/>
    </row>
    <row r="2647" spans="1:3" x14ac:dyDescent="0.25">
      <c r="A2647" s="879"/>
      <c r="B2647" s="1452" t="s">
        <v>1453</v>
      </c>
      <c r="C2647" s="879"/>
    </row>
    <row r="2648" spans="1:3" x14ac:dyDescent="0.25">
      <c r="A2648" s="879"/>
      <c r="B2648" s="1452" t="s">
        <v>1841</v>
      </c>
      <c r="C2648" s="879"/>
    </row>
    <row r="2649" spans="1:3" x14ac:dyDescent="0.25">
      <c r="A2649" s="879"/>
      <c r="B2649" s="1452" t="s">
        <v>1685</v>
      </c>
      <c r="C2649" s="879"/>
    </row>
    <row r="2650" spans="1:3" x14ac:dyDescent="0.25">
      <c r="A2650" s="879"/>
      <c r="B2650" s="1452" t="s">
        <v>1686</v>
      </c>
      <c r="C2650" s="879"/>
    </row>
    <row r="2651" spans="1:3" x14ac:dyDescent="0.25">
      <c r="A2651" s="879"/>
      <c r="B2651" s="1452" t="s">
        <v>1454</v>
      </c>
      <c r="C2651" s="879"/>
    </row>
    <row r="2652" spans="1:3" x14ac:dyDescent="0.25">
      <c r="A2652" s="879"/>
      <c r="B2652" s="1452" t="s">
        <v>1842</v>
      </c>
      <c r="C2652" s="879"/>
    </row>
    <row r="2653" spans="1:3" x14ac:dyDescent="0.25">
      <c r="A2653" s="879"/>
      <c r="B2653" s="1452" t="s">
        <v>1455</v>
      </c>
      <c r="C2653" s="879"/>
    </row>
    <row r="2654" spans="1:3" x14ac:dyDescent="0.25">
      <c r="A2654" s="879"/>
      <c r="B2654" s="1452" t="s">
        <v>1843</v>
      </c>
      <c r="C2654" s="879"/>
    </row>
    <row r="2655" spans="1:3" x14ac:dyDescent="0.25">
      <c r="A2655" s="879"/>
      <c r="B2655" s="1452" t="s">
        <v>1688</v>
      </c>
      <c r="C2655" s="879"/>
    </row>
    <row r="2656" spans="1:3" x14ac:dyDescent="0.25">
      <c r="A2656" s="879"/>
      <c r="B2656" s="1452" t="s">
        <v>1458</v>
      </c>
      <c r="C2656" s="879"/>
    </row>
    <row r="2657" spans="1:3" x14ac:dyDescent="0.25">
      <c r="A2657" s="879"/>
      <c r="B2657" s="1452" t="s">
        <v>1505</v>
      </c>
      <c r="C2657" s="879"/>
    </row>
    <row r="2658" spans="1:3" x14ac:dyDescent="0.25">
      <c r="A2658" s="879"/>
      <c r="B2658" s="1452" t="s">
        <v>1367</v>
      </c>
      <c r="C2658" s="879"/>
    </row>
    <row r="2659" spans="1:3" x14ac:dyDescent="0.25">
      <c r="A2659" s="879"/>
      <c r="B2659" s="1452" t="s">
        <v>1450</v>
      </c>
      <c r="C2659" s="879"/>
    </row>
    <row r="2660" spans="1:3" x14ac:dyDescent="0.25">
      <c r="A2660" s="879"/>
      <c r="B2660" s="1452" t="s">
        <v>1451</v>
      </c>
      <c r="C2660" s="879"/>
    </row>
    <row r="2661" spans="1:3" x14ac:dyDescent="0.25">
      <c r="A2661" s="879"/>
      <c r="B2661" s="1452" t="s">
        <v>1452</v>
      </c>
      <c r="C2661" s="879"/>
    </row>
    <row r="2662" spans="1:3" x14ac:dyDescent="0.25">
      <c r="A2662" s="879"/>
      <c r="B2662" s="1452" t="s">
        <v>1681</v>
      </c>
      <c r="C2662" s="879"/>
    </row>
    <row r="2663" spans="1:3" x14ac:dyDescent="0.25">
      <c r="A2663" s="879"/>
      <c r="B2663" s="1452" t="s">
        <v>1682</v>
      </c>
      <c r="C2663" s="879"/>
    </row>
    <row r="2664" spans="1:3" x14ac:dyDescent="0.25">
      <c r="A2664" s="879"/>
      <c r="B2664" s="1452" t="s">
        <v>1840</v>
      </c>
      <c r="C2664" s="879"/>
    </row>
    <row r="2665" spans="1:3" x14ac:dyDescent="0.25">
      <c r="A2665" s="879"/>
      <c r="B2665" s="1452" t="s">
        <v>1684</v>
      </c>
      <c r="C2665" s="879"/>
    </row>
    <row r="2666" spans="1:3" x14ac:dyDescent="0.25">
      <c r="A2666" s="879"/>
      <c r="B2666" s="1452" t="s">
        <v>1453</v>
      </c>
      <c r="C2666" s="879"/>
    </row>
    <row r="2667" spans="1:3" x14ac:dyDescent="0.25">
      <c r="A2667" s="879"/>
      <c r="B2667" s="1452" t="s">
        <v>1841</v>
      </c>
      <c r="C2667" s="879"/>
    </row>
    <row r="2668" spans="1:3" x14ac:dyDescent="0.25">
      <c r="A2668" s="879"/>
      <c r="B2668" s="1452" t="s">
        <v>1685</v>
      </c>
      <c r="C2668" s="879"/>
    </row>
    <row r="2669" spans="1:3" x14ac:dyDescent="0.25">
      <c r="A2669" s="879"/>
      <c r="B2669" s="1452" t="s">
        <v>1686</v>
      </c>
      <c r="C2669" s="879"/>
    </row>
    <row r="2670" spans="1:3" x14ac:dyDescent="0.25">
      <c r="A2670" s="879"/>
      <c r="B2670" s="1452" t="s">
        <v>1454</v>
      </c>
      <c r="C2670" s="879"/>
    </row>
    <row r="2671" spans="1:3" x14ac:dyDescent="0.25">
      <c r="A2671" s="879"/>
      <c r="B2671" s="1452" t="s">
        <v>1842</v>
      </c>
      <c r="C2671" s="879"/>
    </row>
    <row r="2672" spans="1:3" x14ac:dyDescent="0.25">
      <c r="A2672" s="879"/>
      <c r="B2672" s="1452" t="s">
        <v>1455</v>
      </c>
      <c r="C2672" s="879"/>
    </row>
    <row r="2673" spans="1:3" x14ac:dyDescent="0.25">
      <c r="A2673" s="879"/>
      <c r="B2673" s="1452" t="s">
        <v>1843</v>
      </c>
      <c r="C2673" s="879"/>
    </row>
    <row r="2674" spans="1:3" x14ac:dyDescent="0.25">
      <c r="A2674" s="879"/>
      <c r="B2674" s="1452" t="s">
        <v>1688</v>
      </c>
      <c r="C2674" s="879"/>
    </row>
    <row r="2675" spans="1:3" x14ac:dyDescent="0.25">
      <c r="A2675" s="879"/>
      <c r="B2675" s="1452" t="s">
        <v>1458</v>
      </c>
      <c r="C2675" s="879"/>
    </row>
    <row r="2676" spans="1:3" x14ac:dyDescent="0.25">
      <c r="A2676" s="879"/>
      <c r="B2676" s="1452" t="s">
        <v>1506</v>
      </c>
      <c r="C2676" s="879"/>
    </row>
    <row r="2677" spans="1:3" x14ac:dyDescent="0.25">
      <c r="A2677" s="879"/>
      <c r="B2677" s="1452" t="s">
        <v>1367</v>
      </c>
      <c r="C2677" s="879"/>
    </row>
    <row r="2678" spans="1:3" x14ac:dyDescent="0.25">
      <c r="A2678" s="879"/>
      <c r="B2678" s="1452" t="s">
        <v>1450</v>
      </c>
      <c r="C2678" s="879"/>
    </row>
    <row r="2679" spans="1:3" x14ac:dyDescent="0.25">
      <c r="A2679" s="879"/>
      <c r="B2679" s="1452" t="s">
        <v>1451</v>
      </c>
      <c r="C2679" s="879"/>
    </row>
    <row r="2680" spans="1:3" x14ac:dyDescent="0.25">
      <c r="A2680" s="879"/>
      <c r="B2680" s="1452" t="s">
        <v>1452</v>
      </c>
      <c r="C2680" s="879"/>
    </row>
    <row r="2681" spans="1:3" x14ac:dyDescent="0.25">
      <c r="A2681" s="879"/>
      <c r="B2681" s="1452" t="s">
        <v>1681</v>
      </c>
      <c r="C2681" s="879"/>
    </row>
    <row r="2682" spans="1:3" x14ac:dyDescent="0.25">
      <c r="A2682" s="879"/>
      <c r="B2682" s="1452" t="s">
        <v>1682</v>
      </c>
      <c r="C2682" s="879"/>
    </row>
    <row r="2683" spans="1:3" x14ac:dyDescent="0.25">
      <c r="A2683" s="879"/>
      <c r="B2683" s="1452" t="s">
        <v>1840</v>
      </c>
      <c r="C2683" s="879"/>
    </row>
    <row r="2684" spans="1:3" x14ac:dyDescent="0.25">
      <c r="A2684" s="879"/>
      <c r="B2684" s="1452" t="s">
        <v>1684</v>
      </c>
      <c r="C2684" s="879"/>
    </row>
    <row r="2685" spans="1:3" x14ac:dyDescent="0.25">
      <c r="A2685" s="879"/>
      <c r="B2685" s="1452" t="s">
        <v>1453</v>
      </c>
      <c r="C2685" s="879"/>
    </row>
    <row r="2686" spans="1:3" x14ac:dyDescent="0.25">
      <c r="A2686" s="879"/>
      <c r="B2686" s="1452" t="s">
        <v>1841</v>
      </c>
      <c r="C2686" s="879"/>
    </row>
    <row r="2687" spans="1:3" x14ac:dyDescent="0.25">
      <c r="A2687" s="879"/>
      <c r="B2687" s="1452" t="s">
        <v>1685</v>
      </c>
      <c r="C2687" s="879"/>
    </row>
    <row r="2688" spans="1:3" x14ac:dyDescent="0.25">
      <c r="A2688" s="879"/>
      <c r="B2688" s="1452" t="s">
        <v>1686</v>
      </c>
      <c r="C2688" s="879"/>
    </row>
    <row r="2689" spans="1:3" x14ac:dyDescent="0.25">
      <c r="A2689" s="879"/>
      <c r="B2689" s="1452" t="s">
        <v>1454</v>
      </c>
      <c r="C2689" s="879"/>
    </row>
    <row r="2690" spans="1:3" x14ac:dyDescent="0.25">
      <c r="A2690" s="879"/>
      <c r="B2690" s="1452" t="s">
        <v>1842</v>
      </c>
      <c r="C2690" s="879"/>
    </row>
    <row r="2691" spans="1:3" x14ac:dyDescent="0.25">
      <c r="A2691" s="879"/>
      <c r="B2691" s="1452" t="s">
        <v>1455</v>
      </c>
      <c r="C2691" s="879"/>
    </row>
    <row r="2692" spans="1:3" x14ac:dyDescent="0.25">
      <c r="A2692" s="879"/>
      <c r="B2692" s="1452" t="s">
        <v>1843</v>
      </c>
      <c r="C2692" s="879"/>
    </row>
    <row r="2693" spans="1:3" x14ac:dyDescent="0.25">
      <c r="A2693" s="879"/>
      <c r="B2693" s="1452" t="s">
        <v>1688</v>
      </c>
      <c r="C2693" s="879"/>
    </row>
    <row r="2694" spans="1:3" x14ac:dyDescent="0.25">
      <c r="A2694" s="879"/>
      <c r="B2694" s="1452" t="s">
        <v>1458</v>
      </c>
      <c r="C2694" s="879"/>
    </row>
    <row r="2695" spans="1:3" x14ac:dyDescent="0.25">
      <c r="A2695" s="879"/>
      <c r="B2695" s="1452" t="s">
        <v>1507</v>
      </c>
      <c r="C2695" s="879"/>
    </row>
    <row r="2696" spans="1:3" x14ac:dyDescent="0.25">
      <c r="A2696" s="879"/>
      <c r="B2696" s="1452" t="s">
        <v>1367</v>
      </c>
      <c r="C2696" s="879"/>
    </row>
    <row r="2697" spans="1:3" x14ac:dyDescent="0.25">
      <c r="A2697" s="879"/>
      <c r="B2697" s="1452" t="s">
        <v>1450</v>
      </c>
      <c r="C2697" s="879"/>
    </row>
    <row r="2698" spans="1:3" x14ac:dyDescent="0.25">
      <c r="A2698" s="879"/>
      <c r="B2698" s="1452" t="s">
        <v>1451</v>
      </c>
      <c r="C2698" s="879"/>
    </row>
    <row r="2699" spans="1:3" x14ac:dyDescent="0.25">
      <c r="A2699" s="879"/>
      <c r="B2699" s="1452" t="s">
        <v>1452</v>
      </c>
      <c r="C2699" s="879"/>
    </row>
    <row r="2700" spans="1:3" x14ac:dyDescent="0.25">
      <c r="A2700" s="879"/>
      <c r="B2700" s="1452" t="s">
        <v>1681</v>
      </c>
      <c r="C2700" s="879"/>
    </row>
    <row r="2701" spans="1:3" x14ac:dyDescent="0.25">
      <c r="A2701" s="879"/>
      <c r="B2701" s="1452" t="s">
        <v>1682</v>
      </c>
      <c r="C2701" s="879"/>
    </row>
    <row r="2702" spans="1:3" x14ac:dyDescent="0.25">
      <c r="A2702" s="879"/>
      <c r="B2702" s="1452" t="s">
        <v>1840</v>
      </c>
      <c r="C2702" s="879"/>
    </row>
    <row r="2703" spans="1:3" x14ac:dyDescent="0.25">
      <c r="A2703" s="879"/>
      <c r="B2703" s="1452" t="s">
        <v>1684</v>
      </c>
      <c r="C2703" s="879"/>
    </row>
    <row r="2704" spans="1:3" x14ac:dyDescent="0.25">
      <c r="A2704" s="879"/>
      <c r="B2704" s="1452" t="s">
        <v>1453</v>
      </c>
      <c r="C2704" s="879"/>
    </row>
    <row r="2705" spans="1:3" x14ac:dyDescent="0.25">
      <c r="A2705" s="879"/>
      <c r="B2705" s="1452" t="s">
        <v>1841</v>
      </c>
      <c r="C2705" s="879"/>
    </row>
    <row r="2706" spans="1:3" x14ac:dyDescent="0.25">
      <c r="A2706" s="879"/>
      <c r="B2706" s="1452" t="s">
        <v>1685</v>
      </c>
      <c r="C2706" s="879"/>
    </row>
    <row r="2707" spans="1:3" x14ac:dyDescent="0.25">
      <c r="A2707" s="879"/>
      <c r="B2707" s="1452" t="s">
        <v>1686</v>
      </c>
      <c r="C2707" s="879"/>
    </row>
    <row r="2708" spans="1:3" x14ac:dyDescent="0.25">
      <c r="A2708" s="879"/>
      <c r="B2708" s="1452" t="s">
        <v>1454</v>
      </c>
      <c r="C2708" s="879"/>
    </row>
    <row r="2709" spans="1:3" x14ac:dyDescent="0.25">
      <c r="A2709" s="879"/>
      <c r="B2709" s="1452" t="s">
        <v>1842</v>
      </c>
      <c r="C2709" s="879"/>
    </row>
    <row r="2710" spans="1:3" x14ac:dyDescent="0.25">
      <c r="A2710" s="879"/>
      <c r="B2710" s="1452" t="s">
        <v>1455</v>
      </c>
      <c r="C2710" s="879"/>
    </row>
    <row r="2711" spans="1:3" x14ac:dyDescent="0.25">
      <c r="A2711" s="879"/>
      <c r="B2711" s="1452" t="s">
        <v>1843</v>
      </c>
      <c r="C2711" s="879"/>
    </row>
    <row r="2712" spans="1:3" x14ac:dyDescent="0.25">
      <c r="A2712" s="879"/>
      <c r="B2712" s="1452" t="s">
        <v>1688</v>
      </c>
      <c r="C2712" s="879"/>
    </row>
    <row r="2713" spans="1:3" x14ac:dyDescent="0.25">
      <c r="A2713" s="879"/>
      <c r="B2713" s="1452" t="s">
        <v>1458</v>
      </c>
      <c r="C2713" s="879"/>
    </row>
    <row r="2714" spans="1:3" x14ac:dyDescent="0.25">
      <c r="A2714" s="879"/>
      <c r="B2714" s="1452" t="s">
        <v>1690</v>
      </c>
      <c r="C2714" s="879"/>
    </row>
    <row r="2715" spans="1:3" x14ac:dyDescent="0.25">
      <c r="A2715" s="879"/>
      <c r="B2715" s="1452" t="s">
        <v>1367</v>
      </c>
      <c r="C2715" s="879"/>
    </row>
    <row r="2716" spans="1:3" x14ac:dyDescent="0.25">
      <c r="A2716" s="879"/>
      <c r="B2716" s="1452" t="s">
        <v>1691</v>
      </c>
      <c r="C2716" s="879"/>
    </row>
    <row r="2717" spans="1:3" x14ac:dyDescent="0.25">
      <c r="A2717" s="879"/>
      <c r="B2717" s="1452" t="s">
        <v>1692</v>
      </c>
      <c r="C2717" s="879"/>
    </row>
    <row r="2718" spans="1:3" x14ac:dyDescent="0.25">
      <c r="A2718" s="879"/>
      <c r="B2718" s="1452" t="s">
        <v>1693</v>
      </c>
      <c r="C2718" s="879"/>
    </row>
    <row r="2719" spans="1:3" x14ac:dyDescent="0.25">
      <c r="A2719" s="879"/>
      <c r="B2719" s="1452" t="s">
        <v>1694</v>
      </c>
      <c r="C2719" s="879"/>
    </row>
    <row r="2720" spans="1:3" x14ac:dyDescent="0.25">
      <c r="A2720" s="879"/>
      <c r="B2720" s="1452" t="s">
        <v>1844</v>
      </c>
      <c r="C2720" s="879"/>
    </row>
    <row r="2721" spans="1:3" x14ac:dyDescent="0.25">
      <c r="A2721" s="879"/>
      <c r="B2721" s="1452" t="s">
        <v>1696</v>
      </c>
      <c r="C2721" s="879"/>
    </row>
    <row r="2722" spans="1:3" x14ac:dyDescent="0.25">
      <c r="A2722" s="879"/>
      <c r="B2722" s="1452" t="s">
        <v>1845</v>
      </c>
      <c r="C2722" s="879"/>
    </row>
    <row r="2723" spans="1:3" x14ac:dyDescent="0.25">
      <c r="A2723" s="879"/>
      <c r="B2723" s="1452" t="s">
        <v>1846</v>
      </c>
      <c r="C2723" s="879"/>
    </row>
    <row r="2724" spans="1:3" x14ac:dyDescent="0.25">
      <c r="A2724" s="879"/>
      <c r="B2724" s="1452" t="s">
        <v>1699</v>
      </c>
      <c r="C2724" s="879"/>
    </row>
    <row r="2725" spans="1:3" x14ac:dyDescent="0.25">
      <c r="A2725" s="879"/>
      <c r="B2725" s="1452" t="s">
        <v>1700</v>
      </c>
      <c r="C2725" s="879"/>
    </row>
    <row r="2726" spans="1:3" x14ac:dyDescent="0.25">
      <c r="A2726" s="879"/>
      <c r="B2726" s="1452" t="s">
        <v>1847</v>
      </c>
      <c r="C2726" s="879"/>
    </row>
    <row r="2727" spans="1:3" x14ac:dyDescent="0.25">
      <c r="A2727" s="879"/>
      <c r="B2727" s="1452" t="s">
        <v>1848</v>
      </c>
      <c r="C2727" s="879"/>
    </row>
    <row r="2728" spans="1:3" x14ac:dyDescent="0.25">
      <c r="A2728" s="879"/>
      <c r="B2728" s="1452" t="s">
        <v>1703</v>
      </c>
      <c r="C2728" s="879"/>
    </row>
    <row r="2729" spans="1:3" x14ac:dyDescent="0.25">
      <c r="A2729" s="879"/>
      <c r="B2729" s="1452" t="s">
        <v>1849</v>
      </c>
      <c r="C2729" s="879"/>
    </row>
    <row r="2730" spans="1:3" x14ac:dyDescent="0.25">
      <c r="A2730" s="879"/>
      <c r="B2730" s="1452" t="s">
        <v>1705</v>
      </c>
      <c r="C2730" s="879"/>
    </row>
    <row r="2731" spans="1:3" x14ac:dyDescent="0.25">
      <c r="A2731" s="879"/>
      <c r="B2731" s="1452"/>
      <c r="C2731" s="879"/>
    </row>
    <row r="2732" spans="1:3" x14ac:dyDescent="0.25">
      <c r="A2732" s="879"/>
      <c r="B2732" s="1452"/>
      <c r="C2732" s="879"/>
    </row>
    <row r="2733" spans="1:3" x14ac:dyDescent="0.25">
      <c r="A2733" s="879"/>
      <c r="B2733" s="1452" t="s">
        <v>1368</v>
      </c>
      <c r="C2733" s="879"/>
    </row>
    <row r="2734" spans="1:3" x14ac:dyDescent="0.25">
      <c r="A2734" s="879"/>
      <c r="B2734" s="1452" t="s">
        <v>2444</v>
      </c>
      <c r="C2734" s="879"/>
    </row>
    <row r="2735" spans="1:3" x14ac:dyDescent="0.25">
      <c r="A2735" s="879"/>
      <c r="B2735" s="1452" t="s">
        <v>1368</v>
      </c>
      <c r="C2735" s="879"/>
    </row>
    <row r="2736" spans="1:3" x14ac:dyDescent="0.25">
      <c r="A2736" s="879"/>
      <c r="B2736" s="1452" t="s">
        <v>2445</v>
      </c>
      <c r="C2736" s="879"/>
    </row>
    <row r="2737" spans="1:3" x14ac:dyDescent="0.25">
      <c r="A2737" s="879"/>
      <c r="B2737" s="1452" t="s">
        <v>1367</v>
      </c>
      <c r="C2737" s="879"/>
    </row>
    <row r="2738" spans="1:3" x14ac:dyDescent="0.25">
      <c r="A2738" s="879"/>
      <c r="B2738" s="1452" t="s">
        <v>1369</v>
      </c>
      <c r="C2738" s="879"/>
    </row>
    <row r="2739" spans="1:3" x14ac:dyDescent="0.25">
      <c r="A2739" s="879"/>
      <c r="B2739" s="1452" t="s">
        <v>1370</v>
      </c>
      <c r="C2739" s="879"/>
    </row>
    <row r="2740" spans="1:3" x14ac:dyDescent="0.25">
      <c r="A2740" s="879"/>
      <c r="B2740" s="1452" t="s">
        <v>1367</v>
      </c>
      <c r="C2740" s="879"/>
    </row>
    <row r="2741" spans="1:3" x14ac:dyDescent="0.25">
      <c r="A2741" s="879"/>
      <c r="B2741" s="1452" t="s">
        <v>2446</v>
      </c>
      <c r="C2741" s="879"/>
    </row>
    <row r="2742" spans="1:3" x14ac:dyDescent="0.25">
      <c r="A2742" s="879"/>
      <c r="B2742" s="1452" t="s">
        <v>1521</v>
      </c>
      <c r="C2742" s="879"/>
    </row>
    <row r="2743" spans="1:3" x14ac:dyDescent="0.25">
      <c r="A2743" s="879"/>
      <c r="B2743" s="1452" t="s">
        <v>2447</v>
      </c>
      <c r="C2743" s="879"/>
    </row>
    <row r="2744" spans="1:3" x14ac:dyDescent="0.25">
      <c r="A2744" s="879"/>
      <c r="B2744" s="1452" t="s">
        <v>1582</v>
      </c>
      <c r="C2744" s="879"/>
    </row>
    <row r="2745" spans="1:3" x14ac:dyDescent="0.25">
      <c r="A2745" s="879"/>
      <c r="B2745" s="1452" t="s">
        <v>1583</v>
      </c>
      <c r="C2745" s="879"/>
    </row>
    <row r="2746" spans="1:3" x14ac:dyDescent="0.25">
      <c r="A2746" s="879"/>
      <c r="B2746" s="1452" t="s">
        <v>1584</v>
      </c>
      <c r="C2746" s="879"/>
    </row>
    <row r="2747" spans="1:3" x14ac:dyDescent="0.25">
      <c r="A2747" s="879"/>
      <c r="B2747" s="1452" t="s">
        <v>1585</v>
      </c>
      <c r="C2747" s="879"/>
    </row>
    <row r="2748" spans="1:3" x14ac:dyDescent="0.25">
      <c r="A2748" s="879"/>
      <c r="B2748" s="1452" t="s">
        <v>2448</v>
      </c>
      <c r="C2748" s="879"/>
    </row>
    <row r="2749" spans="1:3" x14ac:dyDescent="0.25">
      <c r="A2749" s="879"/>
      <c r="B2749" s="1452" t="s">
        <v>2449</v>
      </c>
      <c r="C2749" s="879"/>
    </row>
    <row r="2750" spans="1:3" x14ac:dyDescent="0.25">
      <c r="A2750" s="879"/>
      <c r="B2750" s="1452" t="s">
        <v>1586</v>
      </c>
      <c r="C2750" s="879"/>
    </row>
    <row r="2751" spans="1:3" x14ac:dyDescent="0.25">
      <c r="A2751" s="879"/>
      <c r="B2751" s="1452" t="s">
        <v>1587</v>
      </c>
      <c r="C2751" s="879"/>
    </row>
    <row r="2752" spans="1:3" x14ac:dyDescent="0.25">
      <c r="A2752" s="879"/>
      <c r="B2752" s="1452" t="s">
        <v>1382</v>
      </c>
      <c r="C2752" s="879"/>
    </row>
    <row r="2753" spans="1:3" x14ac:dyDescent="0.25">
      <c r="A2753" s="879"/>
      <c r="B2753" s="1452" t="s">
        <v>1367</v>
      </c>
      <c r="C2753" s="879"/>
    </row>
    <row r="2754" spans="1:3" x14ac:dyDescent="0.25">
      <c r="A2754" s="879"/>
      <c r="B2754" s="1452" t="s">
        <v>2446</v>
      </c>
      <c r="C2754" s="879"/>
    </row>
    <row r="2755" spans="1:3" x14ac:dyDescent="0.25">
      <c r="A2755" s="879"/>
      <c r="B2755" s="1452" t="s">
        <v>2450</v>
      </c>
      <c r="C2755" s="879"/>
    </row>
    <row r="2756" spans="1:3" x14ac:dyDescent="0.25">
      <c r="A2756" s="879"/>
      <c r="B2756" s="1452" t="s">
        <v>2451</v>
      </c>
      <c r="C2756" s="879"/>
    </row>
    <row r="2757" spans="1:3" x14ac:dyDescent="0.25">
      <c r="A2757" s="879"/>
      <c r="B2757" s="1452" t="s">
        <v>2452</v>
      </c>
      <c r="C2757" s="879"/>
    </row>
    <row r="2758" spans="1:3" x14ac:dyDescent="0.25">
      <c r="A2758" s="879"/>
      <c r="B2758" s="1452" t="s">
        <v>1588</v>
      </c>
      <c r="C2758" s="879"/>
    </row>
    <row r="2759" spans="1:3" x14ac:dyDescent="0.25">
      <c r="A2759" s="879"/>
      <c r="B2759" s="1452" t="s">
        <v>2453</v>
      </c>
      <c r="C2759" s="879"/>
    </row>
    <row r="2760" spans="1:3" x14ac:dyDescent="0.25">
      <c r="A2760" s="879"/>
      <c r="B2760" s="1452" t="s">
        <v>2454</v>
      </c>
      <c r="C2760" s="879"/>
    </row>
    <row r="2761" spans="1:3" x14ac:dyDescent="0.25">
      <c r="A2761" s="879"/>
      <c r="B2761" s="1452" t="s">
        <v>2455</v>
      </c>
      <c r="C2761" s="879"/>
    </row>
    <row r="2762" spans="1:3" x14ac:dyDescent="0.25">
      <c r="A2762" s="879"/>
      <c r="B2762" s="1452" t="s">
        <v>2456</v>
      </c>
      <c r="C2762" s="879"/>
    </row>
    <row r="2763" spans="1:3" x14ac:dyDescent="0.25">
      <c r="A2763" s="879"/>
      <c r="B2763" s="1452" t="s">
        <v>2457</v>
      </c>
      <c r="C2763" s="879"/>
    </row>
    <row r="2764" spans="1:3" x14ac:dyDescent="0.25">
      <c r="A2764" s="879"/>
      <c r="B2764" s="1452" t="s">
        <v>2458</v>
      </c>
      <c r="C2764" s="879"/>
    </row>
    <row r="2765" spans="1:3" x14ac:dyDescent="0.25">
      <c r="A2765" s="879"/>
      <c r="B2765" s="1452" t="s">
        <v>1522</v>
      </c>
      <c r="C2765" s="879"/>
    </row>
    <row r="2766" spans="1:3" x14ac:dyDescent="0.25">
      <c r="A2766" s="879"/>
      <c r="B2766" s="1452" t="s">
        <v>2459</v>
      </c>
      <c r="C2766" s="879"/>
    </row>
    <row r="2767" spans="1:3" x14ac:dyDescent="0.25">
      <c r="A2767" s="879"/>
      <c r="B2767" s="1452" t="s">
        <v>1524</v>
      </c>
      <c r="C2767" s="879"/>
    </row>
    <row r="2768" spans="1:3" x14ac:dyDescent="0.25">
      <c r="A2768" s="879"/>
      <c r="B2768" s="1452" t="s">
        <v>1525</v>
      </c>
      <c r="C2768" s="879"/>
    </row>
    <row r="2769" spans="1:3" x14ac:dyDescent="0.25">
      <c r="A2769" s="879"/>
      <c r="B2769" s="1452" t="s">
        <v>1526</v>
      </c>
      <c r="C2769" s="879"/>
    </row>
    <row r="2770" spans="1:3" x14ac:dyDescent="0.25">
      <c r="A2770" s="879"/>
      <c r="B2770" s="1452" t="s">
        <v>1589</v>
      </c>
      <c r="C2770" s="879"/>
    </row>
    <row r="2771" spans="1:3" x14ac:dyDescent="0.25">
      <c r="A2771" s="879"/>
      <c r="B2771" s="1452" t="s">
        <v>2460</v>
      </c>
      <c r="C2771" s="879"/>
    </row>
    <row r="2772" spans="1:3" x14ac:dyDescent="0.25">
      <c r="A2772" s="879"/>
      <c r="B2772" s="1452" t="s">
        <v>1590</v>
      </c>
      <c r="C2772" s="879"/>
    </row>
    <row r="2773" spans="1:3" x14ac:dyDescent="0.25">
      <c r="A2773" s="879"/>
      <c r="B2773" s="1452" t="s">
        <v>2461</v>
      </c>
      <c r="C2773" s="879"/>
    </row>
    <row r="2774" spans="1:3" x14ac:dyDescent="0.25">
      <c r="A2774" s="879"/>
      <c r="B2774" s="1452" t="s">
        <v>1567</v>
      </c>
      <c r="C2774" s="879"/>
    </row>
    <row r="2775" spans="1:3" x14ac:dyDescent="0.25">
      <c r="A2775" s="879"/>
      <c r="B2775" s="1452" t="s">
        <v>2462</v>
      </c>
      <c r="C2775" s="879"/>
    </row>
    <row r="2776" spans="1:3" x14ac:dyDescent="0.25">
      <c r="A2776" s="879"/>
      <c r="B2776" s="1452" t="s">
        <v>2463</v>
      </c>
      <c r="C2776" s="879"/>
    </row>
    <row r="2777" spans="1:3" x14ac:dyDescent="0.25">
      <c r="A2777" s="879"/>
      <c r="B2777" s="1452" t="s">
        <v>1527</v>
      </c>
      <c r="C2777" s="879"/>
    </row>
    <row r="2778" spans="1:3" x14ac:dyDescent="0.25">
      <c r="A2778" s="879"/>
      <c r="B2778" s="1452" t="s">
        <v>2464</v>
      </c>
      <c r="C2778" s="879"/>
    </row>
    <row r="2779" spans="1:3" x14ac:dyDescent="0.25">
      <c r="A2779" s="879"/>
      <c r="B2779" s="1452" t="s">
        <v>2465</v>
      </c>
      <c r="C2779" s="879"/>
    </row>
    <row r="2780" spans="1:3" x14ac:dyDescent="0.25">
      <c r="A2780" s="879"/>
      <c r="B2780" s="1452" t="s">
        <v>2466</v>
      </c>
      <c r="C2780" s="879"/>
    </row>
    <row r="2781" spans="1:3" x14ac:dyDescent="0.25">
      <c r="A2781" s="879"/>
      <c r="B2781" s="1452" t="s">
        <v>2467</v>
      </c>
      <c r="C2781" s="879"/>
    </row>
    <row r="2782" spans="1:3" x14ac:dyDescent="0.25">
      <c r="A2782" s="879"/>
      <c r="B2782" s="1452" t="s">
        <v>2468</v>
      </c>
      <c r="C2782" s="879"/>
    </row>
    <row r="2783" spans="1:3" x14ac:dyDescent="0.25">
      <c r="A2783" s="879"/>
      <c r="B2783" s="1452" t="s">
        <v>1591</v>
      </c>
      <c r="C2783" s="879"/>
    </row>
    <row r="2784" spans="1:3" x14ac:dyDescent="0.25">
      <c r="A2784" s="879"/>
      <c r="B2784" s="1452" t="s">
        <v>1529</v>
      </c>
      <c r="C2784" s="879"/>
    </row>
    <row r="2785" spans="1:3" x14ac:dyDescent="0.25">
      <c r="A2785" s="879"/>
      <c r="B2785" s="1452" t="s">
        <v>2469</v>
      </c>
      <c r="C2785" s="879"/>
    </row>
    <row r="2786" spans="1:3" x14ac:dyDescent="0.25">
      <c r="A2786" s="879"/>
      <c r="B2786" s="1452" t="s">
        <v>2470</v>
      </c>
      <c r="C2786" s="879"/>
    </row>
    <row r="2787" spans="1:3" x14ac:dyDescent="0.25">
      <c r="A2787" s="879"/>
      <c r="B2787" s="1452" t="s">
        <v>1530</v>
      </c>
      <c r="C2787" s="879"/>
    </row>
    <row r="2788" spans="1:3" x14ac:dyDescent="0.25">
      <c r="A2788" s="879"/>
      <c r="B2788" s="1452" t="s">
        <v>2471</v>
      </c>
      <c r="C2788" s="879"/>
    </row>
    <row r="2789" spans="1:3" x14ac:dyDescent="0.25">
      <c r="A2789" s="879"/>
      <c r="B2789" s="1452" t="s">
        <v>2472</v>
      </c>
      <c r="C2789" s="879"/>
    </row>
    <row r="2790" spans="1:3" x14ac:dyDescent="0.25">
      <c r="A2790" s="879"/>
      <c r="B2790" s="1452" t="s">
        <v>2473</v>
      </c>
      <c r="C2790" s="879"/>
    </row>
    <row r="2791" spans="1:3" x14ac:dyDescent="0.25">
      <c r="A2791" s="879"/>
      <c r="B2791" s="1452" t="s">
        <v>2474</v>
      </c>
      <c r="C2791" s="879"/>
    </row>
    <row r="2792" spans="1:3" x14ac:dyDescent="0.25">
      <c r="A2792" s="879"/>
      <c r="B2792" s="1452" t="s">
        <v>2475</v>
      </c>
      <c r="C2792" s="879"/>
    </row>
    <row r="2793" spans="1:3" x14ac:dyDescent="0.25">
      <c r="A2793" s="879"/>
      <c r="B2793" s="1452" t="s">
        <v>2476</v>
      </c>
      <c r="C2793" s="879"/>
    </row>
    <row r="2794" spans="1:3" x14ac:dyDescent="0.25">
      <c r="A2794" s="879"/>
      <c r="B2794" s="1452" t="s">
        <v>2477</v>
      </c>
      <c r="C2794" s="879"/>
    </row>
    <row r="2795" spans="1:3" x14ac:dyDescent="0.25">
      <c r="A2795" s="879"/>
      <c r="B2795" s="1452" t="s">
        <v>2478</v>
      </c>
      <c r="C2795" s="879"/>
    </row>
    <row r="2796" spans="1:3" x14ac:dyDescent="0.25">
      <c r="A2796" s="879"/>
      <c r="B2796" s="1452" t="s">
        <v>2479</v>
      </c>
      <c r="C2796" s="879"/>
    </row>
    <row r="2797" spans="1:3" x14ac:dyDescent="0.25">
      <c r="A2797" s="879"/>
      <c r="B2797" s="1452" t="s">
        <v>2480</v>
      </c>
      <c r="C2797" s="879"/>
    </row>
    <row r="2798" spans="1:3" x14ac:dyDescent="0.25">
      <c r="A2798" s="879"/>
      <c r="B2798" s="1452" t="s">
        <v>1531</v>
      </c>
      <c r="C2798" s="879"/>
    </row>
    <row r="2799" spans="1:3" x14ac:dyDescent="0.25">
      <c r="A2799" s="879"/>
      <c r="B2799" s="1452" t="s">
        <v>1592</v>
      </c>
      <c r="C2799" s="879"/>
    </row>
    <row r="2800" spans="1:3" x14ac:dyDescent="0.25">
      <c r="A2800" s="879"/>
      <c r="B2800" s="1452" t="s">
        <v>1572</v>
      </c>
      <c r="C2800" s="879"/>
    </row>
    <row r="2801" spans="1:3" x14ac:dyDescent="0.25">
      <c r="A2801" s="879"/>
      <c r="B2801" s="1452" t="s">
        <v>1532</v>
      </c>
      <c r="C2801" s="879"/>
    </row>
    <row r="2802" spans="1:3" x14ac:dyDescent="0.25">
      <c r="A2802" s="879"/>
      <c r="B2802" s="1452" t="s">
        <v>1430</v>
      </c>
      <c r="C2802" s="879"/>
    </row>
    <row r="2803" spans="1:3" x14ac:dyDescent="0.25">
      <c r="A2803" s="879"/>
      <c r="B2803" s="1452" t="s">
        <v>1367</v>
      </c>
      <c r="C2803" s="879"/>
    </row>
    <row r="2804" spans="1:3" x14ac:dyDescent="0.25">
      <c r="A2804" s="879"/>
      <c r="B2804" s="1452" t="s">
        <v>1504</v>
      </c>
      <c r="C2804" s="879"/>
    </row>
    <row r="2805" spans="1:3" x14ac:dyDescent="0.25">
      <c r="A2805" s="879"/>
      <c r="B2805" s="1452" t="s">
        <v>1367</v>
      </c>
      <c r="C2805" s="879"/>
    </row>
    <row r="2806" spans="1:3" x14ac:dyDescent="0.25">
      <c r="A2806" s="879"/>
      <c r="B2806" s="1452" t="s">
        <v>1450</v>
      </c>
      <c r="C2806" s="879"/>
    </row>
    <row r="2807" spans="1:3" x14ac:dyDescent="0.25">
      <c r="A2807" s="879"/>
      <c r="B2807" s="1452" t="s">
        <v>1451</v>
      </c>
      <c r="C2807" s="879"/>
    </row>
    <row r="2808" spans="1:3" x14ac:dyDescent="0.25">
      <c r="A2808" s="879"/>
      <c r="B2808" s="1452" t="s">
        <v>2362</v>
      </c>
      <c r="C2808" s="879"/>
    </row>
    <row r="2809" spans="1:3" x14ac:dyDescent="0.25">
      <c r="A2809" s="879"/>
      <c r="B2809" s="1452" t="s">
        <v>2363</v>
      </c>
      <c r="C2809" s="879"/>
    </row>
    <row r="2810" spans="1:3" x14ac:dyDescent="0.25">
      <c r="A2810" s="879"/>
      <c r="B2810" s="1452" t="s">
        <v>2356</v>
      </c>
      <c r="C2810" s="879"/>
    </row>
    <row r="2811" spans="1:3" x14ac:dyDescent="0.25">
      <c r="A2811" s="879"/>
      <c r="B2811" s="1452" t="s">
        <v>2364</v>
      </c>
      <c r="C2811" s="879"/>
    </row>
    <row r="2812" spans="1:3" x14ac:dyDescent="0.25">
      <c r="A2812" s="879"/>
      <c r="B2812" s="1452" t="s">
        <v>1684</v>
      </c>
      <c r="C2812" s="879"/>
    </row>
    <row r="2813" spans="1:3" x14ac:dyDescent="0.25">
      <c r="A2813" s="879"/>
      <c r="B2813" s="1452" t="s">
        <v>2481</v>
      </c>
      <c r="C2813" s="879"/>
    </row>
    <row r="2814" spans="1:3" x14ac:dyDescent="0.25">
      <c r="A2814" s="879"/>
      <c r="B2814" s="1452" t="s">
        <v>2359</v>
      </c>
      <c r="C2814" s="879"/>
    </row>
    <row r="2815" spans="1:3" x14ac:dyDescent="0.25">
      <c r="A2815" s="879"/>
      <c r="B2815" s="1452" t="s">
        <v>1685</v>
      </c>
      <c r="C2815" s="879"/>
    </row>
    <row r="2816" spans="1:3" x14ac:dyDescent="0.25">
      <c r="A2816" s="879"/>
      <c r="B2816" s="1452" t="s">
        <v>1686</v>
      </c>
      <c r="C2816" s="879"/>
    </row>
    <row r="2817" spans="1:3" x14ac:dyDescent="0.25">
      <c r="A2817" s="879"/>
      <c r="B2817" s="1452" t="s">
        <v>1454</v>
      </c>
      <c r="C2817" s="879"/>
    </row>
    <row r="2818" spans="1:3" x14ac:dyDescent="0.25">
      <c r="A2818" s="879"/>
      <c r="B2818" s="1452" t="s">
        <v>2365</v>
      </c>
      <c r="C2818" s="879"/>
    </row>
    <row r="2819" spans="1:3" x14ac:dyDescent="0.25">
      <c r="A2819" s="879"/>
      <c r="B2819" s="1452" t="s">
        <v>1455</v>
      </c>
      <c r="C2819" s="879"/>
    </row>
    <row r="2820" spans="1:3" x14ac:dyDescent="0.25">
      <c r="A2820" s="879"/>
      <c r="B2820" s="1452" t="s">
        <v>2366</v>
      </c>
      <c r="C2820" s="879"/>
    </row>
    <row r="2821" spans="1:3" x14ac:dyDescent="0.25">
      <c r="A2821" s="879"/>
      <c r="B2821" s="1452" t="s">
        <v>1688</v>
      </c>
      <c r="C2821" s="879"/>
    </row>
    <row r="2822" spans="1:3" x14ac:dyDescent="0.25">
      <c r="A2822" s="879"/>
      <c r="B2822" s="1452" t="s">
        <v>1458</v>
      </c>
      <c r="C2822" s="879"/>
    </row>
    <row r="2823" spans="1:3" x14ac:dyDescent="0.25">
      <c r="A2823" s="879"/>
      <c r="B2823" s="1452" t="s">
        <v>1505</v>
      </c>
      <c r="C2823" s="879"/>
    </row>
    <row r="2824" spans="1:3" x14ac:dyDescent="0.25">
      <c r="A2824" s="879"/>
      <c r="B2824" s="1452" t="s">
        <v>1367</v>
      </c>
      <c r="C2824" s="879"/>
    </row>
    <row r="2825" spans="1:3" x14ac:dyDescent="0.25">
      <c r="A2825" s="879"/>
      <c r="B2825" s="1452" t="s">
        <v>1450</v>
      </c>
      <c r="C2825" s="879"/>
    </row>
    <row r="2826" spans="1:3" x14ac:dyDescent="0.25">
      <c r="A2826" s="879"/>
      <c r="B2826" s="1452" t="s">
        <v>1451</v>
      </c>
      <c r="C2826" s="879"/>
    </row>
    <row r="2827" spans="1:3" x14ac:dyDescent="0.25">
      <c r="A2827" s="879"/>
      <c r="B2827" s="1452" t="s">
        <v>2362</v>
      </c>
      <c r="C2827" s="879"/>
    </row>
    <row r="2828" spans="1:3" x14ac:dyDescent="0.25">
      <c r="A2828" s="879"/>
      <c r="B2828" s="1452" t="s">
        <v>2363</v>
      </c>
      <c r="C2828" s="879"/>
    </row>
    <row r="2829" spans="1:3" x14ac:dyDescent="0.25">
      <c r="A2829" s="879"/>
      <c r="B2829" s="1452" t="s">
        <v>2356</v>
      </c>
      <c r="C2829" s="879"/>
    </row>
    <row r="2830" spans="1:3" x14ac:dyDescent="0.25">
      <c r="A2830" s="879"/>
      <c r="B2830" s="1452" t="s">
        <v>2364</v>
      </c>
      <c r="C2830" s="879"/>
    </row>
    <row r="2831" spans="1:3" x14ac:dyDescent="0.25">
      <c r="A2831" s="879"/>
      <c r="B2831" s="1452" t="s">
        <v>1684</v>
      </c>
      <c r="C2831" s="879"/>
    </row>
    <row r="2832" spans="1:3" x14ac:dyDescent="0.25">
      <c r="A2832" s="879"/>
      <c r="B2832" s="1452" t="s">
        <v>2481</v>
      </c>
      <c r="C2832" s="879"/>
    </row>
    <row r="2833" spans="1:3" x14ac:dyDescent="0.25">
      <c r="A2833" s="879"/>
      <c r="B2833" s="1452" t="s">
        <v>2359</v>
      </c>
      <c r="C2833" s="879"/>
    </row>
    <row r="2834" spans="1:3" x14ac:dyDescent="0.25">
      <c r="A2834" s="879"/>
      <c r="B2834" s="1452" t="s">
        <v>1685</v>
      </c>
      <c r="C2834" s="879"/>
    </row>
    <row r="2835" spans="1:3" x14ac:dyDescent="0.25">
      <c r="A2835" s="879"/>
      <c r="B2835" s="1452" t="s">
        <v>1686</v>
      </c>
      <c r="C2835" s="879"/>
    </row>
    <row r="2836" spans="1:3" x14ac:dyDescent="0.25">
      <c r="A2836" s="879"/>
      <c r="B2836" s="1452" t="s">
        <v>1454</v>
      </c>
      <c r="C2836" s="879"/>
    </row>
    <row r="2837" spans="1:3" x14ac:dyDescent="0.25">
      <c r="A2837" s="879"/>
      <c r="B2837" s="1452" t="s">
        <v>2365</v>
      </c>
      <c r="C2837" s="879"/>
    </row>
    <row r="2838" spans="1:3" x14ac:dyDescent="0.25">
      <c r="A2838" s="879"/>
      <c r="B2838" s="1452" t="s">
        <v>1455</v>
      </c>
      <c r="C2838" s="879"/>
    </row>
    <row r="2839" spans="1:3" x14ac:dyDescent="0.25">
      <c r="A2839" s="879"/>
      <c r="B2839" s="1452" t="s">
        <v>2366</v>
      </c>
      <c r="C2839" s="879"/>
    </row>
    <row r="2840" spans="1:3" x14ac:dyDescent="0.25">
      <c r="A2840" s="879"/>
      <c r="B2840" s="1452" t="s">
        <v>1688</v>
      </c>
      <c r="C2840" s="879"/>
    </row>
    <row r="2841" spans="1:3" x14ac:dyDescent="0.25">
      <c r="A2841" s="879"/>
      <c r="B2841" s="1452" t="s">
        <v>1458</v>
      </c>
      <c r="C2841" s="879"/>
    </row>
    <row r="2842" spans="1:3" x14ac:dyDescent="0.25">
      <c r="A2842" s="879"/>
      <c r="B2842" s="1452" t="s">
        <v>1519</v>
      </c>
      <c r="C2842" s="879"/>
    </row>
    <row r="2843" spans="1:3" x14ac:dyDescent="0.25">
      <c r="A2843" s="879"/>
      <c r="B2843" s="1452" t="s">
        <v>1367</v>
      </c>
      <c r="C2843" s="879"/>
    </row>
    <row r="2844" spans="1:3" x14ac:dyDescent="0.25">
      <c r="A2844" s="879"/>
      <c r="B2844" s="1452" t="s">
        <v>1450</v>
      </c>
      <c r="C2844" s="879"/>
    </row>
    <row r="2845" spans="1:3" x14ac:dyDescent="0.25">
      <c r="A2845" s="879"/>
      <c r="B2845" s="1452" t="s">
        <v>1451</v>
      </c>
      <c r="C2845" s="879"/>
    </row>
    <row r="2846" spans="1:3" x14ac:dyDescent="0.25">
      <c r="A2846" s="879"/>
      <c r="B2846" s="1452" t="s">
        <v>2362</v>
      </c>
      <c r="C2846" s="879"/>
    </row>
    <row r="2847" spans="1:3" x14ac:dyDescent="0.25">
      <c r="A2847" s="879"/>
      <c r="B2847" s="1452" t="s">
        <v>2363</v>
      </c>
      <c r="C2847" s="879"/>
    </row>
    <row r="2848" spans="1:3" x14ac:dyDescent="0.25">
      <c r="A2848" s="879"/>
      <c r="B2848" s="1452" t="s">
        <v>2356</v>
      </c>
      <c r="C2848" s="879"/>
    </row>
    <row r="2849" spans="1:3" x14ac:dyDescent="0.25">
      <c r="A2849" s="879"/>
      <c r="B2849" s="1452" t="s">
        <v>2364</v>
      </c>
      <c r="C2849" s="879"/>
    </row>
    <row r="2850" spans="1:3" x14ac:dyDescent="0.25">
      <c r="A2850" s="879"/>
      <c r="B2850" s="1452" t="s">
        <v>1684</v>
      </c>
      <c r="C2850" s="879"/>
    </row>
    <row r="2851" spans="1:3" x14ac:dyDescent="0.25">
      <c r="A2851" s="879"/>
      <c r="B2851" s="1452" t="s">
        <v>2481</v>
      </c>
      <c r="C2851" s="879"/>
    </row>
    <row r="2852" spans="1:3" x14ac:dyDescent="0.25">
      <c r="A2852" s="879"/>
      <c r="B2852" s="1452" t="s">
        <v>2359</v>
      </c>
      <c r="C2852" s="879"/>
    </row>
    <row r="2853" spans="1:3" x14ac:dyDescent="0.25">
      <c r="A2853" s="879"/>
      <c r="B2853" s="1452" t="s">
        <v>1685</v>
      </c>
      <c r="C2853" s="879"/>
    </row>
    <row r="2854" spans="1:3" x14ac:dyDescent="0.25">
      <c r="A2854" s="879"/>
      <c r="B2854" s="1452" t="s">
        <v>1686</v>
      </c>
      <c r="C2854" s="879"/>
    </row>
    <row r="2855" spans="1:3" x14ac:dyDescent="0.25">
      <c r="A2855" s="879"/>
      <c r="B2855" s="1452" t="s">
        <v>1454</v>
      </c>
      <c r="C2855" s="879"/>
    </row>
    <row r="2856" spans="1:3" x14ac:dyDescent="0.25">
      <c r="A2856" s="879"/>
      <c r="B2856" s="1452" t="s">
        <v>2365</v>
      </c>
      <c r="C2856" s="879"/>
    </row>
    <row r="2857" spans="1:3" x14ac:dyDescent="0.25">
      <c r="A2857" s="879"/>
      <c r="B2857" s="1452" t="s">
        <v>1455</v>
      </c>
      <c r="C2857" s="879"/>
    </row>
    <row r="2858" spans="1:3" x14ac:dyDescent="0.25">
      <c r="A2858" s="879"/>
      <c r="B2858" s="1452" t="s">
        <v>2366</v>
      </c>
      <c r="C2858" s="879"/>
    </row>
    <row r="2859" spans="1:3" x14ac:dyDescent="0.25">
      <c r="A2859" s="879"/>
      <c r="B2859" s="1452" t="s">
        <v>1688</v>
      </c>
      <c r="C2859" s="879"/>
    </row>
    <row r="2860" spans="1:3" x14ac:dyDescent="0.25">
      <c r="A2860" s="879"/>
      <c r="B2860" s="1452" t="s">
        <v>1458</v>
      </c>
      <c r="C2860" s="879"/>
    </row>
    <row r="2861" spans="1:3" x14ac:dyDescent="0.25">
      <c r="A2861" s="879"/>
      <c r="B2861" s="1452" t="s">
        <v>1690</v>
      </c>
      <c r="C2861" s="879"/>
    </row>
    <row r="2862" spans="1:3" x14ac:dyDescent="0.25">
      <c r="A2862" s="879"/>
      <c r="B2862" s="1452" t="s">
        <v>1367</v>
      </c>
      <c r="C2862" s="879"/>
    </row>
    <row r="2863" spans="1:3" x14ac:dyDescent="0.25">
      <c r="A2863" s="879"/>
      <c r="B2863" s="1452" t="s">
        <v>1691</v>
      </c>
      <c r="C2863" s="879"/>
    </row>
    <row r="2864" spans="1:3" x14ac:dyDescent="0.25">
      <c r="A2864" s="879"/>
      <c r="B2864" s="1452" t="s">
        <v>2482</v>
      </c>
      <c r="C2864" s="879"/>
    </row>
    <row r="2865" spans="1:3" x14ac:dyDescent="0.25">
      <c r="A2865" s="879"/>
      <c r="B2865" s="1452" t="s">
        <v>2373</v>
      </c>
      <c r="C2865" s="879"/>
    </row>
    <row r="2866" spans="1:3" x14ac:dyDescent="0.25">
      <c r="A2866" s="879"/>
      <c r="B2866" s="1452" t="s">
        <v>2483</v>
      </c>
      <c r="C2866" s="879"/>
    </row>
    <row r="2867" spans="1:3" x14ac:dyDescent="0.25">
      <c r="A2867" s="879"/>
      <c r="B2867" s="1452" t="s">
        <v>2484</v>
      </c>
      <c r="C2867" s="879"/>
    </row>
    <row r="2868" spans="1:3" x14ac:dyDescent="0.25">
      <c r="A2868" s="879"/>
      <c r="B2868" s="1452" t="s">
        <v>1696</v>
      </c>
      <c r="C2868" s="879"/>
    </row>
    <row r="2869" spans="1:3" x14ac:dyDescent="0.25">
      <c r="A2869" s="879"/>
      <c r="B2869" s="1452" t="s">
        <v>2485</v>
      </c>
      <c r="C2869" s="879"/>
    </row>
    <row r="2870" spans="1:3" x14ac:dyDescent="0.25">
      <c r="A2870" s="879"/>
      <c r="B2870" s="1452" t="s">
        <v>2486</v>
      </c>
      <c r="C2870" s="879"/>
    </row>
    <row r="2871" spans="1:3" x14ac:dyDescent="0.25">
      <c r="A2871" s="879"/>
      <c r="B2871" s="1452" t="s">
        <v>2487</v>
      </c>
      <c r="C2871" s="879"/>
    </row>
    <row r="2872" spans="1:3" x14ac:dyDescent="0.25">
      <c r="A2872" s="879"/>
      <c r="B2872" s="1452" t="s">
        <v>1700</v>
      </c>
      <c r="C2872" s="879"/>
    </row>
    <row r="2873" spans="1:3" x14ac:dyDescent="0.25">
      <c r="A2873" s="879"/>
      <c r="B2873" s="1452" t="s">
        <v>1701</v>
      </c>
      <c r="C2873" s="879"/>
    </row>
    <row r="2874" spans="1:3" x14ac:dyDescent="0.25">
      <c r="A2874" s="879"/>
      <c r="B2874" s="1452" t="s">
        <v>2488</v>
      </c>
      <c r="C2874" s="879"/>
    </row>
    <row r="2875" spans="1:3" x14ac:dyDescent="0.25">
      <c r="A2875" s="879"/>
      <c r="B2875" s="1452" t="s">
        <v>1703</v>
      </c>
      <c r="C2875" s="879"/>
    </row>
    <row r="2876" spans="1:3" x14ac:dyDescent="0.25">
      <c r="A2876" s="879"/>
      <c r="B2876" s="1452" t="s">
        <v>2489</v>
      </c>
      <c r="C2876" s="879"/>
    </row>
    <row r="2877" spans="1:3" x14ac:dyDescent="0.25">
      <c r="A2877" s="879"/>
      <c r="B2877" s="1452" t="s">
        <v>1705</v>
      </c>
      <c r="C2877" s="879"/>
    </row>
    <row r="2878" spans="1:3" x14ac:dyDescent="0.25">
      <c r="A2878" s="879"/>
      <c r="B2878" s="1452"/>
      <c r="C2878" s="879"/>
    </row>
    <row r="2879" spans="1:3" x14ac:dyDescent="0.25">
      <c r="A2879" s="879"/>
      <c r="B2879" s="1452"/>
      <c r="C2879" s="879"/>
    </row>
    <row r="2880" spans="1:3" x14ac:dyDescent="0.25">
      <c r="A2880" s="879"/>
      <c r="B2880" s="1452" t="s">
        <v>1368</v>
      </c>
      <c r="C2880" s="879"/>
    </row>
    <row r="2881" spans="1:3" x14ac:dyDescent="0.25">
      <c r="A2881" s="879"/>
      <c r="B2881" s="1452" t="s">
        <v>2490</v>
      </c>
      <c r="C2881" s="879"/>
    </row>
    <row r="2882" spans="1:3" x14ac:dyDescent="0.25">
      <c r="A2882" s="879"/>
      <c r="B2882" s="1452" t="s">
        <v>1368</v>
      </c>
      <c r="C2882" s="879"/>
    </row>
    <row r="2883" spans="1:3" x14ac:dyDescent="0.25">
      <c r="A2883" s="879"/>
      <c r="B2883" s="1452" t="s">
        <v>2491</v>
      </c>
      <c r="C2883" s="879"/>
    </row>
    <row r="2884" spans="1:3" x14ac:dyDescent="0.25">
      <c r="A2884" s="879"/>
      <c r="B2884" s="1452" t="s">
        <v>1367</v>
      </c>
      <c r="C2884" s="879"/>
    </row>
    <row r="2885" spans="1:3" x14ac:dyDescent="0.25">
      <c r="A2885" s="879"/>
      <c r="B2885" s="1452" t="s">
        <v>1369</v>
      </c>
      <c r="C2885" s="879"/>
    </row>
    <row r="2886" spans="1:3" x14ac:dyDescent="0.25">
      <c r="A2886" s="879"/>
      <c r="B2886" s="1452" t="s">
        <v>1370</v>
      </c>
      <c r="C2886" s="879"/>
    </row>
    <row r="2887" spans="1:3" x14ac:dyDescent="0.25">
      <c r="A2887" s="879"/>
      <c r="B2887" s="1452" t="s">
        <v>1367</v>
      </c>
      <c r="C2887" s="879"/>
    </row>
    <row r="2888" spans="1:3" x14ac:dyDescent="0.25">
      <c r="A2888" s="879"/>
      <c r="B2888" s="1452" t="s">
        <v>1460</v>
      </c>
      <c r="C2888" s="879"/>
    </row>
    <row r="2889" spans="1:3" x14ac:dyDescent="0.25">
      <c r="A2889" s="879"/>
      <c r="B2889" s="1452" t="s">
        <v>1461</v>
      </c>
      <c r="C2889" s="879"/>
    </row>
    <row r="2890" spans="1:3" x14ac:dyDescent="0.25">
      <c r="A2890" s="879"/>
      <c r="B2890" s="1452" t="s">
        <v>1510</v>
      </c>
      <c r="C2890" s="879"/>
    </row>
    <row r="2891" spans="1:3" x14ac:dyDescent="0.25">
      <c r="A2891" s="879"/>
      <c r="B2891" s="1452" t="s">
        <v>2067</v>
      </c>
      <c r="C2891" s="879"/>
    </row>
    <row r="2892" spans="1:3" x14ac:dyDescent="0.25">
      <c r="A2892" s="879"/>
      <c r="B2892" s="1452" t="s">
        <v>2492</v>
      </c>
      <c r="C2892" s="879"/>
    </row>
    <row r="2893" spans="1:3" x14ac:dyDescent="0.25">
      <c r="A2893" s="879"/>
      <c r="B2893" s="1452" t="s">
        <v>2493</v>
      </c>
      <c r="C2893" s="879"/>
    </row>
    <row r="2894" spans="1:3" x14ac:dyDescent="0.25">
      <c r="A2894" s="879"/>
      <c r="B2894" s="1452" t="s">
        <v>2494</v>
      </c>
      <c r="C2894" s="879"/>
    </row>
    <row r="2895" spans="1:3" x14ac:dyDescent="0.25">
      <c r="A2895" s="879"/>
      <c r="B2895" s="1452" t="s">
        <v>2495</v>
      </c>
      <c r="C2895" s="879"/>
    </row>
    <row r="2896" spans="1:3" x14ac:dyDescent="0.25">
      <c r="A2896" s="879"/>
      <c r="B2896" s="1452" t="s">
        <v>2496</v>
      </c>
      <c r="C2896" s="879"/>
    </row>
    <row r="2897" spans="1:3" x14ac:dyDescent="0.25">
      <c r="A2897" s="879"/>
      <c r="B2897" s="1452" t="s">
        <v>2497</v>
      </c>
      <c r="C2897" s="879"/>
    </row>
    <row r="2898" spans="1:3" x14ac:dyDescent="0.25">
      <c r="A2898" s="879"/>
      <c r="B2898" s="1452" t="s">
        <v>1462</v>
      </c>
      <c r="C2898" s="879"/>
    </row>
    <row r="2899" spans="1:3" x14ac:dyDescent="0.25">
      <c r="A2899" s="879"/>
      <c r="B2899" s="1452" t="s">
        <v>1382</v>
      </c>
      <c r="C2899" s="879"/>
    </row>
    <row r="2900" spans="1:3" x14ac:dyDescent="0.25">
      <c r="A2900" s="879"/>
      <c r="B2900" s="1452" t="s">
        <v>1367</v>
      </c>
      <c r="C2900" s="879"/>
    </row>
    <row r="2901" spans="1:3" x14ac:dyDescent="0.25">
      <c r="A2901" s="879"/>
      <c r="B2901" s="1452" t="s">
        <v>1460</v>
      </c>
      <c r="C2901" s="879"/>
    </row>
    <row r="2902" spans="1:3" x14ac:dyDescent="0.25">
      <c r="A2902" s="879"/>
      <c r="B2902" s="1452" t="s">
        <v>1594</v>
      </c>
      <c r="C2902" s="879"/>
    </row>
    <row r="2903" spans="1:3" x14ac:dyDescent="0.25">
      <c r="A2903" s="879"/>
      <c r="B2903" s="1452" t="s">
        <v>2498</v>
      </c>
      <c r="C2903" s="879"/>
    </row>
    <row r="2904" spans="1:3" x14ac:dyDescent="0.25">
      <c r="A2904" s="879"/>
      <c r="B2904" s="1452" t="s">
        <v>2499</v>
      </c>
      <c r="C2904" s="879"/>
    </row>
    <row r="2905" spans="1:3" x14ac:dyDescent="0.25">
      <c r="A2905" s="879"/>
      <c r="B2905" s="1452" t="s">
        <v>2500</v>
      </c>
      <c r="C2905" s="879"/>
    </row>
    <row r="2906" spans="1:3" x14ac:dyDescent="0.25">
      <c r="A2906" s="879"/>
      <c r="B2906" s="1452" t="s">
        <v>2501</v>
      </c>
      <c r="C2906" s="879"/>
    </row>
    <row r="2907" spans="1:3" x14ac:dyDescent="0.25">
      <c r="A2907" s="879"/>
      <c r="B2907" s="1452" t="s">
        <v>2502</v>
      </c>
      <c r="C2907" s="879"/>
    </row>
    <row r="2908" spans="1:3" x14ac:dyDescent="0.25">
      <c r="A2908" s="879"/>
      <c r="B2908" s="1452" t="s">
        <v>2503</v>
      </c>
      <c r="C2908" s="879"/>
    </row>
    <row r="2909" spans="1:3" x14ac:dyDescent="0.25">
      <c r="A2909" s="879"/>
      <c r="B2909" s="1452" t="s">
        <v>2504</v>
      </c>
      <c r="C2909" s="879"/>
    </row>
    <row r="2910" spans="1:3" x14ac:dyDescent="0.25">
      <c r="A2910" s="879"/>
      <c r="B2910" s="1452" t="s">
        <v>1597</v>
      </c>
      <c r="C2910" s="879"/>
    </row>
    <row r="2911" spans="1:3" x14ac:dyDescent="0.25">
      <c r="A2911" s="879"/>
      <c r="B2911" s="1452" t="s">
        <v>1598</v>
      </c>
      <c r="C2911" s="879"/>
    </row>
    <row r="2912" spans="1:3" x14ac:dyDescent="0.25">
      <c r="A2912" s="879"/>
      <c r="B2912" s="1452" t="s">
        <v>1466</v>
      </c>
      <c r="C2912" s="879"/>
    </row>
    <row r="2913" spans="1:3" x14ac:dyDescent="0.25">
      <c r="A2913" s="879"/>
      <c r="B2913" s="1452" t="s">
        <v>1467</v>
      </c>
      <c r="C2913" s="879"/>
    </row>
    <row r="2914" spans="1:3" x14ac:dyDescent="0.25">
      <c r="A2914" s="879"/>
      <c r="B2914" s="1452" t="s">
        <v>1468</v>
      </c>
      <c r="C2914" s="879"/>
    </row>
    <row r="2915" spans="1:3" x14ac:dyDescent="0.25">
      <c r="A2915" s="879"/>
      <c r="B2915" s="1452" t="s">
        <v>1469</v>
      </c>
      <c r="C2915" s="879"/>
    </row>
    <row r="2916" spans="1:3" x14ac:dyDescent="0.25">
      <c r="A2916" s="879"/>
      <c r="B2916" s="1452" t="s">
        <v>2505</v>
      </c>
      <c r="C2916" s="879"/>
    </row>
    <row r="2917" spans="1:3" x14ac:dyDescent="0.25">
      <c r="A2917" s="879"/>
      <c r="B2917" s="1452" t="s">
        <v>1599</v>
      </c>
      <c r="C2917" s="879"/>
    </row>
    <row r="2918" spans="1:3" x14ac:dyDescent="0.25">
      <c r="A2918" s="879"/>
      <c r="B2918" s="1452" t="s">
        <v>2506</v>
      </c>
      <c r="C2918" s="879"/>
    </row>
    <row r="2919" spans="1:3" x14ac:dyDescent="0.25">
      <c r="A2919" s="879"/>
      <c r="B2919" s="1452" t="s">
        <v>2507</v>
      </c>
      <c r="C2919" s="879"/>
    </row>
    <row r="2920" spans="1:3" x14ac:dyDescent="0.25">
      <c r="A2920" s="879"/>
      <c r="B2920" s="1452" t="s">
        <v>1601</v>
      </c>
      <c r="C2920" s="879"/>
    </row>
    <row r="2921" spans="1:3" x14ac:dyDescent="0.25">
      <c r="A2921" s="879"/>
      <c r="B2921" s="1452" t="s">
        <v>1471</v>
      </c>
      <c r="C2921" s="879"/>
    </row>
    <row r="2922" spans="1:3" x14ac:dyDescent="0.25">
      <c r="A2922" s="879"/>
      <c r="B2922" s="1452" t="s">
        <v>1602</v>
      </c>
      <c r="C2922" s="879"/>
    </row>
    <row r="2923" spans="1:3" x14ac:dyDescent="0.25">
      <c r="A2923" s="879"/>
      <c r="B2923" s="1452" t="s">
        <v>1603</v>
      </c>
      <c r="C2923" s="879"/>
    </row>
    <row r="2924" spans="1:3" x14ac:dyDescent="0.25">
      <c r="A2924" s="879"/>
      <c r="B2924" s="1452" t="s">
        <v>1473</v>
      </c>
      <c r="C2924" s="879"/>
    </row>
    <row r="2925" spans="1:3" x14ac:dyDescent="0.25">
      <c r="A2925" s="879"/>
      <c r="B2925" s="1452" t="s">
        <v>2508</v>
      </c>
      <c r="C2925" s="879"/>
    </row>
    <row r="2926" spans="1:3" x14ac:dyDescent="0.25">
      <c r="A2926" s="879"/>
      <c r="B2926" s="1452" t="s">
        <v>2509</v>
      </c>
      <c r="C2926" s="879"/>
    </row>
    <row r="2927" spans="1:3" x14ac:dyDescent="0.25">
      <c r="A2927" s="879"/>
      <c r="B2927" s="1452" t="s">
        <v>1605</v>
      </c>
      <c r="C2927" s="879"/>
    </row>
    <row r="2928" spans="1:3" x14ac:dyDescent="0.25">
      <c r="A2928" s="879"/>
      <c r="B2928" s="1452" t="s">
        <v>2510</v>
      </c>
      <c r="C2928" s="879"/>
    </row>
    <row r="2929" spans="1:3" x14ac:dyDescent="0.25">
      <c r="A2929" s="879"/>
      <c r="B2929" s="1452" t="s">
        <v>1476</v>
      </c>
      <c r="C2929" s="879"/>
    </row>
    <row r="2930" spans="1:3" x14ac:dyDescent="0.25">
      <c r="A2930" s="879"/>
      <c r="B2930" s="1452" t="s">
        <v>1477</v>
      </c>
      <c r="C2930" s="879"/>
    </row>
    <row r="2931" spans="1:3" x14ac:dyDescent="0.25">
      <c r="A2931" s="879"/>
      <c r="B2931" s="1452" t="s">
        <v>1478</v>
      </c>
      <c r="C2931" s="879"/>
    </row>
    <row r="2932" spans="1:3" x14ac:dyDescent="0.25">
      <c r="A2932" s="879"/>
      <c r="B2932" s="1452" t="s">
        <v>2511</v>
      </c>
      <c r="C2932" s="879"/>
    </row>
    <row r="2933" spans="1:3" x14ac:dyDescent="0.25">
      <c r="A2933" s="879"/>
      <c r="B2933" s="1452" t="s">
        <v>1606</v>
      </c>
      <c r="C2933" s="879"/>
    </row>
    <row r="2934" spans="1:3" x14ac:dyDescent="0.25">
      <c r="A2934" s="879"/>
      <c r="B2934" s="1452" t="s">
        <v>1479</v>
      </c>
      <c r="C2934" s="879"/>
    </row>
    <row r="2935" spans="1:3" x14ac:dyDescent="0.25">
      <c r="A2935" s="879"/>
      <c r="B2935" s="1452" t="s">
        <v>1480</v>
      </c>
      <c r="C2935" s="879"/>
    </row>
    <row r="2936" spans="1:3" x14ac:dyDescent="0.25">
      <c r="A2936" s="879"/>
      <c r="B2936" s="1452" t="s">
        <v>2512</v>
      </c>
      <c r="C2936" s="879"/>
    </row>
    <row r="2937" spans="1:3" x14ac:dyDescent="0.25">
      <c r="A2937" s="879"/>
      <c r="B2937" s="1452" t="s">
        <v>2513</v>
      </c>
      <c r="C2937" s="879"/>
    </row>
    <row r="2938" spans="1:3" x14ac:dyDescent="0.25">
      <c r="A2938" s="879"/>
      <c r="B2938" s="1452" t="s">
        <v>2514</v>
      </c>
      <c r="C2938" s="879"/>
    </row>
    <row r="2939" spans="1:3" x14ac:dyDescent="0.25">
      <c r="A2939" s="879"/>
      <c r="B2939" s="1452" t="s">
        <v>2515</v>
      </c>
      <c r="C2939" s="879"/>
    </row>
    <row r="2940" spans="1:3" x14ac:dyDescent="0.25">
      <c r="A2940" s="879"/>
      <c r="B2940" s="1452" t="s">
        <v>2516</v>
      </c>
      <c r="C2940" s="879"/>
    </row>
    <row r="2941" spans="1:3" x14ac:dyDescent="0.25">
      <c r="A2941" s="879"/>
      <c r="B2941" s="1452" t="s">
        <v>2517</v>
      </c>
      <c r="C2941" s="879"/>
    </row>
    <row r="2942" spans="1:3" x14ac:dyDescent="0.25">
      <c r="A2942" s="879"/>
      <c r="B2942" s="1452" t="s">
        <v>2518</v>
      </c>
      <c r="C2942" s="879"/>
    </row>
    <row r="2943" spans="1:3" x14ac:dyDescent="0.25">
      <c r="A2943" s="879"/>
      <c r="B2943" s="1452" t="s">
        <v>2519</v>
      </c>
      <c r="C2943" s="879"/>
    </row>
    <row r="2944" spans="1:3" x14ac:dyDescent="0.25">
      <c r="A2944" s="879"/>
      <c r="B2944" s="1452" t="s">
        <v>2520</v>
      </c>
      <c r="C2944" s="879"/>
    </row>
    <row r="2945" spans="1:3" x14ac:dyDescent="0.25">
      <c r="A2945" s="879"/>
      <c r="B2945" s="1452" t="s">
        <v>1481</v>
      </c>
      <c r="C2945" s="879"/>
    </row>
    <row r="2946" spans="1:3" x14ac:dyDescent="0.25">
      <c r="A2946" s="879"/>
      <c r="B2946" s="1452" t="s">
        <v>1482</v>
      </c>
      <c r="C2946" s="879"/>
    </row>
    <row r="2947" spans="1:3" x14ac:dyDescent="0.25">
      <c r="A2947" s="879"/>
      <c r="B2947" s="1452" t="s">
        <v>1483</v>
      </c>
      <c r="C2947" s="879"/>
    </row>
    <row r="2948" spans="1:3" x14ac:dyDescent="0.25">
      <c r="A2948" s="879"/>
      <c r="B2948" s="1452" t="s">
        <v>1484</v>
      </c>
      <c r="C2948" s="879"/>
    </row>
    <row r="2949" spans="1:3" x14ac:dyDescent="0.25">
      <c r="A2949" s="879"/>
      <c r="B2949" s="1452" t="s">
        <v>1430</v>
      </c>
      <c r="C2949" s="879"/>
    </row>
    <row r="2950" spans="1:3" x14ac:dyDescent="0.25">
      <c r="A2950" s="879"/>
      <c r="B2950" s="1452" t="s">
        <v>1367</v>
      </c>
      <c r="C2950" s="879"/>
    </row>
    <row r="2951" spans="1:3" x14ac:dyDescent="0.25">
      <c r="A2951" s="879"/>
      <c r="B2951" s="1452" t="s">
        <v>1449</v>
      </c>
      <c r="C2951" s="879"/>
    </row>
    <row r="2952" spans="1:3" x14ac:dyDescent="0.25">
      <c r="A2952" s="879"/>
      <c r="B2952" s="1452" t="s">
        <v>1367</v>
      </c>
      <c r="C2952" s="879"/>
    </row>
    <row r="2953" spans="1:3" x14ac:dyDescent="0.25">
      <c r="A2953" s="879"/>
      <c r="B2953" s="1452" t="s">
        <v>1450</v>
      </c>
      <c r="C2953" s="879"/>
    </row>
    <row r="2954" spans="1:3" x14ac:dyDescent="0.25">
      <c r="A2954" s="879"/>
      <c r="B2954" s="1452" t="s">
        <v>1451</v>
      </c>
      <c r="C2954" s="879"/>
    </row>
    <row r="2955" spans="1:3" x14ac:dyDescent="0.25">
      <c r="A2955" s="879"/>
      <c r="B2955" s="1452" t="s">
        <v>1452</v>
      </c>
      <c r="C2955" s="879"/>
    </row>
    <row r="2956" spans="1:3" x14ac:dyDescent="0.25">
      <c r="A2956" s="879"/>
      <c r="B2956" s="1452" t="s">
        <v>1681</v>
      </c>
      <c r="C2956" s="879"/>
    </row>
    <row r="2957" spans="1:3" x14ac:dyDescent="0.25">
      <c r="A2957" s="879"/>
      <c r="B2957" s="1452" t="s">
        <v>1682</v>
      </c>
      <c r="C2957" s="879"/>
    </row>
    <row r="2958" spans="1:3" x14ac:dyDescent="0.25">
      <c r="A2958" s="879"/>
      <c r="B2958" s="1452" t="s">
        <v>1517</v>
      </c>
      <c r="C2958" s="879"/>
    </row>
    <row r="2959" spans="1:3" x14ac:dyDescent="0.25">
      <c r="A2959" s="879"/>
      <c r="B2959" s="1452" t="s">
        <v>1684</v>
      </c>
      <c r="C2959" s="879"/>
    </row>
    <row r="2960" spans="1:3" x14ac:dyDescent="0.25">
      <c r="A2960" s="879"/>
      <c r="B2960" s="1452" t="s">
        <v>2521</v>
      </c>
      <c r="C2960" s="879"/>
    </row>
    <row r="2961" spans="1:3" x14ac:dyDescent="0.25">
      <c r="A2961" s="879"/>
      <c r="B2961" s="1452" t="s">
        <v>1485</v>
      </c>
      <c r="C2961" s="879"/>
    </row>
    <row r="2962" spans="1:3" x14ac:dyDescent="0.25">
      <c r="A2962" s="879"/>
      <c r="B2962" s="1452" t="s">
        <v>1685</v>
      </c>
      <c r="C2962" s="879"/>
    </row>
    <row r="2963" spans="1:3" x14ac:dyDescent="0.25">
      <c r="A2963" s="879"/>
      <c r="B2963" s="1452" t="s">
        <v>1686</v>
      </c>
      <c r="C2963" s="879"/>
    </row>
    <row r="2964" spans="1:3" x14ac:dyDescent="0.25">
      <c r="A2964" s="879"/>
      <c r="B2964" s="1452" t="s">
        <v>1454</v>
      </c>
      <c r="C2964" s="879"/>
    </row>
    <row r="2965" spans="1:3" x14ac:dyDescent="0.25">
      <c r="A2965" s="879"/>
      <c r="B2965" s="1452" t="s">
        <v>1486</v>
      </c>
      <c r="C2965" s="879"/>
    </row>
    <row r="2966" spans="1:3" x14ac:dyDescent="0.25">
      <c r="A2966" s="879"/>
      <c r="B2966" s="1452" t="s">
        <v>1455</v>
      </c>
      <c r="C2966" s="879"/>
    </row>
    <row r="2967" spans="1:3" x14ac:dyDescent="0.25">
      <c r="A2967" s="879"/>
      <c r="B2967" s="1452" t="s">
        <v>1518</v>
      </c>
      <c r="C2967" s="879"/>
    </row>
    <row r="2968" spans="1:3" x14ac:dyDescent="0.25">
      <c r="A2968" s="879"/>
      <c r="B2968" s="1452" t="s">
        <v>1688</v>
      </c>
      <c r="C2968" s="879"/>
    </row>
    <row r="2969" spans="1:3" x14ac:dyDescent="0.25">
      <c r="A2969" s="879"/>
      <c r="B2969" s="1452" t="s">
        <v>2522</v>
      </c>
      <c r="C2969" s="879"/>
    </row>
    <row r="2970" spans="1:3" x14ac:dyDescent="0.25">
      <c r="A2970" s="879"/>
      <c r="B2970" s="1452" t="s">
        <v>1456</v>
      </c>
      <c r="C2970" s="879"/>
    </row>
    <row r="2971" spans="1:3" x14ac:dyDescent="0.25">
      <c r="A2971" s="879"/>
      <c r="B2971" s="1452" t="s">
        <v>1367</v>
      </c>
      <c r="C2971" s="879"/>
    </row>
    <row r="2972" spans="1:3" x14ac:dyDescent="0.25">
      <c r="A2972" s="879"/>
      <c r="B2972" s="1452" t="s">
        <v>1450</v>
      </c>
      <c r="C2972" s="879"/>
    </row>
    <row r="2973" spans="1:3" x14ac:dyDescent="0.25">
      <c r="A2973" s="879"/>
      <c r="B2973" s="1452" t="s">
        <v>1451</v>
      </c>
      <c r="C2973" s="879"/>
    </row>
    <row r="2974" spans="1:3" x14ac:dyDescent="0.25">
      <c r="A2974" s="879"/>
      <c r="B2974" s="1452" t="s">
        <v>1452</v>
      </c>
      <c r="C2974" s="879"/>
    </row>
    <row r="2975" spans="1:3" x14ac:dyDescent="0.25">
      <c r="A2975" s="879"/>
      <c r="B2975" s="1452" t="s">
        <v>1681</v>
      </c>
      <c r="C2975" s="879"/>
    </row>
    <row r="2976" spans="1:3" x14ac:dyDescent="0.25">
      <c r="A2976" s="879"/>
      <c r="B2976" s="1452" t="s">
        <v>1682</v>
      </c>
      <c r="C2976" s="879"/>
    </row>
    <row r="2977" spans="1:3" x14ac:dyDescent="0.25">
      <c r="A2977" s="879"/>
      <c r="B2977" s="1452" t="s">
        <v>1517</v>
      </c>
      <c r="C2977" s="879"/>
    </row>
    <row r="2978" spans="1:3" x14ac:dyDescent="0.25">
      <c r="A2978" s="879"/>
      <c r="B2978" s="1452" t="s">
        <v>1684</v>
      </c>
      <c r="C2978" s="879"/>
    </row>
    <row r="2979" spans="1:3" x14ac:dyDescent="0.25">
      <c r="A2979" s="879"/>
      <c r="B2979" s="1452" t="s">
        <v>2521</v>
      </c>
      <c r="C2979" s="879"/>
    </row>
    <row r="2980" spans="1:3" x14ac:dyDescent="0.25">
      <c r="A2980" s="879"/>
      <c r="B2980" s="1452" t="s">
        <v>1485</v>
      </c>
      <c r="C2980" s="879"/>
    </row>
    <row r="2981" spans="1:3" x14ac:dyDescent="0.25">
      <c r="A2981" s="879"/>
      <c r="B2981" s="1452" t="s">
        <v>1685</v>
      </c>
      <c r="C2981" s="879"/>
    </row>
    <row r="2982" spans="1:3" x14ac:dyDescent="0.25">
      <c r="A2982" s="879"/>
      <c r="B2982" s="1452" t="s">
        <v>1686</v>
      </c>
      <c r="C2982" s="879"/>
    </row>
    <row r="2983" spans="1:3" x14ac:dyDescent="0.25">
      <c r="A2983" s="879"/>
      <c r="B2983" s="1452" t="s">
        <v>1454</v>
      </c>
      <c r="C2983" s="879"/>
    </row>
    <row r="2984" spans="1:3" x14ac:dyDescent="0.25">
      <c r="A2984" s="879"/>
      <c r="B2984" s="1452" t="s">
        <v>1486</v>
      </c>
      <c r="C2984" s="879"/>
    </row>
    <row r="2985" spans="1:3" x14ac:dyDescent="0.25">
      <c r="A2985" s="879"/>
      <c r="B2985" s="1452" t="s">
        <v>1455</v>
      </c>
      <c r="C2985" s="879"/>
    </row>
    <row r="2986" spans="1:3" x14ac:dyDescent="0.25">
      <c r="A2986" s="879"/>
      <c r="B2986" s="1452" t="s">
        <v>1518</v>
      </c>
      <c r="C2986" s="879"/>
    </row>
    <row r="2987" spans="1:3" x14ac:dyDescent="0.25">
      <c r="A2987" s="879"/>
      <c r="B2987" s="1452" t="s">
        <v>1688</v>
      </c>
      <c r="C2987" s="879"/>
    </row>
    <row r="2988" spans="1:3" x14ac:dyDescent="0.25">
      <c r="A2988" s="879"/>
      <c r="B2988" s="1452" t="s">
        <v>2522</v>
      </c>
      <c r="C2988" s="879"/>
    </row>
    <row r="2989" spans="1:3" x14ac:dyDescent="0.25">
      <c r="A2989" s="879"/>
      <c r="B2989" s="1452" t="s">
        <v>1690</v>
      </c>
      <c r="C2989" s="879"/>
    </row>
    <row r="2990" spans="1:3" x14ac:dyDescent="0.25">
      <c r="A2990" s="879"/>
      <c r="B2990" s="1452" t="s">
        <v>1367</v>
      </c>
      <c r="C2990" s="879"/>
    </row>
    <row r="2991" spans="1:3" x14ac:dyDescent="0.25">
      <c r="A2991" s="879"/>
      <c r="B2991" s="1452" t="s">
        <v>1691</v>
      </c>
      <c r="C2991" s="879"/>
    </row>
    <row r="2992" spans="1:3" x14ac:dyDescent="0.25">
      <c r="A2992" s="879"/>
      <c r="B2992" s="1452" t="s">
        <v>1692</v>
      </c>
      <c r="C2992" s="879"/>
    </row>
    <row r="2993" spans="1:3" x14ac:dyDescent="0.25">
      <c r="A2993" s="879"/>
      <c r="B2993" s="1452" t="s">
        <v>1693</v>
      </c>
      <c r="C2993" s="879"/>
    </row>
    <row r="2994" spans="1:3" x14ac:dyDescent="0.25">
      <c r="A2994" s="879"/>
      <c r="B2994" s="1452" t="s">
        <v>1694</v>
      </c>
      <c r="C2994" s="879"/>
    </row>
    <row r="2995" spans="1:3" x14ac:dyDescent="0.25">
      <c r="A2995" s="879"/>
      <c r="B2995" s="1452" t="s">
        <v>1695</v>
      </c>
      <c r="C2995" s="879"/>
    </row>
    <row r="2996" spans="1:3" x14ac:dyDescent="0.25">
      <c r="A2996" s="879"/>
      <c r="B2996" s="1452" t="s">
        <v>1696</v>
      </c>
      <c r="C2996" s="879"/>
    </row>
    <row r="2997" spans="1:3" x14ac:dyDescent="0.25">
      <c r="A2997" s="879"/>
      <c r="B2997" s="1452" t="s">
        <v>1697</v>
      </c>
      <c r="C2997" s="879"/>
    </row>
    <row r="2998" spans="1:3" x14ac:dyDescent="0.25">
      <c r="A2998" s="879"/>
      <c r="B2998" s="1452" t="s">
        <v>1698</v>
      </c>
      <c r="C2998" s="879"/>
    </row>
    <row r="2999" spans="1:3" x14ac:dyDescent="0.25">
      <c r="A2999" s="879"/>
      <c r="B2999" s="1452" t="s">
        <v>1699</v>
      </c>
      <c r="C2999" s="879"/>
    </row>
    <row r="3000" spans="1:3" x14ac:dyDescent="0.25">
      <c r="A3000" s="879"/>
      <c r="B3000" s="1452" t="s">
        <v>1700</v>
      </c>
      <c r="C3000" s="879"/>
    </row>
    <row r="3001" spans="1:3" x14ac:dyDescent="0.25">
      <c r="A3001" s="879"/>
      <c r="B3001" s="1452" t="s">
        <v>1701</v>
      </c>
      <c r="C3001" s="879"/>
    </row>
    <row r="3002" spans="1:3" x14ac:dyDescent="0.25">
      <c r="A3002" s="879"/>
      <c r="B3002" s="1452" t="s">
        <v>1702</v>
      </c>
      <c r="C3002" s="879"/>
    </row>
    <row r="3003" spans="1:3" x14ac:dyDescent="0.25">
      <c r="A3003" s="879"/>
      <c r="B3003" s="1452" t="s">
        <v>1703</v>
      </c>
      <c r="C3003" s="879"/>
    </row>
    <row r="3004" spans="1:3" x14ac:dyDescent="0.25">
      <c r="A3004" s="879"/>
      <c r="B3004" s="1452" t="s">
        <v>1704</v>
      </c>
      <c r="C3004" s="879"/>
    </row>
    <row r="3005" spans="1:3" x14ac:dyDescent="0.25">
      <c r="A3005" s="879"/>
      <c r="B3005" s="1452" t="s">
        <v>1705</v>
      </c>
      <c r="C3005" s="879"/>
    </row>
    <row r="3006" spans="1:3" x14ac:dyDescent="0.25">
      <c r="A3006" s="879"/>
      <c r="B3006" s="1452"/>
      <c r="C3006" s="879"/>
    </row>
    <row r="3007" spans="1:3" x14ac:dyDescent="0.25">
      <c r="A3007" s="879"/>
      <c r="B3007" s="1452"/>
      <c r="C3007" s="879"/>
    </row>
    <row r="3008" spans="1:3" x14ac:dyDescent="0.25">
      <c r="A3008" s="879"/>
      <c r="B3008" s="1452" t="s">
        <v>1368</v>
      </c>
      <c r="C3008" s="879"/>
    </row>
    <row r="3009" spans="1:3" x14ac:dyDescent="0.25">
      <c r="A3009" s="879"/>
      <c r="B3009" s="1452" t="s">
        <v>2523</v>
      </c>
      <c r="C3009" s="879"/>
    </row>
    <row r="3010" spans="1:3" x14ac:dyDescent="0.25">
      <c r="A3010" s="879"/>
      <c r="B3010" s="1452" t="s">
        <v>1368</v>
      </c>
      <c r="C3010" s="879"/>
    </row>
    <row r="3011" spans="1:3" x14ac:dyDescent="0.25">
      <c r="A3011" s="879"/>
      <c r="B3011" s="1452" t="s">
        <v>2524</v>
      </c>
      <c r="C3011" s="879"/>
    </row>
    <row r="3012" spans="1:3" x14ac:dyDescent="0.25">
      <c r="A3012" s="879"/>
      <c r="B3012" s="1452" t="s">
        <v>1367</v>
      </c>
      <c r="C3012" s="879"/>
    </row>
    <row r="3013" spans="1:3" x14ac:dyDescent="0.25">
      <c r="A3013" s="879"/>
      <c r="B3013" s="1452" t="s">
        <v>1369</v>
      </c>
      <c r="C3013" s="879"/>
    </row>
    <row r="3014" spans="1:3" x14ac:dyDescent="0.25">
      <c r="A3014" s="879"/>
      <c r="B3014" s="1452" t="s">
        <v>1370</v>
      </c>
      <c r="C3014" s="879"/>
    </row>
    <row r="3015" spans="1:3" x14ac:dyDescent="0.25">
      <c r="A3015" s="879"/>
      <c r="B3015" s="1452" t="s">
        <v>1367</v>
      </c>
      <c r="C3015" s="879"/>
    </row>
    <row r="3016" spans="1:3" x14ac:dyDescent="0.25">
      <c r="A3016" s="879"/>
      <c r="B3016" s="1452" t="s">
        <v>1460</v>
      </c>
      <c r="C3016" s="879"/>
    </row>
    <row r="3017" spans="1:3" x14ac:dyDescent="0.25">
      <c r="A3017" s="879"/>
      <c r="B3017" s="1452" t="s">
        <v>1461</v>
      </c>
      <c r="C3017" s="879"/>
    </row>
    <row r="3018" spans="1:3" x14ac:dyDescent="0.25">
      <c r="A3018" s="879"/>
      <c r="B3018" s="1452" t="s">
        <v>1708</v>
      </c>
      <c r="C3018" s="879"/>
    </row>
    <row r="3019" spans="1:3" x14ac:dyDescent="0.25">
      <c r="A3019" s="879"/>
      <c r="B3019" s="1452" t="s">
        <v>2067</v>
      </c>
      <c r="C3019" s="879"/>
    </row>
    <row r="3020" spans="1:3" x14ac:dyDescent="0.25">
      <c r="A3020" s="879"/>
      <c r="B3020" s="1452" t="s">
        <v>1934</v>
      </c>
      <c r="C3020" s="879"/>
    </row>
    <row r="3021" spans="1:3" x14ac:dyDescent="0.25">
      <c r="A3021" s="879"/>
      <c r="B3021" s="1452" t="s">
        <v>1935</v>
      </c>
      <c r="C3021" s="879"/>
    </row>
    <row r="3022" spans="1:3" x14ac:dyDescent="0.25">
      <c r="A3022" s="879"/>
      <c r="B3022" s="1452" t="s">
        <v>1936</v>
      </c>
      <c r="C3022" s="879"/>
    </row>
    <row r="3023" spans="1:3" x14ac:dyDescent="0.25">
      <c r="A3023" s="879"/>
      <c r="B3023" s="1452" t="s">
        <v>2525</v>
      </c>
      <c r="C3023" s="879"/>
    </row>
    <row r="3024" spans="1:3" x14ac:dyDescent="0.25">
      <c r="A3024" s="879"/>
      <c r="B3024" s="1452" t="s">
        <v>2526</v>
      </c>
      <c r="C3024" s="879"/>
    </row>
    <row r="3025" spans="1:3" x14ac:dyDescent="0.25">
      <c r="A3025" s="879"/>
      <c r="B3025" s="1452" t="s">
        <v>2527</v>
      </c>
      <c r="C3025" s="879"/>
    </row>
    <row r="3026" spans="1:3" x14ac:dyDescent="0.25">
      <c r="A3026" s="879"/>
      <c r="B3026" s="1452" t="s">
        <v>1462</v>
      </c>
      <c r="C3026" s="879"/>
    </row>
    <row r="3027" spans="1:3" x14ac:dyDescent="0.25">
      <c r="A3027" s="879"/>
      <c r="B3027" s="1452" t="s">
        <v>1382</v>
      </c>
      <c r="C3027" s="879"/>
    </row>
    <row r="3028" spans="1:3" x14ac:dyDescent="0.25">
      <c r="A3028" s="879"/>
      <c r="B3028" s="1452" t="s">
        <v>1367</v>
      </c>
      <c r="C3028" s="879"/>
    </row>
    <row r="3029" spans="1:3" x14ac:dyDescent="0.25">
      <c r="A3029" s="879"/>
      <c r="B3029" s="1452" t="s">
        <v>1460</v>
      </c>
      <c r="C3029" s="879"/>
    </row>
    <row r="3030" spans="1:3" x14ac:dyDescent="0.25">
      <c r="A3030" s="879"/>
      <c r="B3030" s="1452" t="s">
        <v>1940</v>
      </c>
      <c r="C3030" s="879"/>
    </row>
    <row r="3031" spans="1:3" x14ac:dyDescent="0.25">
      <c r="A3031" s="879"/>
      <c r="B3031" s="1452" t="s">
        <v>2528</v>
      </c>
      <c r="C3031" s="879"/>
    </row>
    <row r="3032" spans="1:3" x14ac:dyDescent="0.25">
      <c r="A3032" s="879"/>
      <c r="B3032" s="1452" t="s">
        <v>2529</v>
      </c>
      <c r="C3032" s="879"/>
    </row>
    <row r="3033" spans="1:3" x14ac:dyDescent="0.25">
      <c r="A3033" s="879"/>
      <c r="B3033" s="1452" t="s">
        <v>2530</v>
      </c>
      <c r="C3033" s="879"/>
    </row>
    <row r="3034" spans="1:3" x14ac:dyDescent="0.25">
      <c r="A3034" s="879"/>
      <c r="B3034" s="1452" t="s">
        <v>2531</v>
      </c>
      <c r="C3034" s="879"/>
    </row>
    <row r="3035" spans="1:3" x14ac:dyDescent="0.25">
      <c r="A3035" s="879"/>
      <c r="B3035" s="1452" t="s">
        <v>2532</v>
      </c>
      <c r="C3035" s="879"/>
    </row>
    <row r="3036" spans="1:3" x14ac:dyDescent="0.25">
      <c r="A3036" s="879"/>
      <c r="B3036" s="1452" t="s">
        <v>2533</v>
      </c>
      <c r="C3036" s="879"/>
    </row>
    <row r="3037" spans="1:3" x14ac:dyDescent="0.25">
      <c r="A3037" s="879"/>
      <c r="B3037" s="1452" t="s">
        <v>2534</v>
      </c>
      <c r="C3037" s="879"/>
    </row>
    <row r="3038" spans="1:3" x14ac:dyDescent="0.25">
      <c r="A3038" s="879"/>
      <c r="B3038" s="1452" t="s">
        <v>1574</v>
      </c>
      <c r="C3038" s="879"/>
    </row>
    <row r="3039" spans="1:3" x14ac:dyDescent="0.25">
      <c r="A3039" s="879"/>
      <c r="B3039" s="1452" t="s">
        <v>1465</v>
      </c>
      <c r="C3039" s="879"/>
    </row>
    <row r="3040" spans="1:3" x14ac:dyDescent="0.25">
      <c r="A3040" s="879"/>
      <c r="B3040" s="1452" t="s">
        <v>1466</v>
      </c>
      <c r="C3040" s="879"/>
    </row>
    <row r="3041" spans="1:3" x14ac:dyDescent="0.25">
      <c r="A3041" s="879"/>
      <c r="B3041" s="1452" t="s">
        <v>1467</v>
      </c>
      <c r="C3041" s="879"/>
    </row>
    <row r="3042" spans="1:3" x14ac:dyDescent="0.25">
      <c r="A3042" s="879"/>
      <c r="B3042" s="1452" t="s">
        <v>2078</v>
      </c>
      <c r="C3042" s="879"/>
    </row>
    <row r="3043" spans="1:3" x14ac:dyDescent="0.25">
      <c r="A3043" s="879"/>
      <c r="B3043" s="1452" t="s">
        <v>1469</v>
      </c>
      <c r="C3043" s="879"/>
    </row>
    <row r="3044" spans="1:3" x14ac:dyDescent="0.25">
      <c r="A3044" s="879"/>
      <c r="B3044" s="1452" t="s">
        <v>2535</v>
      </c>
      <c r="C3044" s="879"/>
    </row>
    <row r="3045" spans="1:3" x14ac:dyDescent="0.25">
      <c r="A3045" s="879"/>
      <c r="B3045" s="1452" t="s">
        <v>1950</v>
      </c>
      <c r="C3045" s="879"/>
    </row>
    <row r="3046" spans="1:3" x14ac:dyDescent="0.25">
      <c r="A3046" s="879"/>
      <c r="B3046" s="1452" t="s">
        <v>2536</v>
      </c>
      <c r="C3046" s="879"/>
    </row>
    <row r="3047" spans="1:3" x14ac:dyDescent="0.25">
      <c r="A3047" s="879"/>
      <c r="B3047" s="1452" t="s">
        <v>1952</v>
      </c>
      <c r="C3047" s="879"/>
    </row>
    <row r="3048" spans="1:3" x14ac:dyDescent="0.25">
      <c r="A3048" s="879"/>
      <c r="B3048" s="1452" t="s">
        <v>1953</v>
      </c>
      <c r="C3048" s="879"/>
    </row>
    <row r="3049" spans="1:3" x14ac:dyDescent="0.25">
      <c r="A3049" s="879"/>
      <c r="B3049" s="1452" t="s">
        <v>1471</v>
      </c>
      <c r="C3049" s="879"/>
    </row>
    <row r="3050" spans="1:3" x14ac:dyDescent="0.25">
      <c r="A3050" s="879"/>
      <c r="B3050" s="1452" t="s">
        <v>2537</v>
      </c>
      <c r="C3050" s="879"/>
    </row>
    <row r="3051" spans="1:3" x14ac:dyDescent="0.25">
      <c r="A3051" s="879"/>
      <c r="B3051" s="1452" t="s">
        <v>1955</v>
      </c>
      <c r="C3051" s="879"/>
    </row>
    <row r="3052" spans="1:3" x14ac:dyDescent="0.25">
      <c r="A3052" s="879"/>
      <c r="B3052" s="1452" t="s">
        <v>1473</v>
      </c>
      <c r="C3052" s="879"/>
    </row>
    <row r="3053" spans="1:3" x14ac:dyDescent="0.25">
      <c r="A3053" s="879"/>
      <c r="B3053" s="1452" t="s">
        <v>2538</v>
      </c>
      <c r="C3053" s="879"/>
    </row>
    <row r="3054" spans="1:3" x14ac:dyDescent="0.25">
      <c r="A3054" s="879"/>
      <c r="B3054" s="1452" t="s">
        <v>2539</v>
      </c>
      <c r="C3054" s="879"/>
    </row>
    <row r="3055" spans="1:3" x14ac:dyDescent="0.25">
      <c r="A3055" s="879"/>
      <c r="B3055" s="1452" t="s">
        <v>2084</v>
      </c>
      <c r="C3055" s="879"/>
    </row>
    <row r="3056" spans="1:3" x14ac:dyDescent="0.25">
      <c r="A3056" s="879"/>
      <c r="B3056" s="1452" t="s">
        <v>2540</v>
      </c>
      <c r="C3056" s="879"/>
    </row>
    <row r="3057" spans="1:3" x14ac:dyDescent="0.25">
      <c r="A3057" s="879"/>
      <c r="B3057" s="1452" t="s">
        <v>1476</v>
      </c>
      <c r="C3057" s="879"/>
    </row>
    <row r="3058" spans="1:3" x14ac:dyDescent="0.25">
      <c r="A3058" s="879"/>
      <c r="B3058" s="1452" t="s">
        <v>1477</v>
      </c>
      <c r="C3058" s="879"/>
    </row>
    <row r="3059" spans="1:3" x14ac:dyDescent="0.25">
      <c r="A3059" s="879"/>
      <c r="B3059" s="1452" t="s">
        <v>1478</v>
      </c>
      <c r="C3059" s="879"/>
    </row>
    <row r="3060" spans="1:3" x14ac:dyDescent="0.25">
      <c r="A3060" s="879"/>
      <c r="B3060" s="1452" t="s">
        <v>2541</v>
      </c>
      <c r="C3060" s="879"/>
    </row>
    <row r="3061" spans="1:3" x14ac:dyDescent="0.25">
      <c r="A3061" s="879"/>
      <c r="B3061" s="1452" t="s">
        <v>2087</v>
      </c>
      <c r="C3061" s="879"/>
    </row>
    <row r="3062" spans="1:3" x14ac:dyDescent="0.25">
      <c r="A3062" s="879"/>
      <c r="B3062" s="1452" t="s">
        <v>1479</v>
      </c>
      <c r="C3062" s="879"/>
    </row>
    <row r="3063" spans="1:3" x14ac:dyDescent="0.25">
      <c r="A3063" s="879"/>
      <c r="B3063" s="1452" t="s">
        <v>1480</v>
      </c>
      <c r="C3063" s="879"/>
    </row>
    <row r="3064" spans="1:3" x14ac:dyDescent="0.25">
      <c r="A3064" s="879"/>
      <c r="B3064" s="1452" t="s">
        <v>2542</v>
      </c>
      <c r="C3064" s="879"/>
    </row>
    <row r="3065" spans="1:3" x14ac:dyDescent="0.25">
      <c r="A3065" s="879"/>
      <c r="B3065" s="1452" t="s">
        <v>2543</v>
      </c>
      <c r="C3065" s="879"/>
    </row>
    <row r="3066" spans="1:3" x14ac:dyDescent="0.25">
      <c r="A3066" s="879"/>
      <c r="B3066" s="1452" t="s">
        <v>2544</v>
      </c>
      <c r="C3066" s="879"/>
    </row>
    <row r="3067" spans="1:3" x14ac:dyDescent="0.25">
      <c r="A3067" s="879"/>
      <c r="B3067" s="1452" t="s">
        <v>2545</v>
      </c>
      <c r="C3067" s="879"/>
    </row>
    <row r="3068" spans="1:3" x14ac:dyDescent="0.25">
      <c r="A3068" s="879"/>
      <c r="B3068" s="1452" t="s">
        <v>2546</v>
      </c>
      <c r="C3068" s="879"/>
    </row>
    <row r="3069" spans="1:3" x14ac:dyDescent="0.25">
      <c r="A3069" s="879"/>
      <c r="B3069" s="1452" t="s">
        <v>2547</v>
      </c>
      <c r="C3069" s="879"/>
    </row>
    <row r="3070" spans="1:3" x14ac:dyDescent="0.25">
      <c r="A3070" s="879"/>
      <c r="B3070" s="1452" t="s">
        <v>2548</v>
      </c>
      <c r="C3070" s="879"/>
    </row>
    <row r="3071" spans="1:3" x14ac:dyDescent="0.25">
      <c r="A3071" s="879"/>
      <c r="B3071" s="1452" t="s">
        <v>2549</v>
      </c>
      <c r="C3071" s="879"/>
    </row>
    <row r="3072" spans="1:3" x14ac:dyDescent="0.25">
      <c r="A3072" s="879"/>
      <c r="B3072" s="1452" t="s">
        <v>2550</v>
      </c>
      <c r="C3072" s="879"/>
    </row>
    <row r="3073" spans="1:3" x14ac:dyDescent="0.25">
      <c r="A3073" s="879"/>
      <c r="B3073" s="1452" t="s">
        <v>1481</v>
      </c>
      <c r="C3073" s="879"/>
    </row>
    <row r="3074" spans="1:3" x14ac:dyDescent="0.25">
      <c r="A3074" s="879"/>
      <c r="B3074" s="1452" t="s">
        <v>1482</v>
      </c>
      <c r="C3074" s="879"/>
    </row>
    <row r="3075" spans="1:3" x14ac:dyDescent="0.25">
      <c r="A3075" s="879"/>
      <c r="B3075" s="1452" t="s">
        <v>1483</v>
      </c>
      <c r="C3075" s="879"/>
    </row>
    <row r="3076" spans="1:3" x14ac:dyDescent="0.25">
      <c r="A3076" s="879"/>
      <c r="B3076" s="1452" t="s">
        <v>2096</v>
      </c>
      <c r="C3076" s="879"/>
    </row>
    <row r="3077" spans="1:3" x14ac:dyDescent="0.25">
      <c r="A3077" s="879"/>
      <c r="B3077" s="1452" t="s">
        <v>1430</v>
      </c>
      <c r="C3077" s="879"/>
    </row>
    <row r="3078" spans="1:3" x14ac:dyDescent="0.25">
      <c r="A3078" s="879"/>
      <c r="B3078" s="1452" t="s">
        <v>1367</v>
      </c>
      <c r="C3078" s="879"/>
    </row>
    <row r="3079" spans="1:3" x14ac:dyDescent="0.25">
      <c r="A3079" s="879"/>
      <c r="B3079" s="1452" t="s">
        <v>1449</v>
      </c>
      <c r="C3079" s="879"/>
    </row>
    <row r="3080" spans="1:3" x14ac:dyDescent="0.25">
      <c r="A3080" s="879"/>
      <c r="B3080" s="1452" t="s">
        <v>1367</v>
      </c>
      <c r="C3080" s="879"/>
    </row>
    <row r="3081" spans="1:3" x14ac:dyDescent="0.25">
      <c r="A3081" s="879"/>
      <c r="B3081" s="1452" t="s">
        <v>1450</v>
      </c>
      <c r="C3081" s="879"/>
    </row>
    <row r="3082" spans="1:3" x14ac:dyDescent="0.25">
      <c r="A3082" s="879"/>
      <c r="B3082" s="1452" t="s">
        <v>1451</v>
      </c>
      <c r="C3082" s="879"/>
    </row>
    <row r="3083" spans="1:3" x14ac:dyDescent="0.25">
      <c r="A3083" s="879"/>
      <c r="B3083" s="1452" t="s">
        <v>1972</v>
      </c>
      <c r="C3083" s="879"/>
    </row>
    <row r="3084" spans="1:3" x14ac:dyDescent="0.25">
      <c r="A3084" s="879"/>
      <c r="B3084" s="1452" t="s">
        <v>1973</v>
      </c>
      <c r="C3084" s="879"/>
    </row>
    <row r="3085" spans="1:3" x14ac:dyDescent="0.25">
      <c r="A3085" s="879"/>
      <c r="B3085" s="1452" t="s">
        <v>1974</v>
      </c>
      <c r="C3085" s="879"/>
    </row>
    <row r="3086" spans="1:3" x14ac:dyDescent="0.25">
      <c r="A3086" s="879"/>
      <c r="B3086" s="1452" t="s">
        <v>1975</v>
      </c>
      <c r="C3086" s="879"/>
    </row>
    <row r="3087" spans="1:3" x14ac:dyDescent="0.25">
      <c r="A3087" s="879"/>
      <c r="B3087" s="1452" t="s">
        <v>1684</v>
      </c>
      <c r="C3087" s="879"/>
    </row>
    <row r="3088" spans="1:3" x14ac:dyDescent="0.25">
      <c r="A3088" s="879"/>
      <c r="B3088" s="1452" t="s">
        <v>1453</v>
      </c>
      <c r="C3088" s="879"/>
    </row>
    <row r="3089" spans="1:3" x14ac:dyDescent="0.25">
      <c r="A3089" s="879"/>
      <c r="B3089" s="1452" t="s">
        <v>1976</v>
      </c>
      <c r="C3089" s="879"/>
    </row>
    <row r="3090" spans="1:3" x14ac:dyDescent="0.25">
      <c r="A3090" s="879"/>
      <c r="B3090" s="1452" t="s">
        <v>1977</v>
      </c>
      <c r="C3090" s="879"/>
    </row>
    <row r="3091" spans="1:3" x14ac:dyDescent="0.25">
      <c r="A3091" s="879"/>
      <c r="B3091" s="1452" t="s">
        <v>1978</v>
      </c>
      <c r="C3091" s="879"/>
    </row>
    <row r="3092" spans="1:3" x14ac:dyDescent="0.25">
      <c r="A3092" s="879"/>
      <c r="B3092" s="1452" t="s">
        <v>1454</v>
      </c>
      <c r="C3092" s="879"/>
    </row>
    <row r="3093" spans="1:3" x14ac:dyDescent="0.25">
      <c r="A3093" s="879"/>
      <c r="B3093" s="1452" t="s">
        <v>1979</v>
      </c>
      <c r="C3093" s="879"/>
    </row>
    <row r="3094" spans="1:3" x14ac:dyDescent="0.25">
      <c r="A3094" s="879"/>
      <c r="B3094" s="1452" t="s">
        <v>1455</v>
      </c>
      <c r="C3094" s="879"/>
    </row>
    <row r="3095" spans="1:3" x14ac:dyDescent="0.25">
      <c r="A3095" s="879"/>
      <c r="B3095" s="1452" t="s">
        <v>1980</v>
      </c>
      <c r="C3095" s="879"/>
    </row>
    <row r="3096" spans="1:3" x14ac:dyDescent="0.25">
      <c r="A3096" s="879"/>
      <c r="B3096" s="1452" t="s">
        <v>1688</v>
      </c>
      <c r="C3096" s="879"/>
    </row>
    <row r="3097" spans="1:3" x14ac:dyDescent="0.25">
      <c r="A3097" s="879"/>
      <c r="B3097" s="1452" t="s">
        <v>1981</v>
      </c>
      <c r="C3097" s="879"/>
    </row>
    <row r="3098" spans="1:3" x14ac:dyDescent="0.25">
      <c r="A3098" s="879"/>
      <c r="B3098" s="1452" t="s">
        <v>1456</v>
      </c>
      <c r="C3098" s="879"/>
    </row>
    <row r="3099" spans="1:3" x14ac:dyDescent="0.25">
      <c r="A3099" s="879"/>
      <c r="B3099" s="1452" t="s">
        <v>1367</v>
      </c>
      <c r="C3099" s="879"/>
    </row>
    <row r="3100" spans="1:3" x14ac:dyDescent="0.25">
      <c r="A3100" s="879"/>
      <c r="B3100" s="1452" t="s">
        <v>1450</v>
      </c>
      <c r="C3100" s="879"/>
    </row>
    <row r="3101" spans="1:3" x14ac:dyDescent="0.25">
      <c r="A3101" s="879"/>
      <c r="B3101" s="1452" t="s">
        <v>1451</v>
      </c>
      <c r="C3101" s="879"/>
    </row>
    <row r="3102" spans="1:3" x14ac:dyDescent="0.25">
      <c r="A3102" s="879"/>
      <c r="B3102" s="1452" t="s">
        <v>1972</v>
      </c>
      <c r="C3102" s="879"/>
    </row>
    <row r="3103" spans="1:3" x14ac:dyDescent="0.25">
      <c r="A3103" s="879"/>
      <c r="B3103" s="1452" t="s">
        <v>1973</v>
      </c>
      <c r="C3103" s="879"/>
    </row>
    <row r="3104" spans="1:3" x14ac:dyDescent="0.25">
      <c r="A3104" s="879"/>
      <c r="B3104" s="1452" t="s">
        <v>1974</v>
      </c>
      <c r="C3104" s="879"/>
    </row>
    <row r="3105" spans="1:3" x14ac:dyDescent="0.25">
      <c r="A3105" s="879"/>
      <c r="B3105" s="1452" t="s">
        <v>1975</v>
      </c>
      <c r="C3105" s="879"/>
    </row>
    <row r="3106" spans="1:3" x14ac:dyDescent="0.25">
      <c r="A3106" s="879"/>
      <c r="B3106" s="1452" t="s">
        <v>1684</v>
      </c>
      <c r="C3106" s="879"/>
    </row>
    <row r="3107" spans="1:3" x14ac:dyDescent="0.25">
      <c r="A3107" s="879"/>
      <c r="B3107" s="1452" t="s">
        <v>1453</v>
      </c>
      <c r="C3107" s="879"/>
    </row>
    <row r="3108" spans="1:3" x14ac:dyDescent="0.25">
      <c r="A3108" s="879"/>
      <c r="B3108" s="1452" t="s">
        <v>1976</v>
      </c>
      <c r="C3108" s="879"/>
    </row>
    <row r="3109" spans="1:3" x14ac:dyDescent="0.25">
      <c r="A3109" s="879"/>
      <c r="B3109" s="1452" t="s">
        <v>1977</v>
      </c>
      <c r="C3109" s="879"/>
    </row>
    <row r="3110" spans="1:3" x14ac:dyDescent="0.25">
      <c r="A3110" s="879"/>
      <c r="B3110" s="1452" t="s">
        <v>1978</v>
      </c>
      <c r="C3110" s="879"/>
    </row>
    <row r="3111" spans="1:3" x14ac:dyDescent="0.25">
      <c r="A3111" s="879"/>
      <c r="B3111" s="1452" t="s">
        <v>1454</v>
      </c>
      <c r="C3111" s="879"/>
    </row>
    <row r="3112" spans="1:3" x14ac:dyDescent="0.25">
      <c r="A3112" s="879"/>
      <c r="B3112" s="1452" t="s">
        <v>1979</v>
      </c>
      <c r="C3112" s="879"/>
    </row>
    <row r="3113" spans="1:3" x14ac:dyDescent="0.25">
      <c r="A3113" s="879"/>
      <c r="B3113" s="1452" t="s">
        <v>1455</v>
      </c>
      <c r="C3113" s="879"/>
    </row>
    <row r="3114" spans="1:3" x14ac:dyDescent="0.25">
      <c r="A3114" s="879"/>
      <c r="B3114" s="1452" t="s">
        <v>1980</v>
      </c>
      <c r="C3114" s="879"/>
    </row>
    <row r="3115" spans="1:3" x14ac:dyDescent="0.25">
      <c r="A3115" s="879"/>
      <c r="B3115" s="1452" t="s">
        <v>1688</v>
      </c>
      <c r="C3115" s="879"/>
    </row>
    <row r="3116" spans="1:3" x14ac:dyDescent="0.25">
      <c r="A3116" s="879"/>
      <c r="B3116" s="1452" t="s">
        <v>1981</v>
      </c>
      <c r="C3116" s="879"/>
    </row>
    <row r="3117" spans="1:3" x14ac:dyDescent="0.25">
      <c r="A3117" s="879"/>
      <c r="B3117" s="1452" t="s">
        <v>1690</v>
      </c>
      <c r="C3117" s="879"/>
    </row>
    <row r="3118" spans="1:3" x14ac:dyDescent="0.25">
      <c r="A3118" s="879"/>
      <c r="B3118" s="1452" t="s">
        <v>1367</v>
      </c>
      <c r="C3118" s="879"/>
    </row>
    <row r="3119" spans="1:3" x14ac:dyDescent="0.25">
      <c r="A3119" s="879"/>
      <c r="B3119" s="1452" t="s">
        <v>1691</v>
      </c>
      <c r="C3119" s="879"/>
    </row>
    <row r="3120" spans="1:3" x14ac:dyDescent="0.25">
      <c r="A3120" s="879"/>
      <c r="B3120" s="1452" t="s">
        <v>1692</v>
      </c>
      <c r="C3120" s="879"/>
    </row>
    <row r="3121" spans="1:3" x14ac:dyDescent="0.25">
      <c r="A3121" s="879"/>
      <c r="B3121" s="1452" t="s">
        <v>1693</v>
      </c>
      <c r="C3121" s="879"/>
    </row>
    <row r="3122" spans="1:3" x14ac:dyDescent="0.25">
      <c r="A3122" s="879"/>
      <c r="B3122" s="1452" t="s">
        <v>1694</v>
      </c>
      <c r="C3122" s="879"/>
    </row>
    <row r="3123" spans="1:3" x14ac:dyDescent="0.25">
      <c r="A3123" s="879"/>
      <c r="B3123" s="1452" t="s">
        <v>1695</v>
      </c>
      <c r="C3123" s="879"/>
    </row>
    <row r="3124" spans="1:3" x14ac:dyDescent="0.25">
      <c r="A3124" s="879"/>
      <c r="B3124" s="1452" t="s">
        <v>1696</v>
      </c>
      <c r="C3124" s="879"/>
    </row>
    <row r="3125" spans="1:3" x14ac:dyDescent="0.25">
      <c r="A3125" s="879"/>
      <c r="B3125" s="1452" t="s">
        <v>1697</v>
      </c>
      <c r="C3125" s="879"/>
    </row>
    <row r="3126" spans="1:3" x14ac:dyDescent="0.25">
      <c r="A3126" s="879"/>
      <c r="B3126" s="1452" t="s">
        <v>1698</v>
      </c>
      <c r="C3126" s="879"/>
    </row>
    <row r="3127" spans="1:3" x14ac:dyDescent="0.25">
      <c r="A3127" s="879"/>
      <c r="B3127" s="1452" t="s">
        <v>1699</v>
      </c>
      <c r="C3127" s="879"/>
    </row>
    <row r="3128" spans="1:3" x14ac:dyDescent="0.25">
      <c r="A3128" s="879"/>
      <c r="B3128" s="1452" t="s">
        <v>1700</v>
      </c>
      <c r="C3128" s="879"/>
    </row>
    <row r="3129" spans="1:3" x14ac:dyDescent="0.25">
      <c r="A3129" s="879"/>
      <c r="B3129" s="1452" t="s">
        <v>1701</v>
      </c>
      <c r="C3129" s="879"/>
    </row>
    <row r="3130" spans="1:3" x14ac:dyDescent="0.25">
      <c r="A3130" s="879"/>
      <c r="B3130" s="1452" t="s">
        <v>1702</v>
      </c>
      <c r="C3130" s="879"/>
    </row>
    <row r="3131" spans="1:3" x14ac:dyDescent="0.25">
      <c r="A3131" s="879"/>
      <c r="B3131" s="1452" t="s">
        <v>1703</v>
      </c>
      <c r="C3131" s="879"/>
    </row>
    <row r="3132" spans="1:3" x14ac:dyDescent="0.25">
      <c r="A3132" s="879"/>
      <c r="B3132" s="1452" t="s">
        <v>1704</v>
      </c>
      <c r="C3132" s="879"/>
    </row>
    <row r="3133" spans="1:3" x14ac:dyDescent="0.25">
      <c r="A3133" s="879"/>
      <c r="B3133" s="1452" t="s">
        <v>1705</v>
      </c>
      <c r="C3133" s="879"/>
    </row>
    <row r="3134" spans="1:3" x14ac:dyDescent="0.25">
      <c r="A3134" s="879"/>
      <c r="B3134" s="1452"/>
      <c r="C3134" s="879"/>
    </row>
    <row r="3135" spans="1:3" x14ac:dyDescent="0.25">
      <c r="A3135" s="879"/>
      <c r="B3135" s="1452"/>
      <c r="C3135" s="879"/>
    </row>
    <row r="3136" spans="1:3" x14ac:dyDescent="0.25">
      <c r="A3136" s="879"/>
      <c r="B3136" s="1452" t="s">
        <v>1368</v>
      </c>
      <c r="C3136" s="879"/>
    </row>
    <row r="3137" spans="1:3" x14ac:dyDescent="0.25">
      <c r="A3137" s="879"/>
      <c r="B3137" s="1452" t="s">
        <v>2551</v>
      </c>
      <c r="C3137" s="879"/>
    </row>
    <row r="3138" spans="1:3" x14ac:dyDescent="0.25">
      <c r="A3138" s="879"/>
      <c r="B3138" s="1452" t="s">
        <v>1368</v>
      </c>
      <c r="C3138" s="879"/>
    </row>
    <row r="3139" spans="1:3" x14ac:dyDescent="0.25">
      <c r="A3139" s="879"/>
      <c r="B3139" s="1452" t="s">
        <v>2552</v>
      </c>
      <c r="C3139" s="879"/>
    </row>
    <row r="3140" spans="1:3" x14ac:dyDescent="0.25">
      <c r="A3140" s="879"/>
      <c r="B3140" s="1452" t="s">
        <v>1367</v>
      </c>
      <c r="C3140" s="879"/>
    </row>
    <row r="3141" spans="1:3" x14ac:dyDescent="0.25">
      <c r="A3141" s="879"/>
      <c r="B3141" s="1452" t="s">
        <v>1369</v>
      </c>
      <c r="C3141" s="879"/>
    </row>
    <row r="3142" spans="1:3" x14ac:dyDescent="0.25">
      <c r="A3142" s="879"/>
      <c r="B3142" s="1452" t="s">
        <v>1370</v>
      </c>
      <c r="C3142" s="879"/>
    </row>
    <row r="3143" spans="1:3" x14ac:dyDescent="0.25">
      <c r="A3143" s="879"/>
      <c r="B3143" s="1452" t="s">
        <v>1367</v>
      </c>
      <c r="C3143" s="879"/>
    </row>
    <row r="3144" spans="1:3" x14ac:dyDescent="0.25">
      <c r="A3144" s="879"/>
      <c r="B3144" s="1452" t="s">
        <v>1460</v>
      </c>
      <c r="C3144" s="879"/>
    </row>
    <row r="3145" spans="1:3" x14ac:dyDescent="0.25">
      <c r="A3145" s="879"/>
      <c r="B3145" s="1452" t="s">
        <v>1461</v>
      </c>
      <c r="C3145" s="879"/>
    </row>
    <row r="3146" spans="1:3" x14ac:dyDescent="0.25">
      <c r="A3146" s="879"/>
      <c r="B3146" s="1452" t="s">
        <v>2553</v>
      </c>
      <c r="C3146" s="879"/>
    </row>
    <row r="3147" spans="1:3" x14ac:dyDescent="0.25">
      <c r="A3147" s="879"/>
      <c r="B3147" s="1452" t="s">
        <v>1650</v>
      </c>
      <c r="C3147" s="879"/>
    </row>
    <row r="3148" spans="1:3" x14ac:dyDescent="0.25">
      <c r="A3148" s="879"/>
      <c r="B3148" s="1452" t="s">
        <v>2165</v>
      </c>
      <c r="C3148" s="879"/>
    </row>
    <row r="3149" spans="1:3" x14ac:dyDescent="0.25">
      <c r="A3149" s="879"/>
      <c r="B3149" s="1452" t="s">
        <v>2166</v>
      </c>
      <c r="C3149" s="879"/>
    </row>
    <row r="3150" spans="1:3" x14ac:dyDescent="0.25">
      <c r="A3150" s="879"/>
      <c r="B3150" s="1452" t="s">
        <v>2167</v>
      </c>
      <c r="C3150" s="879"/>
    </row>
    <row r="3151" spans="1:3" x14ac:dyDescent="0.25">
      <c r="A3151" s="879"/>
      <c r="B3151" s="1452" t="s">
        <v>2554</v>
      </c>
      <c r="C3151" s="879"/>
    </row>
    <row r="3152" spans="1:3" x14ac:dyDescent="0.25">
      <c r="A3152" s="879"/>
      <c r="B3152" s="1452" t="s">
        <v>2555</v>
      </c>
      <c r="C3152" s="879"/>
    </row>
    <row r="3153" spans="1:3" x14ac:dyDescent="0.25">
      <c r="A3153" s="879"/>
      <c r="B3153" s="1452" t="s">
        <v>2556</v>
      </c>
      <c r="C3153" s="879"/>
    </row>
    <row r="3154" spans="1:3" x14ac:dyDescent="0.25">
      <c r="A3154" s="879"/>
      <c r="B3154" s="1452" t="s">
        <v>1462</v>
      </c>
      <c r="C3154" s="879"/>
    </row>
    <row r="3155" spans="1:3" x14ac:dyDescent="0.25">
      <c r="A3155" s="879"/>
      <c r="B3155" s="1452" t="s">
        <v>1382</v>
      </c>
      <c r="C3155" s="879"/>
    </row>
    <row r="3156" spans="1:3" x14ac:dyDescent="0.25">
      <c r="A3156" s="879"/>
      <c r="B3156" s="1452" t="s">
        <v>1367</v>
      </c>
      <c r="C3156" s="879"/>
    </row>
    <row r="3157" spans="1:3" x14ac:dyDescent="0.25">
      <c r="A3157" s="879"/>
      <c r="B3157" s="1452" t="s">
        <v>1460</v>
      </c>
      <c r="C3157" s="879"/>
    </row>
    <row r="3158" spans="1:3" x14ac:dyDescent="0.25">
      <c r="A3158" s="879"/>
      <c r="B3158" s="1452" t="s">
        <v>1463</v>
      </c>
      <c r="C3158" s="879"/>
    </row>
    <row r="3159" spans="1:3" x14ac:dyDescent="0.25">
      <c r="A3159" s="879"/>
      <c r="B3159" s="1452" t="s">
        <v>2557</v>
      </c>
      <c r="C3159" s="879"/>
    </row>
    <row r="3160" spans="1:3" x14ac:dyDescent="0.25">
      <c r="A3160" s="879"/>
      <c r="B3160" s="1452" t="s">
        <v>2558</v>
      </c>
      <c r="C3160" s="879"/>
    </row>
    <row r="3161" spans="1:3" x14ac:dyDescent="0.25">
      <c r="A3161" s="879"/>
      <c r="B3161" s="1452" t="s">
        <v>2559</v>
      </c>
      <c r="C3161" s="879"/>
    </row>
    <row r="3162" spans="1:3" x14ac:dyDescent="0.25">
      <c r="A3162" s="879"/>
      <c r="B3162" s="1452" t="s">
        <v>2560</v>
      </c>
      <c r="C3162" s="879"/>
    </row>
    <row r="3163" spans="1:3" x14ac:dyDescent="0.25">
      <c r="A3163" s="879"/>
      <c r="B3163" s="1452" t="s">
        <v>2561</v>
      </c>
      <c r="C3163" s="879"/>
    </row>
    <row r="3164" spans="1:3" x14ac:dyDescent="0.25">
      <c r="A3164" s="879"/>
      <c r="B3164" s="1452" t="s">
        <v>2562</v>
      </c>
      <c r="C3164" s="879"/>
    </row>
    <row r="3165" spans="1:3" x14ac:dyDescent="0.25">
      <c r="A3165" s="879"/>
      <c r="B3165" s="1452" t="s">
        <v>2563</v>
      </c>
      <c r="C3165" s="879"/>
    </row>
    <row r="3166" spans="1:3" x14ac:dyDescent="0.25">
      <c r="A3166" s="879"/>
      <c r="B3166" s="1452" t="s">
        <v>1464</v>
      </c>
      <c r="C3166" s="879"/>
    </row>
    <row r="3167" spans="1:3" x14ac:dyDescent="0.25">
      <c r="A3167" s="879"/>
      <c r="B3167" s="1452" t="s">
        <v>1465</v>
      </c>
      <c r="C3167" s="879"/>
    </row>
    <row r="3168" spans="1:3" x14ac:dyDescent="0.25">
      <c r="A3168" s="879"/>
      <c r="B3168" s="1452" t="s">
        <v>1466</v>
      </c>
      <c r="C3168" s="879"/>
    </row>
    <row r="3169" spans="1:3" x14ac:dyDescent="0.25">
      <c r="A3169" s="879"/>
      <c r="B3169" s="1452" t="s">
        <v>1467</v>
      </c>
      <c r="C3169" s="879"/>
    </row>
    <row r="3170" spans="1:3" x14ac:dyDescent="0.25">
      <c r="A3170" s="879"/>
      <c r="B3170" s="1452" t="s">
        <v>1468</v>
      </c>
      <c r="C3170" s="879"/>
    </row>
    <row r="3171" spans="1:3" x14ac:dyDescent="0.25">
      <c r="A3171" s="879"/>
      <c r="B3171" s="1452" t="s">
        <v>1469</v>
      </c>
      <c r="C3171" s="879"/>
    </row>
    <row r="3172" spans="1:3" x14ac:dyDescent="0.25">
      <c r="A3172" s="879"/>
      <c r="B3172" s="1452" t="s">
        <v>2564</v>
      </c>
      <c r="C3172" s="879"/>
    </row>
    <row r="3173" spans="1:3" x14ac:dyDescent="0.25">
      <c r="A3173" s="879"/>
      <c r="B3173" s="1452" t="s">
        <v>1470</v>
      </c>
      <c r="C3173" s="879"/>
    </row>
    <row r="3174" spans="1:3" x14ac:dyDescent="0.25">
      <c r="A3174" s="879"/>
      <c r="B3174" s="1452" t="s">
        <v>2565</v>
      </c>
      <c r="C3174" s="879"/>
    </row>
    <row r="3175" spans="1:3" x14ac:dyDescent="0.25">
      <c r="A3175" s="879"/>
      <c r="B3175" s="1452" t="s">
        <v>2179</v>
      </c>
      <c r="C3175" s="879"/>
    </row>
    <row r="3176" spans="1:3" x14ac:dyDescent="0.25">
      <c r="A3176" s="879"/>
      <c r="B3176" s="1452" t="s">
        <v>1667</v>
      </c>
      <c r="C3176" s="879"/>
    </row>
    <row r="3177" spans="1:3" x14ac:dyDescent="0.25">
      <c r="A3177" s="879"/>
      <c r="B3177" s="1452" t="s">
        <v>1471</v>
      </c>
      <c r="C3177" s="879"/>
    </row>
    <row r="3178" spans="1:3" x14ac:dyDescent="0.25">
      <c r="A3178" s="879"/>
      <c r="B3178" s="1452" t="s">
        <v>1508</v>
      </c>
      <c r="C3178" s="879"/>
    </row>
    <row r="3179" spans="1:3" x14ac:dyDescent="0.25">
      <c r="A3179" s="879"/>
      <c r="B3179" s="1452" t="s">
        <v>1668</v>
      </c>
      <c r="C3179" s="879"/>
    </row>
    <row r="3180" spans="1:3" x14ac:dyDescent="0.25">
      <c r="A3180" s="879"/>
      <c r="B3180" s="1452" t="s">
        <v>1473</v>
      </c>
      <c r="C3180" s="879"/>
    </row>
    <row r="3181" spans="1:3" x14ac:dyDescent="0.25">
      <c r="A3181" s="879"/>
      <c r="B3181" s="1452" t="s">
        <v>2566</v>
      </c>
      <c r="C3181" s="879"/>
    </row>
    <row r="3182" spans="1:3" x14ac:dyDescent="0.25">
      <c r="A3182" s="879"/>
      <c r="B3182" s="1452" t="s">
        <v>2567</v>
      </c>
      <c r="C3182" s="879"/>
    </row>
    <row r="3183" spans="1:3" x14ac:dyDescent="0.25">
      <c r="A3183" s="879"/>
      <c r="B3183" s="1452" t="s">
        <v>1669</v>
      </c>
      <c r="C3183" s="879"/>
    </row>
    <row r="3184" spans="1:3" x14ac:dyDescent="0.25">
      <c r="A3184" s="879"/>
      <c r="B3184" s="1452" t="s">
        <v>2568</v>
      </c>
      <c r="C3184" s="879"/>
    </row>
    <row r="3185" spans="1:3" x14ac:dyDescent="0.25">
      <c r="A3185" s="879"/>
      <c r="B3185" s="1452" t="s">
        <v>1476</v>
      </c>
      <c r="C3185" s="879"/>
    </row>
    <row r="3186" spans="1:3" x14ac:dyDescent="0.25">
      <c r="A3186" s="879"/>
      <c r="B3186" s="1452" t="s">
        <v>1477</v>
      </c>
      <c r="C3186" s="879"/>
    </row>
    <row r="3187" spans="1:3" x14ac:dyDescent="0.25">
      <c r="A3187" s="879"/>
      <c r="B3187" s="1452" t="s">
        <v>1478</v>
      </c>
      <c r="C3187" s="879"/>
    </row>
    <row r="3188" spans="1:3" x14ac:dyDescent="0.25">
      <c r="A3188" s="879"/>
      <c r="B3188" s="1452" t="s">
        <v>2569</v>
      </c>
      <c r="C3188" s="879"/>
    </row>
    <row r="3189" spans="1:3" x14ac:dyDescent="0.25">
      <c r="A3189" s="879"/>
      <c r="B3189" s="1452" t="s">
        <v>1672</v>
      </c>
      <c r="C3189" s="879"/>
    </row>
    <row r="3190" spans="1:3" x14ac:dyDescent="0.25">
      <c r="A3190" s="879"/>
      <c r="B3190" s="1452" t="s">
        <v>1479</v>
      </c>
      <c r="C3190" s="879"/>
    </row>
    <row r="3191" spans="1:3" x14ac:dyDescent="0.25">
      <c r="A3191" s="879"/>
      <c r="B3191" s="1452" t="s">
        <v>1480</v>
      </c>
      <c r="C3191" s="879"/>
    </row>
    <row r="3192" spans="1:3" x14ac:dyDescent="0.25">
      <c r="A3192" s="879"/>
      <c r="B3192" s="1452" t="s">
        <v>2570</v>
      </c>
      <c r="C3192" s="879"/>
    </row>
    <row r="3193" spans="1:3" x14ac:dyDescent="0.25">
      <c r="A3193" s="879"/>
      <c r="B3193" s="1452" t="s">
        <v>2571</v>
      </c>
      <c r="C3193" s="879"/>
    </row>
    <row r="3194" spans="1:3" x14ac:dyDescent="0.25">
      <c r="A3194" s="879"/>
      <c r="B3194" s="1452" t="s">
        <v>2572</v>
      </c>
      <c r="C3194" s="879"/>
    </row>
    <row r="3195" spans="1:3" x14ac:dyDescent="0.25">
      <c r="A3195" s="879"/>
      <c r="B3195" s="1452" t="s">
        <v>2573</v>
      </c>
      <c r="C3195" s="879"/>
    </row>
    <row r="3196" spans="1:3" x14ac:dyDescent="0.25">
      <c r="A3196" s="879"/>
      <c r="B3196" s="1452" t="s">
        <v>2574</v>
      </c>
      <c r="C3196" s="879"/>
    </row>
    <row r="3197" spans="1:3" x14ac:dyDescent="0.25">
      <c r="A3197" s="879"/>
      <c r="B3197" s="1452" t="s">
        <v>2575</v>
      </c>
      <c r="C3197" s="879"/>
    </row>
    <row r="3198" spans="1:3" x14ac:dyDescent="0.25">
      <c r="A3198" s="879"/>
      <c r="B3198" s="1452" t="s">
        <v>2576</v>
      </c>
      <c r="C3198" s="879"/>
    </row>
    <row r="3199" spans="1:3" x14ac:dyDescent="0.25">
      <c r="A3199" s="879"/>
      <c r="B3199" s="1452" t="s">
        <v>2577</v>
      </c>
      <c r="C3199" s="879"/>
    </row>
    <row r="3200" spans="1:3" x14ac:dyDescent="0.25">
      <c r="A3200" s="879"/>
      <c r="B3200" s="1452" t="s">
        <v>2578</v>
      </c>
      <c r="C3200" s="879"/>
    </row>
    <row r="3201" spans="1:3" x14ac:dyDescent="0.25">
      <c r="A3201" s="879"/>
      <c r="B3201" s="1452" t="s">
        <v>1481</v>
      </c>
      <c r="C3201" s="879"/>
    </row>
    <row r="3202" spans="1:3" x14ac:dyDescent="0.25">
      <c r="A3202" s="879"/>
      <c r="B3202" s="1452" t="s">
        <v>1482</v>
      </c>
      <c r="C3202" s="879"/>
    </row>
    <row r="3203" spans="1:3" x14ac:dyDescent="0.25">
      <c r="A3203" s="879"/>
      <c r="B3203" s="1452" t="s">
        <v>1483</v>
      </c>
      <c r="C3203" s="879"/>
    </row>
    <row r="3204" spans="1:3" x14ac:dyDescent="0.25">
      <c r="A3204" s="879"/>
      <c r="B3204" s="1452" t="s">
        <v>1484</v>
      </c>
      <c r="C3204" s="879"/>
    </row>
    <row r="3205" spans="1:3" x14ac:dyDescent="0.25">
      <c r="A3205" s="879"/>
      <c r="B3205" s="1452" t="s">
        <v>1430</v>
      </c>
      <c r="C3205" s="879"/>
    </row>
    <row r="3206" spans="1:3" x14ac:dyDescent="0.25">
      <c r="A3206" s="879"/>
      <c r="B3206" s="1452" t="s">
        <v>1367</v>
      </c>
      <c r="C3206" s="879"/>
    </row>
    <row r="3207" spans="1:3" x14ac:dyDescent="0.25">
      <c r="A3207" s="879"/>
      <c r="B3207" s="1452" t="s">
        <v>1449</v>
      </c>
      <c r="C3207" s="879"/>
    </row>
    <row r="3208" spans="1:3" x14ac:dyDescent="0.25">
      <c r="A3208" s="879"/>
      <c r="B3208" s="1452" t="s">
        <v>1367</v>
      </c>
      <c r="C3208" s="879"/>
    </row>
    <row r="3209" spans="1:3" x14ac:dyDescent="0.25">
      <c r="A3209" s="879"/>
      <c r="B3209" s="1452" t="s">
        <v>1450</v>
      </c>
      <c r="C3209" s="879"/>
    </row>
    <row r="3210" spans="1:3" x14ac:dyDescent="0.25">
      <c r="A3210" s="879"/>
      <c r="B3210" s="1452" t="s">
        <v>1451</v>
      </c>
      <c r="C3210" s="879"/>
    </row>
    <row r="3211" spans="1:3" x14ac:dyDescent="0.25">
      <c r="A3211" s="879"/>
      <c r="B3211" s="1452" t="s">
        <v>1452</v>
      </c>
      <c r="C3211" s="879"/>
    </row>
    <row r="3212" spans="1:3" x14ac:dyDescent="0.25">
      <c r="A3212" s="879"/>
      <c r="B3212" s="1452" t="s">
        <v>1681</v>
      </c>
      <c r="C3212" s="879"/>
    </row>
    <row r="3213" spans="1:3" x14ac:dyDescent="0.25">
      <c r="A3213" s="879"/>
      <c r="B3213" s="1452" t="s">
        <v>1682</v>
      </c>
      <c r="C3213" s="879"/>
    </row>
    <row r="3214" spans="1:3" x14ac:dyDescent="0.25">
      <c r="A3214" s="879"/>
      <c r="B3214" s="1452" t="s">
        <v>2193</v>
      </c>
      <c r="C3214" s="879"/>
    </row>
    <row r="3215" spans="1:3" x14ac:dyDescent="0.25">
      <c r="A3215" s="879"/>
      <c r="B3215" s="1452" t="s">
        <v>1684</v>
      </c>
      <c r="C3215" s="879"/>
    </row>
    <row r="3216" spans="1:3" x14ac:dyDescent="0.25">
      <c r="A3216" s="879"/>
      <c r="B3216" s="1452" t="s">
        <v>1453</v>
      </c>
      <c r="C3216" s="879"/>
    </row>
    <row r="3217" spans="1:3" x14ac:dyDescent="0.25">
      <c r="A3217" s="879"/>
      <c r="B3217" s="1452" t="s">
        <v>1485</v>
      </c>
      <c r="C3217" s="879"/>
    </row>
    <row r="3218" spans="1:3" x14ac:dyDescent="0.25">
      <c r="A3218" s="879"/>
      <c r="B3218" s="1452" t="s">
        <v>1685</v>
      </c>
      <c r="C3218" s="879"/>
    </row>
    <row r="3219" spans="1:3" x14ac:dyDescent="0.25">
      <c r="A3219" s="879"/>
      <c r="B3219" s="1452" t="s">
        <v>1686</v>
      </c>
      <c r="C3219" s="879"/>
    </row>
    <row r="3220" spans="1:3" x14ac:dyDescent="0.25">
      <c r="A3220" s="879"/>
      <c r="B3220" s="1452" t="s">
        <v>1454</v>
      </c>
      <c r="C3220" s="879"/>
    </row>
    <row r="3221" spans="1:3" x14ac:dyDescent="0.25">
      <c r="A3221" s="879"/>
      <c r="B3221" s="1452" t="s">
        <v>1486</v>
      </c>
      <c r="C3221" s="879"/>
    </row>
    <row r="3222" spans="1:3" x14ac:dyDescent="0.25">
      <c r="A3222" s="879"/>
      <c r="B3222" s="1452" t="s">
        <v>1455</v>
      </c>
      <c r="C3222" s="879"/>
    </row>
    <row r="3223" spans="1:3" x14ac:dyDescent="0.25">
      <c r="A3223" s="879"/>
      <c r="B3223" s="1452" t="s">
        <v>2194</v>
      </c>
      <c r="C3223" s="879"/>
    </row>
    <row r="3224" spans="1:3" x14ac:dyDescent="0.25">
      <c r="A3224" s="879"/>
      <c r="B3224" s="1452" t="s">
        <v>1688</v>
      </c>
      <c r="C3224" s="879"/>
    </row>
    <row r="3225" spans="1:3" x14ac:dyDescent="0.25">
      <c r="A3225" s="879"/>
      <c r="B3225" s="1452" t="s">
        <v>2195</v>
      </c>
      <c r="C3225" s="879"/>
    </row>
    <row r="3226" spans="1:3" x14ac:dyDescent="0.25">
      <c r="A3226" s="879"/>
      <c r="B3226" s="1452" t="s">
        <v>1456</v>
      </c>
      <c r="C3226" s="879"/>
    </row>
    <row r="3227" spans="1:3" x14ac:dyDescent="0.25">
      <c r="A3227" s="879"/>
      <c r="B3227" s="1452" t="s">
        <v>1367</v>
      </c>
      <c r="C3227" s="879"/>
    </row>
    <row r="3228" spans="1:3" x14ac:dyDescent="0.25">
      <c r="A3228" s="879"/>
      <c r="B3228" s="1452" t="s">
        <v>1450</v>
      </c>
      <c r="C3228" s="879"/>
    </row>
    <row r="3229" spans="1:3" x14ac:dyDescent="0.25">
      <c r="A3229" s="879"/>
      <c r="B3229" s="1452" t="s">
        <v>1451</v>
      </c>
      <c r="C3229" s="879"/>
    </row>
    <row r="3230" spans="1:3" x14ac:dyDescent="0.25">
      <c r="A3230" s="879"/>
      <c r="B3230" s="1452" t="s">
        <v>1452</v>
      </c>
      <c r="C3230" s="879"/>
    </row>
    <row r="3231" spans="1:3" x14ac:dyDescent="0.25">
      <c r="A3231" s="879"/>
      <c r="B3231" s="1452" t="s">
        <v>1681</v>
      </c>
      <c r="C3231" s="879"/>
    </row>
    <row r="3232" spans="1:3" x14ac:dyDescent="0.25">
      <c r="A3232" s="879"/>
      <c r="B3232" s="1452" t="s">
        <v>1682</v>
      </c>
      <c r="C3232" s="879"/>
    </row>
    <row r="3233" spans="1:3" x14ac:dyDescent="0.25">
      <c r="A3233" s="879"/>
      <c r="B3233" s="1452" t="s">
        <v>2193</v>
      </c>
      <c r="C3233" s="879"/>
    </row>
    <row r="3234" spans="1:3" x14ac:dyDescent="0.25">
      <c r="A3234" s="879"/>
      <c r="B3234" s="1452" t="s">
        <v>1684</v>
      </c>
      <c r="C3234" s="879"/>
    </row>
    <row r="3235" spans="1:3" x14ac:dyDescent="0.25">
      <c r="A3235" s="879"/>
      <c r="B3235" s="1452" t="s">
        <v>1453</v>
      </c>
      <c r="C3235" s="879"/>
    </row>
    <row r="3236" spans="1:3" x14ac:dyDescent="0.25">
      <c r="A3236" s="879"/>
      <c r="B3236" s="1452" t="s">
        <v>1485</v>
      </c>
      <c r="C3236" s="879"/>
    </row>
    <row r="3237" spans="1:3" x14ac:dyDescent="0.25">
      <c r="A3237" s="879"/>
      <c r="B3237" s="1452" t="s">
        <v>1685</v>
      </c>
      <c r="C3237" s="879"/>
    </row>
    <row r="3238" spans="1:3" x14ac:dyDescent="0.25">
      <c r="A3238" s="879"/>
      <c r="B3238" s="1452" t="s">
        <v>1686</v>
      </c>
      <c r="C3238" s="879"/>
    </row>
    <row r="3239" spans="1:3" x14ac:dyDescent="0.25">
      <c r="A3239" s="879"/>
      <c r="B3239" s="1452" t="s">
        <v>1454</v>
      </c>
      <c r="C3239" s="879"/>
    </row>
    <row r="3240" spans="1:3" x14ac:dyDescent="0.25">
      <c r="A3240" s="879"/>
      <c r="B3240" s="1452" t="s">
        <v>1486</v>
      </c>
      <c r="C3240" s="879"/>
    </row>
    <row r="3241" spans="1:3" x14ac:dyDescent="0.25">
      <c r="A3241" s="879"/>
      <c r="B3241" s="1452" t="s">
        <v>1455</v>
      </c>
      <c r="C3241" s="879"/>
    </row>
    <row r="3242" spans="1:3" x14ac:dyDescent="0.25">
      <c r="A3242" s="879"/>
      <c r="B3242" s="1452" t="s">
        <v>2194</v>
      </c>
      <c r="C3242" s="879"/>
    </row>
    <row r="3243" spans="1:3" x14ac:dyDescent="0.25">
      <c r="A3243" s="879"/>
      <c r="B3243" s="1452" t="s">
        <v>1688</v>
      </c>
      <c r="C3243" s="879"/>
    </row>
    <row r="3244" spans="1:3" x14ac:dyDescent="0.25">
      <c r="A3244" s="879"/>
      <c r="B3244" s="1452" t="s">
        <v>2195</v>
      </c>
      <c r="C3244" s="879"/>
    </row>
    <row r="3245" spans="1:3" x14ac:dyDescent="0.25">
      <c r="A3245" s="879"/>
      <c r="B3245" s="1452" t="s">
        <v>1690</v>
      </c>
      <c r="C3245" s="879"/>
    </row>
    <row r="3246" spans="1:3" x14ac:dyDescent="0.25">
      <c r="A3246" s="879"/>
      <c r="B3246" s="1452" t="s">
        <v>1367</v>
      </c>
      <c r="C3246" s="879"/>
    </row>
    <row r="3247" spans="1:3" x14ac:dyDescent="0.25">
      <c r="A3247" s="879"/>
      <c r="B3247" s="1452" t="s">
        <v>1691</v>
      </c>
      <c r="C3247" s="879"/>
    </row>
    <row r="3248" spans="1:3" x14ac:dyDescent="0.25">
      <c r="A3248" s="879"/>
      <c r="B3248" s="1452" t="s">
        <v>1692</v>
      </c>
      <c r="C3248" s="879"/>
    </row>
    <row r="3249" spans="1:3" x14ac:dyDescent="0.25">
      <c r="A3249" s="879"/>
      <c r="B3249" s="1452" t="s">
        <v>1693</v>
      </c>
      <c r="C3249" s="879"/>
    </row>
    <row r="3250" spans="1:3" x14ac:dyDescent="0.25">
      <c r="A3250" s="879"/>
      <c r="B3250" s="1452" t="s">
        <v>1694</v>
      </c>
      <c r="C3250" s="879"/>
    </row>
    <row r="3251" spans="1:3" x14ac:dyDescent="0.25">
      <c r="A3251" s="879"/>
      <c r="B3251" s="1452" t="s">
        <v>1695</v>
      </c>
      <c r="C3251" s="879"/>
    </row>
    <row r="3252" spans="1:3" x14ac:dyDescent="0.25">
      <c r="A3252" s="879"/>
      <c r="B3252" s="1452" t="s">
        <v>1696</v>
      </c>
      <c r="C3252" s="879"/>
    </row>
    <row r="3253" spans="1:3" x14ac:dyDescent="0.25">
      <c r="A3253" s="879"/>
      <c r="B3253" s="1452" t="s">
        <v>1697</v>
      </c>
      <c r="C3253" s="879"/>
    </row>
    <row r="3254" spans="1:3" x14ac:dyDescent="0.25">
      <c r="A3254" s="879"/>
      <c r="B3254" s="1452" t="s">
        <v>1698</v>
      </c>
      <c r="C3254" s="879"/>
    </row>
    <row r="3255" spans="1:3" x14ac:dyDescent="0.25">
      <c r="A3255" s="879"/>
      <c r="B3255" s="1452" t="s">
        <v>1699</v>
      </c>
      <c r="C3255" s="879"/>
    </row>
    <row r="3256" spans="1:3" x14ac:dyDescent="0.25">
      <c r="A3256" s="879"/>
      <c r="B3256" s="1452" t="s">
        <v>1700</v>
      </c>
      <c r="C3256" s="879"/>
    </row>
    <row r="3257" spans="1:3" x14ac:dyDescent="0.25">
      <c r="A3257" s="879"/>
      <c r="B3257" s="1452" t="s">
        <v>1701</v>
      </c>
      <c r="C3257" s="879"/>
    </row>
    <row r="3258" spans="1:3" x14ac:dyDescent="0.25">
      <c r="A3258" s="879"/>
      <c r="B3258" s="1452" t="s">
        <v>1702</v>
      </c>
      <c r="C3258" s="879"/>
    </row>
    <row r="3259" spans="1:3" x14ac:dyDescent="0.25">
      <c r="A3259" s="879"/>
      <c r="B3259" s="1452" t="s">
        <v>1703</v>
      </c>
      <c r="C3259" s="879"/>
    </row>
    <row r="3260" spans="1:3" x14ac:dyDescent="0.25">
      <c r="A3260" s="879"/>
      <c r="B3260" s="1452" t="s">
        <v>1704</v>
      </c>
      <c r="C3260" s="879"/>
    </row>
    <row r="3261" spans="1:3" x14ac:dyDescent="0.25">
      <c r="A3261" s="879"/>
      <c r="B3261" s="1452" t="s">
        <v>1705</v>
      </c>
      <c r="C3261" s="879"/>
    </row>
    <row r="3262" spans="1:3" x14ac:dyDescent="0.25">
      <c r="A3262" s="879"/>
      <c r="B3262" s="1452"/>
      <c r="C3262" s="879"/>
    </row>
    <row r="3263" spans="1:3" x14ac:dyDescent="0.25">
      <c r="A3263" s="879"/>
      <c r="B3263" s="1452"/>
      <c r="C3263" s="879"/>
    </row>
    <row r="3264" spans="1:3" x14ac:dyDescent="0.25">
      <c r="A3264" s="879"/>
      <c r="B3264" s="1452" t="s">
        <v>1368</v>
      </c>
      <c r="C3264" s="879"/>
    </row>
    <row r="3265" spans="1:3" x14ac:dyDescent="0.25">
      <c r="A3265" s="879"/>
      <c r="B3265" s="1452" t="s">
        <v>2579</v>
      </c>
      <c r="C3265" s="879"/>
    </row>
    <row r="3266" spans="1:3" x14ac:dyDescent="0.25">
      <c r="A3266" s="879"/>
      <c r="B3266" s="1452" t="s">
        <v>1368</v>
      </c>
      <c r="C3266" s="879"/>
    </row>
    <row r="3267" spans="1:3" x14ac:dyDescent="0.25">
      <c r="A3267" s="879"/>
      <c r="B3267" s="1452" t="s">
        <v>2580</v>
      </c>
      <c r="C3267" s="879"/>
    </row>
    <row r="3268" spans="1:3" x14ac:dyDescent="0.25">
      <c r="A3268" s="879"/>
      <c r="B3268" s="1452" t="s">
        <v>1367</v>
      </c>
      <c r="C3268" s="879"/>
    </row>
    <row r="3269" spans="1:3" x14ac:dyDescent="0.25">
      <c r="A3269" s="879"/>
      <c r="B3269" s="1452" t="s">
        <v>1369</v>
      </c>
      <c r="C3269" s="879"/>
    </row>
    <row r="3270" spans="1:3" x14ac:dyDescent="0.25">
      <c r="A3270" s="879"/>
      <c r="B3270" s="1452" t="s">
        <v>1370</v>
      </c>
      <c r="C3270" s="879"/>
    </row>
    <row r="3271" spans="1:3" x14ac:dyDescent="0.25">
      <c r="A3271" s="879"/>
      <c r="B3271" s="1452" t="s">
        <v>1367</v>
      </c>
      <c r="C3271" s="879"/>
    </row>
    <row r="3272" spans="1:3" x14ac:dyDescent="0.25">
      <c r="A3272" s="879"/>
      <c r="B3272" s="1452" t="s">
        <v>1460</v>
      </c>
      <c r="C3272" s="879"/>
    </row>
    <row r="3273" spans="1:3" x14ac:dyDescent="0.25">
      <c r="A3273" s="879"/>
      <c r="B3273" s="1452" t="s">
        <v>1461</v>
      </c>
      <c r="C3273" s="879"/>
    </row>
    <row r="3274" spans="1:3" x14ac:dyDescent="0.25">
      <c r="A3274" s="879"/>
      <c r="B3274" s="1452" t="s">
        <v>2581</v>
      </c>
      <c r="C3274" s="879"/>
    </row>
    <row r="3275" spans="1:3" x14ac:dyDescent="0.25">
      <c r="A3275" s="879"/>
      <c r="B3275" s="1452" t="s">
        <v>1853</v>
      </c>
      <c r="C3275" s="879"/>
    </row>
    <row r="3276" spans="1:3" x14ac:dyDescent="0.25">
      <c r="A3276" s="879"/>
      <c r="B3276" s="1452" t="s">
        <v>1651</v>
      </c>
      <c r="C3276" s="879"/>
    </row>
    <row r="3277" spans="1:3" x14ac:dyDescent="0.25">
      <c r="A3277" s="879"/>
      <c r="B3277" s="1452" t="s">
        <v>1652</v>
      </c>
      <c r="C3277" s="879"/>
    </row>
    <row r="3278" spans="1:3" x14ac:dyDescent="0.25">
      <c r="A3278" s="879"/>
      <c r="B3278" s="1452" t="s">
        <v>1653</v>
      </c>
      <c r="C3278" s="879"/>
    </row>
    <row r="3279" spans="1:3" x14ac:dyDescent="0.25">
      <c r="A3279" s="879"/>
      <c r="B3279" s="1452" t="s">
        <v>2582</v>
      </c>
      <c r="C3279" s="879"/>
    </row>
    <row r="3280" spans="1:3" x14ac:dyDescent="0.25">
      <c r="A3280" s="879"/>
      <c r="B3280" s="1452" t="s">
        <v>2583</v>
      </c>
      <c r="C3280" s="879"/>
    </row>
    <row r="3281" spans="1:3" x14ac:dyDescent="0.25">
      <c r="A3281" s="879"/>
      <c r="B3281" s="1452" t="s">
        <v>2584</v>
      </c>
      <c r="C3281" s="879"/>
    </row>
    <row r="3282" spans="1:3" x14ac:dyDescent="0.25">
      <c r="A3282" s="879"/>
      <c r="B3282" s="1452" t="s">
        <v>1462</v>
      </c>
      <c r="C3282" s="879"/>
    </row>
    <row r="3283" spans="1:3" x14ac:dyDescent="0.25">
      <c r="A3283" s="879"/>
      <c r="B3283" s="1452" t="s">
        <v>1382</v>
      </c>
      <c r="C3283" s="879"/>
    </row>
    <row r="3284" spans="1:3" x14ac:dyDescent="0.25">
      <c r="A3284" s="879"/>
      <c r="B3284" s="1452" t="s">
        <v>1367</v>
      </c>
      <c r="C3284" s="879"/>
    </row>
    <row r="3285" spans="1:3" x14ac:dyDescent="0.25">
      <c r="A3285" s="879"/>
      <c r="B3285" s="1452" t="s">
        <v>1460</v>
      </c>
      <c r="C3285" s="879"/>
    </row>
    <row r="3286" spans="1:3" x14ac:dyDescent="0.25">
      <c r="A3286" s="879"/>
      <c r="B3286" s="1452" t="s">
        <v>1463</v>
      </c>
      <c r="C3286" s="879"/>
    </row>
    <row r="3287" spans="1:3" x14ac:dyDescent="0.25">
      <c r="A3287" s="879"/>
      <c r="B3287" s="1452" t="s">
        <v>2585</v>
      </c>
      <c r="C3287" s="879"/>
    </row>
    <row r="3288" spans="1:3" x14ac:dyDescent="0.25">
      <c r="A3288" s="879"/>
      <c r="B3288" s="1452" t="s">
        <v>2586</v>
      </c>
      <c r="C3288" s="879"/>
    </row>
    <row r="3289" spans="1:3" x14ac:dyDescent="0.25">
      <c r="A3289" s="879"/>
      <c r="B3289" s="1452" t="s">
        <v>2587</v>
      </c>
      <c r="C3289" s="879"/>
    </row>
    <row r="3290" spans="1:3" x14ac:dyDescent="0.25">
      <c r="A3290" s="879"/>
      <c r="B3290" s="1452" t="s">
        <v>2588</v>
      </c>
      <c r="C3290" s="879"/>
    </row>
    <row r="3291" spans="1:3" x14ac:dyDescent="0.25">
      <c r="A3291" s="879"/>
      <c r="B3291" s="1452" t="s">
        <v>2589</v>
      </c>
      <c r="C3291" s="879"/>
    </row>
    <row r="3292" spans="1:3" x14ac:dyDescent="0.25">
      <c r="A3292" s="879"/>
      <c r="B3292" s="1452" t="s">
        <v>2590</v>
      </c>
      <c r="C3292" s="879"/>
    </row>
    <row r="3293" spans="1:3" x14ac:dyDescent="0.25">
      <c r="A3293" s="879"/>
      <c r="B3293" s="1452" t="s">
        <v>2591</v>
      </c>
      <c r="C3293" s="879"/>
    </row>
    <row r="3294" spans="1:3" x14ac:dyDescent="0.25">
      <c r="A3294" s="879"/>
      <c r="B3294" s="1452" t="s">
        <v>1464</v>
      </c>
      <c r="C3294" s="879"/>
    </row>
    <row r="3295" spans="1:3" x14ac:dyDescent="0.25">
      <c r="A3295" s="879"/>
      <c r="B3295" s="1452" t="s">
        <v>1465</v>
      </c>
      <c r="C3295" s="879"/>
    </row>
    <row r="3296" spans="1:3" x14ac:dyDescent="0.25">
      <c r="A3296" s="879"/>
      <c r="B3296" s="1452" t="s">
        <v>1466</v>
      </c>
      <c r="C3296" s="879"/>
    </row>
    <row r="3297" spans="1:3" x14ac:dyDescent="0.25">
      <c r="A3297" s="879"/>
      <c r="B3297" s="1452" t="s">
        <v>1467</v>
      </c>
      <c r="C3297" s="879"/>
    </row>
    <row r="3298" spans="1:3" x14ac:dyDescent="0.25">
      <c r="A3298" s="879"/>
      <c r="B3298" s="1452" t="s">
        <v>1468</v>
      </c>
      <c r="C3298" s="879"/>
    </row>
    <row r="3299" spans="1:3" x14ac:dyDescent="0.25">
      <c r="A3299" s="879"/>
      <c r="B3299" s="1452" t="s">
        <v>1469</v>
      </c>
      <c r="C3299" s="879"/>
    </row>
    <row r="3300" spans="1:3" x14ac:dyDescent="0.25">
      <c r="A3300" s="879"/>
      <c r="B3300" s="1452" t="s">
        <v>2592</v>
      </c>
      <c r="C3300" s="879"/>
    </row>
    <row r="3301" spans="1:3" x14ac:dyDescent="0.25">
      <c r="A3301" s="879"/>
      <c r="B3301" s="1452" t="s">
        <v>1470</v>
      </c>
      <c r="C3301" s="879"/>
    </row>
    <row r="3302" spans="1:3" x14ac:dyDescent="0.25">
      <c r="A3302" s="879"/>
      <c r="B3302" s="1452" t="s">
        <v>2593</v>
      </c>
      <c r="C3302" s="879"/>
    </row>
    <row r="3303" spans="1:3" x14ac:dyDescent="0.25">
      <c r="A3303" s="879"/>
      <c r="B3303" s="1452" t="s">
        <v>1666</v>
      </c>
      <c r="C3303" s="879"/>
    </row>
    <row r="3304" spans="1:3" x14ac:dyDescent="0.25">
      <c r="A3304" s="879"/>
      <c r="B3304" s="1452" t="s">
        <v>1667</v>
      </c>
      <c r="C3304" s="879"/>
    </row>
    <row r="3305" spans="1:3" x14ac:dyDescent="0.25">
      <c r="A3305" s="879"/>
      <c r="B3305" s="1452" t="s">
        <v>1471</v>
      </c>
      <c r="C3305" s="879"/>
    </row>
    <row r="3306" spans="1:3" x14ac:dyDescent="0.25">
      <c r="A3306" s="879"/>
      <c r="B3306" s="1452" t="s">
        <v>1508</v>
      </c>
      <c r="C3306" s="879"/>
    </row>
    <row r="3307" spans="1:3" x14ac:dyDescent="0.25">
      <c r="A3307" s="879"/>
      <c r="B3307" s="1452" t="s">
        <v>1668</v>
      </c>
      <c r="C3307" s="879"/>
    </row>
    <row r="3308" spans="1:3" x14ac:dyDescent="0.25">
      <c r="A3308" s="879"/>
      <c r="B3308" s="1452" t="s">
        <v>1473</v>
      </c>
      <c r="C3308" s="879"/>
    </row>
    <row r="3309" spans="1:3" x14ac:dyDescent="0.25">
      <c r="A3309" s="879"/>
      <c r="B3309" s="1452" t="s">
        <v>2594</v>
      </c>
      <c r="C3309" s="879"/>
    </row>
    <row r="3310" spans="1:3" x14ac:dyDescent="0.25">
      <c r="A3310" s="879"/>
      <c r="B3310" s="1452" t="s">
        <v>2595</v>
      </c>
      <c r="C3310" s="879"/>
    </row>
    <row r="3311" spans="1:3" x14ac:dyDescent="0.25">
      <c r="A3311" s="879"/>
      <c r="B3311" s="1452" t="s">
        <v>2596</v>
      </c>
      <c r="C3311" s="879"/>
    </row>
    <row r="3312" spans="1:3" x14ac:dyDescent="0.25">
      <c r="A3312" s="879"/>
      <c r="B3312" s="1452" t="s">
        <v>2597</v>
      </c>
      <c r="C3312" s="879"/>
    </row>
    <row r="3313" spans="1:3" x14ac:dyDescent="0.25">
      <c r="A3313" s="879"/>
      <c r="B3313" s="1452" t="s">
        <v>1476</v>
      </c>
      <c r="C3313" s="879"/>
    </row>
    <row r="3314" spans="1:3" x14ac:dyDescent="0.25">
      <c r="A3314" s="879"/>
      <c r="B3314" s="1452" t="s">
        <v>1477</v>
      </c>
      <c r="C3314" s="879"/>
    </row>
    <row r="3315" spans="1:3" x14ac:dyDescent="0.25">
      <c r="A3315" s="879"/>
      <c r="B3315" s="1452" t="s">
        <v>1478</v>
      </c>
      <c r="C3315" s="879"/>
    </row>
    <row r="3316" spans="1:3" x14ac:dyDescent="0.25">
      <c r="A3316" s="879"/>
      <c r="B3316" s="1452" t="s">
        <v>2598</v>
      </c>
      <c r="C3316" s="879"/>
    </row>
    <row r="3317" spans="1:3" x14ac:dyDescent="0.25">
      <c r="A3317" s="879"/>
      <c r="B3317" s="1452" t="s">
        <v>2599</v>
      </c>
      <c r="C3317" s="879"/>
    </row>
    <row r="3318" spans="1:3" x14ac:dyDescent="0.25">
      <c r="A3318" s="879"/>
      <c r="B3318" s="1452" t="s">
        <v>1479</v>
      </c>
      <c r="C3318" s="879"/>
    </row>
    <row r="3319" spans="1:3" x14ac:dyDescent="0.25">
      <c r="A3319" s="879"/>
      <c r="B3319" s="1452" t="s">
        <v>1480</v>
      </c>
      <c r="C3319" s="879"/>
    </row>
    <row r="3320" spans="1:3" x14ac:dyDescent="0.25">
      <c r="A3320" s="879"/>
      <c r="B3320" s="1452" t="s">
        <v>2600</v>
      </c>
      <c r="C3320" s="879"/>
    </row>
    <row r="3321" spans="1:3" x14ac:dyDescent="0.25">
      <c r="A3321" s="879"/>
      <c r="B3321" s="1452" t="s">
        <v>2601</v>
      </c>
      <c r="C3321" s="879"/>
    </row>
    <row r="3322" spans="1:3" x14ac:dyDescent="0.25">
      <c r="A3322" s="879"/>
      <c r="B3322" s="1452" t="s">
        <v>2602</v>
      </c>
      <c r="C3322" s="879"/>
    </row>
    <row r="3323" spans="1:3" x14ac:dyDescent="0.25">
      <c r="A3323" s="879"/>
      <c r="B3323" s="1452" t="s">
        <v>2603</v>
      </c>
      <c r="C3323" s="879"/>
    </row>
    <row r="3324" spans="1:3" x14ac:dyDescent="0.25">
      <c r="A3324" s="879"/>
      <c r="B3324" s="1452" t="s">
        <v>2604</v>
      </c>
      <c r="C3324" s="879"/>
    </row>
    <row r="3325" spans="1:3" x14ac:dyDescent="0.25">
      <c r="A3325" s="879"/>
      <c r="B3325" s="1452" t="s">
        <v>2605</v>
      </c>
      <c r="C3325" s="879"/>
    </row>
    <row r="3326" spans="1:3" x14ac:dyDescent="0.25">
      <c r="A3326" s="879"/>
      <c r="B3326" s="1452" t="s">
        <v>2606</v>
      </c>
      <c r="C3326" s="879"/>
    </row>
    <row r="3327" spans="1:3" x14ac:dyDescent="0.25">
      <c r="A3327" s="879"/>
      <c r="B3327" s="1452" t="s">
        <v>2607</v>
      </c>
      <c r="C3327" s="879"/>
    </row>
    <row r="3328" spans="1:3" x14ac:dyDescent="0.25">
      <c r="A3328" s="879"/>
      <c r="B3328" s="1452" t="s">
        <v>2608</v>
      </c>
      <c r="C3328" s="879"/>
    </row>
    <row r="3329" spans="1:3" x14ac:dyDescent="0.25">
      <c r="A3329" s="879"/>
      <c r="B3329" s="1452" t="s">
        <v>1481</v>
      </c>
      <c r="C3329" s="879"/>
    </row>
    <row r="3330" spans="1:3" x14ac:dyDescent="0.25">
      <c r="A3330" s="879"/>
      <c r="B3330" s="1452" t="s">
        <v>1482</v>
      </c>
      <c r="C3330" s="879"/>
    </row>
    <row r="3331" spans="1:3" x14ac:dyDescent="0.25">
      <c r="A3331" s="879"/>
      <c r="B3331" s="1452" t="s">
        <v>1483</v>
      </c>
      <c r="C3331" s="879"/>
    </row>
    <row r="3332" spans="1:3" x14ac:dyDescent="0.25">
      <c r="A3332" s="879"/>
      <c r="B3332" s="1452" t="s">
        <v>1484</v>
      </c>
      <c r="C3332" s="879"/>
    </row>
    <row r="3333" spans="1:3" x14ac:dyDescent="0.25">
      <c r="A3333" s="879"/>
      <c r="B3333" s="1452" t="s">
        <v>1430</v>
      </c>
      <c r="C3333" s="879"/>
    </row>
    <row r="3334" spans="1:3" x14ac:dyDescent="0.25">
      <c r="A3334" s="879"/>
      <c r="B3334" s="1452" t="s">
        <v>1367</v>
      </c>
      <c r="C3334" s="879"/>
    </row>
    <row r="3335" spans="1:3" x14ac:dyDescent="0.25">
      <c r="A3335" s="879"/>
      <c r="B3335" s="1452" t="s">
        <v>1449</v>
      </c>
      <c r="C3335" s="879"/>
    </row>
    <row r="3336" spans="1:3" x14ac:dyDescent="0.25">
      <c r="A3336" s="879"/>
      <c r="B3336" s="1452" t="s">
        <v>1367</v>
      </c>
      <c r="C3336" s="879"/>
    </row>
    <row r="3337" spans="1:3" x14ac:dyDescent="0.25">
      <c r="A3337" s="879"/>
      <c r="B3337" s="1452" t="s">
        <v>1450</v>
      </c>
      <c r="C3337" s="879"/>
    </row>
    <row r="3338" spans="1:3" x14ac:dyDescent="0.25">
      <c r="A3338" s="879"/>
      <c r="B3338" s="1452" t="s">
        <v>1451</v>
      </c>
      <c r="C3338" s="879"/>
    </row>
    <row r="3339" spans="1:3" x14ac:dyDescent="0.25">
      <c r="A3339" s="879"/>
      <c r="B3339" s="1452" t="s">
        <v>1452</v>
      </c>
      <c r="C3339" s="879"/>
    </row>
    <row r="3340" spans="1:3" x14ac:dyDescent="0.25">
      <c r="A3340" s="879"/>
      <c r="B3340" s="1452" t="s">
        <v>1681</v>
      </c>
      <c r="C3340" s="879"/>
    </row>
    <row r="3341" spans="1:3" x14ac:dyDescent="0.25">
      <c r="A3341" s="879"/>
      <c r="B3341" s="1452" t="s">
        <v>1682</v>
      </c>
      <c r="C3341" s="879"/>
    </row>
    <row r="3342" spans="1:3" x14ac:dyDescent="0.25">
      <c r="A3342" s="879"/>
      <c r="B3342" s="1452" t="s">
        <v>1683</v>
      </c>
      <c r="C3342" s="879"/>
    </row>
    <row r="3343" spans="1:3" x14ac:dyDescent="0.25">
      <c r="A3343" s="879"/>
      <c r="B3343" s="1452" t="s">
        <v>1684</v>
      </c>
      <c r="C3343" s="879"/>
    </row>
    <row r="3344" spans="1:3" x14ac:dyDescent="0.25">
      <c r="A3344" s="879"/>
      <c r="B3344" s="1452" t="s">
        <v>1453</v>
      </c>
      <c r="C3344" s="879"/>
    </row>
    <row r="3345" spans="1:3" x14ac:dyDescent="0.25">
      <c r="A3345" s="879"/>
      <c r="B3345" s="1452" t="s">
        <v>1485</v>
      </c>
      <c r="C3345" s="879"/>
    </row>
    <row r="3346" spans="1:3" x14ac:dyDescent="0.25">
      <c r="A3346" s="879"/>
      <c r="B3346" s="1452" t="s">
        <v>1685</v>
      </c>
      <c r="C3346" s="879"/>
    </row>
    <row r="3347" spans="1:3" x14ac:dyDescent="0.25">
      <c r="A3347" s="879"/>
      <c r="B3347" s="1452" t="s">
        <v>1686</v>
      </c>
      <c r="C3347" s="879"/>
    </row>
    <row r="3348" spans="1:3" x14ac:dyDescent="0.25">
      <c r="A3348" s="879"/>
      <c r="B3348" s="1452" t="s">
        <v>1454</v>
      </c>
      <c r="C3348" s="879"/>
    </row>
    <row r="3349" spans="1:3" x14ac:dyDescent="0.25">
      <c r="A3349" s="879"/>
      <c r="B3349" s="1452" t="s">
        <v>1486</v>
      </c>
      <c r="C3349" s="879"/>
    </row>
    <row r="3350" spans="1:3" x14ac:dyDescent="0.25">
      <c r="A3350" s="879"/>
      <c r="B3350" s="1452" t="s">
        <v>1455</v>
      </c>
      <c r="C3350" s="879"/>
    </row>
    <row r="3351" spans="1:3" x14ac:dyDescent="0.25">
      <c r="A3351" s="879"/>
      <c r="B3351" s="1452" t="s">
        <v>1687</v>
      </c>
      <c r="C3351" s="879"/>
    </row>
    <row r="3352" spans="1:3" x14ac:dyDescent="0.25">
      <c r="A3352" s="879"/>
      <c r="B3352" s="1452" t="s">
        <v>1688</v>
      </c>
      <c r="C3352" s="879"/>
    </row>
    <row r="3353" spans="1:3" x14ac:dyDescent="0.25">
      <c r="A3353" s="879"/>
      <c r="B3353" s="1452" t="s">
        <v>1689</v>
      </c>
      <c r="C3353" s="879"/>
    </row>
    <row r="3354" spans="1:3" x14ac:dyDescent="0.25">
      <c r="A3354" s="879"/>
      <c r="B3354" s="1452" t="s">
        <v>1456</v>
      </c>
      <c r="C3354" s="879"/>
    </row>
    <row r="3355" spans="1:3" x14ac:dyDescent="0.25">
      <c r="A3355" s="879"/>
      <c r="B3355" s="1452" t="s">
        <v>1367</v>
      </c>
      <c r="C3355" s="879"/>
    </row>
    <row r="3356" spans="1:3" x14ac:dyDescent="0.25">
      <c r="A3356" s="879"/>
      <c r="B3356" s="1452" t="s">
        <v>1450</v>
      </c>
      <c r="C3356" s="879"/>
    </row>
    <row r="3357" spans="1:3" x14ac:dyDescent="0.25">
      <c r="A3357" s="879"/>
      <c r="B3357" s="1452" t="s">
        <v>1451</v>
      </c>
      <c r="C3357" s="879"/>
    </row>
    <row r="3358" spans="1:3" x14ac:dyDescent="0.25">
      <c r="A3358" s="879"/>
      <c r="B3358" s="1452" t="s">
        <v>1452</v>
      </c>
      <c r="C3358" s="879"/>
    </row>
    <row r="3359" spans="1:3" x14ac:dyDescent="0.25">
      <c r="A3359" s="879"/>
      <c r="B3359" s="1452" t="s">
        <v>1681</v>
      </c>
      <c r="C3359" s="879"/>
    </row>
    <row r="3360" spans="1:3" x14ac:dyDescent="0.25">
      <c r="A3360" s="879"/>
      <c r="B3360" s="1452" t="s">
        <v>1682</v>
      </c>
      <c r="C3360" s="879"/>
    </row>
    <row r="3361" spans="1:3" x14ac:dyDescent="0.25">
      <c r="A3361" s="879"/>
      <c r="B3361" s="1452" t="s">
        <v>1683</v>
      </c>
      <c r="C3361" s="879"/>
    </row>
    <row r="3362" spans="1:3" x14ac:dyDescent="0.25">
      <c r="A3362" s="879"/>
      <c r="B3362" s="1452" t="s">
        <v>1684</v>
      </c>
      <c r="C3362" s="879"/>
    </row>
    <row r="3363" spans="1:3" x14ac:dyDescent="0.25">
      <c r="A3363" s="879"/>
      <c r="B3363" s="1452" t="s">
        <v>1453</v>
      </c>
      <c r="C3363" s="879"/>
    </row>
    <row r="3364" spans="1:3" x14ac:dyDescent="0.25">
      <c r="A3364" s="879"/>
      <c r="B3364" s="1452" t="s">
        <v>1485</v>
      </c>
      <c r="C3364" s="879"/>
    </row>
    <row r="3365" spans="1:3" x14ac:dyDescent="0.25">
      <c r="A3365" s="879"/>
      <c r="B3365" s="1452" t="s">
        <v>1685</v>
      </c>
      <c r="C3365" s="879"/>
    </row>
    <row r="3366" spans="1:3" x14ac:dyDescent="0.25">
      <c r="A3366" s="879"/>
      <c r="B3366" s="1452" t="s">
        <v>1686</v>
      </c>
      <c r="C3366" s="879"/>
    </row>
    <row r="3367" spans="1:3" x14ac:dyDescent="0.25">
      <c r="A3367" s="879"/>
      <c r="B3367" s="1452" t="s">
        <v>1454</v>
      </c>
      <c r="C3367" s="879"/>
    </row>
    <row r="3368" spans="1:3" x14ac:dyDescent="0.25">
      <c r="A3368" s="879"/>
      <c r="B3368" s="1452" t="s">
        <v>1486</v>
      </c>
      <c r="C3368" s="879"/>
    </row>
    <row r="3369" spans="1:3" x14ac:dyDescent="0.25">
      <c r="A3369" s="879"/>
      <c r="B3369" s="1452" t="s">
        <v>1455</v>
      </c>
      <c r="C3369" s="879"/>
    </row>
    <row r="3370" spans="1:3" x14ac:dyDescent="0.25">
      <c r="A3370" s="879"/>
      <c r="B3370" s="1452" t="s">
        <v>1687</v>
      </c>
      <c r="C3370" s="879"/>
    </row>
    <row r="3371" spans="1:3" x14ac:dyDescent="0.25">
      <c r="A3371" s="879"/>
      <c r="B3371" s="1452" t="s">
        <v>1688</v>
      </c>
      <c r="C3371" s="879"/>
    </row>
    <row r="3372" spans="1:3" x14ac:dyDescent="0.25">
      <c r="A3372" s="879"/>
      <c r="B3372" s="1452" t="s">
        <v>1689</v>
      </c>
      <c r="C3372" s="879"/>
    </row>
    <row r="3373" spans="1:3" x14ac:dyDescent="0.25">
      <c r="A3373" s="879"/>
      <c r="B3373" s="1452" t="s">
        <v>1690</v>
      </c>
      <c r="C3373" s="879"/>
    </row>
    <row r="3374" spans="1:3" x14ac:dyDescent="0.25">
      <c r="A3374" s="879"/>
      <c r="B3374" s="1452" t="s">
        <v>1367</v>
      </c>
      <c r="C3374" s="879"/>
    </row>
    <row r="3375" spans="1:3" x14ac:dyDescent="0.25">
      <c r="A3375" s="879"/>
      <c r="B3375" s="1452" t="s">
        <v>1691</v>
      </c>
      <c r="C3375" s="879"/>
    </row>
    <row r="3376" spans="1:3" x14ac:dyDescent="0.25">
      <c r="A3376" s="879"/>
      <c r="B3376" s="1452" t="s">
        <v>1692</v>
      </c>
      <c r="C3376" s="879"/>
    </row>
    <row r="3377" spans="1:3" x14ac:dyDescent="0.25">
      <c r="A3377" s="879"/>
      <c r="B3377" s="1452" t="s">
        <v>1693</v>
      </c>
      <c r="C3377" s="879"/>
    </row>
    <row r="3378" spans="1:3" x14ac:dyDescent="0.25">
      <c r="A3378" s="879"/>
      <c r="B3378" s="1452" t="s">
        <v>1694</v>
      </c>
      <c r="C3378" s="879"/>
    </row>
    <row r="3379" spans="1:3" x14ac:dyDescent="0.25">
      <c r="A3379" s="879"/>
      <c r="B3379" s="1452" t="s">
        <v>1695</v>
      </c>
      <c r="C3379" s="879"/>
    </row>
    <row r="3380" spans="1:3" x14ac:dyDescent="0.25">
      <c r="A3380" s="879"/>
      <c r="B3380" s="1452" t="s">
        <v>1696</v>
      </c>
      <c r="C3380" s="879"/>
    </row>
    <row r="3381" spans="1:3" x14ac:dyDescent="0.25">
      <c r="A3381" s="879"/>
      <c r="B3381" s="1452" t="s">
        <v>1697</v>
      </c>
      <c r="C3381" s="879"/>
    </row>
    <row r="3382" spans="1:3" x14ac:dyDescent="0.25">
      <c r="A3382" s="879"/>
      <c r="B3382" s="1452" t="s">
        <v>1698</v>
      </c>
      <c r="C3382" s="879"/>
    </row>
    <row r="3383" spans="1:3" x14ac:dyDescent="0.25">
      <c r="A3383" s="879"/>
      <c r="B3383" s="1452" t="s">
        <v>1699</v>
      </c>
      <c r="C3383" s="879"/>
    </row>
    <row r="3384" spans="1:3" x14ac:dyDescent="0.25">
      <c r="A3384" s="879"/>
      <c r="B3384" s="1452" t="s">
        <v>1700</v>
      </c>
      <c r="C3384" s="879"/>
    </row>
    <row r="3385" spans="1:3" x14ac:dyDescent="0.25">
      <c r="A3385" s="879"/>
      <c r="B3385" s="1452" t="s">
        <v>1701</v>
      </c>
      <c r="C3385" s="879"/>
    </row>
    <row r="3386" spans="1:3" x14ac:dyDescent="0.25">
      <c r="A3386" s="879"/>
      <c r="B3386" s="1452" t="s">
        <v>1702</v>
      </c>
      <c r="C3386" s="879"/>
    </row>
    <row r="3387" spans="1:3" x14ac:dyDescent="0.25">
      <c r="A3387" s="879"/>
      <c r="B3387" s="1452" t="s">
        <v>1703</v>
      </c>
      <c r="C3387" s="879"/>
    </row>
    <row r="3388" spans="1:3" x14ac:dyDescent="0.25">
      <c r="A3388" s="879"/>
      <c r="B3388" s="1452" t="s">
        <v>1704</v>
      </c>
      <c r="C3388" s="879"/>
    </row>
    <row r="3389" spans="1:3" x14ac:dyDescent="0.25">
      <c r="A3389" s="879"/>
      <c r="B3389" s="1452" t="s">
        <v>1705</v>
      </c>
      <c r="C3389" s="879"/>
    </row>
    <row r="3390" spans="1:3" x14ac:dyDescent="0.25">
      <c r="A3390" s="879"/>
      <c r="B3390" s="1452"/>
      <c r="C3390" s="879"/>
    </row>
    <row r="3391" spans="1:3" x14ac:dyDescent="0.25">
      <c r="A3391" s="879"/>
      <c r="B3391" s="1452"/>
      <c r="C3391" s="879"/>
    </row>
    <row r="3392" spans="1:3" x14ac:dyDescent="0.25">
      <c r="A3392" s="879"/>
      <c r="B3392" s="1452" t="s">
        <v>1368</v>
      </c>
      <c r="C3392" s="879"/>
    </row>
    <row r="3393" spans="1:3" x14ac:dyDescent="0.25">
      <c r="A3393" s="879"/>
      <c r="B3393" s="1452" t="s">
        <v>2609</v>
      </c>
      <c r="C3393" s="879"/>
    </row>
    <row r="3394" spans="1:3" x14ac:dyDescent="0.25">
      <c r="A3394" s="879"/>
      <c r="B3394" s="1452" t="s">
        <v>1368</v>
      </c>
      <c r="C3394" s="879"/>
    </row>
    <row r="3395" spans="1:3" x14ac:dyDescent="0.25">
      <c r="A3395" s="879"/>
      <c r="B3395" s="1452" t="s">
        <v>2610</v>
      </c>
      <c r="C3395" s="879"/>
    </row>
    <row r="3396" spans="1:3" x14ac:dyDescent="0.25">
      <c r="A3396" s="879"/>
      <c r="B3396" s="1452" t="s">
        <v>1367</v>
      </c>
      <c r="C3396" s="879"/>
    </row>
    <row r="3397" spans="1:3" x14ac:dyDescent="0.25">
      <c r="A3397" s="879"/>
      <c r="B3397" s="1452" t="s">
        <v>1369</v>
      </c>
      <c r="C3397" s="879"/>
    </row>
    <row r="3398" spans="1:3" x14ac:dyDescent="0.25">
      <c r="A3398" s="879"/>
      <c r="B3398" s="1452" t="s">
        <v>1370</v>
      </c>
      <c r="C3398" s="879"/>
    </row>
    <row r="3399" spans="1:3" x14ac:dyDescent="0.25">
      <c r="A3399" s="879"/>
      <c r="B3399" s="1452" t="s">
        <v>1367</v>
      </c>
      <c r="C3399" s="879"/>
    </row>
    <row r="3400" spans="1:3" x14ac:dyDescent="0.25">
      <c r="A3400" s="879"/>
      <c r="B3400" s="1452" t="s">
        <v>1460</v>
      </c>
      <c r="C3400" s="879"/>
    </row>
    <row r="3401" spans="1:3" x14ac:dyDescent="0.25">
      <c r="A3401" s="879"/>
      <c r="B3401" s="1452" t="s">
        <v>1461</v>
      </c>
      <c r="C3401" s="879"/>
    </row>
    <row r="3402" spans="1:3" x14ac:dyDescent="0.25">
      <c r="A3402" s="879"/>
      <c r="B3402" s="1452" t="s">
        <v>2611</v>
      </c>
      <c r="C3402" s="879"/>
    </row>
    <row r="3403" spans="1:3" x14ac:dyDescent="0.25">
      <c r="A3403" s="879"/>
      <c r="B3403" s="1452" t="s">
        <v>2612</v>
      </c>
      <c r="C3403" s="879"/>
    </row>
    <row r="3404" spans="1:3" x14ac:dyDescent="0.25">
      <c r="A3404" s="879"/>
      <c r="B3404" s="1452" t="s">
        <v>1651</v>
      </c>
      <c r="C3404" s="879"/>
    </row>
    <row r="3405" spans="1:3" x14ac:dyDescent="0.25">
      <c r="A3405" s="879"/>
      <c r="B3405" s="1452" t="s">
        <v>1652</v>
      </c>
      <c r="C3405" s="879"/>
    </row>
    <row r="3406" spans="1:3" x14ac:dyDescent="0.25">
      <c r="A3406" s="879"/>
      <c r="B3406" s="1452" t="s">
        <v>1653</v>
      </c>
      <c r="C3406" s="879"/>
    </row>
    <row r="3407" spans="1:3" x14ac:dyDescent="0.25">
      <c r="A3407" s="879"/>
      <c r="B3407" s="1452" t="s">
        <v>2613</v>
      </c>
      <c r="C3407" s="879"/>
    </row>
    <row r="3408" spans="1:3" x14ac:dyDescent="0.25">
      <c r="A3408" s="879"/>
      <c r="B3408" s="1452" t="s">
        <v>2614</v>
      </c>
      <c r="C3408" s="879"/>
    </row>
    <row r="3409" spans="1:3" x14ac:dyDescent="0.25">
      <c r="A3409" s="879"/>
      <c r="B3409" s="1452" t="s">
        <v>2615</v>
      </c>
      <c r="C3409" s="879"/>
    </row>
    <row r="3410" spans="1:3" x14ac:dyDescent="0.25">
      <c r="A3410" s="879"/>
      <c r="B3410" s="1452" t="s">
        <v>1462</v>
      </c>
      <c r="C3410" s="879"/>
    </row>
    <row r="3411" spans="1:3" x14ac:dyDescent="0.25">
      <c r="A3411" s="879"/>
      <c r="B3411" s="1452" t="s">
        <v>1382</v>
      </c>
      <c r="C3411" s="879"/>
    </row>
    <row r="3412" spans="1:3" x14ac:dyDescent="0.25">
      <c r="A3412" s="879"/>
      <c r="B3412" s="1452" t="s">
        <v>1367</v>
      </c>
      <c r="C3412" s="879"/>
    </row>
    <row r="3413" spans="1:3" x14ac:dyDescent="0.25">
      <c r="A3413" s="879"/>
      <c r="B3413" s="1452" t="s">
        <v>1460</v>
      </c>
      <c r="C3413" s="879"/>
    </row>
    <row r="3414" spans="1:3" x14ac:dyDescent="0.25">
      <c r="A3414" s="879"/>
      <c r="B3414" s="1452" t="s">
        <v>1463</v>
      </c>
      <c r="C3414" s="879"/>
    </row>
    <row r="3415" spans="1:3" x14ac:dyDescent="0.25">
      <c r="A3415" s="879"/>
      <c r="B3415" s="1452" t="s">
        <v>2616</v>
      </c>
      <c r="C3415" s="879"/>
    </row>
    <row r="3416" spans="1:3" x14ac:dyDescent="0.25">
      <c r="A3416" s="879"/>
      <c r="B3416" s="1452" t="s">
        <v>2617</v>
      </c>
      <c r="C3416" s="879"/>
    </row>
    <row r="3417" spans="1:3" x14ac:dyDescent="0.25">
      <c r="A3417" s="879"/>
      <c r="B3417" s="1452" t="s">
        <v>2618</v>
      </c>
      <c r="C3417" s="879"/>
    </row>
    <row r="3418" spans="1:3" x14ac:dyDescent="0.25">
      <c r="A3418" s="879"/>
      <c r="B3418" s="1452" t="s">
        <v>2619</v>
      </c>
      <c r="C3418" s="879"/>
    </row>
    <row r="3419" spans="1:3" x14ac:dyDescent="0.25">
      <c r="A3419" s="879"/>
      <c r="B3419" s="1452" t="s">
        <v>2620</v>
      </c>
      <c r="C3419" s="879"/>
    </row>
    <row r="3420" spans="1:3" x14ac:dyDescent="0.25">
      <c r="A3420" s="879"/>
      <c r="B3420" s="1452" t="s">
        <v>2621</v>
      </c>
      <c r="C3420" s="879"/>
    </row>
    <row r="3421" spans="1:3" x14ac:dyDescent="0.25">
      <c r="A3421" s="879"/>
      <c r="B3421" s="1452" t="s">
        <v>2622</v>
      </c>
      <c r="C3421" s="879"/>
    </row>
    <row r="3422" spans="1:3" x14ac:dyDescent="0.25">
      <c r="A3422" s="879"/>
      <c r="B3422" s="1452" t="s">
        <v>1464</v>
      </c>
      <c r="C3422" s="879"/>
    </row>
    <row r="3423" spans="1:3" x14ac:dyDescent="0.25">
      <c r="A3423" s="879"/>
      <c r="B3423" s="1452" t="s">
        <v>1465</v>
      </c>
      <c r="C3423" s="879"/>
    </row>
    <row r="3424" spans="1:3" x14ac:dyDescent="0.25">
      <c r="A3424" s="879"/>
      <c r="B3424" s="1452" t="s">
        <v>1466</v>
      </c>
      <c r="C3424" s="879"/>
    </row>
    <row r="3425" spans="1:3" x14ac:dyDescent="0.25">
      <c r="A3425" s="879"/>
      <c r="B3425" s="1452" t="s">
        <v>1467</v>
      </c>
      <c r="C3425" s="879"/>
    </row>
    <row r="3426" spans="1:3" x14ac:dyDescent="0.25">
      <c r="A3426" s="879"/>
      <c r="B3426" s="1452" t="s">
        <v>1468</v>
      </c>
      <c r="C3426" s="879"/>
    </row>
    <row r="3427" spans="1:3" x14ac:dyDescent="0.25">
      <c r="A3427" s="879"/>
      <c r="B3427" s="1452" t="s">
        <v>1469</v>
      </c>
      <c r="C3427" s="879"/>
    </row>
    <row r="3428" spans="1:3" x14ac:dyDescent="0.25">
      <c r="A3428" s="879"/>
      <c r="B3428" s="1452" t="s">
        <v>2623</v>
      </c>
      <c r="C3428" s="879"/>
    </row>
    <row r="3429" spans="1:3" x14ac:dyDescent="0.25">
      <c r="A3429" s="879"/>
      <c r="B3429" s="1452" t="s">
        <v>1470</v>
      </c>
      <c r="C3429" s="879"/>
    </row>
    <row r="3430" spans="1:3" x14ac:dyDescent="0.25">
      <c r="A3430" s="879"/>
      <c r="B3430" s="1452" t="s">
        <v>2624</v>
      </c>
      <c r="C3430" s="879"/>
    </row>
    <row r="3431" spans="1:3" x14ac:dyDescent="0.25">
      <c r="A3431" s="879"/>
      <c r="B3431" s="1452" t="s">
        <v>1666</v>
      </c>
      <c r="C3431" s="879"/>
    </row>
    <row r="3432" spans="1:3" x14ac:dyDescent="0.25">
      <c r="A3432" s="879"/>
      <c r="B3432" s="1452" t="s">
        <v>1667</v>
      </c>
      <c r="C3432" s="879"/>
    </row>
    <row r="3433" spans="1:3" x14ac:dyDescent="0.25">
      <c r="A3433" s="879"/>
      <c r="B3433" s="1452" t="s">
        <v>1471</v>
      </c>
      <c r="C3433" s="879"/>
    </row>
    <row r="3434" spans="1:3" x14ac:dyDescent="0.25">
      <c r="A3434" s="879"/>
      <c r="B3434" s="1452" t="s">
        <v>1508</v>
      </c>
      <c r="C3434" s="879"/>
    </row>
    <row r="3435" spans="1:3" x14ac:dyDescent="0.25">
      <c r="A3435" s="879"/>
      <c r="B3435" s="1452" t="s">
        <v>1668</v>
      </c>
      <c r="C3435" s="879"/>
    </row>
    <row r="3436" spans="1:3" x14ac:dyDescent="0.25">
      <c r="A3436" s="879"/>
      <c r="B3436" s="1452" t="s">
        <v>1473</v>
      </c>
      <c r="C3436" s="879"/>
    </row>
    <row r="3437" spans="1:3" x14ac:dyDescent="0.25">
      <c r="A3437" s="879"/>
      <c r="B3437" s="1452" t="s">
        <v>2625</v>
      </c>
      <c r="C3437" s="879"/>
    </row>
    <row r="3438" spans="1:3" x14ac:dyDescent="0.25">
      <c r="A3438" s="879"/>
      <c r="B3438" s="1452" t="s">
        <v>2626</v>
      </c>
      <c r="C3438" s="879"/>
    </row>
    <row r="3439" spans="1:3" x14ac:dyDescent="0.25">
      <c r="A3439" s="879"/>
      <c r="B3439" s="1452" t="s">
        <v>2627</v>
      </c>
      <c r="C3439" s="879"/>
    </row>
    <row r="3440" spans="1:3" x14ac:dyDescent="0.25">
      <c r="A3440" s="879"/>
      <c r="B3440" s="1452" t="s">
        <v>2628</v>
      </c>
      <c r="C3440" s="879"/>
    </row>
    <row r="3441" spans="1:3" x14ac:dyDescent="0.25">
      <c r="A3441" s="879"/>
      <c r="B3441" s="1452" t="s">
        <v>1476</v>
      </c>
      <c r="C3441" s="879"/>
    </row>
    <row r="3442" spans="1:3" x14ac:dyDescent="0.25">
      <c r="A3442" s="879"/>
      <c r="B3442" s="1452" t="s">
        <v>1477</v>
      </c>
      <c r="C3442" s="879"/>
    </row>
    <row r="3443" spans="1:3" x14ac:dyDescent="0.25">
      <c r="A3443" s="879"/>
      <c r="B3443" s="1452" t="s">
        <v>1478</v>
      </c>
      <c r="C3443" s="879"/>
    </row>
    <row r="3444" spans="1:3" x14ac:dyDescent="0.25">
      <c r="A3444" s="879"/>
      <c r="B3444" s="1452" t="s">
        <v>2629</v>
      </c>
      <c r="C3444" s="879"/>
    </row>
    <row r="3445" spans="1:3" x14ac:dyDescent="0.25">
      <c r="A3445" s="879"/>
      <c r="B3445" s="1452" t="s">
        <v>2630</v>
      </c>
      <c r="C3445" s="879"/>
    </row>
    <row r="3446" spans="1:3" x14ac:dyDescent="0.25">
      <c r="A3446" s="879"/>
      <c r="B3446" s="1452" t="s">
        <v>1479</v>
      </c>
      <c r="C3446" s="879"/>
    </row>
    <row r="3447" spans="1:3" x14ac:dyDescent="0.25">
      <c r="A3447" s="879"/>
      <c r="B3447" s="1452" t="s">
        <v>1480</v>
      </c>
      <c r="C3447" s="879"/>
    </row>
    <row r="3448" spans="1:3" x14ac:dyDescent="0.25">
      <c r="A3448" s="879"/>
      <c r="B3448" s="1452" t="s">
        <v>2631</v>
      </c>
      <c r="C3448" s="879"/>
    </row>
    <row r="3449" spans="1:3" x14ac:dyDescent="0.25">
      <c r="A3449" s="879"/>
      <c r="B3449" s="1452" t="s">
        <v>2632</v>
      </c>
      <c r="C3449" s="879"/>
    </row>
    <row r="3450" spans="1:3" x14ac:dyDescent="0.25">
      <c r="A3450" s="879"/>
      <c r="B3450" s="1452" t="s">
        <v>2633</v>
      </c>
      <c r="C3450" s="879"/>
    </row>
    <row r="3451" spans="1:3" x14ac:dyDescent="0.25">
      <c r="A3451" s="879"/>
      <c r="B3451" s="1452" t="s">
        <v>2634</v>
      </c>
      <c r="C3451" s="879"/>
    </row>
    <row r="3452" spans="1:3" x14ac:dyDescent="0.25">
      <c r="A3452" s="879"/>
      <c r="B3452" s="1452" t="s">
        <v>2635</v>
      </c>
      <c r="C3452" s="879"/>
    </row>
    <row r="3453" spans="1:3" x14ac:dyDescent="0.25">
      <c r="A3453" s="879"/>
      <c r="B3453" s="1452" t="s">
        <v>2636</v>
      </c>
      <c r="C3453" s="879"/>
    </row>
    <row r="3454" spans="1:3" x14ac:dyDescent="0.25">
      <c r="A3454" s="879"/>
      <c r="B3454" s="1452" t="s">
        <v>2637</v>
      </c>
      <c r="C3454" s="879"/>
    </row>
    <row r="3455" spans="1:3" x14ac:dyDescent="0.25">
      <c r="A3455" s="879"/>
      <c r="B3455" s="1452" t="s">
        <v>2638</v>
      </c>
      <c r="C3455" s="879"/>
    </row>
    <row r="3456" spans="1:3" x14ac:dyDescent="0.25">
      <c r="A3456" s="879"/>
      <c r="B3456" s="1452" t="s">
        <v>2639</v>
      </c>
      <c r="C3456" s="879"/>
    </row>
    <row r="3457" spans="1:3" x14ac:dyDescent="0.25">
      <c r="A3457" s="879"/>
      <c r="B3457" s="1452" t="s">
        <v>1481</v>
      </c>
      <c r="C3457" s="879"/>
    </row>
    <row r="3458" spans="1:3" x14ac:dyDescent="0.25">
      <c r="A3458" s="879"/>
      <c r="B3458" s="1452" t="s">
        <v>1482</v>
      </c>
      <c r="C3458" s="879"/>
    </row>
    <row r="3459" spans="1:3" x14ac:dyDescent="0.25">
      <c r="A3459" s="879"/>
      <c r="B3459" s="1452" t="s">
        <v>1483</v>
      </c>
      <c r="C3459" s="879"/>
    </row>
    <row r="3460" spans="1:3" x14ac:dyDescent="0.25">
      <c r="A3460" s="879"/>
      <c r="B3460" s="1452" t="s">
        <v>1484</v>
      </c>
      <c r="C3460" s="879"/>
    </row>
    <row r="3461" spans="1:3" x14ac:dyDescent="0.25">
      <c r="A3461" s="879"/>
      <c r="B3461" s="1452" t="s">
        <v>1430</v>
      </c>
      <c r="C3461" s="879"/>
    </row>
    <row r="3462" spans="1:3" x14ac:dyDescent="0.25">
      <c r="A3462" s="879"/>
      <c r="B3462" s="1452" t="s">
        <v>1367</v>
      </c>
      <c r="C3462" s="879"/>
    </row>
    <row r="3463" spans="1:3" x14ac:dyDescent="0.25">
      <c r="A3463" s="879"/>
      <c r="B3463" s="1452" t="s">
        <v>1449</v>
      </c>
      <c r="C3463" s="879"/>
    </row>
    <row r="3464" spans="1:3" x14ac:dyDescent="0.25">
      <c r="A3464" s="879"/>
      <c r="B3464" s="1452" t="s">
        <v>1367</v>
      </c>
      <c r="C3464" s="879"/>
    </row>
    <row r="3465" spans="1:3" x14ac:dyDescent="0.25">
      <c r="A3465" s="879"/>
      <c r="B3465" s="1452" t="s">
        <v>1450</v>
      </c>
      <c r="C3465" s="879"/>
    </row>
    <row r="3466" spans="1:3" x14ac:dyDescent="0.25">
      <c r="A3466" s="879"/>
      <c r="B3466" s="1452" t="s">
        <v>1451</v>
      </c>
      <c r="C3466" s="879"/>
    </row>
    <row r="3467" spans="1:3" x14ac:dyDescent="0.25">
      <c r="A3467" s="879"/>
      <c r="B3467" s="1452" t="s">
        <v>1452</v>
      </c>
      <c r="C3467" s="879"/>
    </row>
    <row r="3468" spans="1:3" x14ac:dyDescent="0.25">
      <c r="A3468" s="879"/>
      <c r="B3468" s="1452" t="s">
        <v>1681</v>
      </c>
      <c r="C3468" s="879"/>
    </row>
    <row r="3469" spans="1:3" x14ac:dyDescent="0.25">
      <c r="A3469" s="879"/>
      <c r="B3469" s="1452" t="s">
        <v>1682</v>
      </c>
      <c r="C3469" s="879"/>
    </row>
    <row r="3470" spans="1:3" x14ac:dyDescent="0.25">
      <c r="A3470" s="879"/>
      <c r="B3470" s="1452" t="s">
        <v>1683</v>
      </c>
      <c r="C3470" s="879"/>
    </row>
    <row r="3471" spans="1:3" x14ac:dyDescent="0.25">
      <c r="A3471" s="879"/>
      <c r="B3471" s="1452" t="s">
        <v>1684</v>
      </c>
      <c r="C3471" s="879"/>
    </row>
    <row r="3472" spans="1:3" x14ac:dyDescent="0.25">
      <c r="A3472" s="879"/>
      <c r="B3472" s="1452" t="s">
        <v>1453</v>
      </c>
      <c r="C3472" s="879"/>
    </row>
    <row r="3473" spans="1:3" x14ac:dyDescent="0.25">
      <c r="A3473" s="879"/>
      <c r="B3473" s="1452" t="s">
        <v>1485</v>
      </c>
      <c r="C3473" s="879"/>
    </row>
    <row r="3474" spans="1:3" x14ac:dyDescent="0.25">
      <c r="A3474" s="879"/>
      <c r="B3474" s="1452" t="s">
        <v>1685</v>
      </c>
      <c r="C3474" s="879"/>
    </row>
    <row r="3475" spans="1:3" x14ac:dyDescent="0.25">
      <c r="A3475" s="879"/>
      <c r="B3475" s="1452" t="s">
        <v>1686</v>
      </c>
      <c r="C3475" s="879"/>
    </row>
    <row r="3476" spans="1:3" x14ac:dyDescent="0.25">
      <c r="A3476" s="879"/>
      <c r="B3476" s="1452" t="s">
        <v>1454</v>
      </c>
      <c r="C3476" s="879"/>
    </row>
    <row r="3477" spans="1:3" x14ac:dyDescent="0.25">
      <c r="A3477" s="879"/>
      <c r="B3477" s="1452" t="s">
        <v>1486</v>
      </c>
      <c r="C3477" s="879"/>
    </row>
    <row r="3478" spans="1:3" x14ac:dyDescent="0.25">
      <c r="A3478" s="879"/>
      <c r="B3478" s="1452" t="s">
        <v>1455</v>
      </c>
      <c r="C3478" s="879"/>
    </row>
    <row r="3479" spans="1:3" x14ac:dyDescent="0.25">
      <c r="A3479" s="879"/>
      <c r="B3479" s="1452" t="s">
        <v>1687</v>
      </c>
      <c r="C3479" s="879"/>
    </row>
    <row r="3480" spans="1:3" x14ac:dyDescent="0.25">
      <c r="A3480" s="879"/>
      <c r="B3480" s="1452" t="s">
        <v>1688</v>
      </c>
      <c r="C3480" s="879"/>
    </row>
    <row r="3481" spans="1:3" x14ac:dyDescent="0.25">
      <c r="A3481" s="879"/>
      <c r="B3481" s="1452" t="s">
        <v>1689</v>
      </c>
      <c r="C3481" s="879"/>
    </row>
    <row r="3482" spans="1:3" x14ac:dyDescent="0.25">
      <c r="A3482" s="879"/>
      <c r="B3482" s="1452" t="s">
        <v>1456</v>
      </c>
      <c r="C3482" s="879"/>
    </row>
    <row r="3483" spans="1:3" x14ac:dyDescent="0.25">
      <c r="A3483" s="879"/>
      <c r="B3483" s="1452" t="s">
        <v>1367</v>
      </c>
      <c r="C3483" s="879"/>
    </row>
    <row r="3484" spans="1:3" x14ac:dyDescent="0.25">
      <c r="A3484" s="879"/>
      <c r="B3484" s="1452" t="s">
        <v>1450</v>
      </c>
      <c r="C3484" s="879"/>
    </row>
    <row r="3485" spans="1:3" x14ac:dyDescent="0.25">
      <c r="A3485" s="879"/>
      <c r="B3485" s="1452" t="s">
        <v>1451</v>
      </c>
      <c r="C3485" s="879"/>
    </row>
    <row r="3486" spans="1:3" x14ac:dyDescent="0.25">
      <c r="A3486" s="879"/>
      <c r="B3486" s="1452" t="s">
        <v>1452</v>
      </c>
      <c r="C3486" s="879"/>
    </row>
    <row r="3487" spans="1:3" x14ac:dyDescent="0.25">
      <c r="A3487" s="879"/>
      <c r="B3487" s="1452" t="s">
        <v>1681</v>
      </c>
      <c r="C3487" s="879"/>
    </row>
    <row r="3488" spans="1:3" x14ac:dyDescent="0.25">
      <c r="A3488" s="879"/>
      <c r="B3488" s="1452" t="s">
        <v>1682</v>
      </c>
      <c r="C3488" s="879"/>
    </row>
    <row r="3489" spans="1:3" x14ac:dyDescent="0.25">
      <c r="A3489" s="879"/>
      <c r="B3489" s="1452" t="s">
        <v>1683</v>
      </c>
      <c r="C3489" s="879"/>
    </row>
    <row r="3490" spans="1:3" x14ac:dyDescent="0.25">
      <c r="A3490" s="879"/>
      <c r="B3490" s="1452" t="s">
        <v>1684</v>
      </c>
      <c r="C3490" s="879"/>
    </row>
    <row r="3491" spans="1:3" x14ac:dyDescent="0.25">
      <c r="A3491" s="879"/>
      <c r="B3491" s="1452" t="s">
        <v>1453</v>
      </c>
      <c r="C3491" s="879"/>
    </row>
    <row r="3492" spans="1:3" x14ac:dyDescent="0.25">
      <c r="A3492" s="879"/>
      <c r="B3492" s="1452" t="s">
        <v>1485</v>
      </c>
      <c r="C3492" s="879"/>
    </row>
    <row r="3493" spans="1:3" x14ac:dyDescent="0.25">
      <c r="A3493" s="879"/>
      <c r="B3493" s="1452" t="s">
        <v>1685</v>
      </c>
      <c r="C3493" s="879"/>
    </row>
    <row r="3494" spans="1:3" x14ac:dyDescent="0.25">
      <c r="A3494" s="879"/>
      <c r="B3494" s="1452" t="s">
        <v>1686</v>
      </c>
      <c r="C3494" s="879"/>
    </row>
    <row r="3495" spans="1:3" x14ac:dyDescent="0.25">
      <c r="A3495" s="879"/>
      <c r="B3495" s="1452" t="s">
        <v>1454</v>
      </c>
      <c r="C3495" s="879"/>
    </row>
    <row r="3496" spans="1:3" x14ac:dyDescent="0.25">
      <c r="A3496" s="879"/>
      <c r="B3496" s="1452" t="s">
        <v>1486</v>
      </c>
      <c r="C3496" s="879"/>
    </row>
    <row r="3497" spans="1:3" x14ac:dyDescent="0.25">
      <c r="A3497" s="879"/>
      <c r="B3497" s="1452" t="s">
        <v>1455</v>
      </c>
      <c r="C3497" s="879"/>
    </row>
    <row r="3498" spans="1:3" x14ac:dyDescent="0.25">
      <c r="A3498" s="879"/>
      <c r="B3498" s="1452" t="s">
        <v>1687</v>
      </c>
      <c r="C3498" s="879"/>
    </row>
    <row r="3499" spans="1:3" x14ac:dyDescent="0.25">
      <c r="A3499" s="879"/>
      <c r="B3499" s="1452" t="s">
        <v>1688</v>
      </c>
      <c r="C3499" s="879"/>
    </row>
    <row r="3500" spans="1:3" x14ac:dyDescent="0.25">
      <c r="A3500" s="879"/>
      <c r="B3500" s="1452" t="s">
        <v>1689</v>
      </c>
      <c r="C3500" s="879"/>
    </row>
    <row r="3501" spans="1:3" x14ac:dyDescent="0.25">
      <c r="A3501" s="879"/>
      <c r="B3501" s="1452" t="s">
        <v>1690</v>
      </c>
      <c r="C3501" s="879"/>
    </row>
    <row r="3502" spans="1:3" x14ac:dyDescent="0.25">
      <c r="A3502" s="879"/>
      <c r="B3502" s="1452" t="s">
        <v>1367</v>
      </c>
      <c r="C3502" s="879"/>
    </row>
    <row r="3503" spans="1:3" x14ac:dyDescent="0.25">
      <c r="A3503" s="879"/>
      <c r="B3503" s="1452" t="s">
        <v>1691</v>
      </c>
      <c r="C3503" s="879"/>
    </row>
    <row r="3504" spans="1:3" x14ac:dyDescent="0.25">
      <c r="A3504" s="879"/>
      <c r="B3504" s="1452" t="s">
        <v>1692</v>
      </c>
      <c r="C3504" s="879"/>
    </row>
    <row r="3505" spans="1:3" x14ac:dyDescent="0.25">
      <c r="A3505" s="879"/>
      <c r="B3505" s="1452" t="s">
        <v>1693</v>
      </c>
      <c r="C3505" s="879"/>
    </row>
    <row r="3506" spans="1:3" x14ac:dyDescent="0.25">
      <c r="A3506" s="879"/>
      <c r="B3506" s="1452" t="s">
        <v>1694</v>
      </c>
      <c r="C3506" s="879"/>
    </row>
    <row r="3507" spans="1:3" x14ac:dyDescent="0.25">
      <c r="A3507" s="879"/>
      <c r="B3507" s="1452" t="s">
        <v>1695</v>
      </c>
      <c r="C3507" s="879"/>
    </row>
    <row r="3508" spans="1:3" x14ac:dyDescent="0.25">
      <c r="A3508" s="879"/>
      <c r="B3508" s="1452" t="s">
        <v>1696</v>
      </c>
      <c r="C3508" s="879"/>
    </row>
    <row r="3509" spans="1:3" x14ac:dyDescent="0.25">
      <c r="A3509" s="879"/>
      <c r="B3509" s="1452" t="s">
        <v>1697</v>
      </c>
      <c r="C3509" s="879"/>
    </row>
    <row r="3510" spans="1:3" x14ac:dyDescent="0.25">
      <c r="A3510" s="879"/>
      <c r="B3510" s="1452" t="s">
        <v>1698</v>
      </c>
      <c r="C3510" s="879"/>
    </row>
    <row r="3511" spans="1:3" x14ac:dyDescent="0.25">
      <c r="A3511" s="879"/>
      <c r="B3511" s="1452" t="s">
        <v>1699</v>
      </c>
      <c r="C3511" s="879"/>
    </row>
    <row r="3512" spans="1:3" x14ac:dyDescent="0.25">
      <c r="A3512" s="879"/>
      <c r="B3512" s="1452" t="s">
        <v>1700</v>
      </c>
      <c r="C3512" s="879"/>
    </row>
    <row r="3513" spans="1:3" x14ac:dyDescent="0.25">
      <c r="A3513" s="879"/>
      <c r="B3513" s="1452" t="s">
        <v>1701</v>
      </c>
      <c r="C3513" s="879"/>
    </row>
    <row r="3514" spans="1:3" x14ac:dyDescent="0.25">
      <c r="A3514" s="879"/>
      <c r="B3514" s="1452" t="s">
        <v>1702</v>
      </c>
      <c r="C3514" s="879"/>
    </row>
    <row r="3515" spans="1:3" x14ac:dyDescent="0.25">
      <c r="A3515" s="879"/>
      <c r="B3515" s="1452" t="s">
        <v>1703</v>
      </c>
      <c r="C3515" s="879"/>
    </row>
    <row r="3516" spans="1:3" x14ac:dyDescent="0.25">
      <c r="A3516" s="879"/>
      <c r="B3516" s="1452" t="s">
        <v>1704</v>
      </c>
      <c r="C3516" s="879"/>
    </row>
    <row r="3517" spans="1:3" x14ac:dyDescent="0.25">
      <c r="A3517" s="879"/>
      <c r="B3517" s="1452" t="s">
        <v>1705</v>
      </c>
      <c r="C3517" s="879"/>
    </row>
    <row r="3518" spans="1:3" x14ac:dyDescent="0.25">
      <c r="A3518" s="879"/>
      <c r="B3518" s="1452"/>
      <c r="C3518" s="879"/>
    </row>
    <row r="3519" spans="1:3" x14ac:dyDescent="0.25">
      <c r="A3519" s="879"/>
      <c r="B3519" s="1452"/>
      <c r="C3519" s="879"/>
    </row>
    <row r="3520" spans="1:3" x14ac:dyDescent="0.25">
      <c r="A3520" s="879"/>
      <c r="B3520" s="1452" t="s">
        <v>1368</v>
      </c>
      <c r="C3520" s="879"/>
    </row>
    <row r="3521" spans="1:3" x14ac:dyDescent="0.25">
      <c r="A3521" s="879"/>
      <c r="B3521" s="1452" t="s">
        <v>2640</v>
      </c>
      <c r="C3521" s="879"/>
    </row>
    <row r="3522" spans="1:3" x14ac:dyDescent="0.25">
      <c r="A3522" s="879"/>
      <c r="B3522" s="1452" t="s">
        <v>1368</v>
      </c>
      <c r="C3522" s="879"/>
    </row>
    <row r="3523" spans="1:3" x14ac:dyDescent="0.25">
      <c r="A3523" s="879"/>
      <c r="B3523" s="1452" t="s">
        <v>2641</v>
      </c>
      <c r="C3523" s="879"/>
    </row>
    <row r="3524" spans="1:3" x14ac:dyDescent="0.25">
      <c r="A3524" s="879"/>
      <c r="B3524" s="1452" t="s">
        <v>1367</v>
      </c>
      <c r="C3524" s="879"/>
    </row>
    <row r="3525" spans="1:3" x14ac:dyDescent="0.25">
      <c r="A3525" s="879"/>
      <c r="B3525" s="1452" t="s">
        <v>1369</v>
      </c>
      <c r="C3525" s="879"/>
    </row>
    <row r="3526" spans="1:3" x14ac:dyDescent="0.25">
      <c r="A3526" s="879"/>
      <c r="B3526" s="1452" t="s">
        <v>1370</v>
      </c>
      <c r="C3526" s="879"/>
    </row>
    <row r="3527" spans="1:3" x14ac:dyDescent="0.25">
      <c r="A3527" s="879"/>
      <c r="B3527" s="1452" t="s">
        <v>1367</v>
      </c>
      <c r="C3527" s="879"/>
    </row>
    <row r="3528" spans="1:3" x14ac:dyDescent="0.25">
      <c r="A3528" s="879"/>
      <c r="B3528" s="1452" t="s">
        <v>1520</v>
      </c>
      <c r="C3528" s="879"/>
    </row>
    <row r="3529" spans="1:3" x14ac:dyDescent="0.25">
      <c r="A3529" s="879"/>
      <c r="B3529" s="1452" t="s">
        <v>1563</v>
      </c>
      <c r="C3529" s="879"/>
    </row>
    <row r="3530" spans="1:3" x14ac:dyDescent="0.25">
      <c r="A3530" s="879"/>
      <c r="B3530" s="1452" t="s">
        <v>2383</v>
      </c>
      <c r="C3530" s="879"/>
    </row>
    <row r="3531" spans="1:3" x14ac:dyDescent="0.25">
      <c r="A3531" s="879"/>
      <c r="B3531" s="1452" t="s">
        <v>2384</v>
      </c>
      <c r="C3531" s="879"/>
    </row>
    <row r="3532" spans="1:3" x14ac:dyDescent="0.25">
      <c r="A3532" s="879"/>
      <c r="B3532" s="1452" t="s">
        <v>2642</v>
      </c>
      <c r="C3532" s="879"/>
    </row>
    <row r="3533" spans="1:3" x14ac:dyDescent="0.25">
      <c r="A3533" s="879"/>
      <c r="B3533" s="1452" t="s">
        <v>2643</v>
      </c>
      <c r="C3533" s="879"/>
    </row>
    <row r="3534" spans="1:3" x14ac:dyDescent="0.25">
      <c r="A3534" s="879"/>
      <c r="B3534" s="1452" t="s">
        <v>2644</v>
      </c>
      <c r="C3534" s="879"/>
    </row>
    <row r="3535" spans="1:3" x14ac:dyDescent="0.25">
      <c r="A3535" s="879"/>
      <c r="B3535" s="1452" t="s">
        <v>2645</v>
      </c>
      <c r="C3535" s="879"/>
    </row>
    <row r="3536" spans="1:3" x14ac:dyDescent="0.25">
      <c r="A3536" s="879"/>
      <c r="B3536" s="1452" t="s">
        <v>2646</v>
      </c>
      <c r="C3536" s="879"/>
    </row>
    <row r="3537" spans="1:3" x14ac:dyDescent="0.25">
      <c r="A3537" s="879"/>
      <c r="B3537" s="1452" t="s">
        <v>2647</v>
      </c>
      <c r="C3537" s="879"/>
    </row>
    <row r="3538" spans="1:3" x14ac:dyDescent="0.25">
      <c r="A3538" s="879"/>
      <c r="B3538" s="1452" t="s">
        <v>1564</v>
      </c>
      <c r="C3538" s="879"/>
    </row>
    <row r="3539" spans="1:3" x14ac:dyDescent="0.25">
      <c r="A3539" s="879"/>
      <c r="B3539" s="1452" t="s">
        <v>1382</v>
      </c>
      <c r="C3539" s="879"/>
    </row>
    <row r="3540" spans="1:3" x14ac:dyDescent="0.25">
      <c r="A3540" s="879"/>
      <c r="B3540" s="1452" t="s">
        <v>1367</v>
      </c>
      <c r="C3540" s="879"/>
    </row>
    <row r="3541" spans="1:3" x14ac:dyDescent="0.25">
      <c r="A3541" s="879"/>
      <c r="B3541" s="1452" t="s">
        <v>1520</v>
      </c>
      <c r="C3541" s="879"/>
    </row>
    <row r="3542" spans="1:3" x14ac:dyDescent="0.25">
      <c r="A3542" s="879"/>
      <c r="B3542" s="1452" t="s">
        <v>2648</v>
      </c>
      <c r="C3542" s="879"/>
    </row>
    <row r="3543" spans="1:3" x14ac:dyDescent="0.25">
      <c r="A3543" s="879"/>
      <c r="B3543" s="1452" t="s">
        <v>2649</v>
      </c>
      <c r="C3543" s="879"/>
    </row>
    <row r="3544" spans="1:3" x14ac:dyDescent="0.25">
      <c r="A3544" s="879"/>
      <c r="B3544" s="1452" t="s">
        <v>2650</v>
      </c>
      <c r="C3544" s="879"/>
    </row>
    <row r="3545" spans="1:3" x14ac:dyDescent="0.25">
      <c r="A3545" s="879"/>
      <c r="B3545" s="1452" t="s">
        <v>2651</v>
      </c>
      <c r="C3545" s="879"/>
    </row>
    <row r="3546" spans="1:3" x14ac:dyDescent="0.25">
      <c r="A3546" s="879"/>
      <c r="B3546" s="1452" t="s">
        <v>2652</v>
      </c>
      <c r="C3546" s="879"/>
    </row>
    <row r="3547" spans="1:3" x14ac:dyDescent="0.25">
      <c r="A3547" s="879"/>
      <c r="B3547" s="1452" t="s">
        <v>2653</v>
      </c>
      <c r="C3547" s="879"/>
    </row>
    <row r="3548" spans="1:3" x14ac:dyDescent="0.25">
      <c r="A3548" s="879"/>
      <c r="B3548" s="1452" t="s">
        <v>2654</v>
      </c>
      <c r="C3548" s="879"/>
    </row>
    <row r="3549" spans="1:3" x14ac:dyDescent="0.25">
      <c r="A3549" s="879"/>
      <c r="B3549" s="1452" t="s">
        <v>2655</v>
      </c>
      <c r="C3549" s="879"/>
    </row>
    <row r="3550" spans="1:3" x14ac:dyDescent="0.25">
      <c r="A3550" s="879"/>
      <c r="B3550" s="1452" t="s">
        <v>2656</v>
      </c>
      <c r="C3550" s="879"/>
    </row>
    <row r="3551" spans="1:3" x14ac:dyDescent="0.25">
      <c r="A3551" s="879"/>
      <c r="B3551" s="1452" t="s">
        <v>2657</v>
      </c>
      <c r="C3551" s="879"/>
    </row>
    <row r="3552" spans="1:3" x14ac:dyDescent="0.25">
      <c r="A3552" s="879"/>
      <c r="B3552" s="1452" t="s">
        <v>1565</v>
      </c>
      <c r="C3552" s="879"/>
    </row>
    <row r="3553" spans="1:3" x14ac:dyDescent="0.25">
      <c r="A3553" s="879"/>
      <c r="B3553" s="1452" t="s">
        <v>1566</v>
      </c>
      <c r="C3553" s="879"/>
    </row>
    <row r="3554" spans="1:3" x14ac:dyDescent="0.25">
      <c r="A3554" s="879"/>
      <c r="B3554" s="1452" t="s">
        <v>2658</v>
      </c>
      <c r="C3554" s="879"/>
    </row>
    <row r="3555" spans="1:3" x14ac:dyDescent="0.25">
      <c r="A3555" s="879"/>
      <c r="B3555" s="1452" t="s">
        <v>1525</v>
      </c>
      <c r="C3555" s="879"/>
    </row>
    <row r="3556" spans="1:3" x14ac:dyDescent="0.25">
      <c r="A3556" s="879"/>
      <c r="B3556" s="1452" t="s">
        <v>2659</v>
      </c>
      <c r="C3556" s="879"/>
    </row>
    <row r="3557" spans="1:3" x14ac:dyDescent="0.25">
      <c r="A3557" s="879"/>
      <c r="B3557" s="1452" t="s">
        <v>2660</v>
      </c>
      <c r="C3557" s="879"/>
    </row>
    <row r="3558" spans="1:3" x14ac:dyDescent="0.25">
      <c r="A3558" s="879"/>
      <c r="B3558" s="1452" t="s">
        <v>2661</v>
      </c>
      <c r="C3558" s="879"/>
    </row>
    <row r="3559" spans="1:3" x14ac:dyDescent="0.25">
      <c r="A3559" s="879"/>
      <c r="B3559" s="1452" t="s">
        <v>2662</v>
      </c>
      <c r="C3559" s="879"/>
    </row>
    <row r="3560" spans="1:3" x14ac:dyDescent="0.25">
      <c r="A3560" s="879"/>
      <c r="B3560" s="1452" t="s">
        <v>2663</v>
      </c>
      <c r="C3560" s="879"/>
    </row>
    <row r="3561" spans="1:3" x14ac:dyDescent="0.25">
      <c r="A3561" s="879"/>
      <c r="B3561" s="1452" t="s">
        <v>1567</v>
      </c>
      <c r="C3561" s="879"/>
    </row>
    <row r="3562" spans="1:3" x14ac:dyDescent="0.25">
      <c r="A3562" s="879"/>
      <c r="B3562" s="1452" t="s">
        <v>2398</v>
      </c>
      <c r="C3562" s="879"/>
    </row>
    <row r="3563" spans="1:3" x14ac:dyDescent="0.25">
      <c r="A3563" s="879"/>
      <c r="B3563" s="1452" t="s">
        <v>2664</v>
      </c>
      <c r="C3563" s="879"/>
    </row>
    <row r="3564" spans="1:3" x14ac:dyDescent="0.25">
      <c r="A3564" s="879"/>
      <c r="B3564" s="1452" t="s">
        <v>1527</v>
      </c>
      <c r="C3564" s="879"/>
    </row>
    <row r="3565" spans="1:3" x14ac:dyDescent="0.25">
      <c r="A3565" s="879"/>
      <c r="B3565" s="1452" t="s">
        <v>2665</v>
      </c>
      <c r="C3565" s="879"/>
    </row>
    <row r="3566" spans="1:3" x14ac:dyDescent="0.25">
      <c r="A3566" s="879"/>
      <c r="B3566" s="1452" t="s">
        <v>2666</v>
      </c>
      <c r="C3566" s="879"/>
    </row>
    <row r="3567" spans="1:3" x14ac:dyDescent="0.25">
      <c r="A3567" s="879"/>
      <c r="B3567" s="1452" t="s">
        <v>2017</v>
      </c>
      <c r="C3567" s="879"/>
    </row>
    <row r="3568" spans="1:3" x14ac:dyDescent="0.25">
      <c r="A3568" s="879"/>
      <c r="B3568" s="1452" t="s">
        <v>2667</v>
      </c>
      <c r="C3568" s="879"/>
    </row>
    <row r="3569" spans="1:3" x14ac:dyDescent="0.25">
      <c r="A3569" s="879"/>
      <c r="B3569" s="1452" t="s">
        <v>2668</v>
      </c>
      <c r="C3569" s="879"/>
    </row>
    <row r="3570" spans="1:3" x14ac:dyDescent="0.25">
      <c r="A3570" s="879"/>
      <c r="B3570" s="1452" t="s">
        <v>1569</v>
      </c>
      <c r="C3570" s="879"/>
    </row>
    <row r="3571" spans="1:3" x14ac:dyDescent="0.25">
      <c r="A3571" s="879"/>
      <c r="B3571" s="1452" t="s">
        <v>1570</v>
      </c>
      <c r="C3571" s="879"/>
    </row>
    <row r="3572" spans="1:3" x14ac:dyDescent="0.25">
      <c r="A3572" s="879"/>
      <c r="B3572" s="1452" t="s">
        <v>2669</v>
      </c>
      <c r="C3572" s="879"/>
    </row>
    <row r="3573" spans="1:3" x14ac:dyDescent="0.25">
      <c r="A3573" s="879"/>
      <c r="B3573" s="1452" t="s">
        <v>2022</v>
      </c>
      <c r="C3573" s="879"/>
    </row>
    <row r="3574" spans="1:3" x14ac:dyDescent="0.25">
      <c r="A3574" s="879"/>
      <c r="B3574" s="1452" t="s">
        <v>1571</v>
      </c>
      <c r="C3574" s="879"/>
    </row>
    <row r="3575" spans="1:3" x14ac:dyDescent="0.25">
      <c r="A3575" s="879"/>
      <c r="B3575" s="1452" t="s">
        <v>2670</v>
      </c>
      <c r="C3575" s="879"/>
    </row>
    <row r="3576" spans="1:3" x14ac:dyDescent="0.25">
      <c r="A3576" s="879"/>
      <c r="B3576" s="1452" t="s">
        <v>2671</v>
      </c>
      <c r="C3576" s="879"/>
    </row>
    <row r="3577" spans="1:3" x14ac:dyDescent="0.25">
      <c r="A3577" s="879"/>
      <c r="B3577" s="1452" t="s">
        <v>2672</v>
      </c>
      <c r="C3577" s="879"/>
    </row>
    <row r="3578" spans="1:3" x14ac:dyDescent="0.25">
      <c r="A3578" s="879"/>
      <c r="B3578" s="1452" t="s">
        <v>2673</v>
      </c>
      <c r="C3578" s="879"/>
    </row>
    <row r="3579" spans="1:3" x14ac:dyDescent="0.25">
      <c r="A3579" s="879"/>
      <c r="B3579" s="1452" t="s">
        <v>2674</v>
      </c>
      <c r="C3579" s="879"/>
    </row>
    <row r="3580" spans="1:3" x14ac:dyDescent="0.25">
      <c r="A3580" s="879"/>
      <c r="B3580" s="1452" t="s">
        <v>2675</v>
      </c>
      <c r="C3580" s="879"/>
    </row>
    <row r="3581" spans="1:3" x14ac:dyDescent="0.25">
      <c r="A3581" s="879"/>
      <c r="B3581" s="1452" t="s">
        <v>2676</v>
      </c>
      <c r="C3581" s="879"/>
    </row>
    <row r="3582" spans="1:3" x14ac:dyDescent="0.25">
      <c r="A3582" s="879"/>
      <c r="B3582" s="1452" t="s">
        <v>2677</v>
      </c>
      <c r="C3582" s="879"/>
    </row>
    <row r="3583" spans="1:3" x14ac:dyDescent="0.25">
      <c r="A3583" s="879"/>
      <c r="B3583" s="1452" t="s">
        <v>2678</v>
      </c>
      <c r="C3583" s="879"/>
    </row>
    <row r="3584" spans="1:3" x14ac:dyDescent="0.25">
      <c r="A3584" s="879"/>
      <c r="B3584" s="1452" t="s">
        <v>2679</v>
      </c>
      <c r="C3584" s="879"/>
    </row>
    <row r="3585" spans="1:3" x14ac:dyDescent="0.25">
      <c r="A3585" s="879"/>
      <c r="B3585" s="1452" t="s">
        <v>1531</v>
      </c>
      <c r="C3585" s="879"/>
    </row>
    <row r="3586" spans="1:3" x14ac:dyDescent="0.25">
      <c r="A3586" s="879"/>
      <c r="B3586" s="1452" t="s">
        <v>1592</v>
      </c>
      <c r="C3586" s="879"/>
    </row>
    <row r="3587" spans="1:3" x14ac:dyDescent="0.25">
      <c r="A3587" s="879"/>
      <c r="B3587" s="1452" t="s">
        <v>1572</v>
      </c>
      <c r="C3587" s="879"/>
    </row>
    <row r="3588" spans="1:3" x14ac:dyDescent="0.25">
      <c r="A3588" s="879"/>
      <c r="B3588" s="1452" t="s">
        <v>1532</v>
      </c>
      <c r="C3588" s="879"/>
    </row>
    <row r="3589" spans="1:3" x14ac:dyDescent="0.25">
      <c r="A3589" s="879"/>
      <c r="B3589" s="1452" t="s">
        <v>1430</v>
      </c>
      <c r="C3589" s="879"/>
    </row>
    <row r="3590" spans="1:3" x14ac:dyDescent="0.25">
      <c r="A3590" s="879"/>
      <c r="B3590" s="1452" t="s">
        <v>1367</v>
      </c>
      <c r="C3590" s="879"/>
    </row>
    <row r="3591" spans="1:3" x14ac:dyDescent="0.25">
      <c r="A3591" s="879"/>
      <c r="B3591" s="1452" t="s">
        <v>1449</v>
      </c>
      <c r="C3591" s="879"/>
    </row>
    <row r="3592" spans="1:3" x14ac:dyDescent="0.25">
      <c r="A3592" s="879"/>
      <c r="B3592" s="1452" t="s">
        <v>1367</v>
      </c>
      <c r="C3592" s="879"/>
    </row>
    <row r="3593" spans="1:3" x14ac:dyDescent="0.25">
      <c r="A3593" s="879"/>
      <c r="B3593" s="1452" t="s">
        <v>1450</v>
      </c>
      <c r="C3593" s="879"/>
    </row>
    <row r="3594" spans="1:3" x14ac:dyDescent="0.25">
      <c r="A3594" s="879"/>
      <c r="B3594" s="1452" t="s">
        <v>1451</v>
      </c>
      <c r="C3594" s="879"/>
    </row>
    <row r="3595" spans="1:3" x14ac:dyDescent="0.25">
      <c r="A3595" s="879"/>
      <c r="B3595" s="1452" t="s">
        <v>2037</v>
      </c>
      <c r="C3595" s="879"/>
    </row>
    <row r="3596" spans="1:3" x14ac:dyDescent="0.25">
      <c r="A3596" s="879"/>
      <c r="B3596" s="1452" t="s">
        <v>1892</v>
      </c>
      <c r="C3596" s="879"/>
    </row>
    <row r="3597" spans="1:3" x14ac:dyDescent="0.25">
      <c r="A3597" s="879"/>
      <c r="B3597" s="1452" t="s">
        <v>1682</v>
      </c>
      <c r="C3597" s="879"/>
    </row>
    <row r="3598" spans="1:3" x14ac:dyDescent="0.25">
      <c r="A3598" s="879"/>
      <c r="B3598" s="1452" t="s">
        <v>1517</v>
      </c>
      <c r="C3598" s="879"/>
    </row>
    <row r="3599" spans="1:3" x14ac:dyDescent="0.25">
      <c r="A3599" s="879"/>
      <c r="B3599" s="1452" t="s">
        <v>1684</v>
      </c>
      <c r="C3599" s="879"/>
    </row>
    <row r="3600" spans="1:3" x14ac:dyDescent="0.25">
      <c r="A3600" s="879"/>
      <c r="B3600" s="1452" t="s">
        <v>2038</v>
      </c>
      <c r="C3600" s="879"/>
    </row>
    <row r="3601" spans="1:3" x14ac:dyDescent="0.25">
      <c r="A3601" s="879"/>
      <c r="B3601" s="1452" t="s">
        <v>2039</v>
      </c>
      <c r="C3601" s="879"/>
    </row>
    <row r="3602" spans="1:3" x14ac:dyDescent="0.25">
      <c r="A3602" s="879"/>
      <c r="B3602" s="1452" t="s">
        <v>1685</v>
      </c>
      <c r="C3602" s="879"/>
    </row>
    <row r="3603" spans="1:3" x14ac:dyDescent="0.25">
      <c r="A3603" s="879"/>
      <c r="B3603" s="1452" t="s">
        <v>1686</v>
      </c>
      <c r="C3603" s="879"/>
    </row>
    <row r="3604" spans="1:3" x14ac:dyDescent="0.25">
      <c r="A3604" s="879"/>
      <c r="B3604" s="1452" t="s">
        <v>2040</v>
      </c>
      <c r="C3604" s="879"/>
    </row>
    <row r="3605" spans="1:3" x14ac:dyDescent="0.25">
      <c r="A3605" s="879"/>
      <c r="B3605" s="1452" t="s">
        <v>2041</v>
      </c>
      <c r="C3605" s="879"/>
    </row>
    <row r="3606" spans="1:3" x14ac:dyDescent="0.25">
      <c r="A3606" s="879"/>
      <c r="B3606" s="1452" t="s">
        <v>1455</v>
      </c>
      <c r="C3606" s="879"/>
    </row>
    <row r="3607" spans="1:3" x14ac:dyDescent="0.25">
      <c r="A3607" s="879"/>
      <c r="B3607" s="1452" t="s">
        <v>2042</v>
      </c>
      <c r="C3607" s="879"/>
    </row>
    <row r="3608" spans="1:3" x14ac:dyDescent="0.25">
      <c r="A3608" s="879"/>
      <c r="B3608" s="1452" t="s">
        <v>1688</v>
      </c>
      <c r="C3608" s="879"/>
    </row>
    <row r="3609" spans="1:3" x14ac:dyDescent="0.25">
      <c r="A3609" s="879"/>
      <c r="B3609" s="1452" t="s">
        <v>2043</v>
      </c>
      <c r="C3609" s="879"/>
    </row>
    <row r="3610" spans="1:3" x14ac:dyDescent="0.25">
      <c r="A3610" s="879"/>
      <c r="B3610" s="1452" t="s">
        <v>1456</v>
      </c>
      <c r="C3610" s="879"/>
    </row>
    <row r="3611" spans="1:3" x14ac:dyDescent="0.25">
      <c r="A3611" s="879"/>
      <c r="B3611" s="1452" t="s">
        <v>1367</v>
      </c>
      <c r="C3611" s="879"/>
    </row>
    <row r="3612" spans="1:3" x14ac:dyDescent="0.25">
      <c r="A3612" s="879"/>
      <c r="B3612" s="1452" t="s">
        <v>1450</v>
      </c>
      <c r="C3612" s="879"/>
    </row>
    <row r="3613" spans="1:3" x14ac:dyDescent="0.25">
      <c r="A3613" s="879"/>
      <c r="B3613" s="1452" t="s">
        <v>1451</v>
      </c>
      <c r="C3613" s="879"/>
    </row>
    <row r="3614" spans="1:3" x14ac:dyDescent="0.25">
      <c r="A3614" s="879"/>
      <c r="B3614" s="1452" t="s">
        <v>2037</v>
      </c>
      <c r="C3614" s="879"/>
    </row>
    <row r="3615" spans="1:3" x14ac:dyDescent="0.25">
      <c r="A3615" s="879"/>
      <c r="B3615" s="1452" t="s">
        <v>1892</v>
      </c>
      <c r="C3615" s="879"/>
    </row>
    <row r="3616" spans="1:3" x14ac:dyDescent="0.25">
      <c r="A3616" s="879"/>
      <c r="B3616" s="1452" t="s">
        <v>1682</v>
      </c>
      <c r="C3616" s="879"/>
    </row>
    <row r="3617" spans="1:3" x14ac:dyDescent="0.25">
      <c r="A3617" s="879"/>
      <c r="B3617" s="1452" t="s">
        <v>1517</v>
      </c>
      <c r="C3617" s="879"/>
    </row>
    <row r="3618" spans="1:3" x14ac:dyDescent="0.25">
      <c r="A3618" s="879"/>
      <c r="B3618" s="1452" t="s">
        <v>1684</v>
      </c>
      <c r="C3618" s="879"/>
    </row>
    <row r="3619" spans="1:3" x14ac:dyDescent="0.25">
      <c r="A3619" s="879"/>
      <c r="B3619" s="1452" t="s">
        <v>2038</v>
      </c>
      <c r="C3619" s="879"/>
    </row>
    <row r="3620" spans="1:3" x14ac:dyDescent="0.25">
      <c r="A3620" s="879"/>
      <c r="B3620" s="1452" t="s">
        <v>2039</v>
      </c>
      <c r="C3620" s="879"/>
    </row>
    <row r="3621" spans="1:3" x14ac:dyDescent="0.25">
      <c r="A3621" s="879"/>
      <c r="B3621" s="1452" t="s">
        <v>1685</v>
      </c>
      <c r="C3621" s="879"/>
    </row>
    <row r="3622" spans="1:3" x14ac:dyDescent="0.25">
      <c r="A3622" s="879"/>
      <c r="B3622" s="1452" t="s">
        <v>1686</v>
      </c>
      <c r="C3622" s="879"/>
    </row>
    <row r="3623" spans="1:3" x14ac:dyDescent="0.25">
      <c r="A3623" s="879"/>
      <c r="B3623" s="1452" t="s">
        <v>2040</v>
      </c>
      <c r="C3623" s="879"/>
    </row>
    <row r="3624" spans="1:3" x14ac:dyDescent="0.25">
      <c r="A3624" s="879"/>
      <c r="B3624" s="1452" t="s">
        <v>2041</v>
      </c>
      <c r="C3624" s="879"/>
    </row>
    <row r="3625" spans="1:3" x14ac:dyDescent="0.25">
      <c r="A3625" s="879"/>
      <c r="B3625" s="1452" t="s">
        <v>1455</v>
      </c>
      <c r="C3625" s="879"/>
    </row>
    <row r="3626" spans="1:3" x14ac:dyDescent="0.25">
      <c r="A3626" s="879"/>
      <c r="B3626" s="1452" t="s">
        <v>2042</v>
      </c>
      <c r="C3626" s="879"/>
    </row>
    <row r="3627" spans="1:3" x14ac:dyDescent="0.25">
      <c r="A3627" s="879"/>
      <c r="B3627" s="1452" t="s">
        <v>1688</v>
      </c>
      <c r="C3627" s="879"/>
    </row>
    <row r="3628" spans="1:3" x14ac:dyDescent="0.25">
      <c r="A3628" s="879"/>
      <c r="B3628" s="1452" t="s">
        <v>2043</v>
      </c>
      <c r="C3628" s="879"/>
    </row>
    <row r="3629" spans="1:3" x14ac:dyDescent="0.25">
      <c r="A3629" s="879"/>
      <c r="B3629" s="1452" t="s">
        <v>1459</v>
      </c>
      <c r="C3629" s="879"/>
    </row>
    <row r="3630" spans="1:3" x14ac:dyDescent="0.25">
      <c r="A3630" s="879"/>
      <c r="B3630" s="1452" t="s">
        <v>1367</v>
      </c>
      <c r="C3630" s="879"/>
    </row>
    <row r="3631" spans="1:3" x14ac:dyDescent="0.25">
      <c r="A3631" s="879"/>
      <c r="B3631" s="1452" t="s">
        <v>1450</v>
      </c>
      <c r="C3631" s="879"/>
    </row>
    <row r="3632" spans="1:3" x14ac:dyDescent="0.25">
      <c r="A3632" s="879"/>
      <c r="B3632" s="1452" t="s">
        <v>1451</v>
      </c>
      <c r="C3632" s="879"/>
    </row>
    <row r="3633" spans="1:3" x14ac:dyDescent="0.25">
      <c r="A3633" s="879"/>
      <c r="B3633" s="1452" t="s">
        <v>2417</v>
      </c>
      <c r="C3633" s="879"/>
    </row>
    <row r="3634" spans="1:3" x14ac:dyDescent="0.25">
      <c r="A3634" s="879"/>
      <c r="B3634" s="1452" t="s">
        <v>1681</v>
      </c>
      <c r="C3634" s="879"/>
    </row>
    <row r="3635" spans="1:3" x14ac:dyDescent="0.25">
      <c r="A3635" s="879"/>
      <c r="B3635" s="1452" t="s">
        <v>1682</v>
      </c>
      <c r="C3635" s="879"/>
    </row>
    <row r="3636" spans="1:3" x14ac:dyDescent="0.25">
      <c r="A3636" s="879"/>
      <c r="B3636" s="1452" t="s">
        <v>1517</v>
      </c>
      <c r="C3636" s="879"/>
    </row>
    <row r="3637" spans="1:3" x14ac:dyDescent="0.25">
      <c r="A3637" s="879"/>
      <c r="B3637" s="1452" t="s">
        <v>1684</v>
      </c>
      <c r="C3637" s="879"/>
    </row>
    <row r="3638" spans="1:3" x14ac:dyDescent="0.25">
      <c r="A3638" s="879"/>
      <c r="B3638" s="1452" t="s">
        <v>2418</v>
      </c>
      <c r="C3638" s="879"/>
    </row>
    <row r="3639" spans="1:3" x14ac:dyDescent="0.25">
      <c r="A3639" s="879"/>
      <c r="B3639" s="1452" t="s">
        <v>2419</v>
      </c>
      <c r="C3639" s="879"/>
    </row>
    <row r="3640" spans="1:3" x14ac:dyDescent="0.25">
      <c r="A3640" s="879"/>
      <c r="B3640" s="1452" t="s">
        <v>1685</v>
      </c>
      <c r="C3640" s="879"/>
    </row>
    <row r="3641" spans="1:3" x14ac:dyDescent="0.25">
      <c r="A3641" s="879"/>
      <c r="B3641" s="1452" t="s">
        <v>1686</v>
      </c>
      <c r="C3641" s="879"/>
    </row>
    <row r="3642" spans="1:3" x14ac:dyDescent="0.25">
      <c r="A3642" s="879"/>
      <c r="B3642" s="1452" t="s">
        <v>2420</v>
      </c>
      <c r="C3642" s="879"/>
    </row>
    <row r="3643" spans="1:3" x14ac:dyDescent="0.25">
      <c r="A3643" s="879"/>
      <c r="B3643" s="1452" t="s">
        <v>2421</v>
      </c>
      <c r="C3643" s="879"/>
    </row>
    <row r="3644" spans="1:3" x14ac:dyDescent="0.25">
      <c r="A3644" s="879"/>
      <c r="B3644" s="1452" t="s">
        <v>1455</v>
      </c>
      <c r="C3644" s="879"/>
    </row>
    <row r="3645" spans="1:3" x14ac:dyDescent="0.25">
      <c r="A3645" s="879"/>
      <c r="B3645" s="1452" t="s">
        <v>2422</v>
      </c>
      <c r="C3645" s="879"/>
    </row>
    <row r="3646" spans="1:3" x14ac:dyDescent="0.25">
      <c r="A3646" s="879"/>
      <c r="B3646" s="1452" t="s">
        <v>1688</v>
      </c>
      <c r="C3646" s="879"/>
    </row>
    <row r="3647" spans="1:3" x14ac:dyDescent="0.25">
      <c r="A3647" s="879"/>
      <c r="B3647" s="1452" t="s">
        <v>1458</v>
      </c>
      <c r="C3647" s="879"/>
    </row>
    <row r="3648" spans="1:3" x14ac:dyDescent="0.25">
      <c r="A3648" s="879"/>
      <c r="B3648" s="1452" t="s">
        <v>1690</v>
      </c>
      <c r="C3648" s="879"/>
    </row>
    <row r="3649" spans="1:3" x14ac:dyDescent="0.25">
      <c r="A3649" s="879"/>
      <c r="B3649" s="1452" t="s">
        <v>1367</v>
      </c>
      <c r="C3649" s="879"/>
    </row>
    <row r="3650" spans="1:3" x14ac:dyDescent="0.25">
      <c r="A3650" s="879"/>
      <c r="B3650" s="1452" t="s">
        <v>1691</v>
      </c>
      <c r="C3650" s="879"/>
    </row>
    <row r="3651" spans="1:3" x14ac:dyDescent="0.25">
      <c r="A3651" s="879"/>
      <c r="B3651" s="1452" t="s">
        <v>2429</v>
      </c>
      <c r="C3651" s="879"/>
    </row>
    <row r="3652" spans="1:3" x14ac:dyDescent="0.25">
      <c r="A3652" s="879"/>
      <c r="B3652" s="1452" t="s">
        <v>2430</v>
      </c>
      <c r="C3652" s="879"/>
    </row>
    <row r="3653" spans="1:3" x14ac:dyDescent="0.25">
      <c r="A3653" s="879"/>
      <c r="B3653" s="1452" t="s">
        <v>1694</v>
      </c>
      <c r="C3653" s="879"/>
    </row>
    <row r="3654" spans="1:3" x14ac:dyDescent="0.25">
      <c r="A3654" s="879"/>
      <c r="B3654" s="1452" t="s">
        <v>1695</v>
      </c>
      <c r="C3654" s="879"/>
    </row>
    <row r="3655" spans="1:3" x14ac:dyDescent="0.25">
      <c r="A3655" s="879"/>
      <c r="B3655" s="1452" t="s">
        <v>1696</v>
      </c>
      <c r="C3655" s="879"/>
    </row>
    <row r="3656" spans="1:3" x14ac:dyDescent="0.25">
      <c r="A3656" s="879"/>
      <c r="B3656" s="1452" t="s">
        <v>2431</v>
      </c>
      <c r="C3656" s="879"/>
    </row>
    <row r="3657" spans="1:3" x14ac:dyDescent="0.25">
      <c r="A3657" s="879"/>
      <c r="B3657" s="1452" t="s">
        <v>2432</v>
      </c>
      <c r="C3657" s="879"/>
    </row>
    <row r="3658" spans="1:3" x14ac:dyDescent="0.25">
      <c r="A3658" s="879"/>
      <c r="B3658" s="1452" t="s">
        <v>1699</v>
      </c>
      <c r="C3658" s="879"/>
    </row>
    <row r="3659" spans="1:3" x14ac:dyDescent="0.25">
      <c r="A3659" s="879"/>
      <c r="B3659" s="1452" t="s">
        <v>1700</v>
      </c>
      <c r="C3659" s="879"/>
    </row>
    <row r="3660" spans="1:3" x14ac:dyDescent="0.25">
      <c r="A3660" s="879"/>
      <c r="B3660" s="1452" t="s">
        <v>2433</v>
      </c>
      <c r="C3660" s="879"/>
    </row>
    <row r="3661" spans="1:3" x14ac:dyDescent="0.25">
      <c r="A3661" s="879"/>
      <c r="B3661" s="1452" t="s">
        <v>2434</v>
      </c>
      <c r="C3661" s="879"/>
    </row>
    <row r="3662" spans="1:3" x14ac:dyDescent="0.25">
      <c r="A3662" s="879"/>
      <c r="B3662" s="1452" t="s">
        <v>1703</v>
      </c>
      <c r="C3662" s="879"/>
    </row>
    <row r="3663" spans="1:3" x14ac:dyDescent="0.25">
      <c r="A3663" s="879"/>
      <c r="B3663" s="1452" t="s">
        <v>2435</v>
      </c>
      <c r="C3663" s="879"/>
    </row>
    <row r="3664" spans="1:3" x14ac:dyDescent="0.25">
      <c r="A3664" s="879"/>
      <c r="B3664" s="1452" t="s">
        <v>1705</v>
      </c>
      <c r="C3664" s="879"/>
    </row>
    <row r="3665" spans="1:3" x14ac:dyDescent="0.25">
      <c r="A3665" s="879"/>
      <c r="B3665" s="1452"/>
      <c r="C3665" s="879"/>
    </row>
    <row r="3666" spans="1:3" x14ac:dyDescent="0.25">
      <c r="A3666" s="879"/>
      <c r="B3666" s="1452"/>
      <c r="C3666" s="879"/>
    </row>
    <row r="3667" spans="1:3" x14ac:dyDescent="0.25">
      <c r="A3667" s="879"/>
      <c r="B3667" s="1452" t="s">
        <v>1368</v>
      </c>
      <c r="C3667" s="879"/>
    </row>
    <row r="3668" spans="1:3" x14ac:dyDescent="0.25">
      <c r="A3668" s="879"/>
      <c r="B3668" s="1452" t="s">
        <v>2680</v>
      </c>
      <c r="C3668" s="879"/>
    </row>
    <row r="3669" spans="1:3" x14ac:dyDescent="0.25">
      <c r="A3669" s="879"/>
      <c r="B3669" s="1452" t="s">
        <v>1368</v>
      </c>
      <c r="C3669" s="879"/>
    </row>
    <row r="3670" spans="1:3" x14ac:dyDescent="0.25">
      <c r="A3670" s="879"/>
      <c r="B3670" s="1452" t="s">
        <v>2681</v>
      </c>
      <c r="C3670" s="879"/>
    </row>
    <row r="3671" spans="1:3" x14ac:dyDescent="0.25">
      <c r="A3671" s="879"/>
      <c r="B3671" s="1452" t="s">
        <v>1367</v>
      </c>
      <c r="C3671" s="879"/>
    </row>
    <row r="3672" spans="1:3" x14ac:dyDescent="0.25">
      <c r="A3672" s="879"/>
      <c r="B3672" s="1452" t="s">
        <v>1369</v>
      </c>
      <c r="C3672" s="879"/>
    </row>
    <row r="3673" spans="1:3" x14ac:dyDescent="0.25">
      <c r="A3673" s="879"/>
      <c r="B3673" s="1452" t="s">
        <v>1370</v>
      </c>
      <c r="C3673" s="879"/>
    </row>
    <row r="3674" spans="1:3" x14ac:dyDescent="0.25">
      <c r="A3674" s="879"/>
      <c r="B3674" s="1452" t="s">
        <v>1367</v>
      </c>
      <c r="C3674" s="879"/>
    </row>
    <row r="3675" spans="1:3" x14ac:dyDescent="0.25">
      <c r="A3675" s="879"/>
      <c r="B3675" s="1452" t="s">
        <v>2446</v>
      </c>
      <c r="C3675" s="879"/>
    </row>
    <row r="3676" spans="1:3" x14ac:dyDescent="0.25">
      <c r="A3676" s="879"/>
      <c r="B3676" s="1452" t="s">
        <v>1563</v>
      </c>
      <c r="C3676" s="879"/>
    </row>
    <row r="3677" spans="1:3" x14ac:dyDescent="0.25">
      <c r="A3677" s="879"/>
      <c r="B3677" s="1452" t="s">
        <v>2447</v>
      </c>
      <c r="C3677" s="879"/>
    </row>
    <row r="3678" spans="1:3" x14ac:dyDescent="0.25">
      <c r="A3678" s="879"/>
      <c r="B3678" s="1452" t="s">
        <v>1582</v>
      </c>
      <c r="C3678" s="879"/>
    </row>
    <row r="3679" spans="1:3" x14ac:dyDescent="0.25">
      <c r="A3679" s="879"/>
      <c r="B3679" s="1452" t="s">
        <v>2682</v>
      </c>
      <c r="C3679" s="879"/>
    </row>
    <row r="3680" spans="1:3" x14ac:dyDescent="0.25">
      <c r="A3680" s="879"/>
      <c r="B3680" s="1452" t="s">
        <v>2683</v>
      </c>
      <c r="C3680" s="879"/>
    </row>
    <row r="3681" spans="1:3" x14ac:dyDescent="0.25">
      <c r="A3681" s="879"/>
      <c r="B3681" s="1452" t="s">
        <v>2684</v>
      </c>
      <c r="C3681" s="879"/>
    </row>
    <row r="3682" spans="1:3" x14ac:dyDescent="0.25">
      <c r="A3682" s="879"/>
      <c r="B3682" s="1452" t="s">
        <v>2448</v>
      </c>
      <c r="C3682" s="879"/>
    </row>
    <row r="3683" spans="1:3" x14ac:dyDescent="0.25">
      <c r="A3683" s="879"/>
      <c r="B3683" s="1452" t="s">
        <v>2449</v>
      </c>
      <c r="C3683" s="879"/>
    </row>
    <row r="3684" spans="1:3" x14ac:dyDescent="0.25">
      <c r="A3684" s="879"/>
      <c r="B3684" s="1452" t="s">
        <v>2685</v>
      </c>
      <c r="C3684" s="879"/>
    </row>
    <row r="3685" spans="1:3" x14ac:dyDescent="0.25">
      <c r="A3685" s="879"/>
      <c r="B3685" s="1452" t="s">
        <v>1564</v>
      </c>
      <c r="C3685" s="879"/>
    </row>
    <row r="3686" spans="1:3" x14ac:dyDescent="0.25">
      <c r="A3686" s="879"/>
      <c r="B3686" s="1452" t="s">
        <v>1382</v>
      </c>
      <c r="C3686" s="879"/>
    </row>
    <row r="3687" spans="1:3" x14ac:dyDescent="0.25">
      <c r="A3687" s="879"/>
      <c r="B3687" s="1452" t="s">
        <v>1367</v>
      </c>
      <c r="C3687" s="879"/>
    </row>
    <row r="3688" spans="1:3" x14ac:dyDescent="0.25">
      <c r="A3688" s="879"/>
      <c r="B3688" s="1452" t="s">
        <v>2446</v>
      </c>
      <c r="C3688" s="879"/>
    </row>
    <row r="3689" spans="1:3" x14ac:dyDescent="0.25">
      <c r="A3689" s="879"/>
      <c r="B3689" s="1452" t="s">
        <v>2450</v>
      </c>
      <c r="C3689" s="879"/>
    </row>
    <row r="3690" spans="1:3" x14ac:dyDescent="0.25">
      <c r="A3690" s="879"/>
      <c r="B3690" s="1452" t="s">
        <v>2451</v>
      </c>
      <c r="C3690" s="879"/>
    </row>
    <row r="3691" spans="1:3" x14ac:dyDescent="0.25">
      <c r="A3691" s="879"/>
      <c r="B3691" s="1452" t="s">
        <v>2452</v>
      </c>
      <c r="C3691" s="879"/>
    </row>
    <row r="3692" spans="1:3" x14ac:dyDescent="0.25">
      <c r="A3692" s="879"/>
      <c r="B3692" s="1452" t="s">
        <v>2686</v>
      </c>
      <c r="C3692" s="879"/>
    </row>
    <row r="3693" spans="1:3" x14ac:dyDescent="0.25">
      <c r="A3693" s="879"/>
      <c r="B3693" s="1452" t="s">
        <v>2453</v>
      </c>
      <c r="C3693" s="879"/>
    </row>
    <row r="3694" spans="1:3" x14ac:dyDescent="0.25">
      <c r="A3694" s="879"/>
      <c r="B3694" s="1452" t="s">
        <v>2454</v>
      </c>
      <c r="C3694" s="879"/>
    </row>
    <row r="3695" spans="1:3" x14ac:dyDescent="0.25">
      <c r="A3695" s="879"/>
      <c r="B3695" s="1452" t="s">
        <v>2455</v>
      </c>
      <c r="C3695" s="879"/>
    </row>
    <row r="3696" spans="1:3" x14ac:dyDescent="0.25">
      <c r="A3696" s="879"/>
      <c r="B3696" s="1452" t="s">
        <v>2456</v>
      </c>
      <c r="C3696" s="879"/>
    </row>
    <row r="3697" spans="1:3" x14ac:dyDescent="0.25">
      <c r="A3697" s="879"/>
      <c r="B3697" s="1452" t="s">
        <v>2457</v>
      </c>
      <c r="C3697" s="879"/>
    </row>
    <row r="3698" spans="1:3" x14ac:dyDescent="0.25">
      <c r="A3698" s="879"/>
      <c r="B3698" s="1452" t="s">
        <v>2458</v>
      </c>
      <c r="C3698" s="879"/>
    </row>
    <row r="3699" spans="1:3" x14ac:dyDescent="0.25">
      <c r="A3699" s="879"/>
      <c r="B3699" s="1452" t="s">
        <v>1565</v>
      </c>
      <c r="C3699" s="879"/>
    </row>
    <row r="3700" spans="1:3" x14ac:dyDescent="0.25">
      <c r="A3700" s="879"/>
      <c r="B3700" s="1452" t="s">
        <v>2687</v>
      </c>
      <c r="C3700" s="879"/>
    </row>
    <row r="3701" spans="1:3" x14ac:dyDescent="0.25">
      <c r="A3701" s="879"/>
      <c r="B3701" s="1452" t="s">
        <v>2688</v>
      </c>
      <c r="C3701" s="879"/>
    </row>
    <row r="3702" spans="1:3" x14ac:dyDescent="0.25">
      <c r="A3702" s="879"/>
      <c r="B3702" s="1452" t="s">
        <v>1525</v>
      </c>
      <c r="C3702" s="879"/>
    </row>
    <row r="3703" spans="1:3" x14ac:dyDescent="0.25">
      <c r="A3703" s="879"/>
      <c r="B3703" s="1452" t="s">
        <v>2689</v>
      </c>
      <c r="C3703" s="879"/>
    </row>
    <row r="3704" spans="1:3" x14ac:dyDescent="0.25">
      <c r="A3704" s="879"/>
      <c r="B3704" s="1452" t="s">
        <v>2690</v>
      </c>
      <c r="C3704" s="879"/>
    </row>
    <row r="3705" spans="1:3" x14ac:dyDescent="0.25">
      <c r="A3705" s="879"/>
      <c r="B3705" s="1452" t="s">
        <v>2460</v>
      </c>
      <c r="C3705" s="879"/>
    </row>
    <row r="3706" spans="1:3" x14ac:dyDescent="0.25">
      <c r="A3706" s="879"/>
      <c r="B3706" s="1452" t="s">
        <v>2691</v>
      </c>
      <c r="C3706" s="879"/>
    </row>
    <row r="3707" spans="1:3" x14ac:dyDescent="0.25">
      <c r="A3707" s="879"/>
      <c r="B3707" s="1452" t="s">
        <v>2461</v>
      </c>
      <c r="C3707" s="879"/>
    </row>
    <row r="3708" spans="1:3" x14ac:dyDescent="0.25">
      <c r="A3708" s="879"/>
      <c r="B3708" s="1452" t="s">
        <v>2692</v>
      </c>
      <c r="C3708" s="879"/>
    </row>
    <row r="3709" spans="1:3" x14ac:dyDescent="0.25">
      <c r="A3709" s="879"/>
      <c r="B3709" s="1452" t="s">
        <v>2462</v>
      </c>
      <c r="C3709" s="879"/>
    </row>
    <row r="3710" spans="1:3" x14ac:dyDescent="0.25">
      <c r="A3710" s="879"/>
      <c r="B3710" s="1452" t="s">
        <v>2463</v>
      </c>
      <c r="C3710" s="879"/>
    </row>
    <row r="3711" spans="1:3" x14ac:dyDescent="0.25">
      <c r="A3711" s="879"/>
      <c r="B3711" s="1452" t="s">
        <v>1527</v>
      </c>
      <c r="C3711" s="879"/>
    </row>
    <row r="3712" spans="1:3" x14ac:dyDescent="0.25">
      <c r="A3712" s="879"/>
      <c r="B3712" s="1452" t="s">
        <v>2464</v>
      </c>
      <c r="C3712" s="879"/>
    </row>
    <row r="3713" spans="1:3" x14ac:dyDescent="0.25">
      <c r="A3713" s="879"/>
      <c r="B3713" s="1452" t="s">
        <v>2465</v>
      </c>
      <c r="C3713" s="879"/>
    </row>
    <row r="3714" spans="1:3" x14ac:dyDescent="0.25">
      <c r="A3714" s="879"/>
      <c r="B3714" s="1452" t="s">
        <v>2466</v>
      </c>
      <c r="C3714" s="879"/>
    </row>
    <row r="3715" spans="1:3" x14ac:dyDescent="0.25">
      <c r="A3715" s="879"/>
      <c r="B3715" s="1452" t="s">
        <v>2693</v>
      </c>
      <c r="C3715" s="879"/>
    </row>
    <row r="3716" spans="1:3" x14ac:dyDescent="0.25">
      <c r="A3716" s="879"/>
      <c r="B3716" s="1452" t="s">
        <v>2468</v>
      </c>
      <c r="C3716" s="879"/>
    </row>
    <row r="3717" spans="1:3" x14ac:dyDescent="0.25">
      <c r="A3717" s="879"/>
      <c r="B3717" s="1452" t="s">
        <v>1569</v>
      </c>
      <c r="C3717" s="879"/>
    </row>
    <row r="3718" spans="1:3" x14ac:dyDescent="0.25">
      <c r="A3718" s="879"/>
      <c r="B3718" s="1452" t="s">
        <v>1570</v>
      </c>
      <c r="C3718" s="879"/>
    </row>
    <row r="3719" spans="1:3" x14ac:dyDescent="0.25">
      <c r="A3719" s="879"/>
      <c r="B3719" s="1452" t="s">
        <v>2469</v>
      </c>
      <c r="C3719" s="879"/>
    </row>
    <row r="3720" spans="1:3" x14ac:dyDescent="0.25">
      <c r="A3720" s="879"/>
      <c r="B3720" s="1452" t="s">
        <v>2470</v>
      </c>
      <c r="C3720" s="879"/>
    </row>
    <row r="3721" spans="1:3" x14ac:dyDescent="0.25">
      <c r="A3721" s="879"/>
      <c r="B3721" s="1452" t="s">
        <v>1571</v>
      </c>
      <c r="C3721" s="879"/>
    </row>
    <row r="3722" spans="1:3" x14ac:dyDescent="0.25">
      <c r="A3722" s="879"/>
      <c r="B3722" s="1452" t="s">
        <v>2694</v>
      </c>
      <c r="C3722" s="879"/>
    </row>
    <row r="3723" spans="1:3" x14ac:dyDescent="0.25">
      <c r="A3723" s="879"/>
      <c r="B3723" s="1452" t="s">
        <v>2695</v>
      </c>
      <c r="C3723" s="879"/>
    </row>
    <row r="3724" spans="1:3" x14ac:dyDescent="0.25">
      <c r="A3724" s="879"/>
      <c r="B3724" s="1452" t="s">
        <v>2696</v>
      </c>
      <c r="C3724" s="879"/>
    </row>
    <row r="3725" spans="1:3" x14ac:dyDescent="0.25">
      <c r="A3725" s="879"/>
      <c r="B3725" s="1452" t="s">
        <v>2474</v>
      </c>
      <c r="C3725" s="879"/>
    </row>
    <row r="3726" spans="1:3" x14ac:dyDescent="0.25">
      <c r="A3726" s="879"/>
      <c r="B3726" s="1452" t="s">
        <v>2475</v>
      </c>
      <c r="C3726" s="879"/>
    </row>
    <row r="3727" spans="1:3" x14ac:dyDescent="0.25">
      <c r="A3727" s="879"/>
      <c r="B3727" s="1452" t="s">
        <v>2476</v>
      </c>
      <c r="C3727" s="879"/>
    </row>
    <row r="3728" spans="1:3" x14ac:dyDescent="0.25">
      <c r="A3728" s="879"/>
      <c r="B3728" s="1452" t="s">
        <v>2477</v>
      </c>
      <c r="C3728" s="879"/>
    </row>
    <row r="3729" spans="1:3" x14ac:dyDescent="0.25">
      <c r="A3729" s="879"/>
      <c r="B3729" s="1452" t="s">
        <v>2697</v>
      </c>
      <c r="C3729" s="879"/>
    </row>
    <row r="3730" spans="1:3" x14ac:dyDescent="0.25">
      <c r="A3730" s="879"/>
      <c r="B3730" s="1452" t="s">
        <v>2698</v>
      </c>
      <c r="C3730" s="879"/>
    </row>
    <row r="3731" spans="1:3" x14ac:dyDescent="0.25">
      <c r="A3731" s="879"/>
      <c r="B3731" s="1452" t="s">
        <v>2699</v>
      </c>
      <c r="C3731" s="879"/>
    </row>
    <row r="3732" spans="1:3" x14ac:dyDescent="0.25">
      <c r="A3732" s="879"/>
      <c r="B3732" s="1452" t="s">
        <v>1531</v>
      </c>
      <c r="C3732" s="879"/>
    </row>
    <row r="3733" spans="1:3" x14ac:dyDescent="0.25">
      <c r="A3733" s="879"/>
      <c r="B3733" s="1452" t="s">
        <v>1592</v>
      </c>
      <c r="C3733" s="879"/>
    </row>
    <row r="3734" spans="1:3" x14ac:dyDescent="0.25">
      <c r="A3734" s="879"/>
      <c r="B3734" s="1452" t="s">
        <v>1572</v>
      </c>
      <c r="C3734" s="879"/>
    </row>
    <row r="3735" spans="1:3" x14ac:dyDescent="0.25">
      <c r="A3735" s="879"/>
      <c r="B3735" s="1452" t="s">
        <v>2700</v>
      </c>
      <c r="C3735" s="879"/>
    </row>
    <row r="3736" spans="1:3" x14ac:dyDescent="0.25">
      <c r="A3736" s="879"/>
      <c r="B3736" s="1452" t="s">
        <v>1430</v>
      </c>
      <c r="C3736" s="879"/>
    </row>
    <row r="3737" spans="1:3" x14ac:dyDescent="0.25">
      <c r="A3737" s="879"/>
      <c r="B3737" s="1452" t="s">
        <v>1367</v>
      </c>
      <c r="C3737" s="879"/>
    </row>
    <row r="3738" spans="1:3" x14ac:dyDescent="0.25">
      <c r="A3738" s="879"/>
      <c r="B3738" s="1452" t="s">
        <v>1449</v>
      </c>
      <c r="C3738" s="879"/>
    </row>
    <row r="3739" spans="1:3" x14ac:dyDescent="0.25">
      <c r="A3739" s="879"/>
      <c r="B3739" s="1452" t="s">
        <v>1367</v>
      </c>
      <c r="C3739" s="879"/>
    </row>
    <row r="3740" spans="1:3" x14ac:dyDescent="0.25">
      <c r="A3740" s="879"/>
      <c r="B3740" s="1452" t="s">
        <v>1450</v>
      </c>
      <c r="C3740" s="879"/>
    </row>
    <row r="3741" spans="1:3" x14ac:dyDescent="0.25">
      <c r="A3741" s="879"/>
      <c r="B3741" s="1452" t="s">
        <v>1451</v>
      </c>
      <c r="C3741" s="879"/>
    </row>
    <row r="3742" spans="1:3" x14ac:dyDescent="0.25">
      <c r="A3742" s="879"/>
      <c r="B3742" s="1452" t="s">
        <v>2701</v>
      </c>
      <c r="C3742" s="879"/>
    </row>
    <row r="3743" spans="1:3" x14ac:dyDescent="0.25">
      <c r="A3743" s="879"/>
      <c r="B3743" s="1452" t="s">
        <v>2702</v>
      </c>
      <c r="C3743" s="879"/>
    </row>
    <row r="3744" spans="1:3" x14ac:dyDescent="0.25">
      <c r="A3744" s="879"/>
      <c r="B3744" s="1452" t="s">
        <v>1974</v>
      </c>
      <c r="C3744" s="879"/>
    </row>
    <row r="3745" spans="1:3" x14ac:dyDescent="0.25">
      <c r="A3745" s="879"/>
      <c r="B3745" s="1452" t="s">
        <v>1975</v>
      </c>
      <c r="C3745" s="879"/>
    </row>
    <row r="3746" spans="1:3" x14ac:dyDescent="0.25">
      <c r="A3746" s="879"/>
      <c r="B3746" s="1452" t="s">
        <v>1684</v>
      </c>
      <c r="C3746" s="879"/>
    </row>
    <row r="3747" spans="1:3" x14ac:dyDescent="0.25">
      <c r="A3747" s="879"/>
      <c r="B3747" s="1452" t="s">
        <v>2703</v>
      </c>
      <c r="C3747" s="879"/>
    </row>
    <row r="3748" spans="1:3" x14ac:dyDescent="0.25">
      <c r="A3748" s="879"/>
      <c r="B3748" s="1452" t="s">
        <v>1976</v>
      </c>
      <c r="C3748" s="879"/>
    </row>
    <row r="3749" spans="1:3" x14ac:dyDescent="0.25">
      <c r="A3749" s="879"/>
      <c r="B3749" s="1452" t="s">
        <v>2704</v>
      </c>
      <c r="C3749" s="879"/>
    </row>
    <row r="3750" spans="1:3" x14ac:dyDescent="0.25">
      <c r="A3750" s="879"/>
      <c r="B3750" s="1452" t="s">
        <v>1686</v>
      </c>
      <c r="C3750" s="879"/>
    </row>
    <row r="3751" spans="1:3" x14ac:dyDescent="0.25">
      <c r="A3751" s="879"/>
      <c r="B3751" s="1452" t="s">
        <v>1454</v>
      </c>
      <c r="C3751" s="879"/>
    </row>
    <row r="3752" spans="1:3" x14ac:dyDescent="0.25">
      <c r="A3752" s="879"/>
      <c r="B3752" s="1452" t="s">
        <v>1979</v>
      </c>
      <c r="C3752" s="879"/>
    </row>
    <row r="3753" spans="1:3" x14ac:dyDescent="0.25">
      <c r="A3753" s="879"/>
      <c r="B3753" s="1452" t="s">
        <v>1455</v>
      </c>
      <c r="C3753" s="879"/>
    </row>
    <row r="3754" spans="1:3" x14ac:dyDescent="0.25">
      <c r="A3754" s="879"/>
      <c r="B3754" s="1452" t="s">
        <v>1980</v>
      </c>
      <c r="C3754" s="879"/>
    </row>
    <row r="3755" spans="1:3" x14ac:dyDescent="0.25">
      <c r="A3755" s="879"/>
      <c r="B3755" s="1452" t="s">
        <v>1688</v>
      </c>
      <c r="C3755" s="879"/>
    </row>
    <row r="3756" spans="1:3" x14ac:dyDescent="0.25">
      <c r="A3756" s="879"/>
      <c r="B3756" s="1452" t="s">
        <v>2705</v>
      </c>
      <c r="C3756" s="879"/>
    </row>
    <row r="3757" spans="1:3" x14ac:dyDescent="0.25">
      <c r="A3757" s="879"/>
      <c r="B3757" s="1452" t="s">
        <v>1456</v>
      </c>
      <c r="C3757" s="879"/>
    </row>
    <row r="3758" spans="1:3" x14ac:dyDescent="0.25">
      <c r="A3758" s="879"/>
      <c r="B3758" s="1452" t="s">
        <v>1367</v>
      </c>
      <c r="C3758" s="879"/>
    </row>
    <row r="3759" spans="1:3" x14ac:dyDescent="0.25">
      <c r="A3759" s="879"/>
      <c r="B3759" s="1452" t="s">
        <v>1450</v>
      </c>
      <c r="C3759" s="879"/>
    </row>
    <row r="3760" spans="1:3" x14ac:dyDescent="0.25">
      <c r="A3760" s="879"/>
      <c r="B3760" s="1452" t="s">
        <v>1451</v>
      </c>
      <c r="C3760" s="879"/>
    </row>
    <row r="3761" spans="1:3" x14ac:dyDescent="0.25">
      <c r="A3761" s="879"/>
      <c r="B3761" s="1452" t="s">
        <v>2701</v>
      </c>
      <c r="C3761" s="879"/>
    </row>
    <row r="3762" spans="1:3" x14ac:dyDescent="0.25">
      <c r="A3762" s="879"/>
      <c r="B3762" s="1452" t="s">
        <v>2702</v>
      </c>
      <c r="C3762" s="879"/>
    </row>
    <row r="3763" spans="1:3" x14ac:dyDescent="0.25">
      <c r="A3763" s="879"/>
      <c r="B3763" s="1452" t="s">
        <v>1974</v>
      </c>
      <c r="C3763" s="879"/>
    </row>
    <row r="3764" spans="1:3" x14ac:dyDescent="0.25">
      <c r="A3764" s="879"/>
      <c r="B3764" s="1452" t="s">
        <v>1975</v>
      </c>
      <c r="C3764" s="879"/>
    </row>
    <row r="3765" spans="1:3" x14ac:dyDescent="0.25">
      <c r="A3765" s="879"/>
      <c r="B3765" s="1452" t="s">
        <v>1684</v>
      </c>
      <c r="C3765" s="879"/>
    </row>
    <row r="3766" spans="1:3" x14ac:dyDescent="0.25">
      <c r="A3766" s="879"/>
      <c r="B3766" s="1452" t="s">
        <v>2703</v>
      </c>
      <c r="C3766" s="879"/>
    </row>
    <row r="3767" spans="1:3" x14ac:dyDescent="0.25">
      <c r="A3767" s="879"/>
      <c r="B3767" s="1452" t="s">
        <v>1976</v>
      </c>
      <c r="C3767" s="879"/>
    </row>
    <row r="3768" spans="1:3" x14ac:dyDescent="0.25">
      <c r="A3768" s="879"/>
      <c r="B3768" s="1452" t="s">
        <v>2704</v>
      </c>
      <c r="C3768" s="879"/>
    </row>
    <row r="3769" spans="1:3" x14ac:dyDescent="0.25">
      <c r="A3769" s="879"/>
      <c r="B3769" s="1452" t="s">
        <v>1686</v>
      </c>
      <c r="C3769" s="879"/>
    </row>
    <row r="3770" spans="1:3" x14ac:dyDescent="0.25">
      <c r="A3770" s="879"/>
      <c r="B3770" s="1452" t="s">
        <v>1454</v>
      </c>
      <c r="C3770" s="879"/>
    </row>
    <row r="3771" spans="1:3" x14ac:dyDescent="0.25">
      <c r="A3771" s="879"/>
      <c r="B3771" s="1452" t="s">
        <v>1979</v>
      </c>
      <c r="C3771" s="879"/>
    </row>
    <row r="3772" spans="1:3" x14ac:dyDescent="0.25">
      <c r="A3772" s="879"/>
      <c r="B3772" s="1452" t="s">
        <v>1455</v>
      </c>
      <c r="C3772" s="879"/>
    </row>
    <row r="3773" spans="1:3" x14ac:dyDescent="0.25">
      <c r="A3773" s="879"/>
      <c r="B3773" s="1452" t="s">
        <v>1980</v>
      </c>
      <c r="C3773" s="879"/>
    </row>
    <row r="3774" spans="1:3" x14ac:dyDescent="0.25">
      <c r="A3774" s="879"/>
      <c r="B3774" s="1452" t="s">
        <v>1688</v>
      </c>
      <c r="C3774" s="879"/>
    </row>
    <row r="3775" spans="1:3" x14ac:dyDescent="0.25">
      <c r="A3775" s="879"/>
      <c r="B3775" s="1452" t="s">
        <v>2705</v>
      </c>
      <c r="C3775" s="879"/>
    </row>
    <row r="3776" spans="1:3" x14ac:dyDescent="0.25">
      <c r="A3776" s="879"/>
      <c r="B3776" s="1452" t="s">
        <v>1457</v>
      </c>
      <c r="C3776" s="879"/>
    </row>
    <row r="3777" spans="1:3" x14ac:dyDescent="0.25">
      <c r="A3777" s="879"/>
      <c r="B3777" s="1452" t="s">
        <v>1367</v>
      </c>
      <c r="C3777" s="879"/>
    </row>
    <row r="3778" spans="1:3" x14ac:dyDescent="0.25">
      <c r="A3778" s="879"/>
      <c r="B3778" s="1452" t="s">
        <v>1450</v>
      </c>
      <c r="C3778" s="879"/>
    </row>
    <row r="3779" spans="1:3" x14ac:dyDescent="0.25">
      <c r="A3779" s="879"/>
      <c r="B3779" s="1452" t="s">
        <v>1451</v>
      </c>
      <c r="C3779" s="879"/>
    </row>
    <row r="3780" spans="1:3" x14ac:dyDescent="0.25">
      <c r="A3780" s="879"/>
      <c r="B3780" s="1452" t="s">
        <v>2362</v>
      </c>
      <c r="C3780" s="879"/>
    </row>
    <row r="3781" spans="1:3" x14ac:dyDescent="0.25">
      <c r="A3781" s="879"/>
      <c r="B3781" s="1452" t="s">
        <v>2363</v>
      </c>
      <c r="C3781" s="879"/>
    </row>
    <row r="3782" spans="1:3" x14ac:dyDescent="0.25">
      <c r="A3782" s="879"/>
      <c r="B3782" s="1452" t="s">
        <v>2356</v>
      </c>
      <c r="C3782" s="879"/>
    </row>
    <row r="3783" spans="1:3" x14ac:dyDescent="0.25">
      <c r="A3783" s="879"/>
      <c r="B3783" s="1452" t="s">
        <v>2364</v>
      </c>
      <c r="C3783" s="879"/>
    </row>
    <row r="3784" spans="1:3" x14ac:dyDescent="0.25">
      <c r="A3784" s="879"/>
      <c r="B3784" s="1452" t="s">
        <v>1684</v>
      </c>
      <c r="C3784" s="879"/>
    </row>
    <row r="3785" spans="1:3" x14ac:dyDescent="0.25">
      <c r="A3785" s="879"/>
      <c r="B3785" s="1452" t="s">
        <v>2481</v>
      </c>
      <c r="C3785" s="879"/>
    </row>
    <row r="3786" spans="1:3" x14ac:dyDescent="0.25">
      <c r="A3786" s="879"/>
      <c r="B3786" s="1452" t="s">
        <v>2359</v>
      </c>
      <c r="C3786" s="879"/>
    </row>
    <row r="3787" spans="1:3" x14ac:dyDescent="0.25">
      <c r="A3787" s="879"/>
      <c r="B3787" s="1452" t="s">
        <v>1685</v>
      </c>
      <c r="C3787" s="879"/>
    </row>
    <row r="3788" spans="1:3" x14ac:dyDescent="0.25">
      <c r="A3788" s="879"/>
      <c r="B3788" s="1452" t="s">
        <v>1686</v>
      </c>
      <c r="C3788" s="879"/>
    </row>
    <row r="3789" spans="1:3" x14ac:dyDescent="0.25">
      <c r="A3789" s="879"/>
      <c r="B3789" s="1452" t="s">
        <v>1454</v>
      </c>
      <c r="C3789" s="879"/>
    </row>
    <row r="3790" spans="1:3" x14ac:dyDescent="0.25">
      <c r="A3790" s="879"/>
      <c r="B3790" s="1452" t="s">
        <v>2365</v>
      </c>
      <c r="C3790" s="879"/>
    </row>
    <row r="3791" spans="1:3" x14ac:dyDescent="0.25">
      <c r="A3791" s="879"/>
      <c r="B3791" s="1452" t="s">
        <v>1455</v>
      </c>
      <c r="C3791" s="879"/>
    </row>
    <row r="3792" spans="1:3" x14ac:dyDescent="0.25">
      <c r="A3792" s="879"/>
      <c r="B3792" s="1452" t="s">
        <v>2366</v>
      </c>
      <c r="C3792" s="879"/>
    </row>
    <row r="3793" spans="1:3" x14ac:dyDescent="0.25">
      <c r="A3793" s="879"/>
      <c r="B3793" s="1452" t="s">
        <v>1688</v>
      </c>
      <c r="C3793" s="879"/>
    </row>
    <row r="3794" spans="1:3" x14ac:dyDescent="0.25">
      <c r="A3794" s="879"/>
      <c r="B3794" s="1452" t="s">
        <v>1458</v>
      </c>
      <c r="C3794" s="879"/>
    </row>
    <row r="3795" spans="1:3" x14ac:dyDescent="0.25">
      <c r="A3795" s="879"/>
      <c r="B3795" s="1452" t="s">
        <v>1690</v>
      </c>
      <c r="C3795" s="879"/>
    </row>
    <row r="3796" spans="1:3" x14ac:dyDescent="0.25">
      <c r="A3796" s="879"/>
      <c r="B3796" s="1452" t="s">
        <v>1367</v>
      </c>
      <c r="C3796" s="879"/>
    </row>
    <row r="3797" spans="1:3" x14ac:dyDescent="0.25">
      <c r="A3797" s="879"/>
      <c r="B3797" s="1452" t="s">
        <v>1691</v>
      </c>
      <c r="C3797" s="879"/>
    </row>
    <row r="3798" spans="1:3" x14ac:dyDescent="0.25">
      <c r="A3798" s="879"/>
      <c r="B3798" s="1452" t="s">
        <v>2482</v>
      </c>
      <c r="C3798" s="879"/>
    </row>
    <row r="3799" spans="1:3" x14ac:dyDescent="0.25">
      <c r="A3799" s="879"/>
      <c r="B3799" s="1452" t="s">
        <v>2373</v>
      </c>
      <c r="C3799" s="879"/>
    </row>
    <row r="3800" spans="1:3" x14ac:dyDescent="0.25">
      <c r="A3800" s="879"/>
      <c r="B3800" s="1452" t="s">
        <v>2483</v>
      </c>
      <c r="C3800" s="879"/>
    </row>
    <row r="3801" spans="1:3" x14ac:dyDescent="0.25">
      <c r="A3801" s="879"/>
      <c r="B3801" s="1452" t="s">
        <v>2484</v>
      </c>
      <c r="C3801" s="879"/>
    </row>
    <row r="3802" spans="1:3" x14ac:dyDescent="0.25">
      <c r="A3802" s="879"/>
      <c r="B3802" s="1452" t="s">
        <v>1696</v>
      </c>
      <c r="C3802" s="879"/>
    </row>
    <row r="3803" spans="1:3" x14ac:dyDescent="0.25">
      <c r="A3803" s="879"/>
      <c r="B3803" s="1452" t="s">
        <v>2485</v>
      </c>
      <c r="C3803" s="879"/>
    </row>
    <row r="3804" spans="1:3" x14ac:dyDescent="0.25">
      <c r="A3804" s="879"/>
      <c r="B3804" s="1452" t="s">
        <v>2486</v>
      </c>
      <c r="C3804" s="879"/>
    </row>
    <row r="3805" spans="1:3" x14ac:dyDescent="0.25">
      <c r="A3805" s="879"/>
      <c r="B3805" s="1452" t="s">
        <v>2487</v>
      </c>
      <c r="C3805" s="879"/>
    </row>
    <row r="3806" spans="1:3" x14ac:dyDescent="0.25">
      <c r="A3806" s="879"/>
      <c r="B3806" s="1452" t="s">
        <v>1700</v>
      </c>
      <c r="C3806" s="879"/>
    </row>
    <row r="3807" spans="1:3" x14ac:dyDescent="0.25">
      <c r="A3807" s="879"/>
      <c r="B3807" s="1452" t="s">
        <v>1701</v>
      </c>
      <c r="C3807" s="879"/>
    </row>
    <row r="3808" spans="1:3" x14ac:dyDescent="0.25">
      <c r="A3808" s="879"/>
      <c r="B3808" s="1452" t="s">
        <v>2488</v>
      </c>
      <c r="C3808" s="879"/>
    </row>
    <row r="3809" spans="1:3" x14ac:dyDescent="0.25">
      <c r="A3809" s="879"/>
      <c r="B3809" s="1452" t="s">
        <v>1703</v>
      </c>
      <c r="C3809" s="879"/>
    </row>
    <row r="3810" spans="1:3" x14ac:dyDescent="0.25">
      <c r="A3810" s="879"/>
      <c r="B3810" s="1452" t="s">
        <v>2489</v>
      </c>
      <c r="C3810" s="879"/>
    </row>
    <row r="3811" spans="1:3" x14ac:dyDescent="0.25">
      <c r="A3811" s="879"/>
      <c r="B3811" s="1452" t="s">
        <v>1705</v>
      </c>
      <c r="C3811" s="879"/>
    </row>
    <row r="3812" spans="1:3" x14ac:dyDescent="0.25">
      <c r="A3812" s="879"/>
      <c r="B3812" s="1452"/>
      <c r="C3812" s="879"/>
    </row>
    <row r="3813" spans="1:3" x14ac:dyDescent="0.25">
      <c r="A3813" s="879"/>
      <c r="B3813" s="1452"/>
      <c r="C3813" s="879"/>
    </row>
    <row r="3814" spans="1:3" x14ac:dyDescent="0.25">
      <c r="A3814" s="879"/>
      <c r="B3814" s="1452" t="s">
        <v>1368</v>
      </c>
      <c r="C3814" s="879"/>
    </row>
    <row r="3815" spans="1:3" x14ac:dyDescent="0.25">
      <c r="A3815" s="879"/>
      <c r="B3815" s="1452" t="s">
        <v>2706</v>
      </c>
      <c r="C3815" s="879"/>
    </row>
    <row r="3816" spans="1:3" x14ac:dyDescent="0.25">
      <c r="A3816" s="879"/>
      <c r="B3816" s="1452" t="s">
        <v>1368</v>
      </c>
      <c r="C3816" s="879"/>
    </row>
    <row r="3817" spans="1:3" x14ac:dyDescent="0.25">
      <c r="A3817" s="879"/>
      <c r="B3817" s="1452" t="s">
        <v>2707</v>
      </c>
      <c r="C3817" s="879"/>
    </row>
    <row r="3818" spans="1:3" x14ac:dyDescent="0.25">
      <c r="A3818" s="879"/>
      <c r="B3818" s="1452" t="s">
        <v>1367</v>
      </c>
      <c r="C3818" s="879"/>
    </row>
    <row r="3819" spans="1:3" x14ac:dyDescent="0.25">
      <c r="A3819" s="879"/>
      <c r="B3819" s="1452" t="s">
        <v>1369</v>
      </c>
      <c r="C3819" s="879"/>
    </row>
    <row r="3820" spans="1:3" x14ac:dyDescent="0.25">
      <c r="A3820" s="879"/>
      <c r="B3820" s="1452" t="s">
        <v>1370</v>
      </c>
      <c r="C3820" s="879"/>
    </row>
    <row r="3821" spans="1:3" x14ac:dyDescent="0.25">
      <c r="A3821" s="879"/>
      <c r="B3821" s="1452" t="s">
        <v>1367</v>
      </c>
      <c r="C3821" s="879"/>
    </row>
    <row r="3822" spans="1:3" x14ac:dyDescent="0.25">
      <c r="A3822" s="879"/>
      <c r="B3822" s="1452" t="s">
        <v>1520</v>
      </c>
      <c r="C3822" s="879"/>
    </row>
    <row r="3823" spans="1:3" x14ac:dyDescent="0.25">
      <c r="A3823" s="879"/>
      <c r="B3823" s="1452" t="s">
        <v>1521</v>
      </c>
      <c r="C3823" s="879"/>
    </row>
    <row r="3824" spans="1:3" x14ac:dyDescent="0.25">
      <c r="A3824" s="879"/>
      <c r="B3824" s="1452" t="s">
        <v>1985</v>
      </c>
      <c r="C3824" s="879"/>
    </row>
    <row r="3825" spans="1:3" x14ac:dyDescent="0.25">
      <c r="A3825" s="879"/>
      <c r="B3825" s="1452" t="s">
        <v>1986</v>
      </c>
      <c r="C3825" s="879"/>
    </row>
    <row r="3826" spans="1:3" x14ac:dyDescent="0.25">
      <c r="A3826" s="879"/>
      <c r="B3826" s="1452" t="s">
        <v>2708</v>
      </c>
      <c r="C3826" s="879"/>
    </row>
    <row r="3827" spans="1:3" x14ac:dyDescent="0.25">
      <c r="A3827" s="879"/>
      <c r="B3827" s="1452" t="s">
        <v>2709</v>
      </c>
      <c r="C3827" s="879"/>
    </row>
    <row r="3828" spans="1:3" x14ac:dyDescent="0.25">
      <c r="A3828" s="879"/>
      <c r="B3828" s="1452" t="s">
        <v>2710</v>
      </c>
      <c r="C3828" s="879"/>
    </row>
    <row r="3829" spans="1:3" x14ac:dyDescent="0.25">
      <c r="A3829" s="879"/>
      <c r="B3829" s="1452" t="s">
        <v>2711</v>
      </c>
      <c r="C3829" s="879"/>
    </row>
    <row r="3830" spans="1:3" x14ac:dyDescent="0.25">
      <c r="A3830" s="879"/>
      <c r="B3830" s="1452" t="s">
        <v>2712</v>
      </c>
      <c r="C3830" s="879"/>
    </row>
    <row r="3831" spans="1:3" x14ac:dyDescent="0.25">
      <c r="A3831" s="879"/>
      <c r="B3831" s="1452" t="s">
        <v>2713</v>
      </c>
      <c r="C3831" s="879"/>
    </row>
    <row r="3832" spans="1:3" x14ac:dyDescent="0.25">
      <c r="A3832" s="879"/>
      <c r="B3832" s="1452" t="s">
        <v>2714</v>
      </c>
      <c r="C3832" s="879"/>
    </row>
    <row r="3833" spans="1:3" x14ac:dyDescent="0.25">
      <c r="A3833" s="879"/>
      <c r="B3833" s="1452" t="s">
        <v>1382</v>
      </c>
      <c r="C3833" s="879"/>
    </row>
    <row r="3834" spans="1:3" x14ac:dyDescent="0.25">
      <c r="A3834" s="879"/>
      <c r="B3834" s="1452" t="s">
        <v>1367</v>
      </c>
      <c r="C3834" s="879"/>
    </row>
    <row r="3835" spans="1:3" x14ac:dyDescent="0.25">
      <c r="A3835" s="879"/>
      <c r="B3835" s="1452" t="s">
        <v>1520</v>
      </c>
      <c r="C3835" s="879"/>
    </row>
    <row r="3836" spans="1:3" x14ac:dyDescent="0.25">
      <c r="A3836" s="879"/>
      <c r="B3836" s="1452" t="s">
        <v>2715</v>
      </c>
      <c r="C3836" s="879"/>
    </row>
    <row r="3837" spans="1:3" x14ac:dyDescent="0.25">
      <c r="A3837" s="879"/>
      <c r="B3837" s="1452" t="s">
        <v>2716</v>
      </c>
      <c r="C3837" s="879"/>
    </row>
    <row r="3838" spans="1:3" x14ac:dyDescent="0.25">
      <c r="A3838" s="879"/>
      <c r="B3838" s="1452" t="s">
        <v>2717</v>
      </c>
      <c r="C3838" s="879"/>
    </row>
    <row r="3839" spans="1:3" x14ac:dyDescent="0.25">
      <c r="A3839" s="879"/>
      <c r="B3839" s="1452" t="s">
        <v>2718</v>
      </c>
      <c r="C3839" s="879"/>
    </row>
    <row r="3840" spans="1:3" x14ac:dyDescent="0.25">
      <c r="A3840" s="879"/>
      <c r="B3840" s="1452" t="s">
        <v>2719</v>
      </c>
      <c r="C3840" s="879"/>
    </row>
    <row r="3841" spans="1:3" x14ac:dyDescent="0.25">
      <c r="A3841" s="879"/>
      <c r="B3841" s="1452" t="s">
        <v>2720</v>
      </c>
      <c r="C3841" s="879"/>
    </row>
    <row r="3842" spans="1:3" x14ac:dyDescent="0.25">
      <c r="A3842" s="879"/>
      <c r="B3842" s="1452" t="s">
        <v>2721</v>
      </c>
      <c r="C3842" s="879"/>
    </row>
    <row r="3843" spans="1:3" x14ac:dyDescent="0.25">
      <c r="A3843" s="879"/>
      <c r="B3843" s="1452" t="s">
        <v>2722</v>
      </c>
      <c r="C3843" s="879"/>
    </row>
    <row r="3844" spans="1:3" x14ac:dyDescent="0.25">
      <c r="A3844" s="879"/>
      <c r="B3844" s="1452" t="s">
        <v>2723</v>
      </c>
      <c r="C3844" s="879"/>
    </row>
    <row r="3845" spans="1:3" x14ac:dyDescent="0.25">
      <c r="A3845" s="879"/>
      <c r="B3845" s="1452" t="s">
        <v>2724</v>
      </c>
      <c r="C3845" s="879"/>
    </row>
    <row r="3846" spans="1:3" x14ac:dyDescent="0.25">
      <c r="A3846" s="879"/>
      <c r="B3846" s="1452" t="s">
        <v>1522</v>
      </c>
      <c r="C3846" s="879"/>
    </row>
    <row r="3847" spans="1:3" x14ac:dyDescent="0.25">
      <c r="A3847" s="879"/>
      <c r="B3847" s="1452" t="s">
        <v>1523</v>
      </c>
      <c r="C3847" s="879"/>
    </row>
    <row r="3848" spans="1:3" x14ac:dyDescent="0.25">
      <c r="A3848" s="879"/>
      <c r="B3848" s="1452" t="s">
        <v>1524</v>
      </c>
      <c r="C3848" s="879"/>
    </row>
    <row r="3849" spans="1:3" x14ac:dyDescent="0.25">
      <c r="A3849" s="879"/>
      <c r="B3849" s="1452" t="s">
        <v>1525</v>
      </c>
      <c r="C3849" s="879"/>
    </row>
    <row r="3850" spans="1:3" x14ac:dyDescent="0.25">
      <c r="A3850" s="879"/>
      <c r="B3850" s="1452" t="s">
        <v>1526</v>
      </c>
      <c r="C3850" s="879"/>
    </row>
    <row r="3851" spans="1:3" x14ac:dyDescent="0.25">
      <c r="A3851" s="879"/>
      <c r="B3851" s="1452" t="s">
        <v>2725</v>
      </c>
      <c r="C3851" s="879"/>
    </row>
    <row r="3852" spans="1:3" x14ac:dyDescent="0.25">
      <c r="A3852" s="879"/>
      <c r="B3852" s="1452" t="s">
        <v>2726</v>
      </c>
      <c r="C3852" s="879"/>
    </row>
    <row r="3853" spans="1:3" x14ac:dyDescent="0.25">
      <c r="A3853" s="879"/>
      <c r="B3853" s="1452" t="s">
        <v>2727</v>
      </c>
      <c r="C3853" s="879"/>
    </row>
    <row r="3854" spans="1:3" x14ac:dyDescent="0.25">
      <c r="A3854" s="879"/>
      <c r="B3854" s="1452" t="s">
        <v>2728</v>
      </c>
      <c r="C3854" s="879"/>
    </row>
    <row r="3855" spans="1:3" x14ac:dyDescent="0.25">
      <c r="A3855" s="879"/>
      <c r="B3855" s="1452" t="s">
        <v>2012</v>
      </c>
      <c r="C3855" s="879"/>
    </row>
    <row r="3856" spans="1:3" x14ac:dyDescent="0.25">
      <c r="A3856" s="879"/>
      <c r="B3856" s="1452" t="s">
        <v>2013</v>
      </c>
      <c r="C3856" s="879"/>
    </row>
    <row r="3857" spans="1:3" x14ac:dyDescent="0.25">
      <c r="A3857" s="879"/>
      <c r="B3857" s="1452" t="s">
        <v>2729</v>
      </c>
      <c r="C3857" s="879"/>
    </row>
    <row r="3858" spans="1:3" x14ac:dyDescent="0.25">
      <c r="A3858" s="879"/>
      <c r="B3858" s="1452" t="s">
        <v>1527</v>
      </c>
      <c r="C3858" s="879"/>
    </row>
    <row r="3859" spans="1:3" x14ac:dyDescent="0.25">
      <c r="A3859" s="879"/>
      <c r="B3859" s="1452" t="s">
        <v>2730</v>
      </c>
      <c r="C3859" s="879"/>
    </row>
    <row r="3860" spans="1:3" x14ac:dyDescent="0.25">
      <c r="A3860" s="879"/>
      <c r="B3860" s="1452" t="s">
        <v>2731</v>
      </c>
      <c r="C3860" s="879"/>
    </row>
    <row r="3861" spans="1:3" x14ac:dyDescent="0.25">
      <c r="A3861" s="879"/>
      <c r="B3861" s="1452" t="s">
        <v>2732</v>
      </c>
      <c r="C3861" s="879"/>
    </row>
    <row r="3862" spans="1:3" x14ac:dyDescent="0.25">
      <c r="A3862" s="879"/>
      <c r="B3862" s="1452" t="s">
        <v>2733</v>
      </c>
      <c r="C3862" s="879"/>
    </row>
    <row r="3863" spans="1:3" x14ac:dyDescent="0.25">
      <c r="A3863" s="879"/>
      <c r="B3863" s="1452" t="s">
        <v>1528</v>
      </c>
      <c r="C3863" s="879"/>
    </row>
    <row r="3864" spans="1:3" x14ac:dyDescent="0.25">
      <c r="A3864" s="879"/>
      <c r="B3864" s="1452" t="s">
        <v>2734</v>
      </c>
      <c r="C3864" s="879"/>
    </row>
    <row r="3865" spans="1:3" x14ac:dyDescent="0.25">
      <c r="A3865" s="879"/>
      <c r="B3865" s="1452" t="s">
        <v>1529</v>
      </c>
      <c r="C3865" s="879"/>
    </row>
    <row r="3866" spans="1:3" x14ac:dyDescent="0.25">
      <c r="A3866" s="879"/>
      <c r="B3866" s="1452" t="s">
        <v>2735</v>
      </c>
      <c r="C3866" s="879"/>
    </row>
    <row r="3867" spans="1:3" x14ac:dyDescent="0.25">
      <c r="A3867" s="879"/>
      <c r="B3867" s="1452" t="s">
        <v>2736</v>
      </c>
      <c r="C3867" s="879"/>
    </row>
    <row r="3868" spans="1:3" x14ac:dyDescent="0.25">
      <c r="A3868" s="879"/>
      <c r="B3868" s="1452" t="s">
        <v>1530</v>
      </c>
      <c r="C3868" s="879"/>
    </row>
    <row r="3869" spans="1:3" x14ac:dyDescent="0.25">
      <c r="A3869" s="879"/>
      <c r="B3869" s="1452" t="s">
        <v>2024</v>
      </c>
      <c r="C3869" s="879"/>
    </row>
    <row r="3870" spans="1:3" x14ac:dyDescent="0.25">
      <c r="A3870" s="879"/>
      <c r="B3870" s="1452" t="s">
        <v>2737</v>
      </c>
      <c r="C3870" s="879"/>
    </row>
    <row r="3871" spans="1:3" x14ac:dyDescent="0.25">
      <c r="A3871" s="879"/>
      <c r="B3871" s="1452" t="s">
        <v>2738</v>
      </c>
      <c r="C3871" s="879"/>
    </row>
    <row r="3872" spans="1:3" x14ac:dyDescent="0.25">
      <c r="A3872" s="879"/>
      <c r="B3872" s="1452" t="s">
        <v>2739</v>
      </c>
      <c r="C3872" s="879"/>
    </row>
    <row r="3873" spans="1:3" x14ac:dyDescent="0.25">
      <c r="A3873" s="879"/>
      <c r="B3873" s="1452" t="s">
        <v>2740</v>
      </c>
      <c r="C3873" s="879"/>
    </row>
    <row r="3874" spans="1:3" x14ac:dyDescent="0.25">
      <c r="A3874" s="879"/>
      <c r="B3874" s="1452" t="s">
        <v>2741</v>
      </c>
      <c r="C3874" s="879"/>
    </row>
    <row r="3875" spans="1:3" x14ac:dyDescent="0.25">
      <c r="A3875" s="879"/>
      <c r="B3875" s="1452" t="s">
        <v>2742</v>
      </c>
      <c r="C3875" s="879"/>
    </row>
    <row r="3876" spans="1:3" x14ac:dyDescent="0.25">
      <c r="A3876" s="879"/>
      <c r="B3876" s="1452" t="s">
        <v>2743</v>
      </c>
      <c r="C3876" s="879"/>
    </row>
    <row r="3877" spans="1:3" x14ac:dyDescent="0.25">
      <c r="A3877" s="879"/>
      <c r="B3877" s="1452" t="s">
        <v>2744</v>
      </c>
      <c r="C3877" s="879"/>
    </row>
    <row r="3878" spans="1:3" x14ac:dyDescent="0.25">
      <c r="A3878" s="879"/>
      <c r="B3878" s="1452" t="s">
        <v>2745</v>
      </c>
      <c r="C3878" s="879"/>
    </row>
    <row r="3879" spans="1:3" x14ac:dyDescent="0.25">
      <c r="A3879" s="879"/>
      <c r="B3879" s="1452" t="s">
        <v>1531</v>
      </c>
      <c r="C3879" s="879"/>
    </row>
    <row r="3880" spans="1:3" x14ac:dyDescent="0.25">
      <c r="A3880" s="879"/>
      <c r="B3880" s="1452" t="s">
        <v>2746</v>
      </c>
      <c r="C3880" s="879"/>
    </row>
    <row r="3881" spans="1:3" x14ac:dyDescent="0.25">
      <c r="A3881" s="879"/>
      <c r="B3881" s="1452" t="s">
        <v>2035</v>
      </c>
      <c r="C3881" s="879"/>
    </row>
    <row r="3882" spans="1:3" x14ac:dyDescent="0.25">
      <c r="A3882" s="879"/>
      <c r="B3882" s="1452" t="s">
        <v>1532</v>
      </c>
      <c r="C3882" s="879"/>
    </row>
    <row r="3883" spans="1:3" x14ac:dyDescent="0.25">
      <c r="A3883" s="879"/>
      <c r="B3883" s="1452" t="s">
        <v>1430</v>
      </c>
      <c r="C3883" s="879"/>
    </row>
    <row r="3884" spans="1:3" x14ac:dyDescent="0.25">
      <c r="A3884" s="879"/>
      <c r="B3884" s="1452" t="s">
        <v>1367</v>
      </c>
      <c r="C3884" s="879"/>
    </row>
    <row r="3885" spans="1:3" x14ac:dyDescent="0.25">
      <c r="A3885" s="879"/>
      <c r="B3885" s="1452" t="s">
        <v>1504</v>
      </c>
      <c r="C3885" s="879"/>
    </row>
    <row r="3886" spans="1:3" x14ac:dyDescent="0.25">
      <c r="A3886" s="879"/>
      <c r="B3886" s="1452" t="s">
        <v>1367</v>
      </c>
      <c r="C3886" s="879"/>
    </row>
    <row r="3887" spans="1:3" x14ac:dyDescent="0.25">
      <c r="A3887" s="879"/>
      <c r="B3887" s="1452" t="s">
        <v>1450</v>
      </c>
      <c r="C3887" s="879"/>
    </row>
    <row r="3888" spans="1:3" x14ac:dyDescent="0.25">
      <c r="A3888" s="879"/>
      <c r="B3888" s="1452" t="s">
        <v>1451</v>
      </c>
      <c r="C3888" s="879"/>
    </row>
    <row r="3889" spans="1:3" x14ac:dyDescent="0.25">
      <c r="A3889" s="879"/>
      <c r="B3889" s="1452" t="s">
        <v>1452</v>
      </c>
      <c r="C3889" s="879"/>
    </row>
    <row r="3890" spans="1:3" x14ac:dyDescent="0.25">
      <c r="A3890" s="879"/>
      <c r="B3890" s="1452" t="s">
        <v>1681</v>
      </c>
      <c r="C3890" s="879"/>
    </row>
    <row r="3891" spans="1:3" x14ac:dyDescent="0.25">
      <c r="A3891" s="879"/>
      <c r="B3891" s="1452" t="s">
        <v>1682</v>
      </c>
      <c r="C3891" s="879"/>
    </row>
    <row r="3892" spans="1:3" x14ac:dyDescent="0.25">
      <c r="A3892" s="879"/>
      <c r="B3892" s="1452" t="s">
        <v>1517</v>
      </c>
      <c r="C3892" s="879"/>
    </row>
    <row r="3893" spans="1:3" x14ac:dyDescent="0.25">
      <c r="A3893" s="879"/>
      <c r="B3893" s="1452" t="s">
        <v>1684</v>
      </c>
      <c r="C3893" s="879"/>
    </row>
    <row r="3894" spans="1:3" x14ac:dyDescent="0.25">
      <c r="A3894" s="879"/>
      <c r="B3894" s="1452" t="s">
        <v>2053</v>
      </c>
      <c r="C3894" s="879"/>
    </row>
    <row r="3895" spans="1:3" x14ac:dyDescent="0.25">
      <c r="A3895" s="879"/>
      <c r="B3895" s="1452" t="s">
        <v>2054</v>
      </c>
      <c r="C3895" s="879"/>
    </row>
    <row r="3896" spans="1:3" x14ac:dyDescent="0.25">
      <c r="A3896" s="879"/>
      <c r="B3896" s="1452" t="s">
        <v>1685</v>
      </c>
      <c r="C3896" s="879"/>
    </row>
    <row r="3897" spans="1:3" x14ac:dyDescent="0.25">
      <c r="A3897" s="879"/>
      <c r="B3897" s="1452" t="s">
        <v>1686</v>
      </c>
      <c r="C3897" s="879"/>
    </row>
    <row r="3898" spans="1:3" x14ac:dyDescent="0.25">
      <c r="A3898" s="879"/>
      <c r="B3898" s="1452" t="s">
        <v>1581</v>
      </c>
      <c r="C3898" s="879"/>
    </row>
    <row r="3899" spans="1:3" x14ac:dyDescent="0.25">
      <c r="A3899" s="879"/>
      <c r="B3899" s="1452" t="s">
        <v>2055</v>
      </c>
      <c r="C3899" s="879"/>
    </row>
    <row r="3900" spans="1:3" x14ac:dyDescent="0.25">
      <c r="A3900" s="879"/>
      <c r="B3900" s="1452" t="s">
        <v>1455</v>
      </c>
      <c r="C3900" s="879"/>
    </row>
    <row r="3901" spans="1:3" x14ac:dyDescent="0.25">
      <c r="A3901" s="879"/>
      <c r="B3901" s="1452" t="s">
        <v>2056</v>
      </c>
      <c r="C3901" s="879"/>
    </row>
    <row r="3902" spans="1:3" x14ac:dyDescent="0.25">
      <c r="A3902" s="879"/>
      <c r="B3902" s="1452" t="s">
        <v>1688</v>
      </c>
      <c r="C3902" s="879"/>
    </row>
    <row r="3903" spans="1:3" x14ac:dyDescent="0.25">
      <c r="A3903" s="879"/>
      <c r="B3903" s="1452" t="s">
        <v>2057</v>
      </c>
      <c r="C3903" s="879"/>
    </row>
    <row r="3904" spans="1:3" x14ac:dyDescent="0.25">
      <c r="A3904" s="879"/>
      <c r="B3904" s="1452" t="s">
        <v>1505</v>
      </c>
      <c r="C3904" s="879"/>
    </row>
    <row r="3905" spans="1:3" x14ac:dyDescent="0.25">
      <c r="A3905" s="879"/>
      <c r="B3905" s="1452" t="s">
        <v>1367</v>
      </c>
      <c r="C3905" s="879"/>
    </row>
    <row r="3906" spans="1:3" x14ac:dyDescent="0.25">
      <c r="A3906" s="879"/>
      <c r="B3906" s="1452" t="s">
        <v>1450</v>
      </c>
      <c r="C3906" s="879"/>
    </row>
    <row r="3907" spans="1:3" x14ac:dyDescent="0.25">
      <c r="A3907" s="879"/>
      <c r="B3907" s="1452" t="s">
        <v>1451</v>
      </c>
      <c r="C3907" s="879"/>
    </row>
    <row r="3908" spans="1:3" x14ac:dyDescent="0.25">
      <c r="A3908" s="879"/>
      <c r="B3908" s="1452" t="s">
        <v>2747</v>
      </c>
      <c r="C3908" s="879"/>
    </row>
    <row r="3909" spans="1:3" x14ac:dyDescent="0.25">
      <c r="A3909" s="879"/>
      <c r="B3909" s="1452" t="s">
        <v>1681</v>
      </c>
      <c r="C3909" s="879"/>
    </row>
    <row r="3910" spans="1:3" x14ac:dyDescent="0.25">
      <c r="A3910" s="879"/>
      <c r="B3910" s="1452" t="s">
        <v>1682</v>
      </c>
      <c r="C3910" s="879"/>
    </row>
    <row r="3911" spans="1:3" x14ac:dyDescent="0.25">
      <c r="A3911" s="879"/>
      <c r="B3911" s="1452" t="s">
        <v>1517</v>
      </c>
      <c r="C3911" s="879"/>
    </row>
    <row r="3912" spans="1:3" x14ac:dyDescent="0.25">
      <c r="A3912" s="879"/>
      <c r="B3912" s="1452" t="s">
        <v>1684</v>
      </c>
      <c r="C3912" s="879"/>
    </row>
    <row r="3913" spans="1:3" x14ac:dyDescent="0.25">
      <c r="A3913" s="879"/>
      <c r="B3913" s="1452" t="s">
        <v>2748</v>
      </c>
      <c r="C3913" s="879"/>
    </row>
    <row r="3914" spans="1:3" x14ac:dyDescent="0.25">
      <c r="A3914" s="879"/>
      <c r="B3914" s="1452" t="s">
        <v>2749</v>
      </c>
      <c r="C3914" s="879"/>
    </row>
    <row r="3915" spans="1:3" x14ac:dyDescent="0.25">
      <c r="A3915" s="879"/>
      <c r="B3915" s="1452" t="s">
        <v>1685</v>
      </c>
      <c r="C3915" s="879"/>
    </row>
    <row r="3916" spans="1:3" x14ac:dyDescent="0.25">
      <c r="A3916" s="879"/>
      <c r="B3916" s="1452" t="s">
        <v>1686</v>
      </c>
      <c r="C3916" s="879"/>
    </row>
    <row r="3917" spans="1:3" x14ac:dyDescent="0.25">
      <c r="A3917" s="879"/>
      <c r="B3917" s="1452" t="s">
        <v>2750</v>
      </c>
      <c r="C3917" s="879"/>
    </row>
    <row r="3918" spans="1:3" x14ac:dyDescent="0.25">
      <c r="A3918" s="879"/>
      <c r="B3918" s="1452" t="s">
        <v>2751</v>
      </c>
      <c r="C3918" s="879"/>
    </row>
    <row r="3919" spans="1:3" x14ac:dyDescent="0.25">
      <c r="A3919" s="879"/>
      <c r="B3919" s="1452" t="s">
        <v>1455</v>
      </c>
      <c r="C3919" s="879"/>
    </row>
    <row r="3920" spans="1:3" x14ac:dyDescent="0.25">
      <c r="A3920" s="879"/>
      <c r="B3920" s="1452" t="s">
        <v>2752</v>
      </c>
      <c r="C3920" s="879"/>
    </row>
    <row r="3921" spans="1:3" x14ac:dyDescent="0.25">
      <c r="A3921" s="879"/>
      <c r="B3921" s="1452" t="s">
        <v>1688</v>
      </c>
      <c r="C3921" s="879"/>
    </row>
    <row r="3922" spans="1:3" x14ac:dyDescent="0.25">
      <c r="A3922" s="879"/>
      <c r="B3922" s="1452" t="s">
        <v>1458</v>
      </c>
      <c r="C3922" s="879"/>
    </row>
    <row r="3923" spans="1:3" x14ac:dyDescent="0.25">
      <c r="A3923" s="879"/>
      <c r="B3923" s="1452" t="s">
        <v>1533</v>
      </c>
      <c r="C3923" s="879"/>
    </row>
    <row r="3924" spans="1:3" x14ac:dyDescent="0.25">
      <c r="A3924" s="879"/>
      <c r="B3924" s="1452" t="s">
        <v>1367</v>
      </c>
      <c r="C3924" s="879"/>
    </row>
    <row r="3925" spans="1:3" x14ac:dyDescent="0.25">
      <c r="A3925" s="879"/>
      <c r="B3925" s="1452" t="s">
        <v>1450</v>
      </c>
      <c r="C3925" s="879"/>
    </row>
    <row r="3926" spans="1:3" x14ac:dyDescent="0.25">
      <c r="A3926" s="879"/>
      <c r="B3926" s="1452" t="s">
        <v>1451</v>
      </c>
      <c r="C3926" s="879"/>
    </row>
    <row r="3927" spans="1:3" x14ac:dyDescent="0.25">
      <c r="A3927" s="879"/>
      <c r="B3927" s="1452" t="s">
        <v>1452</v>
      </c>
      <c r="C3927" s="879"/>
    </row>
    <row r="3928" spans="1:3" x14ac:dyDescent="0.25">
      <c r="A3928" s="879"/>
      <c r="B3928" s="1452" t="s">
        <v>1681</v>
      </c>
      <c r="C3928" s="879"/>
    </row>
    <row r="3929" spans="1:3" x14ac:dyDescent="0.25">
      <c r="A3929" s="879"/>
      <c r="B3929" s="1452" t="s">
        <v>1682</v>
      </c>
      <c r="C3929" s="879"/>
    </row>
    <row r="3930" spans="1:3" x14ac:dyDescent="0.25">
      <c r="A3930" s="879"/>
      <c r="B3930" s="1452" t="s">
        <v>1517</v>
      </c>
      <c r="C3930" s="879"/>
    </row>
    <row r="3931" spans="1:3" x14ac:dyDescent="0.25">
      <c r="A3931" s="879"/>
      <c r="B3931" s="1452" t="s">
        <v>1684</v>
      </c>
      <c r="C3931" s="879"/>
    </row>
    <row r="3932" spans="1:3" x14ac:dyDescent="0.25">
      <c r="A3932" s="879"/>
      <c r="B3932" s="1452" t="s">
        <v>2053</v>
      </c>
      <c r="C3932" s="879"/>
    </row>
    <row r="3933" spans="1:3" x14ac:dyDescent="0.25">
      <c r="A3933" s="879"/>
      <c r="B3933" s="1452" t="s">
        <v>2054</v>
      </c>
      <c r="C3933" s="879"/>
    </row>
    <row r="3934" spans="1:3" x14ac:dyDescent="0.25">
      <c r="A3934" s="879"/>
      <c r="B3934" s="1452" t="s">
        <v>1685</v>
      </c>
      <c r="C3934" s="879"/>
    </row>
    <row r="3935" spans="1:3" x14ac:dyDescent="0.25">
      <c r="A3935" s="879"/>
      <c r="B3935" s="1452" t="s">
        <v>1686</v>
      </c>
      <c r="C3935" s="879"/>
    </row>
    <row r="3936" spans="1:3" x14ac:dyDescent="0.25">
      <c r="A3936" s="879"/>
      <c r="B3936" s="1452" t="s">
        <v>1581</v>
      </c>
      <c r="C3936" s="879"/>
    </row>
    <row r="3937" spans="1:3" x14ac:dyDescent="0.25">
      <c r="A3937" s="879"/>
      <c r="B3937" s="1452" t="s">
        <v>2055</v>
      </c>
      <c r="C3937" s="879"/>
    </row>
    <row r="3938" spans="1:3" x14ac:dyDescent="0.25">
      <c r="A3938" s="879"/>
      <c r="B3938" s="1452" t="s">
        <v>1455</v>
      </c>
      <c r="C3938" s="879"/>
    </row>
    <row r="3939" spans="1:3" x14ac:dyDescent="0.25">
      <c r="A3939" s="879"/>
      <c r="B3939" s="1452" t="s">
        <v>2056</v>
      </c>
      <c r="C3939" s="879"/>
    </row>
    <row r="3940" spans="1:3" x14ac:dyDescent="0.25">
      <c r="A3940" s="879"/>
      <c r="B3940" s="1452" t="s">
        <v>1688</v>
      </c>
      <c r="C3940" s="879"/>
    </row>
    <row r="3941" spans="1:3" x14ac:dyDescent="0.25">
      <c r="A3941" s="879"/>
      <c r="B3941" s="1452" t="s">
        <v>2057</v>
      </c>
      <c r="C3941" s="879"/>
    </row>
    <row r="3942" spans="1:3" x14ac:dyDescent="0.25">
      <c r="A3942" s="879"/>
      <c r="B3942" s="1452" t="s">
        <v>1690</v>
      </c>
      <c r="C3942" s="879"/>
    </row>
    <row r="3943" spans="1:3" x14ac:dyDescent="0.25">
      <c r="A3943" s="879"/>
      <c r="B3943" s="1452" t="s">
        <v>1367</v>
      </c>
      <c r="C3943" s="879"/>
    </row>
    <row r="3944" spans="1:3" x14ac:dyDescent="0.25">
      <c r="A3944" s="879"/>
      <c r="B3944" s="1452" t="s">
        <v>1691</v>
      </c>
      <c r="C3944" s="879"/>
    </row>
    <row r="3945" spans="1:3" x14ac:dyDescent="0.25">
      <c r="A3945" s="879"/>
      <c r="B3945" s="1452" t="s">
        <v>2058</v>
      </c>
      <c r="C3945" s="879"/>
    </row>
    <row r="3946" spans="1:3" x14ac:dyDescent="0.25">
      <c r="A3946" s="879"/>
      <c r="B3946" s="1452" t="s">
        <v>1693</v>
      </c>
      <c r="C3946" s="879"/>
    </row>
    <row r="3947" spans="1:3" x14ac:dyDescent="0.25">
      <c r="A3947" s="879"/>
      <c r="B3947" s="1452" t="s">
        <v>1694</v>
      </c>
      <c r="C3947" s="879"/>
    </row>
    <row r="3948" spans="1:3" x14ac:dyDescent="0.25">
      <c r="A3948" s="879"/>
      <c r="B3948" s="1452" t="s">
        <v>1695</v>
      </c>
      <c r="C3948" s="879"/>
    </row>
    <row r="3949" spans="1:3" x14ac:dyDescent="0.25">
      <c r="A3949" s="879"/>
      <c r="B3949" s="1452" t="s">
        <v>1696</v>
      </c>
      <c r="C3949" s="879"/>
    </row>
    <row r="3950" spans="1:3" x14ac:dyDescent="0.25">
      <c r="A3950" s="879"/>
      <c r="B3950" s="1452" t="s">
        <v>2059</v>
      </c>
      <c r="C3950" s="879"/>
    </row>
    <row r="3951" spans="1:3" x14ac:dyDescent="0.25">
      <c r="A3951" s="879"/>
      <c r="B3951" s="1452" t="s">
        <v>2060</v>
      </c>
      <c r="C3951" s="879"/>
    </row>
    <row r="3952" spans="1:3" x14ac:dyDescent="0.25">
      <c r="A3952" s="879"/>
      <c r="B3952" s="1452" t="s">
        <v>1699</v>
      </c>
      <c r="C3952" s="879"/>
    </row>
    <row r="3953" spans="1:3" x14ac:dyDescent="0.25">
      <c r="A3953" s="879"/>
      <c r="B3953" s="1452" t="s">
        <v>1700</v>
      </c>
      <c r="C3953" s="879"/>
    </row>
    <row r="3954" spans="1:3" x14ac:dyDescent="0.25">
      <c r="A3954" s="879"/>
      <c r="B3954" s="1452" t="s">
        <v>2061</v>
      </c>
      <c r="C3954" s="879"/>
    </row>
    <row r="3955" spans="1:3" x14ac:dyDescent="0.25">
      <c r="A3955" s="879"/>
      <c r="B3955" s="1452" t="s">
        <v>2062</v>
      </c>
      <c r="C3955" s="879"/>
    </row>
    <row r="3956" spans="1:3" x14ac:dyDescent="0.25">
      <c r="A3956" s="879"/>
      <c r="B3956" s="1452" t="s">
        <v>1703</v>
      </c>
      <c r="C3956" s="879"/>
    </row>
    <row r="3957" spans="1:3" x14ac:dyDescent="0.25">
      <c r="A3957" s="879"/>
      <c r="B3957" s="1452" t="s">
        <v>2063</v>
      </c>
      <c r="C3957" s="879"/>
    </row>
    <row r="3958" spans="1:3" x14ac:dyDescent="0.25">
      <c r="A3958" s="879"/>
      <c r="B3958" s="1452" t="s">
        <v>1705</v>
      </c>
      <c r="C3958" s="879"/>
    </row>
    <row r="3959" spans="1:3" x14ac:dyDescent="0.25">
      <c r="A3959" s="879"/>
      <c r="B3959" s="1452"/>
      <c r="C3959" s="879"/>
    </row>
    <row r="3960" spans="1:3" x14ac:dyDescent="0.25">
      <c r="A3960" s="879"/>
      <c r="B3960" s="1452"/>
      <c r="C3960" s="879"/>
    </row>
    <row r="3961" spans="1:3" x14ac:dyDescent="0.25">
      <c r="A3961" s="879"/>
      <c r="B3961" s="1452" t="s">
        <v>1368</v>
      </c>
      <c r="C3961" s="879"/>
    </row>
    <row r="3962" spans="1:3" x14ac:dyDescent="0.25">
      <c r="A3962" s="879"/>
      <c r="B3962" s="1452" t="s">
        <v>2753</v>
      </c>
      <c r="C3962" s="879"/>
    </row>
    <row r="3963" spans="1:3" x14ac:dyDescent="0.25">
      <c r="A3963" s="879"/>
      <c r="B3963" s="1452" t="s">
        <v>1368</v>
      </c>
      <c r="C3963" s="879"/>
    </row>
    <row r="3964" spans="1:3" x14ac:dyDescent="0.25">
      <c r="A3964" s="879"/>
      <c r="B3964" s="1452" t="s">
        <v>2754</v>
      </c>
      <c r="C3964" s="879"/>
    </row>
    <row r="3965" spans="1:3" x14ac:dyDescent="0.25">
      <c r="A3965" s="879"/>
      <c r="B3965" s="1452" t="s">
        <v>1367</v>
      </c>
      <c r="C3965" s="879"/>
    </row>
    <row r="3966" spans="1:3" x14ac:dyDescent="0.25">
      <c r="A3966" s="879"/>
      <c r="B3966" s="1452" t="s">
        <v>1369</v>
      </c>
      <c r="C3966" s="879"/>
    </row>
    <row r="3967" spans="1:3" x14ac:dyDescent="0.25">
      <c r="A3967" s="879"/>
      <c r="B3967" s="1452" t="s">
        <v>1370</v>
      </c>
      <c r="C3967" s="879"/>
    </row>
    <row r="3968" spans="1:3" x14ac:dyDescent="0.25">
      <c r="A3968" s="879"/>
      <c r="B3968" s="1452" t="s">
        <v>1367</v>
      </c>
      <c r="C3968" s="879"/>
    </row>
    <row r="3969" spans="1:3" x14ac:dyDescent="0.25">
      <c r="A3969" s="879"/>
      <c r="B3969" s="1452" t="s">
        <v>1460</v>
      </c>
      <c r="C3969" s="879"/>
    </row>
    <row r="3970" spans="1:3" x14ac:dyDescent="0.25">
      <c r="A3970" s="879"/>
      <c r="B3970" s="1452" t="s">
        <v>1461</v>
      </c>
      <c r="C3970" s="879"/>
    </row>
    <row r="3971" spans="1:3" x14ac:dyDescent="0.25">
      <c r="A3971" s="879"/>
      <c r="B3971" s="1452" t="s">
        <v>2755</v>
      </c>
      <c r="C3971" s="879"/>
    </row>
    <row r="3972" spans="1:3" x14ac:dyDescent="0.25">
      <c r="A3972" s="879"/>
      <c r="B3972" s="1452" t="s">
        <v>2756</v>
      </c>
      <c r="C3972" s="879"/>
    </row>
    <row r="3973" spans="1:3" x14ac:dyDescent="0.25">
      <c r="A3973" s="879"/>
      <c r="B3973" s="1452" t="s">
        <v>2757</v>
      </c>
      <c r="C3973" s="879"/>
    </row>
    <row r="3974" spans="1:3" x14ac:dyDescent="0.25">
      <c r="A3974" s="879"/>
      <c r="B3974" s="1452" t="s">
        <v>2758</v>
      </c>
      <c r="C3974" s="879"/>
    </row>
    <row r="3975" spans="1:3" x14ac:dyDescent="0.25">
      <c r="A3975" s="879"/>
      <c r="B3975" s="1452" t="s">
        <v>2759</v>
      </c>
      <c r="C3975" s="879"/>
    </row>
    <row r="3976" spans="1:3" x14ac:dyDescent="0.25">
      <c r="A3976" s="879"/>
      <c r="B3976" s="1452" t="s">
        <v>2760</v>
      </c>
      <c r="C3976" s="879"/>
    </row>
    <row r="3977" spans="1:3" x14ac:dyDescent="0.25">
      <c r="A3977" s="879"/>
      <c r="B3977" s="1452" t="s">
        <v>2761</v>
      </c>
      <c r="C3977" s="879"/>
    </row>
    <row r="3978" spans="1:3" x14ac:dyDescent="0.25">
      <c r="A3978" s="879"/>
      <c r="B3978" s="1452" t="s">
        <v>2762</v>
      </c>
      <c r="C3978" s="879"/>
    </row>
    <row r="3979" spans="1:3" x14ac:dyDescent="0.25">
      <c r="A3979" s="879"/>
      <c r="B3979" s="1452" t="s">
        <v>1462</v>
      </c>
      <c r="C3979" s="879"/>
    </row>
    <row r="3980" spans="1:3" x14ac:dyDescent="0.25">
      <c r="A3980" s="879"/>
      <c r="B3980" s="1452" t="s">
        <v>1382</v>
      </c>
      <c r="C3980" s="879"/>
    </row>
    <row r="3981" spans="1:3" x14ac:dyDescent="0.25">
      <c r="A3981" s="879"/>
      <c r="B3981" s="1452" t="s">
        <v>1367</v>
      </c>
      <c r="C3981" s="879"/>
    </row>
    <row r="3982" spans="1:3" x14ac:dyDescent="0.25">
      <c r="A3982" s="879"/>
      <c r="B3982" s="1452" t="s">
        <v>1460</v>
      </c>
      <c r="C3982" s="879"/>
    </row>
    <row r="3983" spans="1:3" x14ac:dyDescent="0.25">
      <c r="A3983" s="879"/>
      <c r="B3983" s="1452" t="s">
        <v>1594</v>
      </c>
      <c r="C3983" s="879"/>
    </row>
    <row r="3984" spans="1:3" x14ac:dyDescent="0.25">
      <c r="A3984" s="879"/>
      <c r="B3984" s="1452" t="s">
        <v>2763</v>
      </c>
      <c r="C3984" s="879"/>
    </row>
    <row r="3985" spans="1:3" x14ac:dyDescent="0.25">
      <c r="A3985" s="879"/>
      <c r="B3985" s="1452" t="s">
        <v>2764</v>
      </c>
      <c r="C3985" s="879"/>
    </row>
    <row r="3986" spans="1:3" x14ac:dyDescent="0.25">
      <c r="A3986" s="879"/>
      <c r="B3986" s="1452" t="s">
        <v>2765</v>
      </c>
      <c r="C3986" s="879"/>
    </row>
    <row r="3987" spans="1:3" x14ac:dyDescent="0.25">
      <c r="A3987" s="879"/>
      <c r="B3987" s="1452" t="s">
        <v>2766</v>
      </c>
      <c r="C3987" s="879"/>
    </row>
    <row r="3988" spans="1:3" x14ac:dyDescent="0.25">
      <c r="A3988" s="879"/>
      <c r="B3988" s="1452" t="s">
        <v>2767</v>
      </c>
      <c r="C3988" s="879"/>
    </row>
    <row r="3989" spans="1:3" x14ac:dyDescent="0.25">
      <c r="A3989" s="879"/>
      <c r="B3989" s="1452" t="s">
        <v>1595</v>
      </c>
      <c r="C3989" s="879"/>
    </row>
    <row r="3990" spans="1:3" x14ac:dyDescent="0.25">
      <c r="A3990" s="879"/>
      <c r="B3990" s="1452" t="s">
        <v>1596</v>
      </c>
      <c r="C3990" s="879"/>
    </row>
    <row r="3991" spans="1:3" x14ac:dyDescent="0.25">
      <c r="A3991" s="879"/>
      <c r="B3991" s="1452" t="s">
        <v>1597</v>
      </c>
      <c r="C3991" s="879"/>
    </row>
    <row r="3992" spans="1:3" x14ac:dyDescent="0.25">
      <c r="A3992" s="879"/>
      <c r="B3992" s="1452" t="s">
        <v>1598</v>
      </c>
      <c r="C3992" s="879"/>
    </row>
    <row r="3993" spans="1:3" x14ac:dyDescent="0.25">
      <c r="A3993" s="879"/>
      <c r="B3993" s="1452" t="s">
        <v>1466</v>
      </c>
      <c r="C3993" s="879"/>
    </row>
    <row r="3994" spans="1:3" x14ac:dyDescent="0.25">
      <c r="A3994" s="879"/>
      <c r="B3994" s="1452" t="s">
        <v>1467</v>
      </c>
      <c r="C3994" s="879"/>
    </row>
    <row r="3995" spans="1:3" x14ac:dyDescent="0.25">
      <c r="A3995" s="879"/>
      <c r="B3995" s="1452" t="s">
        <v>1468</v>
      </c>
      <c r="C3995" s="879"/>
    </row>
    <row r="3996" spans="1:3" x14ac:dyDescent="0.25">
      <c r="A3996" s="879"/>
      <c r="B3996" s="1452" t="s">
        <v>1469</v>
      </c>
      <c r="C3996" s="879"/>
    </row>
    <row r="3997" spans="1:3" x14ac:dyDescent="0.25">
      <c r="A3997" s="879"/>
      <c r="B3997" s="1452" t="s">
        <v>2768</v>
      </c>
      <c r="C3997" s="879"/>
    </row>
    <row r="3998" spans="1:3" x14ac:dyDescent="0.25">
      <c r="A3998" s="879"/>
      <c r="B3998" s="1452" t="s">
        <v>1599</v>
      </c>
      <c r="C3998" s="879"/>
    </row>
    <row r="3999" spans="1:3" x14ac:dyDescent="0.25">
      <c r="A3999" s="879"/>
      <c r="B3999" s="1452" t="s">
        <v>1600</v>
      </c>
      <c r="C3999" s="879"/>
    </row>
    <row r="4000" spans="1:3" x14ac:dyDescent="0.25">
      <c r="A4000" s="879"/>
      <c r="B4000" s="1452" t="s">
        <v>2769</v>
      </c>
      <c r="C4000" s="879"/>
    </row>
    <row r="4001" spans="1:3" x14ac:dyDescent="0.25">
      <c r="A4001" s="879"/>
      <c r="B4001" s="1452" t="s">
        <v>1601</v>
      </c>
      <c r="C4001" s="879"/>
    </row>
    <row r="4002" spans="1:3" x14ac:dyDescent="0.25">
      <c r="A4002" s="879"/>
      <c r="B4002" s="1452" t="s">
        <v>1471</v>
      </c>
      <c r="C4002" s="879"/>
    </row>
    <row r="4003" spans="1:3" x14ac:dyDescent="0.25">
      <c r="A4003" s="879"/>
      <c r="B4003" s="1452" t="s">
        <v>2770</v>
      </c>
      <c r="C4003" s="879"/>
    </row>
    <row r="4004" spans="1:3" x14ac:dyDescent="0.25">
      <c r="A4004" s="879"/>
      <c r="B4004" s="1452" t="s">
        <v>1603</v>
      </c>
      <c r="C4004" s="879"/>
    </row>
    <row r="4005" spans="1:3" x14ac:dyDescent="0.25">
      <c r="A4005" s="879"/>
      <c r="B4005" s="1452" t="s">
        <v>1473</v>
      </c>
      <c r="C4005" s="879"/>
    </row>
    <row r="4006" spans="1:3" x14ac:dyDescent="0.25">
      <c r="A4006" s="879"/>
      <c r="B4006" s="1452" t="s">
        <v>1604</v>
      </c>
      <c r="C4006" s="879"/>
    </row>
    <row r="4007" spans="1:3" x14ac:dyDescent="0.25">
      <c r="A4007" s="879"/>
      <c r="B4007" s="1452" t="s">
        <v>2771</v>
      </c>
      <c r="C4007" s="879"/>
    </row>
    <row r="4008" spans="1:3" x14ac:dyDescent="0.25">
      <c r="A4008" s="879"/>
      <c r="B4008" s="1452" t="s">
        <v>1605</v>
      </c>
      <c r="C4008" s="879"/>
    </row>
    <row r="4009" spans="1:3" x14ac:dyDescent="0.25">
      <c r="A4009" s="879"/>
      <c r="B4009" s="1452" t="s">
        <v>2772</v>
      </c>
      <c r="C4009" s="879"/>
    </row>
    <row r="4010" spans="1:3" x14ac:dyDescent="0.25">
      <c r="A4010" s="879"/>
      <c r="B4010" s="1452" t="s">
        <v>1476</v>
      </c>
      <c r="C4010" s="879"/>
    </row>
    <row r="4011" spans="1:3" x14ac:dyDescent="0.25">
      <c r="A4011" s="879"/>
      <c r="B4011" s="1452" t="s">
        <v>1477</v>
      </c>
      <c r="C4011" s="879"/>
    </row>
    <row r="4012" spans="1:3" x14ac:dyDescent="0.25">
      <c r="A4012" s="879"/>
      <c r="B4012" s="1452" t="s">
        <v>1478</v>
      </c>
      <c r="C4012" s="879"/>
    </row>
    <row r="4013" spans="1:3" x14ac:dyDescent="0.25">
      <c r="A4013" s="879"/>
      <c r="B4013" s="1452" t="s">
        <v>2773</v>
      </c>
      <c r="C4013" s="879"/>
    </row>
    <row r="4014" spans="1:3" x14ac:dyDescent="0.25">
      <c r="A4014" s="879"/>
      <c r="B4014" s="1452" t="s">
        <v>1606</v>
      </c>
      <c r="C4014" s="879"/>
    </row>
    <row r="4015" spans="1:3" x14ac:dyDescent="0.25">
      <c r="A4015" s="879"/>
      <c r="B4015" s="1452" t="s">
        <v>1479</v>
      </c>
      <c r="C4015" s="879"/>
    </row>
    <row r="4016" spans="1:3" x14ac:dyDescent="0.25">
      <c r="A4016" s="879"/>
      <c r="B4016" s="1452" t="s">
        <v>1480</v>
      </c>
      <c r="C4016" s="879"/>
    </row>
    <row r="4017" spans="1:3" x14ac:dyDescent="0.25">
      <c r="A4017" s="879"/>
      <c r="B4017" s="1452" t="s">
        <v>2774</v>
      </c>
      <c r="C4017" s="879"/>
    </row>
    <row r="4018" spans="1:3" x14ac:dyDescent="0.25">
      <c r="A4018" s="879"/>
      <c r="B4018" s="1452" t="s">
        <v>2775</v>
      </c>
      <c r="C4018" s="879"/>
    </row>
    <row r="4019" spans="1:3" x14ac:dyDescent="0.25">
      <c r="A4019" s="879"/>
      <c r="B4019" s="1452" t="s">
        <v>2776</v>
      </c>
      <c r="C4019" s="879"/>
    </row>
    <row r="4020" spans="1:3" x14ac:dyDescent="0.25">
      <c r="A4020" s="879"/>
      <c r="B4020" s="1452" t="s">
        <v>1607</v>
      </c>
      <c r="C4020" s="879"/>
    </row>
    <row r="4021" spans="1:3" x14ac:dyDescent="0.25">
      <c r="A4021" s="879"/>
      <c r="B4021" s="1452" t="s">
        <v>2777</v>
      </c>
      <c r="C4021" s="879"/>
    </row>
    <row r="4022" spans="1:3" x14ac:dyDescent="0.25">
      <c r="A4022" s="879"/>
      <c r="B4022" s="1452" t="s">
        <v>1608</v>
      </c>
      <c r="C4022" s="879"/>
    </row>
    <row r="4023" spans="1:3" x14ac:dyDescent="0.25">
      <c r="A4023" s="879"/>
      <c r="B4023" s="1452" t="s">
        <v>2778</v>
      </c>
      <c r="C4023" s="879"/>
    </row>
    <row r="4024" spans="1:3" x14ac:dyDescent="0.25">
      <c r="A4024" s="879"/>
      <c r="B4024" s="1452" t="s">
        <v>2779</v>
      </c>
      <c r="C4024" s="879"/>
    </row>
    <row r="4025" spans="1:3" x14ac:dyDescent="0.25">
      <c r="A4025" s="879"/>
      <c r="B4025" s="1452" t="s">
        <v>2780</v>
      </c>
      <c r="C4025" s="879"/>
    </row>
    <row r="4026" spans="1:3" x14ac:dyDescent="0.25">
      <c r="A4026" s="879"/>
      <c r="B4026" s="1452" t="s">
        <v>1481</v>
      </c>
      <c r="C4026" s="879"/>
    </row>
    <row r="4027" spans="1:3" x14ac:dyDescent="0.25">
      <c r="A4027" s="879"/>
      <c r="B4027" s="1452" t="s">
        <v>1482</v>
      </c>
      <c r="C4027" s="879"/>
    </row>
    <row r="4028" spans="1:3" x14ac:dyDescent="0.25">
      <c r="A4028" s="879"/>
      <c r="B4028" s="1452" t="s">
        <v>1483</v>
      </c>
      <c r="C4028" s="879"/>
    </row>
    <row r="4029" spans="1:3" x14ac:dyDescent="0.25">
      <c r="A4029" s="879"/>
      <c r="B4029" s="1452" t="s">
        <v>1484</v>
      </c>
      <c r="C4029" s="879"/>
    </row>
    <row r="4030" spans="1:3" x14ac:dyDescent="0.25">
      <c r="A4030" s="879"/>
      <c r="B4030" s="1452" t="s">
        <v>1430</v>
      </c>
      <c r="C4030" s="879"/>
    </row>
    <row r="4031" spans="1:3" x14ac:dyDescent="0.25">
      <c r="A4031" s="879"/>
      <c r="B4031" s="1452" t="s">
        <v>1367</v>
      </c>
      <c r="C4031" s="879"/>
    </row>
    <row r="4032" spans="1:3" x14ac:dyDescent="0.25">
      <c r="A4032" s="879"/>
      <c r="B4032" s="1452" t="s">
        <v>1449</v>
      </c>
      <c r="C4032" s="879"/>
    </row>
    <row r="4033" spans="1:3" x14ac:dyDescent="0.25">
      <c r="A4033" s="879"/>
      <c r="B4033" s="1452" t="s">
        <v>1367</v>
      </c>
      <c r="C4033" s="879"/>
    </row>
    <row r="4034" spans="1:3" x14ac:dyDescent="0.25">
      <c r="A4034" s="879"/>
      <c r="B4034" s="1452" t="s">
        <v>1450</v>
      </c>
      <c r="C4034" s="879"/>
    </row>
    <row r="4035" spans="1:3" x14ac:dyDescent="0.25">
      <c r="A4035" s="879"/>
      <c r="B4035" s="1452" t="s">
        <v>1451</v>
      </c>
      <c r="C4035" s="879"/>
    </row>
    <row r="4036" spans="1:3" x14ac:dyDescent="0.25">
      <c r="A4036" s="879"/>
      <c r="B4036" s="1452" t="s">
        <v>1452</v>
      </c>
      <c r="C4036" s="879"/>
    </row>
    <row r="4037" spans="1:3" x14ac:dyDescent="0.25">
      <c r="A4037" s="879"/>
      <c r="B4037" s="1452" t="s">
        <v>1681</v>
      </c>
      <c r="C4037" s="879"/>
    </row>
    <row r="4038" spans="1:3" x14ac:dyDescent="0.25">
      <c r="A4038" s="879"/>
      <c r="B4038" s="1452" t="s">
        <v>1682</v>
      </c>
      <c r="C4038" s="879"/>
    </row>
    <row r="4039" spans="1:3" x14ac:dyDescent="0.25">
      <c r="A4039" s="879"/>
      <c r="B4039" s="1452" t="s">
        <v>1517</v>
      </c>
      <c r="C4039" s="879"/>
    </row>
    <row r="4040" spans="1:3" x14ac:dyDescent="0.25">
      <c r="A4040" s="879"/>
      <c r="B4040" s="1452" t="s">
        <v>1684</v>
      </c>
      <c r="C4040" s="879"/>
    </row>
    <row r="4041" spans="1:3" x14ac:dyDescent="0.25">
      <c r="A4041" s="879"/>
      <c r="B4041" s="1452" t="s">
        <v>2781</v>
      </c>
      <c r="C4041" s="879"/>
    </row>
    <row r="4042" spans="1:3" x14ac:dyDescent="0.25">
      <c r="A4042" s="879"/>
      <c r="B4042" s="1452" t="s">
        <v>1485</v>
      </c>
      <c r="C4042" s="879"/>
    </row>
    <row r="4043" spans="1:3" x14ac:dyDescent="0.25">
      <c r="A4043" s="879"/>
      <c r="B4043" s="1452" t="s">
        <v>1685</v>
      </c>
      <c r="C4043" s="879"/>
    </row>
    <row r="4044" spans="1:3" x14ac:dyDescent="0.25">
      <c r="A4044" s="879"/>
      <c r="B4044" s="1452" t="s">
        <v>1686</v>
      </c>
      <c r="C4044" s="879"/>
    </row>
    <row r="4045" spans="1:3" x14ac:dyDescent="0.25">
      <c r="A4045" s="879"/>
      <c r="B4045" s="1452" t="s">
        <v>1454</v>
      </c>
      <c r="C4045" s="879"/>
    </row>
    <row r="4046" spans="1:3" x14ac:dyDescent="0.25">
      <c r="A4046" s="879"/>
      <c r="B4046" s="1452" t="s">
        <v>1486</v>
      </c>
      <c r="C4046" s="879"/>
    </row>
    <row r="4047" spans="1:3" x14ac:dyDescent="0.25">
      <c r="A4047" s="879"/>
      <c r="B4047" s="1452" t="s">
        <v>1455</v>
      </c>
      <c r="C4047" s="879"/>
    </row>
    <row r="4048" spans="1:3" x14ac:dyDescent="0.25">
      <c r="A4048" s="879"/>
      <c r="B4048" s="1452" t="s">
        <v>1518</v>
      </c>
      <c r="C4048" s="879"/>
    </row>
    <row r="4049" spans="1:3" x14ac:dyDescent="0.25">
      <c r="A4049" s="879"/>
      <c r="B4049" s="1452" t="s">
        <v>1688</v>
      </c>
      <c r="C4049" s="879"/>
    </row>
    <row r="4050" spans="1:3" x14ac:dyDescent="0.25">
      <c r="A4050" s="879"/>
      <c r="B4050" s="1452" t="s">
        <v>2782</v>
      </c>
      <c r="C4050" s="879"/>
    </row>
    <row r="4051" spans="1:3" x14ac:dyDescent="0.25">
      <c r="A4051" s="879"/>
      <c r="B4051" s="1452" t="s">
        <v>1456</v>
      </c>
      <c r="C4051" s="879"/>
    </row>
    <row r="4052" spans="1:3" x14ac:dyDescent="0.25">
      <c r="A4052" s="879"/>
      <c r="B4052" s="1452" t="s">
        <v>1367</v>
      </c>
      <c r="C4052" s="879"/>
    </row>
    <row r="4053" spans="1:3" x14ac:dyDescent="0.25">
      <c r="A4053" s="879"/>
      <c r="B4053" s="1452" t="s">
        <v>1450</v>
      </c>
      <c r="C4053" s="879"/>
    </row>
    <row r="4054" spans="1:3" x14ac:dyDescent="0.25">
      <c r="A4054" s="879"/>
      <c r="B4054" s="1452" t="s">
        <v>1451</v>
      </c>
      <c r="C4054" s="879"/>
    </row>
    <row r="4055" spans="1:3" x14ac:dyDescent="0.25">
      <c r="A4055" s="879"/>
      <c r="B4055" s="1452" t="s">
        <v>1452</v>
      </c>
      <c r="C4055" s="879"/>
    </row>
    <row r="4056" spans="1:3" x14ac:dyDescent="0.25">
      <c r="A4056" s="879"/>
      <c r="B4056" s="1452" t="s">
        <v>1681</v>
      </c>
      <c r="C4056" s="879"/>
    </row>
    <row r="4057" spans="1:3" x14ac:dyDescent="0.25">
      <c r="A4057" s="879"/>
      <c r="B4057" s="1452" t="s">
        <v>1682</v>
      </c>
      <c r="C4057" s="879"/>
    </row>
    <row r="4058" spans="1:3" x14ac:dyDescent="0.25">
      <c r="A4058" s="879"/>
      <c r="B4058" s="1452" t="s">
        <v>1517</v>
      </c>
      <c r="C4058" s="879"/>
    </row>
    <row r="4059" spans="1:3" x14ac:dyDescent="0.25">
      <c r="A4059" s="879"/>
      <c r="B4059" s="1452" t="s">
        <v>1684</v>
      </c>
      <c r="C4059" s="879"/>
    </row>
    <row r="4060" spans="1:3" x14ac:dyDescent="0.25">
      <c r="A4060" s="879"/>
      <c r="B4060" s="1452" t="s">
        <v>2781</v>
      </c>
      <c r="C4060" s="879"/>
    </row>
    <row r="4061" spans="1:3" x14ac:dyDescent="0.25">
      <c r="A4061" s="879"/>
      <c r="B4061" s="1452" t="s">
        <v>1485</v>
      </c>
      <c r="C4061" s="879"/>
    </row>
    <row r="4062" spans="1:3" x14ac:dyDescent="0.25">
      <c r="A4062" s="879"/>
      <c r="B4062" s="1452" t="s">
        <v>1685</v>
      </c>
      <c r="C4062" s="879"/>
    </row>
    <row r="4063" spans="1:3" x14ac:dyDescent="0.25">
      <c r="A4063" s="879"/>
      <c r="B4063" s="1452" t="s">
        <v>1686</v>
      </c>
      <c r="C4063" s="879"/>
    </row>
    <row r="4064" spans="1:3" x14ac:dyDescent="0.25">
      <c r="A4064" s="879"/>
      <c r="B4064" s="1452" t="s">
        <v>1454</v>
      </c>
      <c r="C4064" s="879"/>
    </row>
    <row r="4065" spans="1:3" x14ac:dyDescent="0.25">
      <c r="A4065" s="879"/>
      <c r="B4065" s="1452" t="s">
        <v>1486</v>
      </c>
      <c r="C4065" s="879"/>
    </row>
    <row r="4066" spans="1:3" x14ac:dyDescent="0.25">
      <c r="A4066" s="879"/>
      <c r="B4066" s="1452" t="s">
        <v>1455</v>
      </c>
      <c r="C4066" s="879"/>
    </row>
    <row r="4067" spans="1:3" x14ac:dyDescent="0.25">
      <c r="A4067" s="879"/>
      <c r="B4067" s="1452" t="s">
        <v>1518</v>
      </c>
      <c r="C4067" s="879"/>
    </row>
    <row r="4068" spans="1:3" x14ac:dyDescent="0.25">
      <c r="A4068" s="879"/>
      <c r="B4068" s="1452" t="s">
        <v>1688</v>
      </c>
      <c r="C4068" s="879"/>
    </row>
    <row r="4069" spans="1:3" x14ac:dyDescent="0.25">
      <c r="A4069" s="879"/>
      <c r="B4069" s="1452" t="s">
        <v>2782</v>
      </c>
      <c r="C4069" s="879"/>
    </row>
    <row r="4070" spans="1:3" x14ac:dyDescent="0.25">
      <c r="A4070" s="879"/>
      <c r="B4070" s="1452" t="s">
        <v>1690</v>
      </c>
      <c r="C4070" s="879"/>
    </row>
    <row r="4071" spans="1:3" x14ac:dyDescent="0.25">
      <c r="A4071" s="879"/>
      <c r="B4071" s="1452" t="s">
        <v>1367</v>
      </c>
      <c r="C4071" s="879"/>
    </row>
    <row r="4072" spans="1:3" x14ac:dyDescent="0.25">
      <c r="A4072" s="879"/>
      <c r="B4072" s="1452" t="s">
        <v>1691</v>
      </c>
      <c r="C4072" s="879"/>
    </row>
    <row r="4073" spans="1:3" x14ac:dyDescent="0.25">
      <c r="A4073" s="879"/>
      <c r="B4073" s="1452" t="s">
        <v>1692</v>
      </c>
      <c r="C4073" s="879"/>
    </row>
    <row r="4074" spans="1:3" x14ac:dyDescent="0.25">
      <c r="A4074" s="879"/>
      <c r="B4074" s="1452" t="s">
        <v>1693</v>
      </c>
      <c r="C4074" s="879"/>
    </row>
    <row r="4075" spans="1:3" x14ac:dyDescent="0.25">
      <c r="A4075" s="879"/>
      <c r="B4075" s="1452" t="s">
        <v>1694</v>
      </c>
      <c r="C4075" s="879"/>
    </row>
    <row r="4076" spans="1:3" x14ac:dyDescent="0.25">
      <c r="A4076" s="879"/>
      <c r="B4076" s="1452" t="s">
        <v>1695</v>
      </c>
      <c r="C4076" s="879"/>
    </row>
    <row r="4077" spans="1:3" x14ac:dyDescent="0.25">
      <c r="A4077" s="879"/>
      <c r="B4077" s="1452" t="s">
        <v>1696</v>
      </c>
      <c r="C4077" s="879"/>
    </row>
    <row r="4078" spans="1:3" x14ac:dyDescent="0.25">
      <c r="A4078" s="879"/>
      <c r="B4078" s="1452" t="s">
        <v>1697</v>
      </c>
      <c r="C4078" s="879"/>
    </row>
    <row r="4079" spans="1:3" x14ac:dyDescent="0.25">
      <c r="A4079" s="879"/>
      <c r="B4079" s="1452" t="s">
        <v>1698</v>
      </c>
      <c r="C4079" s="879"/>
    </row>
    <row r="4080" spans="1:3" x14ac:dyDescent="0.25">
      <c r="A4080" s="879"/>
      <c r="B4080" s="1452" t="s">
        <v>1699</v>
      </c>
      <c r="C4080" s="879"/>
    </row>
    <row r="4081" spans="1:3" x14ac:dyDescent="0.25">
      <c r="A4081" s="879"/>
      <c r="B4081" s="1452" t="s">
        <v>1700</v>
      </c>
      <c r="C4081" s="879"/>
    </row>
    <row r="4082" spans="1:3" x14ac:dyDescent="0.25">
      <c r="A4082" s="879"/>
      <c r="B4082" s="1452" t="s">
        <v>1701</v>
      </c>
      <c r="C4082" s="879"/>
    </row>
    <row r="4083" spans="1:3" x14ac:dyDescent="0.25">
      <c r="A4083" s="879"/>
      <c r="B4083" s="1452" t="s">
        <v>1702</v>
      </c>
      <c r="C4083" s="879"/>
    </row>
    <row r="4084" spans="1:3" x14ac:dyDescent="0.25">
      <c r="A4084" s="879"/>
      <c r="B4084" s="1452" t="s">
        <v>1703</v>
      </c>
      <c r="C4084" s="879"/>
    </row>
    <row r="4085" spans="1:3" x14ac:dyDescent="0.25">
      <c r="A4085" s="879"/>
      <c r="B4085" s="1452" t="s">
        <v>1704</v>
      </c>
      <c r="C4085" s="879"/>
    </row>
    <row r="4086" spans="1:3" x14ac:dyDescent="0.25">
      <c r="A4086" s="879"/>
      <c r="B4086" s="1452" t="s">
        <v>1705</v>
      </c>
      <c r="C4086" s="879"/>
    </row>
    <row r="4087" spans="1:3" x14ac:dyDescent="0.25">
      <c r="A4087" s="879"/>
      <c r="B4087" s="1452"/>
      <c r="C4087" s="879"/>
    </row>
    <row r="4088" spans="1:3" x14ac:dyDescent="0.25">
      <c r="A4088" s="879"/>
      <c r="B4088" s="1452"/>
      <c r="C4088" s="879"/>
    </row>
    <row r="4089" spans="1:3" x14ac:dyDescent="0.25">
      <c r="A4089" s="879"/>
      <c r="B4089" s="1452" t="s">
        <v>1368</v>
      </c>
      <c r="C4089" s="879"/>
    </row>
    <row r="4090" spans="1:3" x14ac:dyDescent="0.25">
      <c r="A4090" s="879"/>
      <c r="B4090" s="1452" t="s">
        <v>2783</v>
      </c>
      <c r="C4090" s="879"/>
    </row>
    <row r="4091" spans="1:3" x14ac:dyDescent="0.25">
      <c r="A4091" s="879"/>
      <c r="B4091" s="1452" t="s">
        <v>1368</v>
      </c>
      <c r="C4091" s="879"/>
    </row>
    <row r="4092" spans="1:3" x14ac:dyDescent="0.25">
      <c r="A4092" s="879"/>
      <c r="B4092" s="1452" t="s">
        <v>2784</v>
      </c>
      <c r="C4092" s="879"/>
    </row>
    <row r="4093" spans="1:3" x14ac:dyDescent="0.25">
      <c r="A4093" s="879"/>
      <c r="B4093" s="1452" t="s">
        <v>1367</v>
      </c>
      <c r="C4093" s="879"/>
    </row>
    <row r="4094" spans="1:3" x14ac:dyDescent="0.25">
      <c r="A4094" s="879"/>
      <c r="B4094" s="1452" t="s">
        <v>1369</v>
      </c>
      <c r="C4094" s="879"/>
    </row>
    <row r="4095" spans="1:3" x14ac:dyDescent="0.25">
      <c r="A4095" s="879"/>
      <c r="B4095" s="1452" t="s">
        <v>1370</v>
      </c>
      <c r="C4095" s="879"/>
    </row>
    <row r="4096" spans="1:3" x14ac:dyDescent="0.25">
      <c r="A4096" s="879"/>
      <c r="B4096" s="1452" t="s">
        <v>1367</v>
      </c>
      <c r="C4096" s="879"/>
    </row>
    <row r="4097" spans="1:3" x14ac:dyDescent="0.25">
      <c r="A4097" s="879"/>
      <c r="B4097" s="1452" t="s">
        <v>2296</v>
      </c>
      <c r="C4097" s="879"/>
    </row>
    <row r="4098" spans="1:3" x14ac:dyDescent="0.25">
      <c r="A4098" s="879"/>
      <c r="B4098" s="1452" t="s">
        <v>2785</v>
      </c>
      <c r="C4098" s="879"/>
    </row>
    <row r="4099" spans="1:3" x14ac:dyDescent="0.25">
      <c r="A4099" s="879"/>
      <c r="B4099" s="1452" t="s">
        <v>2298</v>
      </c>
      <c r="C4099" s="879"/>
    </row>
    <row r="4100" spans="1:3" x14ac:dyDescent="0.25">
      <c r="A4100" s="879"/>
      <c r="B4100" s="1452" t="s">
        <v>2299</v>
      </c>
      <c r="C4100" s="879"/>
    </row>
    <row r="4101" spans="1:3" x14ac:dyDescent="0.25">
      <c r="A4101" s="879"/>
      <c r="B4101" s="1452" t="s">
        <v>2786</v>
      </c>
      <c r="C4101" s="879"/>
    </row>
    <row r="4102" spans="1:3" x14ac:dyDescent="0.25">
      <c r="A4102" s="879"/>
      <c r="B4102" s="1452" t="s">
        <v>2787</v>
      </c>
      <c r="C4102" s="879"/>
    </row>
    <row r="4103" spans="1:3" x14ac:dyDescent="0.25">
      <c r="A4103" s="879"/>
      <c r="B4103" s="1452" t="s">
        <v>2788</v>
      </c>
      <c r="C4103" s="879"/>
    </row>
    <row r="4104" spans="1:3" x14ac:dyDescent="0.25">
      <c r="A4104" s="879"/>
      <c r="B4104" s="1452" t="s">
        <v>2789</v>
      </c>
      <c r="C4104" s="879"/>
    </row>
    <row r="4105" spans="1:3" x14ac:dyDescent="0.25">
      <c r="A4105" s="879"/>
      <c r="B4105" s="1452" t="s">
        <v>2304</v>
      </c>
      <c r="C4105" s="879"/>
    </row>
    <row r="4106" spans="1:3" x14ac:dyDescent="0.25">
      <c r="A4106" s="879"/>
      <c r="B4106" s="1452" t="s">
        <v>2790</v>
      </c>
      <c r="C4106" s="879"/>
    </row>
    <row r="4107" spans="1:3" x14ac:dyDescent="0.25">
      <c r="A4107" s="879"/>
      <c r="B4107" s="1452" t="s">
        <v>2791</v>
      </c>
      <c r="C4107" s="879"/>
    </row>
    <row r="4108" spans="1:3" x14ac:dyDescent="0.25">
      <c r="A4108" s="879"/>
      <c r="B4108" s="1452" t="s">
        <v>1382</v>
      </c>
      <c r="C4108" s="879"/>
    </row>
    <row r="4109" spans="1:3" x14ac:dyDescent="0.25">
      <c r="A4109" s="879"/>
      <c r="B4109" s="1452" t="s">
        <v>1367</v>
      </c>
      <c r="C4109" s="879"/>
    </row>
    <row r="4110" spans="1:3" x14ac:dyDescent="0.25">
      <c r="A4110" s="879"/>
      <c r="B4110" s="1452" t="s">
        <v>2296</v>
      </c>
      <c r="C4110" s="879"/>
    </row>
    <row r="4111" spans="1:3" x14ac:dyDescent="0.25">
      <c r="A4111" s="879"/>
      <c r="B4111" s="1452" t="s">
        <v>2792</v>
      </c>
      <c r="C4111" s="879"/>
    </row>
    <row r="4112" spans="1:3" x14ac:dyDescent="0.25">
      <c r="A4112" s="879"/>
      <c r="B4112" s="1452" t="s">
        <v>2308</v>
      </c>
      <c r="C4112" s="879"/>
    </row>
    <row r="4113" spans="1:3" x14ac:dyDescent="0.25">
      <c r="A4113" s="879"/>
      <c r="B4113" s="1452" t="s">
        <v>2793</v>
      </c>
      <c r="C4113" s="879"/>
    </row>
    <row r="4114" spans="1:3" x14ac:dyDescent="0.25">
      <c r="A4114" s="879"/>
      <c r="B4114" s="1452" t="s">
        <v>2794</v>
      </c>
      <c r="C4114" s="879"/>
    </row>
    <row r="4115" spans="1:3" x14ac:dyDescent="0.25">
      <c r="A4115" s="879"/>
      <c r="B4115" s="1452" t="s">
        <v>2795</v>
      </c>
      <c r="C4115" s="879"/>
    </row>
    <row r="4116" spans="1:3" x14ac:dyDescent="0.25">
      <c r="A4116" s="879"/>
      <c r="B4116" s="1452" t="s">
        <v>2312</v>
      </c>
      <c r="C4116" s="879"/>
    </row>
    <row r="4117" spans="1:3" x14ac:dyDescent="0.25">
      <c r="A4117" s="879"/>
      <c r="B4117" s="1452" t="s">
        <v>2313</v>
      </c>
      <c r="C4117" s="879"/>
    </row>
    <row r="4118" spans="1:3" x14ac:dyDescent="0.25">
      <c r="A4118" s="879"/>
      <c r="B4118" s="1452" t="s">
        <v>2796</v>
      </c>
      <c r="C4118" s="879"/>
    </row>
    <row r="4119" spans="1:3" x14ac:dyDescent="0.25">
      <c r="A4119" s="879"/>
      <c r="B4119" s="1452" t="s">
        <v>2315</v>
      </c>
      <c r="C4119" s="879"/>
    </row>
    <row r="4120" spans="1:3" x14ac:dyDescent="0.25">
      <c r="A4120" s="879"/>
      <c r="B4120" s="1452" t="s">
        <v>2797</v>
      </c>
      <c r="C4120" s="879"/>
    </row>
    <row r="4121" spans="1:3" x14ac:dyDescent="0.25">
      <c r="A4121" s="879"/>
      <c r="B4121" s="1452" t="s">
        <v>2798</v>
      </c>
      <c r="C4121" s="879"/>
    </row>
    <row r="4122" spans="1:3" x14ac:dyDescent="0.25">
      <c r="A4122" s="879"/>
      <c r="B4122" s="1452" t="s">
        <v>2799</v>
      </c>
      <c r="C4122" s="879"/>
    </row>
    <row r="4123" spans="1:3" x14ac:dyDescent="0.25">
      <c r="A4123" s="879"/>
      <c r="B4123" s="1452" t="s">
        <v>2800</v>
      </c>
      <c r="C4123" s="879"/>
    </row>
    <row r="4124" spans="1:3" x14ac:dyDescent="0.25">
      <c r="A4124" s="879"/>
      <c r="B4124" s="1452" t="s">
        <v>2320</v>
      </c>
      <c r="C4124" s="879"/>
    </row>
    <row r="4125" spans="1:3" x14ac:dyDescent="0.25">
      <c r="A4125" s="879"/>
      <c r="B4125" s="1452" t="s">
        <v>2801</v>
      </c>
      <c r="C4125" s="879"/>
    </row>
    <row r="4126" spans="1:3" x14ac:dyDescent="0.25">
      <c r="A4126" s="879"/>
      <c r="B4126" s="1452" t="s">
        <v>2802</v>
      </c>
      <c r="C4126" s="879"/>
    </row>
    <row r="4127" spans="1:3" x14ac:dyDescent="0.25">
      <c r="A4127" s="879"/>
      <c r="B4127" s="1452" t="s">
        <v>2323</v>
      </c>
      <c r="C4127" s="879"/>
    </row>
    <row r="4128" spans="1:3" x14ac:dyDescent="0.25">
      <c r="A4128" s="879"/>
      <c r="B4128" s="1452" t="s">
        <v>2803</v>
      </c>
      <c r="C4128" s="879"/>
    </row>
    <row r="4129" spans="1:3" x14ac:dyDescent="0.25">
      <c r="A4129" s="879"/>
      <c r="B4129" s="1452" t="s">
        <v>2325</v>
      </c>
      <c r="C4129" s="879"/>
    </row>
    <row r="4130" spans="1:3" x14ac:dyDescent="0.25">
      <c r="A4130" s="879"/>
      <c r="B4130" s="1452" t="s">
        <v>2804</v>
      </c>
      <c r="C4130" s="879"/>
    </row>
    <row r="4131" spans="1:3" x14ac:dyDescent="0.25">
      <c r="A4131" s="879"/>
      <c r="B4131" s="1452" t="s">
        <v>2327</v>
      </c>
      <c r="C4131" s="879"/>
    </row>
    <row r="4132" spans="1:3" x14ac:dyDescent="0.25">
      <c r="A4132" s="879"/>
      <c r="B4132" s="1452" t="s">
        <v>2328</v>
      </c>
      <c r="C4132" s="879"/>
    </row>
    <row r="4133" spans="1:3" x14ac:dyDescent="0.25">
      <c r="A4133" s="879"/>
      <c r="B4133" s="1452" t="s">
        <v>2329</v>
      </c>
      <c r="C4133" s="879"/>
    </row>
    <row r="4134" spans="1:3" x14ac:dyDescent="0.25">
      <c r="A4134" s="879"/>
      <c r="B4134" s="1452" t="s">
        <v>2330</v>
      </c>
      <c r="C4134" s="879"/>
    </row>
    <row r="4135" spans="1:3" x14ac:dyDescent="0.25">
      <c r="A4135" s="879"/>
      <c r="B4135" s="1452" t="s">
        <v>2331</v>
      </c>
      <c r="C4135" s="879"/>
    </row>
    <row r="4136" spans="1:3" x14ac:dyDescent="0.25">
      <c r="A4136" s="879"/>
      <c r="B4136" s="1452" t="s">
        <v>2805</v>
      </c>
      <c r="C4136" s="879"/>
    </row>
    <row r="4137" spans="1:3" x14ac:dyDescent="0.25">
      <c r="A4137" s="879"/>
      <c r="B4137" s="1452" t="s">
        <v>2806</v>
      </c>
      <c r="C4137" s="879"/>
    </row>
    <row r="4138" spans="1:3" x14ac:dyDescent="0.25">
      <c r="A4138" s="879"/>
      <c r="B4138" s="1452" t="s">
        <v>2334</v>
      </c>
      <c r="C4138" s="879"/>
    </row>
    <row r="4139" spans="1:3" x14ac:dyDescent="0.25">
      <c r="A4139" s="879"/>
      <c r="B4139" s="1452" t="s">
        <v>2807</v>
      </c>
      <c r="C4139" s="879"/>
    </row>
    <row r="4140" spans="1:3" x14ac:dyDescent="0.25">
      <c r="A4140" s="879"/>
      <c r="B4140" s="1452" t="s">
        <v>2808</v>
      </c>
      <c r="C4140" s="879"/>
    </row>
    <row r="4141" spans="1:3" x14ac:dyDescent="0.25">
      <c r="A4141" s="879"/>
      <c r="B4141" s="1452" t="s">
        <v>2337</v>
      </c>
      <c r="C4141" s="879"/>
    </row>
    <row r="4142" spans="1:3" x14ac:dyDescent="0.25">
      <c r="A4142" s="879"/>
      <c r="B4142" s="1452" t="s">
        <v>2809</v>
      </c>
      <c r="C4142" s="879"/>
    </row>
    <row r="4143" spans="1:3" x14ac:dyDescent="0.25">
      <c r="A4143" s="879"/>
      <c r="B4143" s="1452" t="s">
        <v>2810</v>
      </c>
      <c r="C4143" s="879"/>
    </row>
    <row r="4144" spans="1:3" x14ac:dyDescent="0.25">
      <c r="A4144" s="879"/>
      <c r="B4144" s="1452" t="s">
        <v>2340</v>
      </c>
      <c r="C4144" s="879"/>
    </row>
    <row r="4145" spans="1:3" x14ac:dyDescent="0.25">
      <c r="A4145" s="879"/>
      <c r="B4145" s="1452" t="s">
        <v>2811</v>
      </c>
      <c r="C4145" s="879"/>
    </row>
    <row r="4146" spans="1:3" x14ac:dyDescent="0.25">
      <c r="A4146" s="879"/>
      <c r="B4146" s="1452" t="s">
        <v>2812</v>
      </c>
      <c r="C4146" s="879"/>
    </row>
    <row r="4147" spans="1:3" x14ac:dyDescent="0.25">
      <c r="A4147" s="879"/>
      <c r="B4147" s="1452" t="s">
        <v>2343</v>
      </c>
      <c r="C4147" s="879"/>
    </row>
    <row r="4148" spans="1:3" x14ac:dyDescent="0.25">
      <c r="A4148" s="879"/>
      <c r="B4148" s="1452" t="s">
        <v>2813</v>
      </c>
      <c r="C4148" s="879"/>
    </row>
    <row r="4149" spans="1:3" x14ac:dyDescent="0.25">
      <c r="A4149" s="879"/>
      <c r="B4149" s="1452" t="s">
        <v>2345</v>
      </c>
      <c r="C4149" s="879"/>
    </row>
    <row r="4150" spans="1:3" x14ac:dyDescent="0.25">
      <c r="A4150" s="879"/>
      <c r="B4150" s="1452" t="s">
        <v>2814</v>
      </c>
      <c r="C4150" s="879"/>
    </row>
    <row r="4151" spans="1:3" x14ac:dyDescent="0.25">
      <c r="A4151" s="879"/>
      <c r="B4151" s="1452" t="s">
        <v>2815</v>
      </c>
      <c r="C4151" s="879"/>
    </row>
    <row r="4152" spans="1:3" x14ac:dyDescent="0.25">
      <c r="A4152" s="879"/>
      <c r="B4152" s="1452" t="s">
        <v>2816</v>
      </c>
      <c r="C4152" s="879"/>
    </row>
    <row r="4153" spans="1:3" x14ac:dyDescent="0.25">
      <c r="A4153" s="879"/>
      <c r="B4153" s="1452" t="s">
        <v>2817</v>
      </c>
      <c r="C4153" s="879"/>
    </row>
    <row r="4154" spans="1:3" x14ac:dyDescent="0.25">
      <c r="A4154" s="879"/>
      <c r="B4154" s="1452" t="s">
        <v>2350</v>
      </c>
      <c r="C4154" s="879"/>
    </row>
    <row r="4155" spans="1:3" x14ac:dyDescent="0.25">
      <c r="A4155" s="879"/>
      <c r="B4155" s="1452" t="s">
        <v>2351</v>
      </c>
      <c r="C4155" s="879"/>
    </row>
    <row r="4156" spans="1:3" x14ac:dyDescent="0.25">
      <c r="A4156" s="879"/>
      <c r="B4156" s="1452" t="s">
        <v>2352</v>
      </c>
      <c r="C4156" s="879"/>
    </row>
    <row r="4157" spans="1:3" x14ac:dyDescent="0.25">
      <c r="A4157" s="879"/>
      <c r="B4157" s="1452" t="s">
        <v>2353</v>
      </c>
      <c r="C4157" s="879"/>
    </row>
    <row r="4158" spans="1:3" x14ac:dyDescent="0.25">
      <c r="A4158" s="879"/>
      <c r="B4158" s="1452" t="s">
        <v>1430</v>
      </c>
      <c r="C4158" s="879"/>
    </row>
    <row r="4159" spans="1:3" x14ac:dyDescent="0.25">
      <c r="A4159" s="879"/>
      <c r="B4159" s="1452" t="s">
        <v>1367</v>
      </c>
      <c r="C4159" s="879"/>
    </row>
    <row r="4160" spans="1:3" x14ac:dyDescent="0.25">
      <c r="A4160" s="879"/>
      <c r="B4160" s="1452" t="s">
        <v>1449</v>
      </c>
      <c r="C4160" s="879"/>
    </row>
    <row r="4161" spans="1:3" x14ac:dyDescent="0.25">
      <c r="A4161" s="879"/>
      <c r="B4161" s="1452" t="s">
        <v>1367</v>
      </c>
      <c r="C4161" s="879"/>
    </row>
    <row r="4162" spans="1:3" x14ac:dyDescent="0.25">
      <c r="A4162" s="879"/>
      <c r="B4162" s="1452" t="s">
        <v>1450</v>
      </c>
      <c r="C4162" s="879"/>
    </row>
    <row r="4163" spans="1:3" x14ac:dyDescent="0.25">
      <c r="A4163" s="879"/>
      <c r="B4163" s="1452" t="s">
        <v>1451</v>
      </c>
      <c r="C4163" s="879"/>
    </row>
    <row r="4164" spans="1:3" x14ac:dyDescent="0.25">
      <c r="A4164" s="879"/>
      <c r="B4164" s="1452" t="s">
        <v>2701</v>
      </c>
      <c r="C4164" s="879"/>
    </row>
    <row r="4165" spans="1:3" x14ac:dyDescent="0.25">
      <c r="A4165" s="879"/>
      <c r="B4165" s="1452" t="s">
        <v>2702</v>
      </c>
      <c r="C4165" s="879"/>
    </row>
    <row r="4166" spans="1:3" x14ac:dyDescent="0.25">
      <c r="A4166" s="879"/>
      <c r="B4166" s="1452" t="s">
        <v>1974</v>
      </c>
      <c r="C4166" s="879"/>
    </row>
    <row r="4167" spans="1:3" x14ac:dyDescent="0.25">
      <c r="A4167" s="879"/>
      <c r="B4167" s="1452" t="s">
        <v>1975</v>
      </c>
      <c r="C4167" s="879"/>
    </row>
    <row r="4168" spans="1:3" x14ac:dyDescent="0.25">
      <c r="A4168" s="879"/>
      <c r="B4168" s="1452" t="s">
        <v>1684</v>
      </c>
      <c r="C4168" s="879"/>
    </row>
    <row r="4169" spans="1:3" x14ac:dyDescent="0.25">
      <c r="A4169" s="879"/>
      <c r="B4169" s="1452" t="s">
        <v>2818</v>
      </c>
      <c r="C4169" s="879"/>
    </row>
    <row r="4170" spans="1:3" x14ac:dyDescent="0.25">
      <c r="A4170" s="879"/>
      <c r="B4170" s="1452" t="s">
        <v>1976</v>
      </c>
      <c r="C4170" s="879"/>
    </row>
    <row r="4171" spans="1:3" x14ac:dyDescent="0.25">
      <c r="A4171" s="879"/>
      <c r="B4171" s="1452" t="s">
        <v>1685</v>
      </c>
      <c r="C4171" s="879"/>
    </row>
    <row r="4172" spans="1:3" x14ac:dyDescent="0.25">
      <c r="A4172" s="879"/>
      <c r="B4172" s="1452" t="s">
        <v>1686</v>
      </c>
      <c r="C4172" s="879"/>
    </row>
    <row r="4173" spans="1:3" x14ac:dyDescent="0.25">
      <c r="A4173" s="879"/>
      <c r="B4173" s="1452" t="s">
        <v>1454</v>
      </c>
      <c r="C4173" s="879"/>
    </row>
    <row r="4174" spans="1:3" x14ac:dyDescent="0.25">
      <c r="A4174" s="879"/>
      <c r="B4174" s="1452" t="s">
        <v>1979</v>
      </c>
      <c r="C4174" s="879"/>
    </row>
    <row r="4175" spans="1:3" x14ac:dyDescent="0.25">
      <c r="A4175" s="879"/>
      <c r="B4175" s="1452" t="s">
        <v>1455</v>
      </c>
      <c r="C4175" s="879"/>
    </row>
    <row r="4176" spans="1:3" x14ac:dyDescent="0.25">
      <c r="A4176" s="879"/>
      <c r="B4176" s="1452" t="s">
        <v>1980</v>
      </c>
      <c r="C4176" s="879"/>
    </row>
    <row r="4177" spans="1:3" x14ac:dyDescent="0.25">
      <c r="A4177" s="879"/>
      <c r="B4177" s="1452" t="s">
        <v>1688</v>
      </c>
      <c r="C4177" s="879"/>
    </row>
    <row r="4178" spans="1:3" x14ac:dyDescent="0.25">
      <c r="A4178" s="879"/>
      <c r="B4178" s="1452" t="s">
        <v>2819</v>
      </c>
      <c r="C4178" s="879"/>
    </row>
    <row r="4179" spans="1:3" x14ac:dyDescent="0.25">
      <c r="A4179" s="879"/>
      <c r="B4179" s="1452" t="s">
        <v>1456</v>
      </c>
      <c r="C4179" s="879"/>
    </row>
    <row r="4180" spans="1:3" x14ac:dyDescent="0.25">
      <c r="A4180" s="879"/>
      <c r="B4180" s="1452" t="s">
        <v>1367</v>
      </c>
      <c r="C4180" s="879"/>
    </row>
    <row r="4181" spans="1:3" x14ac:dyDescent="0.25">
      <c r="A4181" s="879"/>
      <c r="B4181" s="1452" t="s">
        <v>1450</v>
      </c>
      <c r="C4181" s="879"/>
    </row>
    <row r="4182" spans="1:3" x14ac:dyDescent="0.25">
      <c r="A4182" s="879"/>
      <c r="B4182" s="1452" t="s">
        <v>1451</v>
      </c>
      <c r="C4182" s="879"/>
    </row>
    <row r="4183" spans="1:3" x14ac:dyDescent="0.25">
      <c r="A4183" s="879"/>
      <c r="B4183" s="1452" t="s">
        <v>2701</v>
      </c>
      <c r="C4183" s="879"/>
    </row>
    <row r="4184" spans="1:3" x14ac:dyDescent="0.25">
      <c r="A4184" s="879"/>
      <c r="B4184" s="1452" t="s">
        <v>2702</v>
      </c>
      <c r="C4184" s="879"/>
    </row>
    <row r="4185" spans="1:3" x14ac:dyDescent="0.25">
      <c r="A4185" s="879"/>
      <c r="B4185" s="1452" t="s">
        <v>1974</v>
      </c>
      <c r="C4185" s="879"/>
    </row>
    <row r="4186" spans="1:3" x14ac:dyDescent="0.25">
      <c r="A4186" s="879"/>
      <c r="B4186" s="1452" t="s">
        <v>1975</v>
      </c>
      <c r="C4186" s="879"/>
    </row>
    <row r="4187" spans="1:3" x14ac:dyDescent="0.25">
      <c r="A4187" s="879"/>
      <c r="B4187" s="1452" t="s">
        <v>1684</v>
      </c>
      <c r="C4187" s="879"/>
    </row>
    <row r="4188" spans="1:3" x14ac:dyDescent="0.25">
      <c r="A4188" s="879"/>
      <c r="B4188" s="1452" t="s">
        <v>2818</v>
      </c>
      <c r="C4188" s="879"/>
    </row>
    <row r="4189" spans="1:3" x14ac:dyDescent="0.25">
      <c r="A4189" s="879"/>
      <c r="B4189" s="1452" t="s">
        <v>1976</v>
      </c>
      <c r="C4189" s="879"/>
    </row>
    <row r="4190" spans="1:3" x14ac:dyDescent="0.25">
      <c r="A4190" s="879"/>
      <c r="B4190" s="1452" t="s">
        <v>1685</v>
      </c>
      <c r="C4190" s="879"/>
    </row>
    <row r="4191" spans="1:3" x14ac:dyDescent="0.25">
      <c r="A4191" s="879"/>
      <c r="B4191" s="1452" t="s">
        <v>1686</v>
      </c>
      <c r="C4191" s="879"/>
    </row>
    <row r="4192" spans="1:3" x14ac:dyDescent="0.25">
      <c r="A4192" s="879"/>
      <c r="B4192" s="1452" t="s">
        <v>1454</v>
      </c>
      <c r="C4192" s="879"/>
    </row>
    <row r="4193" spans="1:3" x14ac:dyDescent="0.25">
      <c r="A4193" s="879"/>
      <c r="B4193" s="1452" t="s">
        <v>1979</v>
      </c>
      <c r="C4193" s="879"/>
    </row>
    <row r="4194" spans="1:3" x14ac:dyDescent="0.25">
      <c r="A4194" s="879"/>
      <c r="B4194" s="1452" t="s">
        <v>1455</v>
      </c>
      <c r="C4194" s="879"/>
    </row>
    <row r="4195" spans="1:3" x14ac:dyDescent="0.25">
      <c r="A4195" s="879"/>
      <c r="B4195" s="1452" t="s">
        <v>1980</v>
      </c>
      <c r="C4195" s="879"/>
    </row>
    <row r="4196" spans="1:3" x14ac:dyDescent="0.25">
      <c r="A4196" s="879"/>
      <c r="B4196" s="1452" t="s">
        <v>1688</v>
      </c>
      <c r="C4196" s="879"/>
    </row>
    <row r="4197" spans="1:3" x14ac:dyDescent="0.25">
      <c r="A4197" s="879"/>
      <c r="B4197" s="1452" t="s">
        <v>2819</v>
      </c>
      <c r="C4197" s="879"/>
    </row>
    <row r="4198" spans="1:3" x14ac:dyDescent="0.25">
      <c r="A4198" s="879"/>
      <c r="B4198" s="1452" t="s">
        <v>2367</v>
      </c>
      <c r="C4198" s="879"/>
    </row>
    <row r="4199" spans="1:3" x14ac:dyDescent="0.25">
      <c r="A4199" s="879"/>
      <c r="B4199" s="1452" t="s">
        <v>1367</v>
      </c>
      <c r="C4199" s="879"/>
    </row>
    <row r="4200" spans="1:3" x14ac:dyDescent="0.25">
      <c r="A4200" s="879"/>
      <c r="B4200" s="1452" t="s">
        <v>1450</v>
      </c>
      <c r="C4200" s="879"/>
    </row>
    <row r="4201" spans="1:3" x14ac:dyDescent="0.25">
      <c r="A4201" s="879"/>
      <c r="B4201" s="1452" t="s">
        <v>1451</v>
      </c>
      <c r="C4201" s="879"/>
    </row>
    <row r="4202" spans="1:3" x14ac:dyDescent="0.25">
      <c r="A4202" s="879"/>
      <c r="B4202" s="1452" t="s">
        <v>1452</v>
      </c>
      <c r="C4202" s="879"/>
    </row>
    <row r="4203" spans="1:3" x14ac:dyDescent="0.25">
      <c r="A4203" s="879"/>
      <c r="B4203" s="1452" t="s">
        <v>1681</v>
      </c>
      <c r="C4203" s="879"/>
    </row>
    <row r="4204" spans="1:3" x14ac:dyDescent="0.25">
      <c r="A4204" s="879"/>
      <c r="B4204" s="1452" t="s">
        <v>1682</v>
      </c>
      <c r="C4204" s="879"/>
    </row>
    <row r="4205" spans="1:3" x14ac:dyDescent="0.25">
      <c r="A4205" s="879"/>
      <c r="B4205" s="1452" t="s">
        <v>1517</v>
      </c>
      <c r="C4205" s="879"/>
    </row>
    <row r="4206" spans="1:3" x14ac:dyDescent="0.25">
      <c r="A4206" s="879"/>
      <c r="B4206" s="1452" t="s">
        <v>1684</v>
      </c>
      <c r="C4206" s="879"/>
    </row>
    <row r="4207" spans="1:3" x14ac:dyDescent="0.25">
      <c r="A4207" s="879"/>
      <c r="B4207" s="1452" t="s">
        <v>1453</v>
      </c>
      <c r="C4207" s="879"/>
    </row>
    <row r="4208" spans="1:3" x14ac:dyDescent="0.25">
      <c r="A4208" s="879"/>
      <c r="B4208" s="1452" t="s">
        <v>1485</v>
      </c>
      <c r="C4208" s="879"/>
    </row>
    <row r="4209" spans="1:3" x14ac:dyDescent="0.25">
      <c r="A4209" s="879"/>
      <c r="B4209" s="1452" t="s">
        <v>1685</v>
      </c>
      <c r="C4209" s="879"/>
    </row>
    <row r="4210" spans="1:3" x14ac:dyDescent="0.25">
      <c r="A4210" s="879"/>
      <c r="B4210" s="1452" t="s">
        <v>1686</v>
      </c>
      <c r="C4210" s="879"/>
    </row>
    <row r="4211" spans="1:3" x14ac:dyDescent="0.25">
      <c r="A4211" s="879"/>
      <c r="B4211" s="1452" t="s">
        <v>1454</v>
      </c>
      <c r="C4211" s="879"/>
    </row>
    <row r="4212" spans="1:3" x14ac:dyDescent="0.25">
      <c r="A4212" s="879"/>
      <c r="B4212" s="1452" t="s">
        <v>1486</v>
      </c>
      <c r="C4212" s="879"/>
    </row>
    <row r="4213" spans="1:3" x14ac:dyDescent="0.25">
      <c r="A4213" s="879"/>
      <c r="B4213" s="1452" t="s">
        <v>1455</v>
      </c>
      <c r="C4213" s="879"/>
    </row>
    <row r="4214" spans="1:3" x14ac:dyDescent="0.25">
      <c r="A4214" s="879"/>
      <c r="B4214" s="1452" t="s">
        <v>1518</v>
      </c>
      <c r="C4214" s="879"/>
    </row>
    <row r="4215" spans="1:3" x14ac:dyDescent="0.25">
      <c r="A4215" s="879"/>
      <c r="B4215" s="1452" t="s">
        <v>2368</v>
      </c>
      <c r="C4215" s="879"/>
    </row>
    <row r="4216" spans="1:3" x14ac:dyDescent="0.25">
      <c r="A4216" s="879"/>
      <c r="B4216" s="1452" t="s">
        <v>1458</v>
      </c>
      <c r="C4216" s="879"/>
    </row>
    <row r="4217" spans="1:3" x14ac:dyDescent="0.25">
      <c r="A4217" s="879"/>
      <c r="B4217" s="1452" t="s">
        <v>1457</v>
      </c>
      <c r="C4217" s="879"/>
    </row>
    <row r="4218" spans="1:3" x14ac:dyDescent="0.25">
      <c r="A4218" s="879"/>
      <c r="B4218" s="1452" t="s">
        <v>1367</v>
      </c>
      <c r="C4218" s="879"/>
    </row>
    <row r="4219" spans="1:3" x14ac:dyDescent="0.25">
      <c r="A4219" s="879"/>
      <c r="B4219" s="1452" t="s">
        <v>1450</v>
      </c>
      <c r="C4219" s="879"/>
    </row>
    <row r="4220" spans="1:3" x14ac:dyDescent="0.25">
      <c r="A4220" s="879"/>
      <c r="B4220" s="1452" t="s">
        <v>1451</v>
      </c>
      <c r="C4220" s="879"/>
    </row>
    <row r="4221" spans="1:3" x14ac:dyDescent="0.25">
      <c r="A4221" s="879"/>
      <c r="B4221" s="1452" t="s">
        <v>2362</v>
      </c>
      <c r="C4221" s="879"/>
    </row>
    <row r="4222" spans="1:3" x14ac:dyDescent="0.25">
      <c r="A4222" s="879"/>
      <c r="B4222" s="1452" t="s">
        <v>2363</v>
      </c>
      <c r="C4222" s="879"/>
    </row>
    <row r="4223" spans="1:3" x14ac:dyDescent="0.25">
      <c r="A4223" s="879"/>
      <c r="B4223" s="1452" t="s">
        <v>2356</v>
      </c>
      <c r="C4223" s="879"/>
    </row>
    <row r="4224" spans="1:3" x14ac:dyDescent="0.25">
      <c r="A4224" s="879"/>
      <c r="B4224" s="1452" t="s">
        <v>2364</v>
      </c>
      <c r="C4224" s="879"/>
    </row>
    <row r="4225" spans="1:3" x14ac:dyDescent="0.25">
      <c r="A4225" s="879"/>
      <c r="B4225" s="1452" t="s">
        <v>1684</v>
      </c>
      <c r="C4225" s="879"/>
    </row>
    <row r="4226" spans="1:3" x14ac:dyDescent="0.25">
      <c r="A4226" s="879"/>
      <c r="B4226" s="1452" t="s">
        <v>2358</v>
      </c>
      <c r="C4226" s="879"/>
    </row>
    <row r="4227" spans="1:3" x14ac:dyDescent="0.25">
      <c r="A4227" s="879"/>
      <c r="B4227" s="1452" t="s">
        <v>2359</v>
      </c>
      <c r="C4227" s="879"/>
    </row>
    <row r="4228" spans="1:3" x14ac:dyDescent="0.25">
      <c r="A4228" s="879"/>
      <c r="B4228" s="1452" t="s">
        <v>1685</v>
      </c>
      <c r="C4228" s="879"/>
    </row>
    <row r="4229" spans="1:3" x14ac:dyDescent="0.25">
      <c r="A4229" s="879"/>
      <c r="B4229" s="1452" t="s">
        <v>1686</v>
      </c>
      <c r="C4229" s="879"/>
    </row>
    <row r="4230" spans="1:3" x14ac:dyDescent="0.25">
      <c r="A4230" s="879"/>
      <c r="B4230" s="1452" t="s">
        <v>1454</v>
      </c>
      <c r="C4230" s="879"/>
    </row>
    <row r="4231" spans="1:3" x14ac:dyDescent="0.25">
      <c r="A4231" s="879"/>
      <c r="B4231" s="1452" t="s">
        <v>2365</v>
      </c>
      <c r="C4231" s="879"/>
    </row>
    <row r="4232" spans="1:3" x14ac:dyDescent="0.25">
      <c r="A4232" s="879"/>
      <c r="B4232" s="1452" t="s">
        <v>1455</v>
      </c>
      <c r="C4232" s="879"/>
    </row>
    <row r="4233" spans="1:3" x14ac:dyDescent="0.25">
      <c r="A4233" s="879"/>
      <c r="B4233" s="1452" t="s">
        <v>2366</v>
      </c>
      <c r="C4233" s="879"/>
    </row>
    <row r="4234" spans="1:3" x14ac:dyDescent="0.25">
      <c r="A4234" s="879"/>
      <c r="B4234" s="1452" t="s">
        <v>1688</v>
      </c>
      <c r="C4234" s="879"/>
    </row>
    <row r="4235" spans="1:3" x14ac:dyDescent="0.25">
      <c r="A4235" s="879"/>
      <c r="B4235" s="1452" t="s">
        <v>1458</v>
      </c>
      <c r="C4235" s="879"/>
    </row>
    <row r="4236" spans="1:3" x14ac:dyDescent="0.25">
      <c r="A4236" s="879"/>
      <c r="B4236" s="1452" t="s">
        <v>1457</v>
      </c>
      <c r="C4236" s="879"/>
    </row>
    <row r="4237" spans="1:3" x14ac:dyDescent="0.25">
      <c r="A4237" s="879"/>
      <c r="B4237" s="1452" t="s">
        <v>1367</v>
      </c>
      <c r="C4237" s="879"/>
    </row>
    <row r="4238" spans="1:3" x14ac:dyDescent="0.25">
      <c r="A4238" s="879"/>
      <c r="B4238" s="1452" t="s">
        <v>1450</v>
      </c>
      <c r="C4238" s="879"/>
    </row>
    <row r="4239" spans="1:3" x14ac:dyDescent="0.25">
      <c r="A4239" s="879"/>
      <c r="B4239" s="1452" t="s">
        <v>1451</v>
      </c>
      <c r="C4239" s="879"/>
    </row>
    <row r="4240" spans="1:3" x14ac:dyDescent="0.25">
      <c r="A4240" s="879"/>
      <c r="B4240" s="1452" t="s">
        <v>2369</v>
      </c>
      <c r="C4240" s="879"/>
    </row>
    <row r="4241" spans="1:3" x14ac:dyDescent="0.25">
      <c r="A4241" s="879"/>
      <c r="B4241" s="1452" t="s">
        <v>2370</v>
      </c>
      <c r="C4241" s="879"/>
    </row>
    <row r="4242" spans="1:3" x14ac:dyDescent="0.25">
      <c r="A4242" s="879"/>
      <c r="B4242" s="1452" t="s">
        <v>2356</v>
      </c>
      <c r="C4242" s="879"/>
    </row>
    <row r="4243" spans="1:3" x14ac:dyDescent="0.25">
      <c r="A4243" s="879"/>
      <c r="B4243" s="1452" t="s">
        <v>2357</v>
      </c>
      <c r="C4243" s="879"/>
    </row>
    <row r="4244" spans="1:3" x14ac:dyDescent="0.25">
      <c r="A4244" s="879"/>
      <c r="B4244" s="1452" t="s">
        <v>1684</v>
      </c>
      <c r="C4244" s="879"/>
    </row>
    <row r="4245" spans="1:3" x14ac:dyDescent="0.25">
      <c r="A4245" s="879"/>
      <c r="B4245" s="1452" t="s">
        <v>2358</v>
      </c>
      <c r="C4245" s="879"/>
    </row>
    <row r="4246" spans="1:3" x14ac:dyDescent="0.25">
      <c r="A4246" s="879"/>
      <c r="B4246" s="1452" t="s">
        <v>2359</v>
      </c>
      <c r="C4246" s="879"/>
    </row>
    <row r="4247" spans="1:3" x14ac:dyDescent="0.25">
      <c r="A4247" s="879"/>
      <c r="B4247" s="1452" t="s">
        <v>1685</v>
      </c>
      <c r="C4247" s="879"/>
    </row>
    <row r="4248" spans="1:3" x14ac:dyDescent="0.25">
      <c r="A4248" s="879"/>
      <c r="B4248" s="1452" t="s">
        <v>1686</v>
      </c>
      <c r="C4248" s="879"/>
    </row>
    <row r="4249" spans="1:3" x14ac:dyDescent="0.25">
      <c r="A4249" s="879"/>
      <c r="B4249" s="1452" t="s">
        <v>1454</v>
      </c>
      <c r="C4249" s="879"/>
    </row>
    <row r="4250" spans="1:3" x14ac:dyDescent="0.25">
      <c r="A4250" s="879"/>
      <c r="B4250" s="1452" t="s">
        <v>2371</v>
      </c>
      <c r="C4250" s="879"/>
    </row>
    <row r="4251" spans="1:3" x14ac:dyDescent="0.25">
      <c r="A4251" s="879"/>
      <c r="B4251" s="1452" t="s">
        <v>1455</v>
      </c>
      <c r="C4251" s="879"/>
    </row>
    <row r="4252" spans="1:3" x14ac:dyDescent="0.25">
      <c r="A4252" s="879"/>
      <c r="B4252" s="1452" t="s">
        <v>2361</v>
      </c>
      <c r="C4252" s="879"/>
    </row>
    <row r="4253" spans="1:3" x14ac:dyDescent="0.25">
      <c r="A4253" s="879"/>
      <c r="B4253" s="1452" t="s">
        <v>1688</v>
      </c>
      <c r="C4253" s="879"/>
    </row>
    <row r="4254" spans="1:3" x14ac:dyDescent="0.25">
      <c r="A4254" s="879"/>
      <c r="B4254" s="1452" t="s">
        <v>1458</v>
      </c>
      <c r="C4254" s="879"/>
    </row>
    <row r="4255" spans="1:3" x14ac:dyDescent="0.25">
      <c r="A4255" s="879"/>
      <c r="B4255" s="1452" t="s">
        <v>1690</v>
      </c>
      <c r="C4255" s="879"/>
    </row>
    <row r="4256" spans="1:3" x14ac:dyDescent="0.25">
      <c r="A4256" s="879"/>
      <c r="B4256" s="1452" t="s">
        <v>1367</v>
      </c>
      <c r="C4256" s="879"/>
    </row>
    <row r="4257" spans="1:3" x14ac:dyDescent="0.25">
      <c r="A4257" s="879"/>
      <c r="B4257" s="1452" t="s">
        <v>1691</v>
      </c>
      <c r="C4257" s="879"/>
    </row>
    <row r="4258" spans="1:3" x14ac:dyDescent="0.25">
      <c r="A4258" s="879"/>
      <c r="B4258" s="1452" t="s">
        <v>2820</v>
      </c>
      <c r="C4258" s="879"/>
    </row>
    <row r="4259" spans="1:3" x14ac:dyDescent="0.25">
      <c r="A4259" s="879"/>
      <c r="B4259" s="1452" t="s">
        <v>2821</v>
      </c>
      <c r="C4259" s="879"/>
    </row>
    <row r="4260" spans="1:3" x14ac:dyDescent="0.25">
      <c r="A4260" s="879"/>
      <c r="B4260" s="1452" t="s">
        <v>2822</v>
      </c>
      <c r="C4260" s="879"/>
    </row>
    <row r="4261" spans="1:3" x14ac:dyDescent="0.25">
      <c r="A4261" s="879"/>
      <c r="B4261" s="1452" t="s">
        <v>2823</v>
      </c>
      <c r="C4261" s="879"/>
    </row>
    <row r="4262" spans="1:3" x14ac:dyDescent="0.25">
      <c r="A4262" s="879"/>
      <c r="B4262" s="1452" t="s">
        <v>1696</v>
      </c>
      <c r="C4262" s="879"/>
    </row>
    <row r="4263" spans="1:3" x14ac:dyDescent="0.25">
      <c r="A4263" s="879"/>
      <c r="B4263" s="1452" t="s">
        <v>2824</v>
      </c>
      <c r="C4263" s="879"/>
    </row>
    <row r="4264" spans="1:3" x14ac:dyDescent="0.25">
      <c r="A4264" s="879"/>
      <c r="B4264" s="1452" t="s">
        <v>2825</v>
      </c>
      <c r="C4264" s="879"/>
    </row>
    <row r="4265" spans="1:3" x14ac:dyDescent="0.25">
      <c r="A4265" s="879"/>
      <c r="B4265" s="1452" t="s">
        <v>1699</v>
      </c>
      <c r="C4265" s="879"/>
    </row>
    <row r="4266" spans="1:3" x14ac:dyDescent="0.25">
      <c r="A4266" s="879"/>
      <c r="B4266" s="1452" t="s">
        <v>1700</v>
      </c>
      <c r="C4266" s="879"/>
    </row>
    <row r="4267" spans="1:3" x14ac:dyDescent="0.25">
      <c r="A4267" s="879"/>
      <c r="B4267" s="1452" t="s">
        <v>1701</v>
      </c>
      <c r="C4267" s="879"/>
    </row>
    <row r="4268" spans="1:3" x14ac:dyDescent="0.25">
      <c r="A4268" s="879"/>
      <c r="B4268" s="1452" t="s">
        <v>2826</v>
      </c>
      <c r="C4268" s="879"/>
    </row>
    <row r="4269" spans="1:3" x14ac:dyDescent="0.25">
      <c r="A4269" s="879"/>
      <c r="B4269" s="1452" t="s">
        <v>1703</v>
      </c>
      <c r="C4269" s="879"/>
    </row>
    <row r="4270" spans="1:3" x14ac:dyDescent="0.25">
      <c r="A4270" s="879"/>
      <c r="B4270" s="1452" t="s">
        <v>2827</v>
      </c>
      <c r="C4270" s="879"/>
    </row>
    <row r="4271" spans="1:3" x14ac:dyDescent="0.25">
      <c r="A4271" s="879"/>
      <c r="B4271" s="1452" t="s">
        <v>2828</v>
      </c>
      <c r="C4271" s="879"/>
    </row>
    <row r="4272" spans="1:3" x14ac:dyDescent="0.25">
      <c r="A4272" s="879"/>
      <c r="B4272" s="1452"/>
      <c r="C4272" s="879"/>
    </row>
    <row r="4273" spans="1:3" x14ac:dyDescent="0.25">
      <c r="A4273" s="879"/>
      <c r="B4273" s="1452"/>
      <c r="C4273" s="879"/>
    </row>
    <row r="4274" spans="1:3" x14ac:dyDescent="0.25">
      <c r="A4274" s="879"/>
      <c r="B4274" s="1452" t="s">
        <v>1368</v>
      </c>
      <c r="C4274" s="879"/>
    </row>
    <row r="4275" spans="1:3" x14ac:dyDescent="0.25">
      <c r="A4275" s="879"/>
      <c r="B4275" s="1452" t="s">
        <v>2829</v>
      </c>
      <c r="C4275" s="879"/>
    </row>
    <row r="4276" spans="1:3" x14ac:dyDescent="0.25">
      <c r="A4276" s="879"/>
      <c r="B4276" s="1452" t="s">
        <v>1368</v>
      </c>
      <c r="C4276" s="879"/>
    </row>
    <row r="4277" spans="1:3" x14ac:dyDescent="0.25">
      <c r="A4277" s="879"/>
      <c r="B4277" s="1452" t="s">
        <v>2830</v>
      </c>
      <c r="C4277" s="879"/>
    </row>
    <row r="4278" spans="1:3" x14ac:dyDescent="0.25">
      <c r="A4278" s="879"/>
      <c r="B4278" s="1452" t="s">
        <v>1367</v>
      </c>
      <c r="C4278" s="879"/>
    </row>
    <row r="4279" spans="1:3" x14ac:dyDescent="0.25">
      <c r="A4279" s="879"/>
      <c r="B4279" s="1452" t="s">
        <v>1369</v>
      </c>
      <c r="C4279" s="879"/>
    </row>
    <row r="4280" spans="1:3" x14ac:dyDescent="0.25">
      <c r="A4280" s="879"/>
      <c r="B4280" s="1452" t="s">
        <v>1370</v>
      </c>
      <c r="C4280" s="879"/>
    </row>
    <row r="4281" spans="1:3" x14ac:dyDescent="0.25">
      <c r="A4281" s="879"/>
      <c r="B4281" s="1452" t="s">
        <v>1367</v>
      </c>
      <c r="C4281" s="879"/>
    </row>
    <row r="4282" spans="1:3" x14ac:dyDescent="0.25">
      <c r="A4282" s="879"/>
      <c r="B4282" s="1452" t="s">
        <v>1432</v>
      </c>
      <c r="C4282" s="879"/>
    </row>
    <row r="4283" spans="1:3" x14ac:dyDescent="0.25">
      <c r="A4283" s="879"/>
      <c r="B4283" s="1452" t="s">
        <v>1433</v>
      </c>
      <c r="C4283" s="879"/>
    </row>
    <row r="4284" spans="1:3" x14ac:dyDescent="0.25">
      <c r="A4284" s="879"/>
      <c r="B4284" s="1452" t="s">
        <v>2251</v>
      </c>
      <c r="C4284" s="879"/>
    </row>
    <row r="4285" spans="1:3" x14ac:dyDescent="0.25">
      <c r="A4285" s="879"/>
      <c r="B4285" s="1452" t="s">
        <v>2252</v>
      </c>
      <c r="C4285" s="879"/>
    </row>
    <row r="4286" spans="1:3" x14ac:dyDescent="0.25">
      <c r="A4286" s="879"/>
      <c r="B4286" s="1452" t="s">
        <v>2831</v>
      </c>
      <c r="C4286" s="879"/>
    </row>
    <row r="4287" spans="1:3" x14ac:dyDescent="0.25">
      <c r="A4287" s="879"/>
      <c r="B4287" s="1452" t="s">
        <v>2832</v>
      </c>
      <c r="C4287" s="879"/>
    </row>
    <row r="4288" spans="1:3" x14ac:dyDescent="0.25">
      <c r="A4288" s="879"/>
      <c r="B4288" s="1452" t="s">
        <v>2833</v>
      </c>
      <c r="C4288" s="879"/>
    </row>
    <row r="4289" spans="1:3" x14ac:dyDescent="0.25">
      <c r="A4289" s="879"/>
      <c r="B4289" s="1452" t="s">
        <v>2253</v>
      </c>
      <c r="C4289" s="879"/>
    </row>
    <row r="4290" spans="1:3" x14ac:dyDescent="0.25">
      <c r="A4290" s="879"/>
      <c r="B4290" s="1452" t="s">
        <v>2254</v>
      </c>
      <c r="C4290" s="879"/>
    </row>
    <row r="4291" spans="1:3" x14ac:dyDescent="0.25">
      <c r="A4291" s="879"/>
      <c r="B4291" s="1452" t="s">
        <v>2834</v>
      </c>
      <c r="C4291" s="879"/>
    </row>
    <row r="4292" spans="1:3" x14ac:dyDescent="0.25">
      <c r="A4292" s="879"/>
      <c r="B4292" s="1452" t="s">
        <v>1434</v>
      </c>
      <c r="C4292" s="879"/>
    </row>
    <row r="4293" spans="1:3" x14ac:dyDescent="0.25">
      <c r="A4293" s="879"/>
      <c r="B4293" s="1452" t="s">
        <v>1382</v>
      </c>
      <c r="C4293" s="879"/>
    </row>
    <row r="4294" spans="1:3" x14ac:dyDescent="0.25">
      <c r="A4294" s="879"/>
      <c r="B4294" s="1452" t="s">
        <v>1367</v>
      </c>
      <c r="C4294" s="879"/>
    </row>
    <row r="4295" spans="1:3" x14ac:dyDescent="0.25">
      <c r="A4295" s="879"/>
      <c r="B4295" s="1452" t="s">
        <v>1432</v>
      </c>
      <c r="C4295" s="879"/>
    </row>
    <row r="4296" spans="1:3" x14ac:dyDescent="0.25">
      <c r="A4296" s="879"/>
      <c r="B4296" s="1452" t="s">
        <v>2255</v>
      </c>
      <c r="C4296" s="879"/>
    </row>
    <row r="4297" spans="1:3" x14ac:dyDescent="0.25">
      <c r="A4297" s="879"/>
      <c r="B4297" s="1452" t="s">
        <v>2256</v>
      </c>
      <c r="C4297" s="879"/>
    </row>
    <row r="4298" spans="1:3" x14ac:dyDescent="0.25">
      <c r="A4298" s="879"/>
      <c r="B4298" s="1452" t="s">
        <v>2257</v>
      </c>
      <c r="C4298" s="879"/>
    </row>
    <row r="4299" spans="1:3" x14ac:dyDescent="0.25">
      <c r="A4299" s="879"/>
      <c r="B4299" s="1452" t="s">
        <v>2835</v>
      </c>
      <c r="C4299" s="879"/>
    </row>
    <row r="4300" spans="1:3" x14ac:dyDescent="0.25">
      <c r="A4300" s="879"/>
      <c r="B4300" s="1452" t="s">
        <v>2258</v>
      </c>
      <c r="C4300" s="879"/>
    </row>
    <row r="4301" spans="1:3" x14ac:dyDescent="0.25">
      <c r="A4301" s="879"/>
      <c r="B4301" s="1452" t="s">
        <v>2259</v>
      </c>
      <c r="C4301" s="879"/>
    </row>
    <row r="4302" spans="1:3" x14ac:dyDescent="0.25">
      <c r="A4302" s="879"/>
      <c r="B4302" s="1452" t="s">
        <v>2260</v>
      </c>
      <c r="C4302" s="879"/>
    </row>
    <row r="4303" spans="1:3" x14ac:dyDescent="0.25">
      <c r="A4303" s="879"/>
      <c r="B4303" s="1452" t="s">
        <v>2261</v>
      </c>
      <c r="C4303" s="879"/>
    </row>
    <row r="4304" spans="1:3" x14ac:dyDescent="0.25">
      <c r="A4304" s="879"/>
      <c r="B4304" s="1452" t="s">
        <v>2262</v>
      </c>
      <c r="C4304" s="879"/>
    </row>
    <row r="4305" spans="1:3" x14ac:dyDescent="0.25">
      <c r="A4305" s="879"/>
      <c r="B4305" s="1452" t="s">
        <v>2263</v>
      </c>
      <c r="C4305" s="879"/>
    </row>
    <row r="4306" spans="1:3" x14ac:dyDescent="0.25">
      <c r="A4306" s="879"/>
      <c r="B4306" s="1452" t="s">
        <v>1435</v>
      </c>
      <c r="C4306" s="879"/>
    </row>
    <row r="4307" spans="1:3" x14ac:dyDescent="0.25">
      <c r="A4307" s="879"/>
      <c r="B4307" s="1452" t="s">
        <v>1436</v>
      </c>
      <c r="C4307" s="879"/>
    </row>
    <row r="4308" spans="1:3" x14ac:dyDescent="0.25">
      <c r="A4308" s="879"/>
      <c r="B4308" s="1452" t="s">
        <v>2836</v>
      </c>
      <c r="C4308" s="879"/>
    </row>
    <row r="4309" spans="1:3" x14ac:dyDescent="0.25">
      <c r="A4309" s="879"/>
      <c r="B4309" s="1452" t="s">
        <v>1437</v>
      </c>
      <c r="C4309" s="879"/>
    </row>
    <row r="4310" spans="1:3" x14ac:dyDescent="0.25">
      <c r="A4310" s="879"/>
      <c r="B4310" s="1452" t="s">
        <v>2837</v>
      </c>
      <c r="C4310" s="879"/>
    </row>
    <row r="4311" spans="1:3" x14ac:dyDescent="0.25">
      <c r="A4311" s="879"/>
      <c r="B4311" s="1452" t="s">
        <v>2838</v>
      </c>
      <c r="C4311" s="879"/>
    </row>
    <row r="4312" spans="1:3" x14ac:dyDescent="0.25">
      <c r="A4312" s="879"/>
      <c r="B4312" s="1452" t="s">
        <v>2264</v>
      </c>
      <c r="C4312" s="879"/>
    </row>
    <row r="4313" spans="1:3" x14ac:dyDescent="0.25">
      <c r="A4313" s="879"/>
      <c r="B4313" s="1452" t="s">
        <v>2839</v>
      </c>
      <c r="C4313" s="879"/>
    </row>
    <row r="4314" spans="1:3" x14ac:dyDescent="0.25">
      <c r="A4314" s="879"/>
      <c r="B4314" s="1452" t="s">
        <v>2265</v>
      </c>
      <c r="C4314" s="879"/>
    </row>
    <row r="4315" spans="1:3" x14ac:dyDescent="0.25">
      <c r="A4315" s="879"/>
      <c r="B4315" s="1452" t="s">
        <v>1438</v>
      </c>
      <c r="C4315" s="879"/>
    </row>
    <row r="4316" spans="1:3" x14ac:dyDescent="0.25">
      <c r="A4316" s="879"/>
      <c r="B4316" s="1452" t="s">
        <v>2266</v>
      </c>
      <c r="C4316" s="879"/>
    </row>
    <row r="4317" spans="1:3" x14ac:dyDescent="0.25">
      <c r="A4317" s="879"/>
      <c r="B4317" s="1452" t="s">
        <v>2267</v>
      </c>
      <c r="C4317" s="879"/>
    </row>
    <row r="4318" spans="1:3" x14ac:dyDescent="0.25">
      <c r="A4318" s="879"/>
      <c r="B4318" s="1452" t="s">
        <v>1440</v>
      </c>
      <c r="C4318" s="879"/>
    </row>
    <row r="4319" spans="1:3" x14ac:dyDescent="0.25">
      <c r="A4319" s="879"/>
      <c r="B4319" s="1452" t="s">
        <v>2268</v>
      </c>
      <c r="C4319" s="879"/>
    </row>
    <row r="4320" spans="1:3" x14ac:dyDescent="0.25">
      <c r="A4320" s="879"/>
      <c r="B4320" s="1452" t="s">
        <v>2269</v>
      </c>
      <c r="C4320" s="879"/>
    </row>
    <row r="4321" spans="1:3" x14ac:dyDescent="0.25">
      <c r="A4321" s="879"/>
      <c r="B4321" s="1452" t="s">
        <v>2270</v>
      </c>
      <c r="C4321" s="879"/>
    </row>
    <row r="4322" spans="1:3" x14ac:dyDescent="0.25">
      <c r="A4322" s="879"/>
      <c r="B4322" s="1452" t="s">
        <v>2840</v>
      </c>
      <c r="C4322" s="879"/>
    </row>
    <row r="4323" spans="1:3" x14ac:dyDescent="0.25">
      <c r="A4323" s="879"/>
      <c r="B4323" s="1452" t="s">
        <v>1441</v>
      </c>
      <c r="C4323" s="879"/>
    </row>
    <row r="4324" spans="1:3" x14ac:dyDescent="0.25">
      <c r="A4324" s="879"/>
      <c r="B4324" s="1452" t="s">
        <v>1442</v>
      </c>
      <c r="C4324" s="879"/>
    </row>
    <row r="4325" spans="1:3" x14ac:dyDescent="0.25">
      <c r="A4325" s="879"/>
      <c r="B4325" s="1452" t="s">
        <v>1443</v>
      </c>
      <c r="C4325" s="879"/>
    </row>
    <row r="4326" spans="1:3" x14ac:dyDescent="0.25">
      <c r="A4326" s="879"/>
      <c r="B4326" s="1452" t="s">
        <v>2272</v>
      </c>
      <c r="C4326" s="879"/>
    </row>
    <row r="4327" spans="1:3" x14ac:dyDescent="0.25">
      <c r="A4327" s="879"/>
      <c r="B4327" s="1452" t="s">
        <v>2273</v>
      </c>
      <c r="C4327" s="879"/>
    </row>
    <row r="4328" spans="1:3" x14ac:dyDescent="0.25">
      <c r="A4328" s="879"/>
      <c r="B4328" s="1452" t="s">
        <v>1444</v>
      </c>
      <c r="C4328" s="879"/>
    </row>
    <row r="4329" spans="1:3" x14ac:dyDescent="0.25">
      <c r="A4329" s="879"/>
      <c r="B4329" s="1452" t="s">
        <v>1445</v>
      </c>
      <c r="C4329" s="879"/>
    </row>
    <row r="4330" spans="1:3" x14ac:dyDescent="0.25">
      <c r="A4330" s="879"/>
      <c r="B4330" s="1452" t="s">
        <v>2841</v>
      </c>
      <c r="C4330" s="879"/>
    </row>
    <row r="4331" spans="1:3" x14ac:dyDescent="0.25">
      <c r="A4331" s="879"/>
      <c r="B4331" s="1452" t="s">
        <v>2842</v>
      </c>
      <c r="C4331" s="879"/>
    </row>
    <row r="4332" spans="1:3" x14ac:dyDescent="0.25">
      <c r="A4332" s="879"/>
      <c r="B4332" s="1452" t="s">
        <v>2276</v>
      </c>
      <c r="C4332" s="879"/>
    </row>
    <row r="4333" spans="1:3" x14ac:dyDescent="0.25">
      <c r="A4333" s="879"/>
      <c r="B4333" s="1452" t="s">
        <v>2277</v>
      </c>
      <c r="C4333" s="879"/>
    </row>
    <row r="4334" spans="1:3" x14ac:dyDescent="0.25">
      <c r="A4334" s="879"/>
      <c r="B4334" s="1452" t="s">
        <v>2278</v>
      </c>
      <c r="C4334" s="879"/>
    </row>
    <row r="4335" spans="1:3" x14ac:dyDescent="0.25">
      <c r="A4335" s="879"/>
      <c r="B4335" s="1452" t="s">
        <v>2279</v>
      </c>
      <c r="C4335" s="879"/>
    </row>
    <row r="4336" spans="1:3" x14ac:dyDescent="0.25">
      <c r="A4336" s="879"/>
      <c r="B4336" s="1452" t="s">
        <v>2843</v>
      </c>
      <c r="C4336" s="879"/>
    </row>
    <row r="4337" spans="1:3" x14ac:dyDescent="0.25">
      <c r="A4337" s="879"/>
      <c r="B4337" s="1452" t="s">
        <v>2844</v>
      </c>
      <c r="C4337" s="879"/>
    </row>
    <row r="4338" spans="1:3" x14ac:dyDescent="0.25">
      <c r="A4338" s="879"/>
      <c r="B4338" s="1452" t="s">
        <v>2845</v>
      </c>
      <c r="C4338" s="879"/>
    </row>
    <row r="4339" spans="1:3" x14ac:dyDescent="0.25">
      <c r="A4339" s="879"/>
      <c r="B4339" s="1452" t="s">
        <v>1446</v>
      </c>
      <c r="C4339" s="879"/>
    </row>
    <row r="4340" spans="1:3" x14ac:dyDescent="0.25">
      <c r="A4340" s="879"/>
      <c r="B4340" s="1452" t="s">
        <v>1573</v>
      </c>
      <c r="C4340" s="879"/>
    </row>
    <row r="4341" spans="1:3" x14ac:dyDescent="0.25">
      <c r="A4341" s="879"/>
      <c r="B4341" s="1452" t="s">
        <v>1447</v>
      </c>
      <c r="C4341" s="879"/>
    </row>
    <row r="4342" spans="1:3" x14ac:dyDescent="0.25">
      <c r="A4342" s="879"/>
      <c r="B4342" s="1452" t="s">
        <v>2846</v>
      </c>
      <c r="C4342" s="879"/>
    </row>
    <row r="4343" spans="1:3" x14ac:dyDescent="0.25">
      <c r="A4343" s="879"/>
      <c r="B4343" s="1452" t="s">
        <v>1430</v>
      </c>
      <c r="C4343" s="879"/>
    </row>
    <row r="4344" spans="1:3" x14ac:dyDescent="0.25">
      <c r="A4344" s="879"/>
      <c r="B4344" s="1452" t="s">
        <v>1367</v>
      </c>
      <c r="C4344" s="879"/>
    </row>
    <row r="4345" spans="1:3" x14ac:dyDescent="0.25">
      <c r="A4345" s="879"/>
      <c r="B4345" s="1452" t="s">
        <v>1449</v>
      </c>
      <c r="C4345" s="879"/>
    </row>
    <row r="4346" spans="1:3" x14ac:dyDescent="0.25">
      <c r="A4346" s="879"/>
      <c r="B4346" s="1452" t="s">
        <v>1367</v>
      </c>
      <c r="C4346" s="879"/>
    </row>
    <row r="4347" spans="1:3" x14ac:dyDescent="0.25">
      <c r="A4347" s="879"/>
      <c r="B4347" s="1452" t="s">
        <v>1450</v>
      </c>
      <c r="C4347" s="879"/>
    </row>
    <row r="4348" spans="1:3" x14ac:dyDescent="0.25">
      <c r="A4348" s="879"/>
      <c r="B4348" s="1452" t="s">
        <v>1451</v>
      </c>
      <c r="C4348" s="879"/>
    </row>
    <row r="4349" spans="1:3" x14ac:dyDescent="0.25">
      <c r="A4349" s="879"/>
      <c r="B4349" s="1452" t="s">
        <v>2847</v>
      </c>
      <c r="C4349" s="879"/>
    </row>
    <row r="4350" spans="1:3" x14ac:dyDescent="0.25">
      <c r="A4350" s="879"/>
      <c r="B4350" s="1452" t="s">
        <v>1892</v>
      </c>
      <c r="C4350" s="879"/>
    </row>
    <row r="4351" spans="1:3" x14ac:dyDescent="0.25">
      <c r="A4351" s="879"/>
      <c r="B4351" s="1452" t="s">
        <v>1682</v>
      </c>
      <c r="C4351" s="879"/>
    </row>
    <row r="4352" spans="1:3" x14ac:dyDescent="0.25">
      <c r="A4352" s="879"/>
      <c r="B4352" s="1452" t="s">
        <v>1517</v>
      </c>
      <c r="C4352" s="879"/>
    </row>
    <row r="4353" spans="1:3" x14ac:dyDescent="0.25">
      <c r="A4353" s="879"/>
      <c r="B4353" s="1452" t="s">
        <v>1684</v>
      </c>
      <c r="C4353" s="879"/>
    </row>
    <row r="4354" spans="1:3" x14ac:dyDescent="0.25">
      <c r="A4354" s="879"/>
      <c r="B4354" s="1452" t="s">
        <v>2848</v>
      </c>
      <c r="C4354" s="879"/>
    </row>
    <row r="4355" spans="1:3" x14ac:dyDescent="0.25">
      <c r="A4355" s="879"/>
      <c r="B4355" s="1452" t="s">
        <v>2849</v>
      </c>
      <c r="C4355" s="879"/>
    </row>
    <row r="4356" spans="1:3" x14ac:dyDescent="0.25">
      <c r="A4356" s="879"/>
      <c r="B4356" s="1452" t="s">
        <v>1685</v>
      </c>
      <c r="C4356" s="879"/>
    </row>
    <row r="4357" spans="1:3" x14ac:dyDescent="0.25">
      <c r="A4357" s="879"/>
      <c r="B4357" s="1452" t="s">
        <v>1686</v>
      </c>
      <c r="C4357" s="879"/>
    </row>
    <row r="4358" spans="1:3" x14ac:dyDescent="0.25">
      <c r="A4358" s="879"/>
      <c r="B4358" s="1452" t="s">
        <v>2850</v>
      </c>
      <c r="C4358" s="879"/>
    </row>
    <row r="4359" spans="1:3" x14ac:dyDescent="0.25">
      <c r="A4359" s="879"/>
      <c r="B4359" s="1452" t="s">
        <v>2851</v>
      </c>
      <c r="C4359" s="879"/>
    </row>
    <row r="4360" spans="1:3" x14ac:dyDescent="0.25">
      <c r="A4360" s="879"/>
      <c r="B4360" s="1452" t="s">
        <v>1455</v>
      </c>
      <c r="C4360" s="879"/>
    </row>
    <row r="4361" spans="1:3" x14ac:dyDescent="0.25">
      <c r="A4361" s="879"/>
      <c r="B4361" s="1452" t="s">
        <v>2852</v>
      </c>
      <c r="C4361" s="879"/>
    </row>
    <row r="4362" spans="1:3" x14ac:dyDescent="0.25">
      <c r="A4362" s="879"/>
      <c r="B4362" s="1452" t="s">
        <v>1688</v>
      </c>
      <c r="C4362" s="879"/>
    </row>
    <row r="4363" spans="1:3" x14ac:dyDescent="0.25">
      <c r="A4363" s="879"/>
      <c r="B4363" s="1452" t="s">
        <v>2853</v>
      </c>
      <c r="C4363" s="879"/>
    </row>
    <row r="4364" spans="1:3" x14ac:dyDescent="0.25">
      <c r="A4364" s="879"/>
      <c r="B4364" s="1452" t="s">
        <v>1456</v>
      </c>
      <c r="C4364" s="879"/>
    </row>
    <row r="4365" spans="1:3" x14ac:dyDescent="0.25">
      <c r="A4365" s="879"/>
      <c r="B4365" s="1452" t="s">
        <v>1367</v>
      </c>
      <c r="C4365" s="879"/>
    </row>
    <row r="4366" spans="1:3" x14ac:dyDescent="0.25">
      <c r="A4366" s="879"/>
      <c r="B4366" s="1452" t="s">
        <v>1450</v>
      </c>
      <c r="C4366" s="879"/>
    </row>
    <row r="4367" spans="1:3" x14ac:dyDescent="0.25">
      <c r="A4367" s="879"/>
      <c r="B4367" s="1452" t="s">
        <v>1451</v>
      </c>
      <c r="C4367" s="879"/>
    </row>
    <row r="4368" spans="1:3" x14ac:dyDescent="0.25">
      <c r="A4368" s="879"/>
      <c r="B4368" s="1452" t="s">
        <v>2847</v>
      </c>
      <c r="C4368" s="879"/>
    </row>
    <row r="4369" spans="1:3" x14ac:dyDescent="0.25">
      <c r="A4369" s="879"/>
      <c r="B4369" s="1452" t="s">
        <v>1892</v>
      </c>
      <c r="C4369" s="879"/>
    </row>
    <row r="4370" spans="1:3" x14ac:dyDescent="0.25">
      <c r="A4370" s="879"/>
      <c r="B4370" s="1452" t="s">
        <v>1682</v>
      </c>
      <c r="C4370" s="879"/>
    </row>
    <row r="4371" spans="1:3" x14ac:dyDescent="0.25">
      <c r="A4371" s="879"/>
      <c r="B4371" s="1452" t="s">
        <v>1517</v>
      </c>
      <c r="C4371" s="879"/>
    </row>
    <row r="4372" spans="1:3" x14ac:dyDescent="0.25">
      <c r="A4372" s="879"/>
      <c r="B4372" s="1452" t="s">
        <v>1684</v>
      </c>
      <c r="C4372" s="879"/>
    </row>
    <row r="4373" spans="1:3" x14ac:dyDescent="0.25">
      <c r="A4373" s="879"/>
      <c r="B4373" s="1452" t="s">
        <v>2848</v>
      </c>
      <c r="C4373" s="879"/>
    </row>
    <row r="4374" spans="1:3" x14ac:dyDescent="0.25">
      <c r="A4374" s="879"/>
      <c r="B4374" s="1452" t="s">
        <v>2849</v>
      </c>
      <c r="C4374" s="879"/>
    </row>
    <row r="4375" spans="1:3" x14ac:dyDescent="0.25">
      <c r="A4375" s="879"/>
      <c r="B4375" s="1452" t="s">
        <v>1685</v>
      </c>
      <c r="C4375" s="879"/>
    </row>
    <row r="4376" spans="1:3" x14ac:dyDescent="0.25">
      <c r="A4376" s="879"/>
      <c r="B4376" s="1452" t="s">
        <v>1686</v>
      </c>
      <c r="C4376" s="879"/>
    </row>
    <row r="4377" spans="1:3" x14ac:dyDescent="0.25">
      <c r="A4377" s="879"/>
      <c r="B4377" s="1452" t="s">
        <v>2850</v>
      </c>
      <c r="C4377" s="879"/>
    </row>
    <row r="4378" spans="1:3" x14ac:dyDescent="0.25">
      <c r="A4378" s="879"/>
      <c r="B4378" s="1452" t="s">
        <v>2851</v>
      </c>
      <c r="C4378" s="879"/>
    </row>
    <row r="4379" spans="1:3" x14ac:dyDescent="0.25">
      <c r="A4379" s="879"/>
      <c r="B4379" s="1452" t="s">
        <v>1455</v>
      </c>
      <c r="C4379" s="879"/>
    </row>
    <row r="4380" spans="1:3" x14ac:dyDescent="0.25">
      <c r="A4380" s="879"/>
      <c r="B4380" s="1452" t="s">
        <v>2852</v>
      </c>
      <c r="C4380" s="879"/>
    </row>
    <row r="4381" spans="1:3" x14ac:dyDescent="0.25">
      <c r="A4381" s="879"/>
      <c r="B4381" s="1452" t="s">
        <v>1688</v>
      </c>
      <c r="C4381" s="879"/>
    </row>
    <row r="4382" spans="1:3" x14ac:dyDescent="0.25">
      <c r="A4382" s="879"/>
      <c r="B4382" s="1452" t="s">
        <v>2853</v>
      </c>
      <c r="C4382" s="879"/>
    </row>
    <row r="4383" spans="1:3" x14ac:dyDescent="0.25">
      <c r="A4383" s="879"/>
      <c r="B4383" s="1452" t="s">
        <v>1457</v>
      </c>
      <c r="C4383" s="879"/>
    </row>
    <row r="4384" spans="1:3" x14ac:dyDescent="0.25">
      <c r="A4384" s="879"/>
      <c r="B4384" s="1452" t="s">
        <v>1367</v>
      </c>
      <c r="C4384" s="879"/>
    </row>
    <row r="4385" spans="1:3" x14ac:dyDescent="0.25">
      <c r="A4385" s="879"/>
      <c r="B4385" s="1452" t="s">
        <v>1450</v>
      </c>
      <c r="C4385" s="879"/>
    </row>
    <row r="4386" spans="1:3" x14ac:dyDescent="0.25">
      <c r="A4386" s="879"/>
      <c r="B4386" s="1452" t="s">
        <v>1451</v>
      </c>
      <c r="C4386" s="879"/>
    </row>
    <row r="4387" spans="1:3" x14ac:dyDescent="0.25">
      <c r="A4387" s="879"/>
      <c r="B4387" s="1452" t="s">
        <v>2283</v>
      </c>
      <c r="C4387" s="879"/>
    </row>
    <row r="4388" spans="1:3" x14ac:dyDescent="0.25">
      <c r="A4388" s="879"/>
      <c r="B4388" s="1452" t="s">
        <v>1681</v>
      </c>
      <c r="C4388" s="879"/>
    </row>
    <row r="4389" spans="1:3" x14ac:dyDescent="0.25">
      <c r="A4389" s="879"/>
      <c r="B4389" s="1452" t="s">
        <v>1682</v>
      </c>
      <c r="C4389" s="879"/>
    </row>
    <row r="4390" spans="1:3" x14ac:dyDescent="0.25">
      <c r="A4390" s="879"/>
      <c r="B4390" s="1452" t="s">
        <v>1517</v>
      </c>
      <c r="C4390" s="879"/>
    </row>
    <row r="4391" spans="1:3" x14ac:dyDescent="0.25">
      <c r="A4391" s="879"/>
      <c r="B4391" s="1452" t="s">
        <v>1684</v>
      </c>
      <c r="C4391" s="879"/>
    </row>
    <row r="4392" spans="1:3" x14ac:dyDescent="0.25">
      <c r="A4392" s="879"/>
      <c r="B4392" s="1452" t="s">
        <v>2284</v>
      </c>
      <c r="C4392" s="879"/>
    </row>
    <row r="4393" spans="1:3" x14ac:dyDescent="0.25">
      <c r="A4393" s="879"/>
      <c r="B4393" s="1452" t="s">
        <v>2285</v>
      </c>
      <c r="C4393" s="879"/>
    </row>
    <row r="4394" spans="1:3" x14ac:dyDescent="0.25">
      <c r="A4394" s="879"/>
      <c r="B4394" s="1452" t="s">
        <v>1685</v>
      </c>
      <c r="C4394" s="879"/>
    </row>
    <row r="4395" spans="1:3" x14ac:dyDescent="0.25">
      <c r="A4395" s="879"/>
      <c r="B4395" s="1452" t="s">
        <v>1686</v>
      </c>
      <c r="C4395" s="879"/>
    </row>
    <row r="4396" spans="1:3" x14ac:dyDescent="0.25">
      <c r="A4396" s="879"/>
      <c r="B4396" s="1452" t="s">
        <v>2286</v>
      </c>
      <c r="C4396" s="879"/>
    </row>
    <row r="4397" spans="1:3" x14ac:dyDescent="0.25">
      <c r="A4397" s="879"/>
      <c r="B4397" s="1452" t="s">
        <v>2287</v>
      </c>
      <c r="C4397" s="879"/>
    </row>
    <row r="4398" spans="1:3" x14ac:dyDescent="0.25">
      <c r="A4398" s="879"/>
      <c r="B4398" s="1452" t="s">
        <v>1455</v>
      </c>
      <c r="C4398" s="879"/>
    </row>
    <row r="4399" spans="1:3" x14ac:dyDescent="0.25">
      <c r="A4399" s="879"/>
      <c r="B4399" s="1452" t="s">
        <v>2288</v>
      </c>
      <c r="C4399" s="879"/>
    </row>
    <row r="4400" spans="1:3" x14ac:dyDescent="0.25">
      <c r="A4400" s="879"/>
      <c r="B4400" s="1452" t="s">
        <v>1688</v>
      </c>
      <c r="C4400" s="879"/>
    </row>
    <row r="4401" spans="1:3" x14ac:dyDescent="0.25">
      <c r="A4401" s="879"/>
      <c r="B4401" s="1452" t="s">
        <v>1458</v>
      </c>
      <c r="C4401" s="879"/>
    </row>
    <row r="4402" spans="1:3" x14ac:dyDescent="0.25">
      <c r="A4402" s="879"/>
      <c r="B4402" s="1452" t="s">
        <v>1459</v>
      </c>
      <c r="C4402" s="879"/>
    </row>
    <row r="4403" spans="1:3" x14ac:dyDescent="0.25">
      <c r="A4403" s="879"/>
      <c r="B4403" s="1452" t="s">
        <v>1367</v>
      </c>
      <c r="C4403" s="879"/>
    </row>
    <row r="4404" spans="1:3" x14ac:dyDescent="0.25">
      <c r="A4404" s="879"/>
      <c r="B4404" s="1452" t="s">
        <v>1450</v>
      </c>
      <c r="C4404" s="879"/>
    </row>
    <row r="4405" spans="1:3" x14ac:dyDescent="0.25">
      <c r="A4405" s="879"/>
      <c r="B4405" s="1452" t="s">
        <v>1451</v>
      </c>
      <c r="C4405" s="879"/>
    </row>
    <row r="4406" spans="1:3" x14ac:dyDescent="0.25">
      <c r="A4406" s="879"/>
      <c r="B4406" s="1452" t="s">
        <v>2283</v>
      </c>
      <c r="C4406" s="879"/>
    </row>
    <row r="4407" spans="1:3" x14ac:dyDescent="0.25">
      <c r="A4407" s="879"/>
      <c r="B4407" s="1452" t="s">
        <v>1681</v>
      </c>
      <c r="C4407" s="879"/>
    </row>
    <row r="4408" spans="1:3" x14ac:dyDescent="0.25">
      <c r="A4408" s="879"/>
      <c r="B4408" s="1452" t="s">
        <v>1682</v>
      </c>
      <c r="C4408" s="879"/>
    </row>
    <row r="4409" spans="1:3" x14ac:dyDescent="0.25">
      <c r="A4409" s="879"/>
      <c r="B4409" s="1452" t="s">
        <v>1517</v>
      </c>
      <c r="C4409" s="879"/>
    </row>
    <row r="4410" spans="1:3" x14ac:dyDescent="0.25">
      <c r="A4410" s="879"/>
      <c r="B4410" s="1452" t="s">
        <v>1684</v>
      </c>
      <c r="C4410" s="879"/>
    </row>
    <row r="4411" spans="1:3" x14ac:dyDescent="0.25">
      <c r="A4411" s="879"/>
      <c r="B4411" s="1452" t="s">
        <v>2284</v>
      </c>
      <c r="C4411" s="879"/>
    </row>
    <row r="4412" spans="1:3" x14ac:dyDescent="0.25">
      <c r="A4412" s="879"/>
      <c r="B4412" s="1452" t="s">
        <v>2285</v>
      </c>
      <c r="C4412" s="879"/>
    </row>
    <row r="4413" spans="1:3" x14ac:dyDescent="0.25">
      <c r="A4413" s="879"/>
      <c r="B4413" s="1452" t="s">
        <v>1685</v>
      </c>
      <c r="C4413" s="879"/>
    </row>
    <row r="4414" spans="1:3" x14ac:dyDescent="0.25">
      <c r="A4414" s="879"/>
      <c r="B4414" s="1452" t="s">
        <v>1686</v>
      </c>
      <c r="C4414" s="879"/>
    </row>
    <row r="4415" spans="1:3" x14ac:dyDescent="0.25">
      <c r="A4415" s="879"/>
      <c r="B4415" s="1452" t="s">
        <v>2286</v>
      </c>
      <c r="C4415" s="879"/>
    </row>
    <row r="4416" spans="1:3" x14ac:dyDescent="0.25">
      <c r="A4416" s="879"/>
      <c r="B4416" s="1452" t="s">
        <v>2287</v>
      </c>
      <c r="C4416" s="879"/>
    </row>
    <row r="4417" spans="1:3" x14ac:dyDescent="0.25">
      <c r="A4417" s="879"/>
      <c r="B4417" s="1452" t="s">
        <v>1455</v>
      </c>
      <c r="C4417" s="879"/>
    </row>
    <row r="4418" spans="1:3" x14ac:dyDescent="0.25">
      <c r="A4418" s="879"/>
      <c r="B4418" s="1452" t="s">
        <v>2288</v>
      </c>
      <c r="C4418" s="879"/>
    </row>
    <row r="4419" spans="1:3" x14ac:dyDescent="0.25">
      <c r="A4419" s="879"/>
      <c r="B4419" s="1452" t="s">
        <v>1688</v>
      </c>
      <c r="C4419" s="879"/>
    </row>
    <row r="4420" spans="1:3" x14ac:dyDescent="0.25">
      <c r="A4420" s="879"/>
      <c r="B4420" s="1452" t="s">
        <v>1458</v>
      </c>
      <c r="C4420" s="879"/>
    </row>
    <row r="4421" spans="1:3" x14ac:dyDescent="0.25">
      <c r="A4421" s="879"/>
      <c r="B4421" s="1452" t="s">
        <v>1690</v>
      </c>
      <c r="C4421" s="879"/>
    </row>
    <row r="4422" spans="1:3" x14ac:dyDescent="0.25">
      <c r="A4422" s="879"/>
      <c r="B4422" s="1452" t="s">
        <v>1367</v>
      </c>
      <c r="C4422" s="879"/>
    </row>
    <row r="4423" spans="1:3" x14ac:dyDescent="0.25">
      <c r="A4423" s="879"/>
      <c r="B4423" s="1452" t="s">
        <v>1691</v>
      </c>
      <c r="C4423" s="879"/>
    </row>
    <row r="4424" spans="1:3" x14ac:dyDescent="0.25">
      <c r="A4424" s="879"/>
      <c r="B4424" s="1452" t="s">
        <v>2289</v>
      </c>
      <c r="C4424" s="879"/>
    </row>
    <row r="4425" spans="1:3" x14ac:dyDescent="0.25">
      <c r="A4425" s="879"/>
      <c r="B4425" s="1452" t="s">
        <v>2290</v>
      </c>
      <c r="C4425" s="879"/>
    </row>
    <row r="4426" spans="1:3" x14ac:dyDescent="0.25">
      <c r="A4426" s="879"/>
      <c r="B4426" s="1452" t="s">
        <v>2291</v>
      </c>
      <c r="C4426" s="879"/>
    </row>
    <row r="4427" spans="1:3" x14ac:dyDescent="0.25">
      <c r="A4427" s="879"/>
      <c r="B4427" s="1452" t="s">
        <v>1695</v>
      </c>
      <c r="C4427" s="879"/>
    </row>
    <row r="4428" spans="1:3" x14ac:dyDescent="0.25">
      <c r="A4428" s="879"/>
      <c r="B4428" s="1452" t="s">
        <v>1696</v>
      </c>
      <c r="C4428" s="879"/>
    </row>
    <row r="4429" spans="1:3" x14ac:dyDescent="0.25">
      <c r="A4429" s="879"/>
      <c r="B4429" s="1452" t="s">
        <v>1845</v>
      </c>
      <c r="C4429" s="879"/>
    </row>
    <row r="4430" spans="1:3" x14ac:dyDescent="0.25">
      <c r="A4430" s="879"/>
      <c r="B4430" s="1452" t="s">
        <v>1846</v>
      </c>
      <c r="C4430" s="879"/>
    </row>
    <row r="4431" spans="1:3" x14ac:dyDescent="0.25">
      <c r="A4431" s="879"/>
      <c r="B4431" s="1452" t="s">
        <v>1699</v>
      </c>
      <c r="C4431" s="879"/>
    </row>
    <row r="4432" spans="1:3" x14ac:dyDescent="0.25">
      <c r="A4432" s="879"/>
      <c r="B4432" s="1452" t="s">
        <v>1700</v>
      </c>
      <c r="C4432" s="879"/>
    </row>
    <row r="4433" spans="1:3" x14ac:dyDescent="0.25">
      <c r="A4433" s="879"/>
      <c r="B4433" s="1452" t="s">
        <v>1847</v>
      </c>
      <c r="C4433" s="879"/>
    </row>
    <row r="4434" spans="1:3" x14ac:dyDescent="0.25">
      <c r="A4434" s="879"/>
      <c r="B4434" s="1452" t="s">
        <v>1848</v>
      </c>
      <c r="C4434" s="879"/>
    </row>
    <row r="4435" spans="1:3" x14ac:dyDescent="0.25">
      <c r="A4435" s="879"/>
      <c r="B4435" s="1452" t="s">
        <v>1703</v>
      </c>
      <c r="C4435" s="879"/>
    </row>
    <row r="4436" spans="1:3" x14ac:dyDescent="0.25">
      <c r="A4436" s="879"/>
      <c r="B4436" s="1452" t="s">
        <v>1849</v>
      </c>
      <c r="C4436" s="879"/>
    </row>
    <row r="4437" spans="1:3" x14ac:dyDescent="0.25">
      <c r="A4437" s="879"/>
      <c r="B4437" s="1452" t="s">
        <v>1705</v>
      </c>
      <c r="C4437" s="879"/>
    </row>
    <row r="4438" spans="1:3" x14ac:dyDescent="0.25">
      <c r="A4438" s="879"/>
      <c r="B4438" s="1452"/>
      <c r="C4438" s="879"/>
    </row>
    <row r="4439" spans="1:3" x14ac:dyDescent="0.25">
      <c r="A4439" s="879"/>
      <c r="B4439" s="1452"/>
      <c r="C4439" s="879"/>
    </row>
    <row r="4440" spans="1:3" x14ac:dyDescent="0.25">
      <c r="A4440" s="879"/>
      <c r="B4440" s="1452" t="s">
        <v>1368</v>
      </c>
      <c r="C4440" s="879"/>
    </row>
    <row r="4441" spans="1:3" x14ac:dyDescent="0.25">
      <c r="A4441" s="879"/>
      <c r="B4441" s="1452" t="s">
        <v>2854</v>
      </c>
      <c r="C4441" s="879"/>
    </row>
    <row r="4442" spans="1:3" x14ac:dyDescent="0.25">
      <c r="A4442" s="879"/>
      <c r="B4442" s="1452" t="s">
        <v>1368</v>
      </c>
      <c r="C4442" s="879"/>
    </row>
    <row r="4443" spans="1:3" x14ac:dyDescent="0.25">
      <c r="A4443" s="879"/>
      <c r="B4443" s="1452" t="s">
        <v>2855</v>
      </c>
      <c r="C4443" s="879"/>
    </row>
    <row r="4444" spans="1:3" x14ac:dyDescent="0.25">
      <c r="A4444" s="879"/>
      <c r="B4444" s="1452" t="s">
        <v>1367</v>
      </c>
      <c r="C4444" s="879"/>
    </row>
    <row r="4445" spans="1:3" x14ac:dyDescent="0.25">
      <c r="A4445" s="879"/>
      <c r="B4445" s="1452" t="s">
        <v>1369</v>
      </c>
      <c r="C4445" s="879"/>
    </row>
    <row r="4446" spans="1:3" x14ac:dyDescent="0.25">
      <c r="A4446" s="879"/>
      <c r="B4446" s="1452" t="s">
        <v>1370</v>
      </c>
      <c r="C4446" s="879"/>
    </row>
    <row r="4447" spans="1:3" x14ac:dyDescent="0.25">
      <c r="A4447" s="879"/>
      <c r="B4447" s="1452" t="s">
        <v>1367</v>
      </c>
      <c r="C4447" s="879"/>
    </row>
    <row r="4448" spans="1:3" x14ac:dyDescent="0.25">
      <c r="A4448" s="879"/>
      <c r="B4448" s="1452" t="s">
        <v>1460</v>
      </c>
      <c r="C4448" s="879"/>
    </row>
    <row r="4449" spans="1:3" x14ac:dyDescent="0.25">
      <c r="A4449" s="879"/>
      <c r="B4449" s="1452" t="s">
        <v>1461</v>
      </c>
      <c r="C4449" s="879"/>
    </row>
    <row r="4450" spans="1:3" x14ac:dyDescent="0.25">
      <c r="A4450" s="879"/>
      <c r="B4450" s="1452" t="s">
        <v>2856</v>
      </c>
      <c r="C4450" s="879"/>
    </row>
    <row r="4451" spans="1:3" x14ac:dyDescent="0.25">
      <c r="A4451" s="879"/>
      <c r="B4451" s="1452" t="s">
        <v>2857</v>
      </c>
      <c r="C4451" s="879"/>
    </row>
    <row r="4452" spans="1:3" x14ac:dyDescent="0.25">
      <c r="A4452" s="879"/>
      <c r="B4452" s="1452" t="s">
        <v>2858</v>
      </c>
      <c r="C4452" s="879"/>
    </row>
    <row r="4453" spans="1:3" x14ac:dyDescent="0.25">
      <c r="A4453" s="879"/>
      <c r="B4453" s="1452" t="s">
        <v>2859</v>
      </c>
      <c r="C4453" s="879"/>
    </row>
    <row r="4454" spans="1:3" x14ac:dyDescent="0.25">
      <c r="A4454" s="879"/>
      <c r="B4454" s="1452" t="s">
        <v>2860</v>
      </c>
      <c r="C4454" s="879"/>
    </row>
    <row r="4455" spans="1:3" x14ac:dyDescent="0.25">
      <c r="A4455" s="879"/>
      <c r="B4455" s="1452" t="s">
        <v>2861</v>
      </c>
      <c r="C4455" s="879"/>
    </row>
    <row r="4456" spans="1:3" x14ac:dyDescent="0.25">
      <c r="A4456" s="879"/>
      <c r="B4456" s="1452" t="s">
        <v>2862</v>
      </c>
      <c r="C4456" s="879"/>
    </row>
    <row r="4457" spans="1:3" x14ac:dyDescent="0.25">
      <c r="A4457" s="879"/>
      <c r="B4457" s="1452" t="s">
        <v>2863</v>
      </c>
      <c r="C4457" s="879"/>
    </row>
    <row r="4458" spans="1:3" x14ac:dyDescent="0.25">
      <c r="A4458" s="879"/>
      <c r="B4458" s="1452" t="s">
        <v>1462</v>
      </c>
      <c r="C4458" s="879"/>
    </row>
    <row r="4459" spans="1:3" x14ac:dyDescent="0.25">
      <c r="A4459" s="879"/>
      <c r="B4459" s="1452" t="s">
        <v>1382</v>
      </c>
      <c r="C4459" s="879"/>
    </row>
    <row r="4460" spans="1:3" x14ac:dyDescent="0.25">
      <c r="A4460" s="879"/>
      <c r="B4460" s="1452" t="s">
        <v>1367</v>
      </c>
      <c r="C4460" s="879"/>
    </row>
    <row r="4461" spans="1:3" x14ac:dyDescent="0.25">
      <c r="A4461" s="879"/>
      <c r="B4461" s="1452" t="s">
        <v>1460</v>
      </c>
      <c r="C4461" s="879"/>
    </row>
    <row r="4462" spans="1:3" x14ac:dyDescent="0.25">
      <c r="A4462" s="879"/>
      <c r="B4462" s="1452" t="s">
        <v>2864</v>
      </c>
      <c r="C4462" s="879"/>
    </row>
    <row r="4463" spans="1:3" x14ac:dyDescent="0.25">
      <c r="A4463" s="879"/>
      <c r="B4463" s="1452" t="s">
        <v>2865</v>
      </c>
      <c r="C4463" s="879"/>
    </row>
    <row r="4464" spans="1:3" x14ac:dyDescent="0.25">
      <c r="A4464" s="879"/>
      <c r="B4464" s="1452" t="s">
        <v>2866</v>
      </c>
      <c r="C4464" s="879"/>
    </row>
    <row r="4465" spans="1:3" x14ac:dyDescent="0.25">
      <c r="A4465" s="879"/>
      <c r="B4465" s="1452" t="s">
        <v>2867</v>
      </c>
      <c r="C4465" s="879"/>
    </row>
    <row r="4466" spans="1:3" x14ac:dyDescent="0.25">
      <c r="A4466" s="879"/>
      <c r="B4466" s="1452" t="s">
        <v>2868</v>
      </c>
      <c r="C4466" s="879"/>
    </row>
    <row r="4467" spans="1:3" x14ac:dyDescent="0.25">
      <c r="A4467" s="879"/>
      <c r="B4467" s="1452" t="s">
        <v>2869</v>
      </c>
      <c r="C4467" s="879"/>
    </row>
    <row r="4468" spans="1:3" x14ac:dyDescent="0.25">
      <c r="A4468" s="879"/>
      <c r="B4468" s="1452" t="s">
        <v>2870</v>
      </c>
      <c r="C4468" s="879"/>
    </row>
    <row r="4469" spans="1:3" x14ac:dyDescent="0.25">
      <c r="A4469" s="879"/>
      <c r="B4469" s="1452" t="s">
        <v>2871</v>
      </c>
      <c r="C4469" s="879"/>
    </row>
    <row r="4470" spans="1:3" x14ac:dyDescent="0.25">
      <c r="A4470" s="879"/>
      <c r="B4470" s="1452" t="s">
        <v>2872</v>
      </c>
      <c r="C4470" s="879"/>
    </row>
    <row r="4471" spans="1:3" x14ac:dyDescent="0.25">
      <c r="A4471" s="879"/>
      <c r="B4471" s="1452" t="s">
        <v>2873</v>
      </c>
      <c r="C4471" s="879"/>
    </row>
    <row r="4472" spans="1:3" x14ac:dyDescent="0.25">
      <c r="A4472" s="879"/>
      <c r="B4472" s="1452" t="s">
        <v>1466</v>
      </c>
      <c r="C4472" s="879"/>
    </row>
    <row r="4473" spans="1:3" x14ac:dyDescent="0.25">
      <c r="A4473" s="879"/>
      <c r="B4473" s="1452" t="s">
        <v>1467</v>
      </c>
      <c r="C4473" s="879"/>
    </row>
    <row r="4474" spans="1:3" x14ac:dyDescent="0.25">
      <c r="A4474" s="879"/>
      <c r="B4474" s="1452" t="s">
        <v>2874</v>
      </c>
      <c r="C4474" s="879"/>
    </row>
    <row r="4475" spans="1:3" x14ac:dyDescent="0.25">
      <c r="A4475" s="879"/>
      <c r="B4475" s="1452" t="s">
        <v>1469</v>
      </c>
      <c r="C4475" s="879"/>
    </row>
    <row r="4476" spans="1:3" x14ac:dyDescent="0.25">
      <c r="A4476" s="879"/>
      <c r="B4476" s="1452" t="s">
        <v>2875</v>
      </c>
      <c r="C4476" s="879"/>
    </row>
    <row r="4477" spans="1:3" x14ac:dyDescent="0.25">
      <c r="A4477" s="879"/>
      <c r="B4477" s="1452" t="s">
        <v>2876</v>
      </c>
      <c r="C4477" s="879"/>
    </row>
    <row r="4478" spans="1:3" x14ac:dyDescent="0.25">
      <c r="A4478" s="879"/>
      <c r="B4478" s="1452" t="s">
        <v>2877</v>
      </c>
      <c r="C4478" s="879"/>
    </row>
    <row r="4479" spans="1:3" x14ac:dyDescent="0.25">
      <c r="A4479" s="879"/>
      <c r="B4479" s="1452" t="s">
        <v>2878</v>
      </c>
      <c r="C4479" s="879"/>
    </row>
    <row r="4480" spans="1:3" x14ac:dyDescent="0.25">
      <c r="A4480" s="879"/>
      <c r="B4480" s="1452" t="s">
        <v>2879</v>
      </c>
      <c r="C4480" s="879"/>
    </row>
    <row r="4481" spans="1:3" x14ac:dyDescent="0.25">
      <c r="A4481" s="879"/>
      <c r="B4481" s="1452" t="s">
        <v>1471</v>
      </c>
      <c r="C4481" s="879"/>
    </row>
    <row r="4482" spans="1:3" x14ac:dyDescent="0.25">
      <c r="A4482" s="879"/>
      <c r="B4482" s="1452" t="s">
        <v>2537</v>
      </c>
      <c r="C4482" s="879"/>
    </row>
    <row r="4483" spans="1:3" x14ac:dyDescent="0.25">
      <c r="A4483" s="879"/>
      <c r="B4483" s="1452" t="s">
        <v>2880</v>
      </c>
      <c r="C4483" s="879"/>
    </row>
    <row r="4484" spans="1:3" x14ac:dyDescent="0.25">
      <c r="A4484" s="879"/>
      <c r="B4484" s="1452" t="s">
        <v>1473</v>
      </c>
      <c r="C4484" s="879"/>
    </row>
    <row r="4485" spans="1:3" x14ac:dyDescent="0.25">
      <c r="A4485" s="879"/>
      <c r="B4485" s="1452" t="s">
        <v>2881</v>
      </c>
      <c r="C4485" s="879"/>
    </row>
    <row r="4486" spans="1:3" x14ac:dyDescent="0.25">
      <c r="A4486" s="879"/>
      <c r="B4486" s="1452" t="s">
        <v>2882</v>
      </c>
      <c r="C4486" s="879"/>
    </row>
    <row r="4487" spans="1:3" x14ac:dyDescent="0.25">
      <c r="A4487" s="879"/>
      <c r="B4487" s="1452" t="s">
        <v>2883</v>
      </c>
      <c r="C4487" s="879"/>
    </row>
    <row r="4488" spans="1:3" x14ac:dyDescent="0.25">
      <c r="A4488" s="879"/>
      <c r="B4488" s="1452" t="s">
        <v>2884</v>
      </c>
      <c r="C4488" s="879"/>
    </row>
    <row r="4489" spans="1:3" x14ac:dyDescent="0.25">
      <c r="A4489" s="879"/>
      <c r="B4489" s="1452" t="s">
        <v>1476</v>
      </c>
      <c r="C4489" s="879"/>
    </row>
    <row r="4490" spans="1:3" x14ac:dyDescent="0.25">
      <c r="A4490" s="879"/>
      <c r="B4490" s="1452" t="s">
        <v>1477</v>
      </c>
      <c r="C4490" s="879"/>
    </row>
    <row r="4491" spans="1:3" x14ac:dyDescent="0.25">
      <c r="A4491" s="879"/>
      <c r="B4491" s="1452" t="s">
        <v>1478</v>
      </c>
      <c r="C4491" s="879"/>
    </row>
    <row r="4492" spans="1:3" x14ac:dyDescent="0.25">
      <c r="A4492" s="879"/>
      <c r="B4492" s="1452" t="s">
        <v>2885</v>
      </c>
      <c r="C4492" s="879"/>
    </row>
    <row r="4493" spans="1:3" x14ac:dyDescent="0.25">
      <c r="A4493" s="879"/>
      <c r="B4493" s="1452" t="s">
        <v>2886</v>
      </c>
      <c r="C4493" s="879"/>
    </row>
    <row r="4494" spans="1:3" x14ac:dyDescent="0.25">
      <c r="A4494" s="879"/>
      <c r="B4494" s="1452" t="s">
        <v>1479</v>
      </c>
      <c r="C4494" s="879"/>
    </row>
    <row r="4495" spans="1:3" x14ac:dyDescent="0.25">
      <c r="A4495" s="879"/>
      <c r="B4495" s="1452" t="s">
        <v>1480</v>
      </c>
      <c r="C4495" s="879"/>
    </row>
    <row r="4496" spans="1:3" x14ac:dyDescent="0.25">
      <c r="A4496" s="879"/>
      <c r="B4496" s="1452" t="s">
        <v>2887</v>
      </c>
      <c r="C4496" s="879"/>
    </row>
    <row r="4497" spans="1:3" x14ac:dyDescent="0.25">
      <c r="A4497" s="879"/>
      <c r="B4497" s="1452" t="s">
        <v>2888</v>
      </c>
      <c r="C4497" s="879"/>
    </row>
    <row r="4498" spans="1:3" x14ac:dyDescent="0.25">
      <c r="A4498" s="879"/>
      <c r="B4498" s="1452" t="s">
        <v>2889</v>
      </c>
      <c r="C4498" s="879"/>
    </row>
    <row r="4499" spans="1:3" x14ac:dyDescent="0.25">
      <c r="A4499" s="879"/>
      <c r="B4499" s="1452" t="s">
        <v>2890</v>
      </c>
      <c r="C4499" s="879"/>
    </row>
    <row r="4500" spans="1:3" x14ac:dyDescent="0.25">
      <c r="A4500" s="879"/>
      <c r="B4500" s="1452" t="s">
        <v>2891</v>
      </c>
      <c r="C4500" s="879"/>
    </row>
    <row r="4501" spans="1:3" x14ac:dyDescent="0.25">
      <c r="A4501" s="879"/>
      <c r="B4501" s="1452" t="s">
        <v>2892</v>
      </c>
      <c r="C4501" s="879"/>
    </row>
    <row r="4502" spans="1:3" x14ac:dyDescent="0.25">
      <c r="A4502" s="879"/>
      <c r="B4502" s="1452" t="s">
        <v>2893</v>
      </c>
      <c r="C4502" s="879"/>
    </row>
    <row r="4503" spans="1:3" x14ac:dyDescent="0.25">
      <c r="A4503" s="879"/>
      <c r="B4503" s="1452" t="s">
        <v>2894</v>
      </c>
      <c r="C4503" s="879"/>
    </row>
    <row r="4504" spans="1:3" x14ac:dyDescent="0.25">
      <c r="A4504" s="879"/>
      <c r="B4504" s="1452" t="s">
        <v>2895</v>
      </c>
      <c r="C4504" s="879"/>
    </row>
    <row r="4505" spans="1:3" x14ac:dyDescent="0.25">
      <c r="A4505" s="879"/>
      <c r="B4505" s="1452" t="s">
        <v>1481</v>
      </c>
      <c r="C4505" s="879"/>
    </row>
    <row r="4506" spans="1:3" x14ac:dyDescent="0.25">
      <c r="A4506" s="879"/>
      <c r="B4506" s="1452" t="s">
        <v>1482</v>
      </c>
      <c r="C4506" s="879"/>
    </row>
    <row r="4507" spans="1:3" x14ac:dyDescent="0.25">
      <c r="A4507" s="879"/>
      <c r="B4507" s="1452" t="s">
        <v>1483</v>
      </c>
      <c r="C4507" s="879"/>
    </row>
    <row r="4508" spans="1:3" x14ac:dyDescent="0.25">
      <c r="A4508" s="879"/>
      <c r="B4508" s="1452" t="s">
        <v>2896</v>
      </c>
      <c r="C4508" s="879"/>
    </row>
    <row r="4509" spans="1:3" x14ac:dyDescent="0.25">
      <c r="A4509" s="879"/>
      <c r="B4509" s="1452" t="s">
        <v>1430</v>
      </c>
      <c r="C4509" s="879"/>
    </row>
    <row r="4510" spans="1:3" x14ac:dyDescent="0.25">
      <c r="A4510" s="879"/>
      <c r="B4510" s="1452" t="s">
        <v>1367</v>
      </c>
      <c r="C4510" s="879"/>
    </row>
    <row r="4511" spans="1:3" x14ac:dyDescent="0.25">
      <c r="A4511" s="879"/>
      <c r="B4511" s="1452" t="s">
        <v>1449</v>
      </c>
      <c r="C4511" s="879"/>
    </row>
    <row r="4512" spans="1:3" x14ac:dyDescent="0.25">
      <c r="A4512" s="879"/>
      <c r="B4512" s="1452" t="s">
        <v>1367</v>
      </c>
      <c r="C4512" s="879"/>
    </row>
    <row r="4513" spans="1:3" x14ac:dyDescent="0.25">
      <c r="A4513" s="879"/>
      <c r="B4513" s="1452" t="s">
        <v>1450</v>
      </c>
      <c r="C4513" s="879"/>
    </row>
    <row r="4514" spans="1:3" x14ac:dyDescent="0.25">
      <c r="A4514" s="879"/>
      <c r="B4514" s="1452" t="s">
        <v>1451</v>
      </c>
      <c r="C4514" s="879"/>
    </row>
    <row r="4515" spans="1:3" x14ac:dyDescent="0.25">
      <c r="A4515" s="879"/>
      <c r="B4515" s="1452" t="s">
        <v>2847</v>
      </c>
      <c r="C4515" s="879"/>
    </row>
    <row r="4516" spans="1:3" x14ac:dyDescent="0.25">
      <c r="A4516" s="879"/>
      <c r="B4516" s="1452" t="s">
        <v>1892</v>
      </c>
      <c r="C4516" s="879"/>
    </row>
    <row r="4517" spans="1:3" x14ac:dyDescent="0.25">
      <c r="A4517" s="879"/>
      <c r="B4517" s="1452" t="s">
        <v>1682</v>
      </c>
      <c r="C4517" s="879"/>
    </row>
    <row r="4518" spans="1:3" x14ac:dyDescent="0.25">
      <c r="A4518" s="879"/>
      <c r="B4518" s="1452" t="s">
        <v>1517</v>
      </c>
      <c r="C4518" s="879"/>
    </row>
    <row r="4519" spans="1:3" x14ac:dyDescent="0.25">
      <c r="A4519" s="879"/>
      <c r="B4519" s="1452" t="s">
        <v>1684</v>
      </c>
      <c r="C4519" s="879"/>
    </row>
    <row r="4520" spans="1:3" x14ac:dyDescent="0.25">
      <c r="A4520" s="879"/>
      <c r="B4520" s="1452" t="s">
        <v>2848</v>
      </c>
      <c r="C4520" s="879"/>
    </row>
    <row r="4521" spans="1:3" x14ac:dyDescent="0.25">
      <c r="A4521" s="879"/>
      <c r="B4521" s="1452" t="s">
        <v>2849</v>
      </c>
      <c r="C4521" s="879"/>
    </row>
    <row r="4522" spans="1:3" x14ac:dyDescent="0.25">
      <c r="A4522" s="879"/>
      <c r="B4522" s="1452" t="s">
        <v>1685</v>
      </c>
      <c r="C4522" s="879"/>
    </row>
    <row r="4523" spans="1:3" x14ac:dyDescent="0.25">
      <c r="A4523" s="879"/>
      <c r="B4523" s="1452" t="s">
        <v>1686</v>
      </c>
      <c r="C4523" s="879"/>
    </row>
    <row r="4524" spans="1:3" x14ac:dyDescent="0.25">
      <c r="A4524" s="879"/>
      <c r="B4524" s="1452" t="s">
        <v>2850</v>
      </c>
      <c r="C4524" s="879"/>
    </row>
    <row r="4525" spans="1:3" x14ac:dyDescent="0.25">
      <c r="A4525" s="879"/>
      <c r="B4525" s="1452" t="s">
        <v>2851</v>
      </c>
      <c r="C4525" s="879"/>
    </row>
    <row r="4526" spans="1:3" x14ac:dyDescent="0.25">
      <c r="A4526" s="879"/>
      <c r="B4526" s="1452" t="s">
        <v>1455</v>
      </c>
      <c r="C4526" s="879"/>
    </row>
    <row r="4527" spans="1:3" x14ac:dyDescent="0.25">
      <c r="A4527" s="879"/>
      <c r="B4527" s="1452" t="s">
        <v>2852</v>
      </c>
      <c r="C4527" s="879"/>
    </row>
    <row r="4528" spans="1:3" x14ac:dyDescent="0.25">
      <c r="A4528" s="879"/>
      <c r="B4528" s="1452" t="s">
        <v>1688</v>
      </c>
      <c r="C4528" s="879"/>
    </row>
    <row r="4529" spans="1:3" x14ac:dyDescent="0.25">
      <c r="A4529" s="879"/>
      <c r="B4529" s="1452" t="s">
        <v>2853</v>
      </c>
      <c r="C4529" s="879"/>
    </row>
    <row r="4530" spans="1:3" x14ac:dyDescent="0.25">
      <c r="A4530" s="879"/>
      <c r="B4530" s="1452" t="s">
        <v>1456</v>
      </c>
      <c r="C4530" s="879"/>
    </row>
    <row r="4531" spans="1:3" x14ac:dyDescent="0.25">
      <c r="A4531" s="879"/>
      <c r="B4531" s="1452" t="s">
        <v>1367</v>
      </c>
      <c r="C4531" s="879"/>
    </row>
    <row r="4532" spans="1:3" x14ac:dyDescent="0.25">
      <c r="A4532" s="879"/>
      <c r="B4532" s="1452" t="s">
        <v>1450</v>
      </c>
      <c r="C4532" s="879"/>
    </row>
    <row r="4533" spans="1:3" x14ac:dyDescent="0.25">
      <c r="A4533" s="879"/>
      <c r="B4533" s="1452" t="s">
        <v>1451</v>
      </c>
      <c r="C4533" s="879"/>
    </row>
    <row r="4534" spans="1:3" x14ac:dyDescent="0.25">
      <c r="A4534" s="879"/>
      <c r="B4534" s="1452" t="s">
        <v>2847</v>
      </c>
      <c r="C4534" s="879"/>
    </row>
    <row r="4535" spans="1:3" x14ac:dyDescent="0.25">
      <c r="A4535" s="879"/>
      <c r="B4535" s="1452" t="s">
        <v>1892</v>
      </c>
      <c r="C4535" s="879"/>
    </row>
    <row r="4536" spans="1:3" x14ac:dyDescent="0.25">
      <c r="A4536" s="879"/>
      <c r="B4536" s="1452" t="s">
        <v>1682</v>
      </c>
      <c r="C4536" s="879"/>
    </row>
    <row r="4537" spans="1:3" x14ac:dyDescent="0.25">
      <c r="A4537" s="879"/>
      <c r="B4537" s="1452" t="s">
        <v>1517</v>
      </c>
      <c r="C4537" s="879"/>
    </row>
    <row r="4538" spans="1:3" x14ac:dyDescent="0.25">
      <c r="A4538" s="879"/>
      <c r="B4538" s="1452" t="s">
        <v>1684</v>
      </c>
      <c r="C4538" s="879"/>
    </row>
    <row r="4539" spans="1:3" x14ac:dyDescent="0.25">
      <c r="A4539" s="879"/>
      <c r="B4539" s="1452" t="s">
        <v>2848</v>
      </c>
      <c r="C4539" s="879"/>
    </row>
    <row r="4540" spans="1:3" x14ac:dyDescent="0.25">
      <c r="A4540" s="879"/>
      <c r="B4540" s="1452" t="s">
        <v>2849</v>
      </c>
      <c r="C4540" s="879"/>
    </row>
    <row r="4541" spans="1:3" x14ac:dyDescent="0.25">
      <c r="A4541" s="879"/>
      <c r="B4541" s="1452" t="s">
        <v>1685</v>
      </c>
      <c r="C4541" s="879"/>
    </row>
    <row r="4542" spans="1:3" x14ac:dyDescent="0.25">
      <c r="A4542" s="879"/>
      <c r="B4542" s="1452" t="s">
        <v>1686</v>
      </c>
      <c r="C4542" s="879"/>
    </row>
    <row r="4543" spans="1:3" x14ac:dyDescent="0.25">
      <c r="A4543" s="879"/>
      <c r="B4543" s="1452" t="s">
        <v>2850</v>
      </c>
      <c r="C4543" s="879"/>
    </row>
    <row r="4544" spans="1:3" x14ac:dyDescent="0.25">
      <c r="A4544" s="879"/>
      <c r="B4544" s="1452" t="s">
        <v>2851</v>
      </c>
      <c r="C4544" s="879"/>
    </row>
    <row r="4545" spans="1:3" x14ac:dyDescent="0.25">
      <c r="A4545" s="879"/>
      <c r="B4545" s="1452" t="s">
        <v>1455</v>
      </c>
      <c r="C4545" s="879"/>
    </row>
    <row r="4546" spans="1:3" x14ac:dyDescent="0.25">
      <c r="A4546" s="879"/>
      <c r="B4546" s="1452" t="s">
        <v>2852</v>
      </c>
      <c r="C4546" s="879"/>
    </row>
    <row r="4547" spans="1:3" x14ac:dyDescent="0.25">
      <c r="A4547" s="879"/>
      <c r="B4547" s="1452" t="s">
        <v>1688</v>
      </c>
      <c r="C4547" s="879"/>
    </row>
    <row r="4548" spans="1:3" x14ac:dyDescent="0.25">
      <c r="A4548" s="879"/>
      <c r="B4548" s="1452" t="s">
        <v>2853</v>
      </c>
      <c r="C4548" s="879"/>
    </row>
    <row r="4549" spans="1:3" x14ac:dyDescent="0.25">
      <c r="A4549" s="879"/>
      <c r="B4549" s="1452" t="s">
        <v>1690</v>
      </c>
      <c r="C4549" s="879"/>
    </row>
    <row r="4550" spans="1:3" x14ac:dyDescent="0.25">
      <c r="A4550" s="879"/>
      <c r="B4550" s="1452" t="s">
        <v>1367</v>
      </c>
      <c r="C4550" s="879"/>
    </row>
    <row r="4551" spans="1:3" x14ac:dyDescent="0.25">
      <c r="A4551" s="879"/>
      <c r="B4551" s="1452" t="s">
        <v>1691</v>
      </c>
      <c r="C4551" s="879"/>
    </row>
    <row r="4552" spans="1:3" x14ac:dyDescent="0.25">
      <c r="A4552" s="879"/>
      <c r="B4552" s="1452" t="s">
        <v>1692</v>
      </c>
      <c r="C4552" s="879"/>
    </row>
    <row r="4553" spans="1:3" x14ac:dyDescent="0.25">
      <c r="A4553" s="879"/>
      <c r="B4553" s="1452" t="s">
        <v>1693</v>
      </c>
      <c r="C4553" s="879"/>
    </row>
    <row r="4554" spans="1:3" x14ac:dyDescent="0.25">
      <c r="A4554" s="879"/>
      <c r="B4554" s="1452" t="s">
        <v>1694</v>
      </c>
      <c r="C4554" s="879"/>
    </row>
    <row r="4555" spans="1:3" x14ac:dyDescent="0.25">
      <c r="A4555" s="879"/>
      <c r="B4555" s="1452" t="s">
        <v>1695</v>
      </c>
      <c r="C4555" s="879"/>
    </row>
    <row r="4556" spans="1:3" x14ac:dyDescent="0.25">
      <c r="A4556" s="879"/>
      <c r="B4556" s="1452" t="s">
        <v>1696</v>
      </c>
      <c r="C4556" s="879"/>
    </row>
    <row r="4557" spans="1:3" x14ac:dyDescent="0.25">
      <c r="A4557" s="879"/>
      <c r="B4557" s="1452" t="s">
        <v>1697</v>
      </c>
      <c r="C4557" s="879"/>
    </row>
    <row r="4558" spans="1:3" x14ac:dyDescent="0.25">
      <c r="A4558" s="879"/>
      <c r="B4558" s="1452" t="s">
        <v>1698</v>
      </c>
      <c r="C4558" s="879"/>
    </row>
    <row r="4559" spans="1:3" x14ac:dyDescent="0.25">
      <c r="A4559" s="879"/>
      <c r="B4559" s="1452" t="s">
        <v>1699</v>
      </c>
      <c r="C4559" s="879"/>
    </row>
    <row r="4560" spans="1:3" x14ac:dyDescent="0.25">
      <c r="A4560" s="879"/>
      <c r="B4560" s="1452" t="s">
        <v>1700</v>
      </c>
      <c r="C4560" s="879"/>
    </row>
    <row r="4561" spans="1:3" x14ac:dyDescent="0.25">
      <c r="A4561" s="879"/>
      <c r="B4561" s="1452" t="s">
        <v>1701</v>
      </c>
      <c r="C4561" s="879"/>
    </row>
    <row r="4562" spans="1:3" x14ac:dyDescent="0.25">
      <c r="A4562" s="879"/>
      <c r="B4562" s="1452" t="s">
        <v>1702</v>
      </c>
      <c r="C4562" s="879"/>
    </row>
    <row r="4563" spans="1:3" x14ac:dyDescent="0.25">
      <c r="A4563" s="879"/>
      <c r="B4563" s="1452" t="s">
        <v>1703</v>
      </c>
      <c r="C4563" s="879"/>
    </row>
    <row r="4564" spans="1:3" x14ac:dyDescent="0.25">
      <c r="A4564" s="879"/>
      <c r="B4564" s="1452" t="s">
        <v>1704</v>
      </c>
      <c r="C4564" s="879"/>
    </row>
    <row r="4565" spans="1:3" x14ac:dyDescent="0.25">
      <c r="A4565" s="879"/>
      <c r="B4565" s="1452" t="s">
        <v>1705</v>
      </c>
      <c r="C4565" s="879"/>
    </row>
    <row r="4566" spans="1:3" x14ac:dyDescent="0.25">
      <c r="A4566" s="879"/>
      <c r="B4566" s="1452"/>
      <c r="C4566" s="879"/>
    </row>
    <row r="4567" spans="1:3" x14ac:dyDescent="0.25">
      <c r="A4567" s="879"/>
      <c r="B4567" s="1452"/>
      <c r="C4567" s="879"/>
    </row>
    <row r="4568" spans="1:3" x14ac:dyDescent="0.25">
      <c r="A4568" s="879"/>
      <c r="B4568" s="1452" t="s">
        <v>1368</v>
      </c>
      <c r="C4568" s="879"/>
    </row>
    <row r="4569" spans="1:3" x14ac:dyDescent="0.25">
      <c r="A4569" s="879"/>
      <c r="B4569" s="1452" t="s">
        <v>2897</v>
      </c>
      <c r="C4569" s="879"/>
    </row>
    <row r="4570" spans="1:3" x14ac:dyDescent="0.25">
      <c r="A4570" s="879"/>
      <c r="B4570" s="1452" t="s">
        <v>1368</v>
      </c>
      <c r="C4570" s="879"/>
    </row>
    <row r="4571" spans="1:3" x14ac:dyDescent="0.25">
      <c r="A4571" s="879"/>
      <c r="B4571" s="1452" t="s">
        <v>2898</v>
      </c>
      <c r="C4571" s="879"/>
    </row>
    <row r="4572" spans="1:3" x14ac:dyDescent="0.25">
      <c r="A4572" s="879"/>
      <c r="B4572" s="1452" t="s">
        <v>1367</v>
      </c>
      <c r="C4572" s="879"/>
    </row>
    <row r="4573" spans="1:3" x14ac:dyDescent="0.25">
      <c r="A4573" s="879"/>
      <c r="B4573" s="1452" t="s">
        <v>1369</v>
      </c>
      <c r="C4573" s="879"/>
    </row>
    <row r="4574" spans="1:3" x14ac:dyDescent="0.25">
      <c r="A4574" s="879"/>
      <c r="B4574" s="1452" t="s">
        <v>1370</v>
      </c>
      <c r="C4574" s="879"/>
    </row>
    <row r="4575" spans="1:3" x14ac:dyDescent="0.25">
      <c r="A4575" s="879"/>
      <c r="B4575" s="1452" t="s">
        <v>1367</v>
      </c>
      <c r="C4575" s="879"/>
    </row>
    <row r="4576" spans="1:3" x14ac:dyDescent="0.25">
      <c r="A4576" s="879"/>
      <c r="B4576" s="1452" t="s">
        <v>1460</v>
      </c>
      <c r="C4576" s="879"/>
    </row>
    <row r="4577" spans="1:3" x14ac:dyDescent="0.25">
      <c r="A4577" s="879"/>
      <c r="B4577" s="1452" t="s">
        <v>1461</v>
      </c>
      <c r="C4577" s="879"/>
    </row>
    <row r="4578" spans="1:3" x14ac:dyDescent="0.25">
      <c r="A4578" s="879"/>
      <c r="B4578" s="1452" t="s">
        <v>2899</v>
      </c>
      <c r="C4578" s="879"/>
    </row>
    <row r="4579" spans="1:3" x14ac:dyDescent="0.25">
      <c r="A4579" s="879"/>
      <c r="B4579" s="1452" t="s">
        <v>2900</v>
      </c>
      <c r="C4579" s="879"/>
    </row>
    <row r="4580" spans="1:3" x14ac:dyDescent="0.25">
      <c r="A4580" s="879"/>
      <c r="B4580" s="1452" t="s">
        <v>2858</v>
      </c>
      <c r="C4580" s="879"/>
    </row>
    <row r="4581" spans="1:3" x14ac:dyDescent="0.25">
      <c r="A4581" s="879"/>
      <c r="B4581" s="1452" t="s">
        <v>2859</v>
      </c>
      <c r="C4581" s="879"/>
    </row>
    <row r="4582" spans="1:3" x14ac:dyDescent="0.25">
      <c r="A4582" s="879"/>
      <c r="B4582" s="1452" t="s">
        <v>2860</v>
      </c>
      <c r="C4582" s="879"/>
    </row>
    <row r="4583" spans="1:3" x14ac:dyDescent="0.25">
      <c r="A4583" s="879"/>
      <c r="B4583" s="1452" t="s">
        <v>2901</v>
      </c>
      <c r="C4583" s="879"/>
    </row>
    <row r="4584" spans="1:3" x14ac:dyDescent="0.25">
      <c r="A4584" s="879"/>
      <c r="B4584" s="1452" t="s">
        <v>2902</v>
      </c>
      <c r="C4584" s="879"/>
    </row>
    <row r="4585" spans="1:3" x14ac:dyDescent="0.25">
      <c r="A4585" s="879"/>
      <c r="B4585" s="1452" t="s">
        <v>2903</v>
      </c>
      <c r="C4585" s="879"/>
    </row>
    <row r="4586" spans="1:3" x14ac:dyDescent="0.25">
      <c r="A4586" s="879"/>
      <c r="B4586" s="1452" t="s">
        <v>1462</v>
      </c>
      <c r="C4586" s="879"/>
    </row>
    <row r="4587" spans="1:3" x14ac:dyDescent="0.25">
      <c r="A4587" s="879"/>
      <c r="B4587" s="1452" t="s">
        <v>1382</v>
      </c>
      <c r="C4587" s="879"/>
    </row>
    <row r="4588" spans="1:3" x14ac:dyDescent="0.25">
      <c r="A4588" s="879"/>
      <c r="B4588" s="1452" t="s">
        <v>1367</v>
      </c>
      <c r="C4588" s="879"/>
    </row>
    <row r="4589" spans="1:3" x14ac:dyDescent="0.25">
      <c r="A4589" s="879"/>
      <c r="B4589" s="1452" t="s">
        <v>1460</v>
      </c>
      <c r="C4589" s="879"/>
    </row>
    <row r="4590" spans="1:3" x14ac:dyDescent="0.25">
      <c r="A4590" s="879"/>
      <c r="B4590" s="1452" t="s">
        <v>2864</v>
      </c>
      <c r="C4590" s="879"/>
    </row>
    <row r="4591" spans="1:3" x14ac:dyDescent="0.25">
      <c r="A4591" s="879"/>
      <c r="B4591" s="1452" t="s">
        <v>2904</v>
      </c>
      <c r="C4591" s="879"/>
    </row>
    <row r="4592" spans="1:3" x14ac:dyDescent="0.25">
      <c r="A4592" s="879"/>
      <c r="B4592" s="1452" t="s">
        <v>2905</v>
      </c>
      <c r="C4592" s="879"/>
    </row>
    <row r="4593" spans="1:3" x14ac:dyDescent="0.25">
      <c r="A4593" s="879"/>
      <c r="B4593" s="1452" t="s">
        <v>2906</v>
      </c>
      <c r="C4593" s="879"/>
    </row>
    <row r="4594" spans="1:3" x14ac:dyDescent="0.25">
      <c r="A4594" s="879"/>
      <c r="B4594" s="1452" t="s">
        <v>2907</v>
      </c>
      <c r="C4594" s="879"/>
    </row>
    <row r="4595" spans="1:3" x14ac:dyDescent="0.25">
      <c r="A4595" s="879"/>
      <c r="B4595" s="1452" t="s">
        <v>2908</v>
      </c>
      <c r="C4595" s="879"/>
    </row>
    <row r="4596" spans="1:3" x14ac:dyDescent="0.25">
      <c r="A4596" s="879"/>
      <c r="B4596" s="1452" t="s">
        <v>2909</v>
      </c>
      <c r="C4596" s="879"/>
    </row>
    <row r="4597" spans="1:3" x14ac:dyDescent="0.25">
      <c r="A4597" s="879"/>
      <c r="B4597" s="1452" t="s">
        <v>2910</v>
      </c>
      <c r="C4597" s="879"/>
    </row>
    <row r="4598" spans="1:3" x14ac:dyDescent="0.25">
      <c r="A4598" s="879"/>
      <c r="B4598" s="1452" t="s">
        <v>2872</v>
      </c>
      <c r="C4598" s="879"/>
    </row>
    <row r="4599" spans="1:3" x14ac:dyDescent="0.25">
      <c r="A4599" s="879"/>
      <c r="B4599" s="1452" t="s">
        <v>2873</v>
      </c>
      <c r="C4599" s="879"/>
    </row>
    <row r="4600" spans="1:3" x14ac:dyDescent="0.25">
      <c r="A4600" s="879"/>
      <c r="B4600" s="1452" t="s">
        <v>1466</v>
      </c>
      <c r="C4600" s="879"/>
    </row>
    <row r="4601" spans="1:3" x14ac:dyDescent="0.25">
      <c r="A4601" s="879"/>
      <c r="B4601" s="1452" t="s">
        <v>1467</v>
      </c>
      <c r="C4601" s="879"/>
    </row>
    <row r="4602" spans="1:3" x14ac:dyDescent="0.25">
      <c r="A4602" s="879"/>
      <c r="B4602" s="1452" t="s">
        <v>2911</v>
      </c>
      <c r="C4602" s="879"/>
    </row>
    <row r="4603" spans="1:3" x14ac:dyDescent="0.25">
      <c r="A4603" s="879"/>
      <c r="B4603" s="1452" t="s">
        <v>1469</v>
      </c>
      <c r="C4603" s="879"/>
    </row>
    <row r="4604" spans="1:3" x14ac:dyDescent="0.25">
      <c r="A4604" s="879"/>
      <c r="B4604" s="1452" t="s">
        <v>2912</v>
      </c>
      <c r="C4604" s="879"/>
    </row>
    <row r="4605" spans="1:3" x14ac:dyDescent="0.25">
      <c r="A4605" s="879"/>
      <c r="B4605" s="1452" t="s">
        <v>2876</v>
      </c>
      <c r="C4605" s="879"/>
    </row>
    <row r="4606" spans="1:3" x14ac:dyDescent="0.25">
      <c r="A4606" s="879"/>
      <c r="B4606" s="1452" t="s">
        <v>2913</v>
      </c>
      <c r="C4606" s="879"/>
    </row>
    <row r="4607" spans="1:3" x14ac:dyDescent="0.25">
      <c r="A4607" s="879"/>
      <c r="B4607" s="1452" t="s">
        <v>2878</v>
      </c>
      <c r="C4607" s="879"/>
    </row>
    <row r="4608" spans="1:3" x14ac:dyDescent="0.25">
      <c r="A4608" s="879"/>
      <c r="B4608" s="1452" t="s">
        <v>2879</v>
      </c>
      <c r="C4608" s="879"/>
    </row>
    <row r="4609" spans="1:3" x14ac:dyDescent="0.25">
      <c r="A4609" s="879"/>
      <c r="B4609" s="1452" t="s">
        <v>1471</v>
      </c>
      <c r="C4609" s="879"/>
    </row>
    <row r="4610" spans="1:3" x14ac:dyDescent="0.25">
      <c r="A4610" s="879"/>
      <c r="B4610" s="1452" t="s">
        <v>2537</v>
      </c>
      <c r="C4610" s="879"/>
    </row>
    <row r="4611" spans="1:3" x14ac:dyDescent="0.25">
      <c r="A4611" s="879"/>
      <c r="B4611" s="1452" t="s">
        <v>2880</v>
      </c>
      <c r="C4611" s="879"/>
    </row>
    <row r="4612" spans="1:3" x14ac:dyDescent="0.25">
      <c r="A4612" s="879"/>
      <c r="B4612" s="1452" t="s">
        <v>1473</v>
      </c>
      <c r="C4612" s="879"/>
    </row>
    <row r="4613" spans="1:3" x14ac:dyDescent="0.25">
      <c r="A4613" s="879"/>
      <c r="B4613" s="1452" t="s">
        <v>2914</v>
      </c>
      <c r="C4613" s="879"/>
    </row>
    <row r="4614" spans="1:3" x14ac:dyDescent="0.25">
      <c r="A4614" s="879"/>
      <c r="B4614" s="1452" t="s">
        <v>2915</v>
      </c>
      <c r="C4614" s="879"/>
    </row>
    <row r="4615" spans="1:3" x14ac:dyDescent="0.25">
      <c r="A4615" s="879"/>
      <c r="B4615" s="1452" t="s">
        <v>2916</v>
      </c>
      <c r="C4615" s="879"/>
    </row>
    <row r="4616" spans="1:3" x14ac:dyDescent="0.25">
      <c r="A4616" s="879"/>
      <c r="B4616" s="1452" t="s">
        <v>2917</v>
      </c>
      <c r="C4616" s="879"/>
    </row>
    <row r="4617" spans="1:3" x14ac:dyDescent="0.25">
      <c r="A4617" s="879"/>
      <c r="B4617" s="1452" t="s">
        <v>1476</v>
      </c>
      <c r="C4617" s="879"/>
    </row>
    <row r="4618" spans="1:3" x14ac:dyDescent="0.25">
      <c r="A4618" s="879"/>
      <c r="B4618" s="1452" t="s">
        <v>1477</v>
      </c>
      <c r="C4618" s="879"/>
    </row>
    <row r="4619" spans="1:3" x14ac:dyDescent="0.25">
      <c r="A4619" s="879"/>
      <c r="B4619" s="1452" t="s">
        <v>1478</v>
      </c>
      <c r="C4619" s="879"/>
    </row>
    <row r="4620" spans="1:3" x14ac:dyDescent="0.25">
      <c r="A4620" s="879"/>
      <c r="B4620" s="1452" t="s">
        <v>2918</v>
      </c>
      <c r="C4620" s="879"/>
    </row>
    <row r="4621" spans="1:3" x14ac:dyDescent="0.25">
      <c r="A4621" s="879"/>
      <c r="B4621" s="1452" t="s">
        <v>2886</v>
      </c>
      <c r="C4621" s="879"/>
    </row>
    <row r="4622" spans="1:3" x14ac:dyDescent="0.25">
      <c r="A4622" s="879"/>
      <c r="B4622" s="1452" t="s">
        <v>1479</v>
      </c>
      <c r="C4622" s="879"/>
    </row>
    <row r="4623" spans="1:3" x14ac:dyDescent="0.25">
      <c r="A4623" s="879"/>
      <c r="B4623" s="1452" t="s">
        <v>1480</v>
      </c>
      <c r="C4623" s="879"/>
    </row>
    <row r="4624" spans="1:3" x14ac:dyDescent="0.25">
      <c r="A4624" s="879"/>
      <c r="B4624" s="1452" t="s">
        <v>2919</v>
      </c>
      <c r="C4624" s="879"/>
    </row>
    <row r="4625" spans="1:3" x14ac:dyDescent="0.25">
      <c r="A4625" s="879"/>
      <c r="B4625" s="1452" t="s">
        <v>2920</v>
      </c>
      <c r="C4625" s="879"/>
    </row>
    <row r="4626" spans="1:3" x14ac:dyDescent="0.25">
      <c r="A4626" s="879"/>
      <c r="B4626" s="1452" t="s">
        <v>2921</v>
      </c>
      <c r="C4626" s="879"/>
    </row>
    <row r="4627" spans="1:3" x14ac:dyDescent="0.25">
      <c r="A4627" s="879"/>
      <c r="B4627" s="1452" t="s">
        <v>2922</v>
      </c>
      <c r="C4627" s="879"/>
    </row>
    <row r="4628" spans="1:3" x14ac:dyDescent="0.25">
      <c r="A4628" s="879"/>
      <c r="B4628" s="1452" t="s">
        <v>2923</v>
      </c>
      <c r="C4628" s="879"/>
    </row>
    <row r="4629" spans="1:3" x14ac:dyDescent="0.25">
      <c r="A4629" s="879"/>
      <c r="B4629" s="1452" t="s">
        <v>2924</v>
      </c>
      <c r="C4629" s="879"/>
    </row>
    <row r="4630" spans="1:3" x14ac:dyDescent="0.25">
      <c r="A4630" s="879"/>
      <c r="B4630" s="1452" t="s">
        <v>2925</v>
      </c>
      <c r="C4630" s="879"/>
    </row>
    <row r="4631" spans="1:3" x14ac:dyDescent="0.25">
      <c r="A4631" s="879"/>
      <c r="B4631" s="1452" t="s">
        <v>2926</v>
      </c>
      <c r="C4631" s="879"/>
    </row>
    <row r="4632" spans="1:3" x14ac:dyDescent="0.25">
      <c r="A4632" s="879"/>
      <c r="B4632" s="1452" t="s">
        <v>2927</v>
      </c>
      <c r="C4632" s="879"/>
    </row>
    <row r="4633" spans="1:3" x14ac:dyDescent="0.25">
      <c r="A4633" s="879"/>
      <c r="B4633" s="1452" t="s">
        <v>1481</v>
      </c>
      <c r="C4633" s="879"/>
    </row>
    <row r="4634" spans="1:3" x14ac:dyDescent="0.25">
      <c r="A4634" s="879"/>
      <c r="B4634" s="1452" t="s">
        <v>1482</v>
      </c>
      <c r="C4634" s="879"/>
    </row>
    <row r="4635" spans="1:3" x14ac:dyDescent="0.25">
      <c r="A4635" s="879"/>
      <c r="B4635" s="1452" t="s">
        <v>1483</v>
      </c>
      <c r="C4635" s="879"/>
    </row>
    <row r="4636" spans="1:3" x14ac:dyDescent="0.25">
      <c r="A4636" s="879"/>
      <c r="B4636" s="1452" t="s">
        <v>2928</v>
      </c>
      <c r="C4636" s="879"/>
    </row>
    <row r="4637" spans="1:3" x14ac:dyDescent="0.25">
      <c r="A4637" s="879"/>
      <c r="B4637" s="1452" t="s">
        <v>1430</v>
      </c>
      <c r="C4637" s="879"/>
    </row>
    <row r="4638" spans="1:3" x14ac:dyDescent="0.25">
      <c r="A4638" s="879"/>
      <c r="B4638" s="1452" t="s">
        <v>1367</v>
      </c>
      <c r="C4638" s="879"/>
    </row>
    <row r="4639" spans="1:3" x14ac:dyDescent="0.25">
      <c r="A4639" s="879"/>
      <c r="B4639" s="1452" t="s">
        <v>1449</v>
      </c>
      <c r="C4639" s="879"/>
    </row>
    <row r="4640" spans="1:3" x14ac:dyDescent="0.25">
      <c r="A4640" s="879"/>
      <c r="B4640" s="1452" t="s">
        <v>1367</v>
      </c>
      <c r="C4640" s="879"/>
    </row>
    <row r="4641" spans="1:3" x14ac:dyDescent="0.25">
      <c r="A4641" s="879"/>
      <c r="B4641" s="1452" t="s">
        <v>1450</v>
      </c>
      <c r="C4641" s="879"/>
    </row>
    <row r="4642" spans="1:3" x14ac:dyDescent="0.25">
      <c r="A4642" s="879"/>
      <c r="B4642" s="1452" t="s">
        <v>1451</v>
      </c>
      <c r="C4642" s="879"/>
    </row>
    <row r="4643" spans="1:3" x14ac:dyDescent="0.25">
      <c r="A4643" s="879"/>
      <c r="B4643" s="1452" t="s">
        <v>2847</v>
      </c>
      <c r="C4643" s="879"/>
    </row>
    <row r="4644" spans="1:3" x14ac:dyDescent="0.25">
      <c r="A4644" s="879"/>
      <c r="B4644" s="1452" t="s">
        <v>1892</v>
      </c>
      <c r="C4644" s="879"/>
    </row>
    <row r="4645" spans="1:3" x14ac:dyDescent="0.25">
      <c r="A4645" s="879"/>
      <c r="B4645" s="1452" t="s">
        <v>1682</v>
      </c>
      <c r="C4645" s="879"/>
    </row>
    <row r="4646" spans="1:3" x14ac:dyDescent="0.25">
      <c r="A4646" s="879"/>
      <c r="B4646" s="1452" t="s">
        <v>1517</v>
      </c>
      <c r="C4646" s="879"/>
    </row>
    <row r="4647" spans="1:3" x14ac:dyDescent="0.25">
      <c r="A4647" s="879"/>
      <c r="B4647" s="1452" t="s">
        <v>1684</v>
      </c>
      <c r="C4647" s="879"/>
    </row>
    <row r="4648" spans="1:3" x14ac:dyDescent="0.25">
      <c r="A4648" s="879"/>
      <c r="B4648" s="1452" t="s">
        <v>2848</v>
      </c>
      <c r="C4648" s="879"/>
    </row>
    <row r="4649" spans="1:3" x14ac:dyDescent="0.25">
      <c r="A4649" s="879"/>
      <c r="B4649" s="1452" t="s">
        <v>2849</v>
      </c>
      <c r="C4649" s="879"/>
    </row>
    <row r="4650" spans="1:3" x14ac:dyDescent="0.25">
      <c r="A4650" s="879"/>
      <c r="B4650" s="1452" t="s">
        <v>1685</v>
      </c>
      <c r="C4650" s="879"/>
    </row>
    <row r="4651" spans="1:3" x14ac:dyDescent="0.25">
      <c r="A4651" s="879"/>
      <c r="B4651" s="1452" t="s">
        <v>1686</v>
      </c>
      <c r="C4651" s="879"/>
    </row>
    <row r="4652" spans="1:3" x14ac:dyDescent="0.25">
      <c r="A4652" s="879"/>
      <c r="B4652" s="1452" t="s">
        <v>2850</v>
      </c>
      <c r="C4652" s="879"/>
    </row>
    <row r="4653" spans="1:3" x14ac:dyDescent="0.25">
      <c r="A4653" s="879"/>
      <c r="B4653" s="1452" t="s">
        <v>2851</v>
      </c>
      <c r="C4653" s="879"/>
    </row>
    <row r="4654" spans="1:3" x14ac:dyDescent="0.25">
      <c r="A4654" s="879"/>
      <c r="B4654" s="1452" t="s">
        <v>1455</v>
      </c>
      <c r="C4654" s="879"/>
    </row>
    <row r="4655" spans="1:3" x14ac:dyDescent="0.25">
      <c r="A4655" s="879"/>
      <c r="B4655" s="1452" t="s">
        <v>2852</v>
      </c>
      <c r="C4655" s="879"/>
    </row>
    <row r="4656" spans="1:3" x14ac:dyDescent="0.25">
      <c r="A4656" s="879"/>
      <c r="B4656" s="1452" t="s">
        <v>1688</v>
      </c>
      <c r="C4656" s="879"/>
    </row>
    <row r="4657" spans="1:3" x14ac:dyDescent="0.25">
      <c r="A4657" s="879"/>
      <c r="B4657" s="1452" t="s">
        <v>2853</v>
      </c>
      <c r="C4657" s="879"/>
    </row>
    <row r="4658" spans="1:3" x14ac:dyDescent="0.25">
      <c r="A4658" s="879"/>
      <c r="B4658" s="1452" t="s">
        <v>1456</v>
      </c>
      <c r="C4658" s="879"/>
    </row>
    <row r="4659" spans="1:3" x14ac:dyDescent="0.25">
      <c r="A4659" s="879"/>
      <c r="B4659" s="1452" t="s">
        <v>1367</v>
      </c>
      <c r="C4659" s="879"/>
    </row>
    <row r="4660" spans="1:3" x14ac:dyDescent="0.25">
      <c r="A4660" s="879"/>
      <c r="B4660" s="1452" t="s">
        <v>1450</v>
      </c>
      <c r="C4660" s="879"/>
    </row>
    <row r="4661" spans="1:3" x14ac:dyDescent="0.25">
      <c r="A4661" s="879"/>
      <c r="B4661" s="1452" t="s">
        <v>1451</v>
      </c>
      <c r="C4661" s="879"/>
    </row>
    <row r="4662" spans="1:3" x14ac:dyDescent="0.25">
      <c r="A4662" s="879"/>
      <c r="B4662" s="1452" t="s">
        <v>2847</v>
      </c>
      <c r="C4662" s="879"/>
    </row>
    <row r="4663" spans="1:3" x14ac:dyDescent="0.25">
      <c r="A4663" s="879"/>
      <c r="B4663" s="1452" t="s">
        <v>1892</v>
      </c>
      <c r="C4663" s="879"/>
    </row>
    <row r="4664" spans="1:3" x14ac:dyDescent="0.25">
      <c r="A4664" s="879"/>
      <c r="B4664" s="1452" t="s">
        <v>1682</v>
      </c>
      <c r="C4664" s="879"/>
    </row>
    <row r="4665" spans="1:3" x14ac:dyDescent="0.25">
      <c r="A4665" s="879"/>
      <c r="B4665" s="1452" t="s">
        <v>1517</v>
      </c>
      <c r="C4665" s="879"/>
    </row>
    <row r="4666" spans="1:3" x14ac:dyDescent="0.25">
      <c r="A4666" s="879"/>
      <c r="B4666" s="1452" t="s">
        <v>1684</v>
      </c>
      <c r="C4666" s="879"/>
    </row>
    <row r="4667" spans="1:3" x14ac:dyDescent="0.25">
      <c r="A4667" s="879"/>
      <c r="B4667" s="1452" t="s">
        <v>2848</v>
      </c>
      <c r="C4667" s="879"/>
    </row>
    <row r="4668" spans="1:3" x14ac:dyDescent="0.25">
      <c r="A4668" s="879"/>
      <c r="B4668" s="1452" t="s">
        <v>2849</v>
      </c>
      <c r="C4668" s="879"/>
    </row>
    <row r="4669" spans="1:3" x14ac:dyDescent="0.25">
      <c r="A4669" s="879"/>
      <c r="B4669" s="1452" t="s">
        <v>1685</v>
      </c>
      <c r="C4669" s="879"/>
    </row>
    <row r="4670" spans="1:3" x14ac:dyDescent="0.25">
      <c r="A4670" s="879"/>
      <c r="B4670" s="1452" t="s">
        <v>1686</v>
      </c>
      <c r="C4670" s="879"/>
    </row>
    <row r="4671" spans="1:3" x14ac:dyDescent="0.25">
      <c r="A4671" s="879"/>
      <c r="B4671" s="1452" t="s">
        <v>2850</v>
      </c>
      <c r="C4671" s="879"/>
    </row>
    <row r="4672" spans="1:3" x14ac:dyDescent="0.25">
      <c r="A4672" s="879"/>
      <c r="B4672" s="1452" t="s">
        <v>2851</v>
      </c>
      <c r="C4672" s="879"/>
    </row>
    <row r="4673" spans="1:3" x14ac:dyDescent="0.25">
      <c r="A4673" s="879"/>
      <c r="B4673" s="1452" t="s">
        <v>1455</v>
      </c>
      <c r="C4673" s="879"/>
    </row>
    <row r="4674" spans="1:3" x14ac:dyDescent="0.25">
      <c r="A4674" s="879"/>
      <c r="B4674" s="1452" t="s">
        <v>2852</v>
      </c>
      <c r="C4674" s="879"/>
    </row>
    <row r="4675" spans="1:3" x14ac:dyDescent="0.25">
      <c r="A4675" s="879"/>
      <c r="B4675" s="1452" t="s">
        <v>1688</v>
      </c>
      <c r="C4675" s="879"/>
    </row>
    <row r="4676" spans="1:3" x14ac:dyDescent="0.25">
      <c r="A4676" s="879"/>
      <c r="B4676" s="1452" t="s">
        <v>2853</v>
      </c>
      <c r="C4676" s="879"/>
    </row>
    <row r="4677" spans="1:3" x14ac:dyDescent="0.25">
      <c r="A4677" s="879"/>
      <c r="B4677" s="1452" t="s">
        <v>1690</v>
      </c>
      <c r="C4677" s="879"/>
    </row>
    <row r="4678" spans="1:3" x14ac:dyDescent="0.25">
      <c r="A4678" s="879"/>
      <c r="B4678" s="1452" t="s">
        <v>1367</v>
      </c>
      <c r="C4678" s="879"/>
    </row>
    <row r="4679" spans="1:3" x14ac:dyDescent="0.25">
      <c r="A4679" s="879"/>
      <c r="B4679" s="1452" t="s">
        <v>1691</v>
      </c>
      <c r="C4679" s="879"/>
    </row>
    <row r="4680" spans="1:3" x14ac:dyDescent="0.25">
      <c r="A4680" s="879"/>
      <c r="B4680" s="1452" t="s">
        <v>1692</v>
      </c>
      <c r="C4680" s="879"/>
    </row>
    <row r="4681" spans="1:3" x14ac:dyDescent="0.25">
      <c r="A4681" s="879"/>
      <c r="B4681" s="1452" t="s">
        <v>1693</v>
      </c>
      <c r="C4681" s="879"/>
    </row>
    <row r="4682" spans="1:3" x14ac:dyDescent="0.25">
      <c r="A4682" s="879"/>
      <c r="B4682" s="1452" t="s">
        <v>1694</v>
      </c>
      <c r="C4682" s="879"/>
    </row>
    <row r="4683" spans="1:3" x14ac:dyDescent="0.25">
      <c r="A4683" s="879"/>
      <c r="B4683" s="1452" t="s">
        <v>1695</v>
      </c>
      <c r="C4683" s="879"/>
    </row>
    <row r="4684" spans="1:3" x14ac:dyDescent="0.25">
      <c r="A4684" s="879"/>
      <c r="B4684" s="1452" t="s">
        <v>1696</v>
      </c>
      <c r="C4684" s="879"/>
    </row>
    <row r="4685" spans="1:3" x14ac:dyDescent="0.25">
      <c r="A4685" s="879"/>
      <c r="B4685" s="1452" t="s">
        <v>1697</v>
      </c>
      <c r="C4685" s="879"/>
    </row>
    <row r="4686" spans="1:3" x14ac:dyDescent="0.25">
      <c r="A4686" s="879"/>
      <c r="B4686" s="1452" t="s">
        <v>1698</v>
      </c>
      <c r="C4686" s="879"/>
    </row>
    <row r="4687" spans="1:3" x14ac:dyDescent="0.25">
      <c r="A4687" s="879"/>
      <c r="B4687" s="1452" t="s">
        <v>1699</v>
      </c>
      <c r="C4687" s="879"/>
    </row>
    <row r="4688" spans="1:3" x14ac:dyDescent="0.25">
      <c r="A4688" s="879"/>
      <c r="B4688" s="1452" t="s">
        <v>1700</v>
      </c>
      <c r="C4688" s="879"/>
    </row>
    <row r="4689" spans="1:3" x14ac:dyDescent="0.25">
      <c r="A4689" s="879"/>
      <c r="B4689" s="1452" t="s">
        <v>1701</v>
      </c>
      <c r="C4689" s="879"/>
    </row>
    <row r="4690" spans="1:3" x14ac:dyDescent="0.25">
      <c r="A4690" s="879"/>
      <c r="B4690" s="1452" t="s">
        <v>1702</v>
      </c>
      <c r="C4690" s="879"/>
    </row>
    <row r="4691" spans="1:3" x14ac:dyDescent="0.25">
      <c r="A4691" s="879"/>
      <c r="B4691" s="1452" t="s">
        <v>1703</v>
      </c>
      <c r="C4691" s="879"/>
    </row>
    <row r="4692" spans="1:3" x14ac:dyDescent="0.25">
      <c r="A4692" s="879"/>
      <c r="B4692" s="1452" t="s">
        <v>1704</v>
      </c>
      <c r="C4692" s="879"/>
    </row>
    <row r="4693" spans="1:3" x14ac:dyDescent="0.25">
      <c r="A4693" s="879"/>
      <c r="B4693" s="1452" t="s">
        <v>1705</v>
      </c>
      <c r="C4693" s="879"/>
    </row>
    <row r="4694" spans="1:3" x14ac:dyDescent="0.25">
      <c r="A4694" s="879"/>
      <c r="B4694" s="1452"/>
      <c r="C4694" s="879"/>
    </row>
    <row r="4695" spans="1:3" x14ac:dyDescent="0.25">
      <c r="A4695" s="879"/>
      <c r="B4695" s="1452"/>
      <c r="C4695" s="879"/>
    </row>
    <row r="4696" spans="1:3" x14ac:dyDescent="0.25">
      <c r="A4696" s="879"/>
      <c r="B4696" s="1452" t="s">
        <v>1368</v>
      </c>
      <c r="C4696" s="879"/>
    </row>
    <row r="4697" spans="1:3" x14ac:dyDescent="0.25">
      <c r="A4697" s="879"/>
      <c r="B4697" s="1452" t="s">
        <v>2929</v>
      </c>
      <c r="C4697" s="879"/>
    </row>
    <row r="4698" spans="1:3" x14ac:dyDescent="0.25">
      <c r="A4698" s="879"/>
      <c r="B4698" s="1452" t="s">
        <v>1368</v>
      </c>
      <c r="C4698" s="879"/>
    </row>
    <row r="4699" spans="1:3" x14ac:dyDescent="0.25">
      <c r="A4699" s="879"/>
      <c r="B4699" s="1452" t="s">
        <v>2930</v>
      </c>
      <c r="C4699" s="879"/>
    </row>
    <row r="4700" spans="1:3" x14ac:dyDescent="0.25">
      <c r="A4700" s="879"/>
      <c r="B4700" s="1452" t="s">
        <v>1367</v>
      </c>
      <c r="C4700" s="879"/>
    </row>
    <row r="4701" spans="1:3" x14ac:dyDescent="0.25">
      <c r="A4701" s="879"/>
      <c r="B4701" s="1452" t="s">
        <v>1369</v>
      </c>
      <c r="C4701" s="879"/>
    </row>
    <row r="4702" spans="1:3" x14ac:dyDescent="0.25">
      <c r="A4702" s="879"/>
      <c r="B4702" s="1452" t="s">
        <v>1370</v>
      </c>
      <c r="C4702" s="879"/>
    </row>
    <row r="4703" spans="1:3" x14ac:dyDescent="0.25">
      <c r="A4703" s="879"/>
      <c r="B4703" s="1452" t="s">
        <v>1367</v>
      </c>
      <c r="C4703" s="879"/>
    </row>
    <row r="4704" spans="1:3" x14ac:dyDescent="0.25">
      <c r="A4704" s="879"/>
      <c r="B4704" s="1452" t="s">
        <v>1460</v>
      </c>
      <c r="C4704" s="879"/>
    </row>
    <row r="4705" spans="1:3" x14ac:dyDescent="0.25">
      <c r="A4705" s="879"/>
      <c r="B4705" s="1452" t="s">
        <v>1461</v>
      </c>
      <c r="C4705" s="879"/>
    </row>
    <row r="4706" spans="1:3" x14ac:dyDescent="0.25">
      <c r="A4706" s="879"/>
      <c r="B4706" s="1452" t="s">
        <v>1510</v>
      </c>
      <c r="C4706" s="879"/>
    </row>
    <row r="4707" spans="1:3" x14ac:dyDescent="0.25">
      <c r="A4707" s="879"/>
      <c r="B4707" s="1452" t="s">
        <v>1650</v>
      </c>
      <c r="C4707" s="879"/>
    </row>
    <row r="4708" spans="1:3" x14ac:dyDescent="0.25">
      <c r="A4708" s="879"/>
      <c r="B4708" s="1452" t="s">
        <v>2165</v>
      </c>
      <c r="C4708" s="879"/>
    </row>
    <row r="4709" spans="1:3" x14ac:dyDescent="0.25">
      <c r="A4709" s="879"/>
      <c r="B4709" s="1452" t="s">
        <v>2166</v>
      </c>
      <c r="C4709" s="879"/>
    </row>
    <row r="4710" spans="1:3" x14ac:dyDescent="0.25">
      <c r="A4710" s="879"/>
      <c r="B4710" s="1452" t="s">
        <v>2167</v>
      </c>
      <c r="C4710" s="879"/>
    </row>
    <row r="4711" spans="1:3" x14ac:dyDescent="0.25">
      <c r="A4711" s="879"/>
      <c r="B4711" s="1452" t="s">
        <v>1654</v>
      </c>
      <c r="C4711" s="879"/>
    </row>
    <row r="4712" spans="1:3" x14ac:dyDescent="0.25">
      <c r="A4712" s="879"/>
      <c r="B4712" s="1452" t="s">
        <v>1655</v>
      </c>
      <c r="C4712" s="879"/>
    </row>
    <row r="4713" spans="1:3" x14ac:dyDescent="0.25">
      <c r="A4713" s="879"/>
      <c r="B4713" s="1452" t="s">
        <v>2931</v>
      </c>
      <c r="C4713" s="879"/>
    </row>
    <row r="4714" spans="1:3" x14ac:dyDescent="0.25">
      <c r="A4714" s="879"/>
      <c r="B4714" s="1452" t="s">
        <v>1462</v>
      </c>
      <c r="C4714" s="879"/>
    </row>
    <row r="4715" spans="1:3" x14ac:dyDescent="0.25">
      <c r="A4715" s="879"/>
      <c r="B4715" s="1452" t="s">
        <v>1382</v>
      </c>
      <c r="C4715" s="879"/>
    </row>
    <row r="4716" spans="1:3" x14ac:dyDescent="0.25">
      <c r="A4716" s="879"/>
      <c r="B4716" s="1452" t="s">
        <v>1367</v>
      </c>
      <c r="C4716" s="879"/>
    </row>
    <row r="4717" spans="1:3" x14ac:dyDescent="0.25">
      <c r="A4717" s="879"/>
      <c r="B4717" s="1452" t="s">
        <v>1460</v>
      </c>
      <c r="C4717" s="879"/>
    </row>
    <row r="4718" spans="1:3" x14ac:dyDescent="0.25">
      <c r="A4718" s="879"/>
      <c r="B4718" s="1452" t="s">
        <v>1463</v>
      </c>
      <c r="C4718" s="879"/>
    </row>
    <row r="4719" spans="1:3" x14ac:dyDescent="0.25">
      <c r="A4719" s="879"/>
      <c r="B4719" s="1452" t="s">
        <v>1657</v>
      </c>
      <c r="C4719" s="879"/>
    </row>
    <row r="4720" spans="1:3" x14ac:dyDescent="0.25">
      <c r="A4720" s="879"/>
      <c r="B4720" s="1452" t="s">
        <v>1658</v>
      </c>
      <c r="C4720" s="879"/>
    </row>
    <row r="4721" spans="1:3" x14ac:dyDescent="0.25">
      <c r="A4721" s="879"/>
      <c r="B4721" s="1452" t="s">
        <v>2932</v>
      </c>
      <c r="C4721" s="879"/>
    </row>
    <row r="4722" spans="1:3" x14ac:dyDescent="0.25">
      <c r="A4722" s="879"/>
      <c r="B4722" s="1452" t="s">
        <v>1660</v>
      </c>
      <c r="C4722" s="879"/>
    </row>
    <row r="4723" spans="1:3" x14ac:dyDescent="0.25">
      <c r="A4723" s="879"/>
      <c r="B4723" s="1452" t="s">
        <v>1661</v>
      </c>
      <c r="C4723" s="879"/>
    </row>
    <row r="4724" spans="1:3" x14ac:dyDescent="0.25">
      <c r="A4724" s="879"/>
      <c r="B4724" s="1452" t="s">
        <v>1662</v>
      </c>
      <c r="C4724" s="879"/>
    </row>
    <row r="4725" spans="1:3" x14ac:dyDescent="0.25">
      <c r="A4725" s="879"/>
      <c r="B4725" s="1452" t="s">
        <v>1663</v>
      </c>
      <c r="C4725" s="879"/>
    </row>
    <row r="4726" spans="1:3" x14ac:dyDescent="0.25">
      <c r="A4726" s="879"/>
      <c r="B4726" s="1452" t="s">
        <v>1464</v>
      </c>
      <c r="C4726" s="879"/>
    </row>
    <row r="4727" spans="1:3" x14ac:dyDescent="0.25">
      <c r="A4727" s="879"/>
      <c r="B4727" s="1452" t="s">
        <v>1465</v>
      </c>
      <c r="C4727" s="879"/>
    </row>
    <row r="4728" spans="1:3" x14ac:dyDescent="0.25">
      <c r="A4728" s="879"/>
      <c r="B4728" s="1452" t="s">
        <v>1466</v>
      </c>
      <c r="C4728" s="879"/>
    </row>
    <row r="4729" spans="1:3" x14ac:dyDescent="0.25">
      <c r="A4729" s="879"/>
      <c r="B4729" s="1452" t="s">
        <v>1467</v>
      </c>
      <c r="C4729" s="879"/>
    </row>
    <row r="4730" spans="1:3" x14ac:dyDescent="0.25">
      <c r="A4730" s="879"/>
      <c r="B4730" s="1452" t="s">
        <v>1468</v>
      </c>
      <c r="C4730" s="879"/>
    </row>
    <row r="4731" spans="1:3" x14ac:dyDescent="0.25">
      <c r="A4731" s="879"/>
      <c r="B4731" s="1452" t="s">
        <v>1469</v>
      </c>
      <c r="C4731" s="879"/>
    </row>
    <row r="4732" spans="1:3" x14ac:dyDescent="0.25">
      <c r="A4732" s="879"/>
      <c r="B4732" s="1452" t="s">
        <v>2933</v>
      </c>
      <c r="C4732" s="879"/>
    </row>
    <row r="4733" spans="1:3" x14ac:dyDescent="0.25">
      <c r="A4733" s="879"/>
      <c r="B4733" s="1452" t="s">
        <v>1470</v>
      </c>
      <c r="C4733" s="879"/>
    </row>
    <row r="4734" spans="1:3" x14ac:dyDescent="0.25">
      <c r="A4734" s="879"/>
      <c r="B4734" s="1452" t="s">
        <v>1665</v>
      </c>
      <c r="C4734" s="879"/>
    </row>
    <row r="4735" spans="1:3" x14ac:dyDescent="0.25">
      <c r="A4735" s="879"/>
      <c r="B4735" s="1452" t="s">
        <v>2179</v>
      </c>
      <c r="C4735" s="879"/>
    </row>
    <row r="4736" spans="1:3" x14ac:dyDescent="0.25">
      <c r="A4736" s="879"/>
      <c r="B4736" s="1452" t="s">
        <v>1667</v>
      </c>
      <c r="C4736" s="879"/>
    </row>
    <row r="4737" spans="1:3" x14ac:dyDescent="0.25">
      <c r="A4737" s="879"/>
      <c r="B4737" s="1452" t="s">
        <v>1471</v>
      </c>
      <c r="C4737" s="879"/>
    </row>
    <row r="4738" spans="1:3" x14ac:dyDescent="0.25">
      <c r="A4738" s="879"/>
      <c r="B4738" s="1452" t="s">
        <v>1578</v>
      </c>
      <c r="C4738" s="879"/>
    </row>
    <row r="4739" spans="1:3" x14ac:dyDescent="0.25">
      <c r="A4739" s="879"/>
      <c r="B4739" s="1452" t="s">
        <v>1668</v>
      </c>
      <c r="C4739" s="879"/>
    </row>
    <row r="4740" spans="1:3" x14ac:dyDescent="0.25">
      <c r="A4740" s="879"/>
      <c r="B4740" s="1452" t="s">
        <v>1473</v>
      </c>
      <c r="C4740" s="879"/>
    </row>
    <row r="4741" spans="1:3" x14ac:dyDescent="0.25">
      <c r="A4741" s="879"/>
      <c r="B4741" s="1452" t="s">
        <v>1474</v>
      </c>
      <c r="C4741" s="879"/>
    </row>
    <row r="4742" spans="1:3" x14ac:dyDescent="0.25">
      <c r="A4742" s="879"/>
      <c r="B4742" s="1452" t="s">
        <v>1475</v>
      </c>
      <c r="C4742" s="879"/>
    </row>
    <row r="4743" spans="1:3" x14ac:dyDescent="0.25">
      <c r="A4743" s="879"/>
      <c r="B4743" s="1452" t="s">
        <v>1669</v>
      </c>
      <c r="C4743" s="879"/>
    </row>
    <row r="4744" spans="1:3" x14ac:dyDescent="0.25">
      <c r="A4744" s="879"/>
      <c r="B4744" s="1452" t="s">
        <v>1670</v>
      </c>
      <c r="C4744" s="879"/>
    </row>
    <row r="4745" spans="1:3" x14ac:dyDescent="0.25">
      <c r="A4745" s="879"/>
      <c r="B4745" s="1452" t="s">
        <v>1476</v>
      </c>
      <c r="C4745" s="879"/>
    </row>
    <row r="4746" spans="1:3" x14ac:dyDescent="0.25">
      <c r="A4746" s="879"/>
      <c r="B4746" s="1452" t="s">
        <v>1477</v>
      </c>
      <c r="C4746" s="879"/>
    </row>
    <row r="4747" spans="1:3" x14ac:dyDescent="0.25">
      <c r="A4747" s="879"/>
      <c r="B4747" s="1452" t="s">
        <v>1478</v>
      </c>
      <c r="C4747" s="879"/>
    </row>
    <row r="4748" spans="1:3" x14ac:dyDescent="0.25">
      <c r="A4748" s="879"/>
      <c r="B4748" s="1452" t="s">
        <v>1671</v>
      </c>
      <c r="C4748" s="879"/>
    </row>
    <row r="4749" spans="1:3" x14ac:dyDescent="0.25">
      <c r="A4749" s="879"/>
      <c r="B4749" s="1452" t="s">
        <v>1672</v>
      </c>
      <c r="C4749" s="879"/>
    </row>
    <row r="4750" spans="1:3" x14ac:dyDescent="0.25">
      <c r="A4750" s="879"/>
      <c r="B4750" s="1452" t="s">
        <v>1479</v>
      </c>
      <c r="C4750" s="879"/>
    </row>
    <row r="4751" spans="1:3" x14ac:dyDescent="0.25">
      <c r="A4751" s="879"/>
      <c r="B4751" s="1452" t="s">
        <v>1480</v>
      </c>
      <c r="C4751" s="879"/>
    </row>
    <row r="4752" spans="1:3" x14ac:dyDescent="0.25">
      <c r="A4752" s="879"/>
      <c r="B4752" s="1452" t="s">
        <v>1673</v>
      </c>
      <c r="C4752" s="879"/>
    </row>
    <row r="4753" spans="1:3" x14ac:dyDescent="0.25">
      <c r="A4753" s="879"/>
      <c r="B4753" s="1452" t="s">
        <v>1579</v>
      </c>
      <c r="C4753" s="879"/>
    </row>
    <row r="4754" spans="1:3" x14ac:dyDescent="0.25">
      <c r="A4754" s="879"/>
      <c r="B4754" s="1452" t="s">
        <v>1674</v>
      </c>
      <c r="C4754" s="879"/>
    </row>
    <row r="4755" spans="1:3" x14ac:dyDescent="0.25">
      <c r="A4755" s="879"/>
      <c r="B4755" s="1452" t="s">
        <v>1675</v>
      </c>
      <c r="C4755" s="879"/>
    </row>
    <row r="4756" spans="1:3" x14ac:dyDescent="0.25">
      <c r="A4756" s="879"/>
      <c r="B4756" s="1452" t="s">
        <v>1676</v>
      </c>
      <c r="C4756" s="879"/>
    </row>
    <row r="4757" spans="1:3" x14ac:dyDescent="0.25">
      <c r="A4757" s="879"/>
      <c r="B4757" s="1452" t="s">
        <v>1677</v>
      </c>
      <c r="C4757" s="879"/>
    </row>
    <row r="4758" spans="1:3" x14ac:dyDescent="0.25">
      <c r="A4758" s="879"/>
      <c r="B4758" s="1452" t="s">
        <v>1678</v>
      </c>
      <c r="C4758" s="879"/>
    </row>
    <row r="4759" spans="1:3" x14ac:dyDescent="0.25">
      <c r="A4759" s="879"/>
      <c r="B4759" s="1452" t="s">
        <v>1679</v>
      </c>
      <c r="C4759" s="879"/>
    </row>
    <row r="4760" spans="1:3" x14ac:dyDescent="0.25">
      <c r="A4760" s="879"/>
      <c r="B4760" s="1452" t="s">
        <v>1680</v>
      </c>
      <c r="C4760" s="879"/>
    </row>
    <row r="4761" spans="1:3" x14ac:dyDescent="0.25">
      <c r="A4761" s="879"/>
      <c r="B4761" s="1452" t="s">
        <v>1481</v>
      </c>
      <c r="C4761" s="879"/>
    </row>
    <row r="4762" spans="1:3" x14ac:dyDescent="0.25">
      <c r="A4762" s="879"/>
      <c r="B4762" s="1452" t="s">
        <v>1482</v>
      </c>
      <c r="C4762" s="879"/>
    </row>
    <row r="4763" spans="1:3" x14ac:dyDescent="0.25">
      <c r="A4763" s="879"/>
      <c r="B4763" s="1452" t="s">
        <v>1483</v>
      </c>
      <c r="C4763" s="879"/>
    </row>
    <row r="4764" spans="1:3" x14ac:dyDescent="0.25">
      <c r="A4764" s="879"/>
      <c r="B4764" s="1452" t="s">
        <v>1484</v>
      </c>
      <c r="C4764" s="879"/>
    </row>
    <row r="4765" spans="1:3" x14ac:dyDescent="0.25">
      <c r="A4765" s="879"/>
      <c r="B4765" s="1452" t="s">
        <v>1430</v>
      </c>
      <c r="C4765" s="879"/>
    </row>
    <row r="4766" spans="1:3" x14ac:dyDescent="0.25">
      <c r="A4766" s="879"/>
      <c r="B4766" s="1452" t="s">
        <v>1367</v>
      </c>
      <c r="C4766" s="879"/>
    </row>
    <row r="4767" spans="1:3" x14ac:dyDescent="0.25">
      <c r="A4767" s="879"/>
      <c r="B4767" s="1452" t="s">
        <v>1449</v>
      </c>
      <c r="C4767" s="879"/>
    </row>
    <row r="4768" spans="1:3" x14ac:dyDescent="0.25">
      <c r="A4768" s="879"/>
      <c r="B4768" s="1452" t="s">
        <v>1367</v>
      </c>
      <c r="C4768" s="879"/>
    </row>
    <row r="4769" spans="1:3" x14ac:dyDescent="0.25">
      <c r="A4769" s="879"/>
      <c r="B4769" s="1452" t="s">
        <v>1450</v>
      </c>
      <c r="C4769" s="879"/>
    </row>
    <row r="4770" spans="1:3" x14ac:dyDescent="0.25">
      <c r="A4770" s="879"/>
      <c r="B4770" s="1452" t="s">
        <v>1451</v>
      </c>
      <c r="C4770" s="879"/>
    </row>
    <row r="4771" spans="1:3" x14ac:dyDescent="0.25">
      <c r="A4771" s="879"/>
      <c r="B4771" s="1452" t="s">
        <v>1452</v>
      </c>
      <c r="C4771" s="879"/>
    </row>
    <row r="4772" spans="1:3" x14ac:dyDescent="0.25">
      <c r="A4772" s="879"/>
      <c r="B4772" s="1452" t="s">
        <v>1681</v>
      </c>
      <c r="C4772" s="879"/>
    </row>
    <row r="4773" spans="1:3" x14ac:dyDescent="0.25">
      <c r="A4773" s="879"/>
      <c r="B4773" s="1452" t="s">
        <v>1682</v>
      </c>
      <c r="C4773" s="879"/>
    </row>
    <row r="4774" spans="1:3" x14ac:dyDescent="0.25">
      <c r="A4774" s="879"/>
      <c r="B4774" s="1452" t="s">
        <v>2193</v>
      </c>
      <c r="C4774" s="879"/>
    </row>
    <row r="4775" spans="1:3" x14ac:dyDescent="0.25">
      <c r="A4775" s="879"/>
      <c r="B4775" s="1452" t="s">
        <v>1684</v>
      </c>
      <c r="C4775" s="879"/>
    </row>
    <row r="4776" spans="1:3" x14ac:dyDescent="0.25">
      <c r="A4776" s="879"/>
      <c r="B4776" s="1452" t="s">
        <v>1453</v>
      </c>
      <c r="C4776" s="879"/>
    </row>
    <row r="4777" spans="1:3" x14ac:dyDescent="0.25">
      <c r="A4777" s="879"/>
      <c r="B4777" s="1452" t="s">
        <v>1485</v>
      </c>
      <c r="C4777" s="879"/>
    </row>
    <row r="4778" spans="1:3" x14ac:dyDescent="0.25">
      <c r="A4778" s="879"/>
      <c r="B4778" s="1452" t="s">
        <v>1685</v>
      </c>
      <c r="C4778" s="879"/>
    </row>
    <row r="4779" spans="1:3" x14ac:dyDescent="0.25">
      <c r="A4779" s="879"/>
      <c r="B4779" s="1452" t="s">
        <v>1686</v>
      </c>
      <c r="C4779" s="879"/>
    </row>
    <row r="4780" spans="1:3" x14ac:dyDescent="0.25">
      <c r="A4780" s="879"/>
      <c r="B4780" s="1452" t="s">
        <v>1454</v>
      </c>
      <c r="C4780" s="879"/>
    </row>
    <row r="4781" spans="1:3" x14ac:dyDescent="0.25">
      <c r="A4781" s="879"/>
      <c r="B4781" s="1452" t="s">
        <v>1486</v>
      </c>
      <c r="C4781" s="879"/>
    </row>
    <row r="4782" spans="1:3" x14ac:dyDescent="0.25">
      <c r="A4782" s="879"/>
      <c r="B4782" s="1452" t="s">
        <v>1455</v>
      </c>
      <c r="C4782" s="879"/>
    </row>
    <row r="4783" spans="1:3" x14ac:dyDescent="0.25">
      <c r="A4783" s="879"/>
      <c r="B4783" s="1452" t="s">
        <v>2194</v>
      </c>
      <c r="C4783" s="879"/>
    </row>
    <row r="4784" spans="1:3" x14ac:dyDescent="0.25">
      <c r="A4784" s="879"/>
      <c r="B4784" s="1452" t="s">
        <v>1688</v>
      </c>
      <c r="C4784" s="879"/>
    </row>
    <row r="4785" spans="1:3" x14ac:dyDescent="0.25">
      <c r="A4785" s="879"/>
      <c r="B4785" s="1452" t="s">
        <v>2195</v>
      </c>
      <c r="C4785" s="879"/>
    </row>
    <row r="4786" spans="1:3" x14ac:dyDescent="0.25">
      <c r="A4786" s="879"/>
      <c r="B4786" s="1452" t="s">
        <v>1456</v>
      </c>
      <c r="C4786" s="879"/>
    </row>
    <row r="4787" spans="1:3" x14ac:dyDescent="0.25">
      <c r="A4787" s="879"/>
      <c r="B4787" s="1452" t="s">
        <v>1367</v>
      </c>
      <c r="C4787" s="879"/>
    </row>
    <row r="4788" spans="1:3" x14ac:dyDescent="0.25">
      <c r="A4788" s="879"/>
      <c r="B4788" s="1452" t="s">
        <v>1450</v>
      </c>
      <c r="C4788" s="879"/>
    </row>
    <row r="4789" spans="1:3" x14ac:dyDescent="0.25">
      <c r="A4789" s="879"/>
      <c r="B4789" s="1452" t="s">
        <v>1451</v>
      </c>
      <c r="C4789" s="879"/>
    </row>
    <row r="4790" spans="1:3" x14ac:dyDescent="0.25">
      <c r="A4790" s="879"/>
      <c r="B4790" s="1452" t="s">
        <v>1452</v>
      </c>
      <c r="C4790" s="879"/>
    </row>
    <row r="4791" spans="1:3" x14ac:dyDescent="0.25">
      <c r="A4791" s="879"/>
      <c r="B4791" s="1452" t="s">
        <v>1681</v>
      </c>
      <c r="C4791" s="879"/>
    </row>
    <row r="4792" spans="1:3" x14ac:dyDescent="0.25">
      <c r="A4792" s="879"/>
      <c r="B4792" s="1452" t="s">
        <v>1682</v>
      </c>
      <c r="C4792" s="879"/>
    </row>
    <row r="4793" spans="1:3" x14ac:dyDescent="0.25">
      <c r="A4793" s="879"/>
      <c r="B4793" s="1452" t="s">
        <v>2193</v>
      </c>
      <c r="C4793" s="879"/>
    </row>
    <row r="4794" spans="1:3" x14ac:dyDescent="0.25">
      <c r="A4794" s="879"/>
      <c r="B4794" s="1452" t="s">
        <v>1684</v>
      </c>
      <c r="C4794" s="879"/>
    </row>
    <row r="4795" spans="1:3" x14ac:dyDescent="0.25">
      <c r="A4795" s="879"/>
      <c r="B4795" s="1452" t="s">
        <v>1453</v>
      </c>
      <c r="C4795" s="879"/>
    </row>
    <row r="4796" spans="1:3" x14ac:dyDescent="0.25">
      <c r="A4796" s="879"/>
      <c r="B4796" s="1452" t="s">
        <v>1485</v>
      </c>
      <c r="C4796" s="879"/>
    </row>
    <row r="4797" spans="1:3" x14ac:dyDescent="0.25">
      <c r="A4797" s="879"/>
      <c r="B4797" s="1452" t="s">
        <v>1685</v>
      </c>
      <c r="C4797" s="879"/>
    </row>
    <row r="4798" spans="1:3" x14ac:dyDescent="0.25">
      <c r="A4798" s="879"/>
      <c r="B4798" s="1452" t="s">
        <v>1686</v>
      </c>
      <c r="C4798" s="879"/>
    </row>
    <row r="4799" spans="1:3" x14ac:dyDescent="0.25">
      <c r="A4799" s="879"/>
      <c r="B4799" s="1452" t="s">
        <v>1454</v>
      </c>
      <c r="C4799" s="879"/>
    </row>
    <row r="4800" spans="1:3" x14ac:dyDescent="0.25">
      <c r="A4800" s="879"/>
      <c r="B4800" s="1452" t="s">
        <v>1486</v>
      </c>
      <c r="C4800" s="879"/>
    </row>
    <row r="4801" spans="1:3" x14ac:dyDescent="0.25">
      <c r="A4801" s="879"/>
      <c r="B4801" s="1452" t="s">
        <v>1455</v>
      </c>
      <c r="C4801" s="879"/>
    </row>
    <row r="4802" spans="1:3" x14ac:dyDescent="0.25">
      <c r="A4802" s="879"/>
      <c r="B4802" s="1452" t="s">
        <v>2194</v>
      </c>
      <c r="C4802" s="879"/>
    </row>
    <row r="4803" spans="1:3" x14ac:dyDescent="0.25">
      <c r="A4803" s="879"/>
      <c r="B4803" s="1452" t="s">
        <v>1688</v>
      </c>
      <c r="C4803" s="879"/>
    </row>
    <row r="4804" spans="1:3" x14ac:dyDescent="0.25">
      <c r="A4804" s="879"/>
      <c r="B4804" s="1452" t="s">
        <v>2195</v>
      </c>
      <c r="C4804" s="879"/>
    </row>
    <row r="4805" spans="1:3" x14ac:dyDescent="0.25">
      <c r="A4805" s="879"/>
      <c r="B4805" s="1452" t="s">
        <v>1690</v>
      </c>
      <c r="C4805" s="879"/>
    </row>
    <row r="4806" spans="1:3" x14ac:dyDescent="0.25">
      <c r="A4806" s="879"/>
      <c r="B4806" s="1452" t="s">
        <v>1367</v>
      </c>
      <c r="C4806" s="879"/>
    </row>
    <row r="4807" spans="1:3" x14ac:dyDescent="0.25">
      <c r="A4807" s="879"/>
      <c r="B4807" s="1452" t="s">
        <v>1691</v>
      </c>
      <c r="C4807" s="879"/>
    </row>
    <row r="4808" spans="1:3" x14ac:dyDescent="0.25">
      <c r="A4808" s="879"/>
      <c r="B4808" s="1452" t="s">
        <v>1692</v>
      </c>
      <c r="C4808" s="879"/>
    </row>
    <row r="4809" spans="1:3" x14ac:dyDescent="0.25">
      <c r="A4809" s="879"/>
      <c r="B4809" s="1452" t="s">
        <v>1693</v>
      </c>
      <c r="C4809" s="879"/>
    </row>
    <row r="4810" spans="1:3" x14ac:dyDescent="0.25">
      <c r="A4810" s="879"/>
      <c r="B4810" s="1452" t="s">
        <v>1694</v>
      </c>
      <c r="C4810" s="879"/>
    </row>
    <row r="4811" spans="1:3" x14ac:dyDescent="0.25">
      <c r="A4811" s="879"/>
      <c r="B4811" s="1452" t="s">
        <v>1695</v>
      </c>
      <c r="C4811" s="879"/>
    </row>
    <row r="4812" spans="1:3" x14ac:dyDescent="0.25">
      <c r="A4812" s="879"/>
      <c r="B4812" s="1452" t="s">
        <v>1696</v>
      </c>
      <c r="C4812" s="879"/>
    </row>
    <row r="4813" spans="1:3" x14ac:dyDescent="0.25">
      <c r="A4813" s="879"/>
      <c r="B4813" s="1452" t="s">
        <v>1697</v>
      </c>
      <c r="C4813" s="879"/>
    </row>
    <row r="4814" spans="1:3" x14ac:dyDescent="0.25">
      <c r="A4814" s="879"/>
      <c r="B4814" s="1452" t="s">
        <v>1698</v>
      </c>
      <c r="C4814" s="879"/>
    </row>
    <row r="4815" spans="1:3" x14ac:dyDescent="0.25">
      <c r="A4815" s="879"/>
      <c r="B4815" s="1452" t="s">
        <v>1699</v>
      </c>
      <c r="C4815" s="879"/>
    </row>
    <row r="4816" spans="1:3" x14ac:dyDescent="0.25">
      <c r="A4816" s="879"/>
      <c r="B4816" s="1452" t="s">
        <v>1700</v>
      </c>
      <c r="C4816" s="879"/>
    </row>
    <row r="4817" spans="1:3" x14ac:dyDescent="0.25">
      <c r="A4817" s="879"/>
      <c r="B4817" s="1452" t="s">
        <v>1701</v>
      </c>
      <c r="C4817" s="879"/>
    </row>
    <row r="4818" spans="1:3" x14ac:dyDescent="0.25">
      <c r="A4818" s="879"/>
      <c r="B4818" s="1452" t="s">
        <v>1702</v>
      </c>
      <c r="C4818" s="879"/>
    </row>
    <row r="4819" spans="1:3" x14ac:dyDescent="0.25">
      <c r="A4819" s="879"/>
      <c r="B4819" s="1452" t="s">
        <v>1703</v>
      </c>
      <c r="C4819" s="879"/>
    </row>
    <row r="4820" spans="1:3" x14ac:dyDescent="0.25">
      <c r="A4820" s="879"/>
      <c r="B4820" s="1452" t="s">
        <v>1704</v>
      </c>
      <c r="C4820" s="879"/>
    </row>
    <row r="4821" spans="1:3" x14ac:dyDescent="0.25">
      <c r="A4821" s="879"/>
      <c r="B4821" s="1452" t="s">
        <v>1705</v>
      </c>
      <c r="C4821" s="879"/>
    </row>
    <row r="4822" spans="1:3" x14ac:dyDescent="0.25">
      <c r="A4822" s="879"/>
      <c r="B4822" s="1452"/>
      <c r="C4822" s="879"/>
    </row>
    <row r="4823" spans="1:3" x14ac:dyDescent="0.25">
      <c r="A4823" s="879"/>
      <c r="B4823" s="1452"/>
      <c r="C4823" s="879"/>
    </row>
    <row r="4824" spans="1:3" x14ac:dyDescent="0.25">
      <c r="A4824" s="879"/>
      <c r="B4824" s="1452" t="s">
        <v>1368</v>
      </c>
      <c r="C4824" s="879"/>
    </row>
    <row r="4825" spans="1:3" x14ac:dyDescent="0.25">
      <c r="A4825" s="879"/>
      <c r="B4825" s="1452" t="s">
        <v>2934</v>
      </c>
      <c r="C4825" s="879"/>
    </row>
    <row r="4826" spans="1:3" x14ac:dyDescent="0.25">
      <c r="A4826" s="879"/>
      <c r="B4826" s="1452" t="s">
        <v>1368</v>
      </c>
      <c r="C4826" s="879"/>
    </row>
    <row r="4827" spans="1:3" x14ac:dyDescent="0.25">
      <c r="A4827" s="879"/>
      <c r="B4827" s="1452" t="s">
        <v>2935</v>
      </c>
      <c r="C4827" s="879"/>
    </row>
    <row r="4828" spans="1:3" x14ac:dyDescent="0.25">
      <c r="A4828" s="879"/>
      <c r="B4828" s="1452" t="s">
        <v>1367</v>
      </c>
      <c r="C4828" s="879"/>
    </row>
    <row r="4829" spans="1:3" x14ac:dyDescent="0.25">
      <c r="A4829" s="879"/>
      <c r="B4829" s="1452" t="s">
        <v>1369</v>
      </c>
      <c r="C4829" s="879"/>
    </row>
    <row r="4830" spans="1:3" x14ac:dyDescent="0.25">
      <c r="A4830" s="879"/>
      <c r="B4830" s="1452" t="s">
        <v>1370</v>
      </c>
      <c r="C4830" s="879"/>
    </row>
    <row r="4831" spans="1:3" x14ac:dyDescent="0.25">
      <c r="A4831" s="879"/>
      <c r="B4831" s="1452" t="s">
        <v>1367</v>
      </c>
      <c r="C4831" s="879"/>
    </row>
    <row r="4832" spans="1:3" x14ac:dyDescent="0.25">
      <c r="A4832" s="879"/>
      <c r="B4832" s="1452" t="s">
        <v>1460</v>
      </c>
      <c r="C4832" s="879"/>
    </row>
    <row r="4833" spans="1:3" x14ac:dyDescent="0.25">
      <c r="A4833" s="879"/>
      <c r="B4833" s="1452" t="s">
        <v>1461</v>
      </c>
      <c r="C4833" s="879"/>
    </row>
    <row r="4834" spans="1:3" x14ac:dyDescent="0.25">
      <c r="A4834" s="879"/>
      <c r="B4834" s="1452" t="s">
        <v>2936</v>
      </c>
      <c r="C4834" s="879"/>
    </row>
    <row r="4835" spans="1:3" x14ac:dyDescent="0.25">
      <c r="A4835" s="879"/>
      <c r="B4835" s="1452" t="s">
        <v>2937</v>
      </c>
      <c r="C4835" s="879"/>
    </row>
    <row r="4836" spans="1:3" x14ac:dyDescent="0.25">
      <c r="A4836" s="879"/>
      <c r="B4836" s="1452" t="s">
        <v>2858</v>
      </c>
      <c r="C4836" s="879"/>
    </row>
    <row r="4837" spans="1:3" x14ac:dyDescent="0.25">
      <c r="A4837" s="879"/>
      <c r="B4837" s="1452" t="s">
        <v>2859</v>
      </c>
      <c r="C4837" s="879"/>
    </row>
    <row r="4838" spans="1:3" x14ac:dyDescent="0.25">
      <c r="A4838" s="879"/>
      <c r="B4838" s="1452" t="s">
        <v>2860</v>
      </c>
      <c r="C4838" s="879"/>
    </row>
    <row r="4839" spans="1:3" x14ac:dyDescent="0.25">
      <c r="A4839" s="879"/>
      <c r="B4839" s="1452" t="s">
        <v>2938</v>
      </c>
      <c r="C4839" s="879"/>
    </row>
    <row r="4840" spans="1:3" x14ac:dyDescent="0.25">
      <c r="A4840" s="879"/>
      <c r="B4840" s="1452" t="s">
        <v>2939</v>
      </c>
      <c r="C4840" s="879"/>
    </row>
    <row r="4841" spans="1:3" x14ac:dyDescent="0.25">
      <c r="A4841" s="879"/>
      <c r="B4841" s="1452" t="s">
        <v>2940</v>
      </c>
      <c r="C4841" s="879"/>
    </row>
    <row r="4842" spans="1:3" x14ac:dyDescent="0.25">
      <c r="A4842" s="879"/>
      <c r="B4842" s="1452" t="s">
        <v>1462</v>
      </c>
      <c r="C4842" s="879"/>
    </row>
    <row r="4843" spans="1:3" x14ac:dyDescent="0.25">
      <c r="A4843" s="879"/>
      <c r="B4843" s="1452" t="s">
        <v>1382</v>
      </c>
      <c r="C4843" s="879"/>
    </row>
    <row r="4844" spans="1:3" x14ac:dyDescent="0.25">
      <c r="A4844" s="879"/>
      <c r="B4844" s="1452" t="s">
        <v>1367</v>
      </c>
      <c r="C4844" s="879"/>
    </row>
    <row r="4845" spans="1:3" x14ac:dyDescent="0.25">
      <c r="A4845" s="879"/>
      <c r="B4845" s="1452" t="s">
        <v>1460</v>
      </c>
      <c r="C4845" s="879"/>
    </row>
    <row r="4846" spans="1:3" x14ac:dyDescent="0.25">
      <c r="A4846" s="879"/>
      <c r="B4846" s="1452" t="s">
        <v>2864</v>
      </c>
      <c r="C4846" s="879"/>
    </row>
    <row r="4847" spans="1:3" x14ac:dyDescent="0.25">
      <c r="A4847" s="879"/>
      <c r="B4847" s="1452" t="s">
        <v>2941</v>
      </c>
      <c r="C4847" s="879"/>
    </row>
    <row r="4848" spans="1:3" x14ac:dyDescent="0.25">
      <c r="A4848" s="879"/>
      <c r="B4848" s="1452" t="s">
        <v>2942</v>
      </c>
      <c r="C4848" s="879"/>
    </row>
    <row r="4849" spans="1:3" x14ac:dyDescent="0.25">
      <c r="A4849" s="879"/>
      <c r="B4849" s="1452" t="s">
        <v>2943</v>
      </c>
      <c r="C4849" s="879"/>
    </row>
    <row r="4850" spans="1:3" x14ac:dyDescent="0.25">
      <c r="A4850" s="879"/>
      <c r="B4850" s="1452" t="s">
        <v>2944</v>
      </c>
      <c r="C4850" s="879"/>
    </row>
    <row r="4851" spans="1:3" x14ac:dyDescent="0.25">
      <c r="A4851" s="879"/>
      <c r="B4851" s="1452" t="s">
        <v>2945</v>
      </c>
      <c r="C4851" s="879"/>
    </row>
    <row r="4852" spans="1:3" x14ac:dyDescent="0.25">
      <c r="A4852" s="879"/>
      <c r="B4852" s="1452" t="s">
        <v>2946</v>
      </c>
      <c r="C4852" s="879"/>
    </row>
    <row r="4853" spans="1:3" x14ac:dyDescent="0.25">
      <c r="A4853" s="879"/>
      <c r="B4853" s="1452" t="s">
        <v>2947</v>
      </c>
      <c r="C4853" s="879"/>
    </row>
    <row r="4854" spans="1:3" x14ac:dyDescent="0.25">
      <c r="A4854" s="879"/>
      <c r="B4854" s="1452" t="s">
        <v>2872</v>
      </c>
      <c r="C4854" s="879"/>
    </row>
    <row r="4855" spans="1:3" x14ac:dyDescent="0.25">
      <c r="A4855" s="879"/>
      <c r="B4855" s="1452" t="s">
        <v>2873</v>
      </c>
      <c r="C4855" s="879"/>
    </row>
    <row r="4856" spans="1:3" x14ac:dyDescent="0.25">
      <c r="A4856" s="879"/>
      <c r="B4856" s="1452" t="s">
        <v>1466</v>
      </c>
      <c r="C4856" s="879"/>
    </row>
    <row r="4857" spans="1:3" x14ac:dyDescent="0.25">
      <c r="A4857" s="879"/>
      <c r="B4857" s="1452" t="s">
        <v>1467</v>
      </c>
      <c r="C4857" s="879"/>
    </row>
    <row r="4858" spans="1:3" x14ac:dyDescent="0.25">
      <c r="A4858" s="879"/>
      <c r="B4858" s="1452" t="s">
        <v>2948</v>
      </c>
      <c r="C4858" s="879"/>
    </row>
    <row r="4859" spans="1:3" x14ac:dyDescent="0.25">
      <c r="A4859" s="879"/>
      <c r="B4859" s="1452" t="s">
        <v>1469</v>
      </c>
      <c r="C4859" s="879"/>
    </row>
    <row r="4860" spans="1:3" x14ac:dyDescent="0.25">
      <c r="A4860" s="879"/>
      <c r="B4860" s="1452" t="s">
        <v>2949</v>
      </c>
      <c r="C4860" s="879"/>
    </row>
    <row r="4861" spans="1:3" x14ac:dyDescent="0.25">
      <c r="A4861" s="879"/>
      <c r="B4861" s="1452" t="s">
        <v>2876</v>
      </c>
      <c r="C4861" s="879"/>
    </row>
    <row r="4862" spans="1:3" x14ac:dyDescent="0.25">
      <c r="A4862" s="879"/>
      <c r="B4862" s="1452" t="s">
        <v>2950</v>
      </c>
      <c r="C4862" s="879"/>
    </row>
    <row r="4863" spans="1:3" x14ac:dyDescent="0.25">
      <c r="A4863" s="879"/>
      <c r="B4863" s="1452" t="s">
        <v>2878</v>
      </c>
      <c r="C4863" s="879"/>
    </row>
    <row r="4864" spans="1:3" x14ac:dyDescent="0.25">
      <c r="A4864" s="879"/>
      <c r="B4864" s="1452" t="s">
        <v>2879</v>
      </c>
      <c r="C4864" s="879"/>
    </row>
    <row r="4865" spans="1:3" x14ac:dyDescent="0.25">
      <c r="A4865" s="879"/>
      <c r="B4865" s="1452" t="s">
        <v>1471</v>
      </c>
      <c r="C4865" s="879"/>
    </row>
    <row r="4866" spans="1:3" x14ac:dyDescent="0.25">
      <c r="A4866" s="879"/>
      <c r="B4866" s="1452" t="s">
        <v>1508</v>
      </c>
      <c r="C4866" s="879"/>
    </row>
    <row r="4867" spans="1:3" x14ac:dyDescent="0.25">
      <c r="A4867" s="879"/>
      <c r="B4867" s="1452" t="s">
        <v>2880</v>
      </c>
      <c r="C4867" s="879"/>
    </row>
    <row r="4868" spans="1:3" x14ac:dyDescent="0.25">
      <c r="A4868" s="879"/>
      <c r="B4868" s="1452" t="s">
        <v>1473</v>
      </c>
      <c r="C4868" s="879"/>
    </row>
    <row r="4869" spans="1:3" x14ac:dyDescent="0.25">
      <c r="A4869" s="879"/>
      <c r="B4869" s="1452" t="s">
        <v>1610</v>
      </c>
      <c r="C4869" s="879"/>
    </row>
    <row r="4870" spans="1:3" x14ac:dyDescent="0.25">
      <c r="A4870" s="879"/>
      <c r="B4870" s="1452" t="s">
        <v>2951</v>
      </c>
      <c r="C4870" s="879"/>
    </row>
    <row r="4871" spans="1:3" x14ac:dyDescent="0.25">
      <c r="A4871" s="879"/>
      <c r="B4871" s="1452" t="s">
        <v>2916</v>
      </c>
      <c r="C4871" s="879"/>
    </row>
    <row r="4872" spans="1:3" x14ac:dyDescent="0.25">
      <c r="A4872" s="879"/>
      <c r="B4872" s="1452" t="s">
        <v>2952</v>
      </c>
      <c r="C4872" s="879"/>
    </row>
    <row r="4873" spans="1:3" x14ac:dyDescent="0.25">
      <c r="A4873" s="879"/>
      <c r="B4873" s="1452" t="s">
        <v>1476</v>
      </c>
      <c r="C4873" s="879"/>
    </row>
    <row r="4874" spans="1:3" x14ac:dyDescent="0.25">
      <c r="A4874" s="879"/>
      <c r="B4874" s="1452" t="s">
        <v>1477</v>
      </c>
      <c r="C4874" s="879"/>
    </row>
    <row r="4875" spans="1:3" x14ac:dyDescent="0.25">
      <c r="A4875" s="879"/>
      <c r="B4875" s="1452" t="s">
        <v>1478</v>
      </c>
      <c r="C4875" s="879"/>
    </row>
    <row r="4876" spans="1:3" x14ac:dyDescent="0.25">
      <c r="A4876" s="879"/>
      <c r="B4876" s="1452" t="s">
        <v>2953</v>
      </c>
      <c r="C4876" s="879"/>
    </row>
    <row r="4877" spans="1:3" x14ac:dyDescent="0.25">
      <c r="A4877" s="879"/>
      <c r="B4877" s="1452" t="s">
        <v>2886</v>
      </c>
      <c r="C4877" s="879"/>
    </row>
    <row r="4878" spans="1:3" x14ac:dyDescent="0.25">
      <c r="A4878" s="879"/>
      <c r="B4878" s="1452" t="s">
        <v>1479</v>
      </c>
      <c r="C4878" s="879"/>
    </row>
    <row r="4879" spans="1:3" x14ac:dyDescent="0.25">
      <c r="A4879" s="879"/>
      <c r="B4879" s="1452" t="s">
        <v>1480</v>
      </c>
      <c r="C4879" s="879"/>
    </row>
    <row r="4880" spans="1:3" x14ac:dyDescent="0.25">
      <c r="A4880" s="879"/>
      <c r="B4880" s="1452" t="s">
        <v>2954</v>
      </c>
      <c r="C4880" s="879"/>
    </row>
    <row r="4881" spans="1:3" x14ac:dyDescent="0.25">
      <c r="A4881" s="879"/>
      <c r="B4881" s="1452" t="s">
        <v>2955</v>
      </c>
      <c r="C4881" s="879"/>
    </row>
    <row r="4882" spans="1:3" x14ac:dyDescent="0.25">
      <c r="A4882" s="879"/>
      <c r="B4882" s="1452" t="s">
        <v>2956</v>
      </c>
      <c r="C4882" s="879"/>
    </row>
    <row r="4883" spans="1:3" x14ac:dyDescent="0.25">
      <c r="A4883" s="879"/>
      <c r="B4883" s="1452" t="s">
        <v>2957</v>
      </c>
      <c r="C4883" s="879"/>
    </row>
    <row r="4884" spans="1:3" x14ac:dyDescent="0.25">
      <c r="A4884" s="879"/>
      <c r="B4884" s="1452" t="s">
        <v>2958</v>
      </c>
      <c r="C4884" s="879"/>
    </row>
    <row r="4885" spans="1:3" x14ac:dyDescent="0.25">
      <c r="A4885" s="879"/>
      <c r="B4885" s="1452" t="s">
        <v>2959</v>
      </c>
      <c r="C4885" s="879"/>
    </row>
    <row r="4886" spans="1:3" x14ac:dyDescent="0.25">
      <c r="A4886" s="879"/>
      <c r="B4886" s="1452" t="s">
        <v>2960</v>
      </c>
      <c r="C4886" s="879"/>
    </row>
    <row r="4887" spans="1:3" x14ac:dyDescent="0.25">
      <c r="A4887" s="879"/>
      <c r="B4887" s="1452" t="s">
        <v>2961</v>
      </c>
      <c r="C4887" s="879"/>
    </row>
    <row r="4888" spans="1:3" x14ac:dyDescent="0.25">
      <c r="A4888" s="879"/>
      <c r="B4888" s="1452" t="s">
        <v>2962</v>
      </c>
      <c r="C4888" s="879"/>
    </row>
    <row r="4889" spans="1:3" x14ac:dyDescent="0.25">
      <c r="A4889" s="879"/>
      <c r="B4889" s="1452" t="s">
        <v>1481</v>
      </c>
      <c r="C4889" s="879"/>
    </row>
    <row r="4890" spans="1:3" x14ac:dyDescent="0.25">
      <c r="A4890" s="879"/>
      <c r="B4890" s="1452" t="s">
        <v>1482</v>
      </c>
      <c r="C4890" s="879"/>
    </row>
    <row r="4891" spans="1:3" x14ac:dyDescent="0.25">
      <c r="A4891" s="879"/>
      <c r="B4891" s="1452" t="s">
        <v>1483</v>
      </c>
      <c r="C4891" s="879"/>
    </row>
    <row r="4892" spans="1:3" x14ac:dyDescent="0.25">
      <c r="A4892" s="879"/>
      <c r="B4892" s="1452" t="s">
        <v>2963</v>
      </c>
      <c r="C4892" s="879"/>
    </row>
    <row r="4893" spans="1:3" x14ac:dyDescent="0.25">
      <c r="A4893" s="879"/>
      <c r="B4893" s="1452" t="s">
        <v>1430</v>
      </c>
      <c r="C4893" s="879"/>
    </row>
    <row r="4894" spans="1:3" x14ac:dyDescent="0.25">
      <c r="A4894" s="879"/>
      <c r="B4894" s="1452" t="s">
        <v>1367</v>
      </c>
      <c r="C4894" s="879"/>
    </row>
    <row r="4895" spans="1:3" x14ac:dyDescent="0.25">
      <c r="A4895" s="879"/>
      <c r="B4895" s="1452" t="s">
        <v>1449</v>
      </c>
      <c r="C4895" s="879"/>
    </row>
    <row r="4896" spans="1:3" x14ac:dyDescent="0.25">
      <c r="A4896" s="879"/>
      <c r="B4896" s="1452" t="s">
        <v>1367</v>
      </c>
      <c r="C4896" s="879"/>
    </row>
    <row r="4897" spans="1:3" x14ac:dyDescent="0.25">
      <c r="A4897" s="879"/>
      <c r="B4897" s="1452" t="s">
        <v>1450</v>
      </c>
      <c r="C4897" s="879"/>
    </row>
    <row r="4898" spans="1:3" x14ac:dyDescent="0.25">
      <c r="A4898" s="879"/>
      <c r="B4898" s="1452" t="s">
        <v>1451</v>
      </c>
      <c r="C4898" s="879"/>
    </row>
    <row r="4899" spans="1:3" x14ac:dyDescent="0.25">
      <c r="A4899" s="879"/>
      <c r="B4899" s="1452" t="s">
        <v>2847</v>
      </c>
      <c r="C4899" s="879"/>
    </row>
    <row r="4900" spans="1:3" x14ac:dyDescent="0.25">
      <c r="A4900" s="879"/>
      <c r="B4900" s="1452" t="s">
        <v>1892</v>
      </c>
      <c r="C4900" s="879"/>
    </row>
    <row r="4901" spans="1:3" x14ac:dyDescent="0.25">
      <c r="A4901" s="879"/>
      <c r="B4901" s="1452" t="s">
        <v>1682</v>
      </c>
      <c r="C4901" s="879"/>
    </row>
    <row r="4902" spans="1:3" x14ac:dyDescent="0.25">
      <c r="A4902" s="879"/>
      <c r="B4902" s="1452" t="s">
        <v>1517</v>
      </c>
      <c r="C4902" s="879"/>
    </row>
    <row r="4903" spans="1:3" x14ac:dyDescent="0.25">
      <c r="A4903" s="879"/>
      <c r="B4903" s="1452" t="s">
        <v>1684</v>
      </c>
      <c r="C4903" s="879"/>
    </row>
    <row r="4904" spans="1:3" x14ac:dyDescent="0.25">
      <c r="A4904" s="879"/>
      <c r="B4904" s="1452" t="s">
        <v>2848</v>
      </c>
      <c r="C4904" s="879"/>
    </row>
    <row r="4905" spans="1:3" x14ac:dyDescent="0.25">
      <c r="A4905" s="879"/>
      <c r="B4905" s="1452" t="s">
        <v>2849</v>
      </c>
      <c r="C4905" s="879"/>
    </row>
    <row r="4906" spans="1:3" x14ac:dyDescent="0.25">
      <c r="A4906" s="879"/>
      <c r="B4906" s="1452" t="s">
        <v>1685</v>
      </c>
      <c r="C4906" s="879"/>
    </row>
    <row r="4907" spans="1:3" x14ac:dyDescent="0.25">
      <c r="A4907" s="879"/>
      <c r="B4907" s="1452" t="s">
        <v>1686</v>
      </c>
      <c r="C4907" s="879"/>
    </row>
    <row r="4908" spans="1:3" x14ac:dyDescent="0.25">
      <c r="A4908" s="879"/>
      <c r="B4908" s="1452" t="s">
        <v>2850</v>
      </c>
      <c r="C4908" s="879"/>
    </row>
    <row r="4909" spans="1:3" x14ac:dyDescent="0.25">
      <c r="A4909" s="879"/>
      <c r="B4909" s="1452" t="s">
        <v>2851</v>
      </c>
      <c r="C4909" s="879"/>
    </row>
    <row r="4910" spans="1:3" x14ac:dyDescent="0.25">
      <c r="A4910" s="879"/>
      <c r="B4910" s="1452" t="s">
        <v>1455</v>
      </c>
      <c r="C4910" s="879"/>
    </row>
    <row r="4911" spans="1:3" x14ac:dyDescent="0.25">
      <c r="A4911" s="879"/>
      <c r="B4911" s="1452" t="s">
        <v>2852</v>
      </c>
      <c r="C4911" s="879"/>
    </row>
    <row r="4912" spans="1:3" x14ac:dyDescent="0.25">
      <c r="A4912" s="879"/>
      <c r="B4912" s="1452" t="s">
        <v>1688</v>
      </c>
      <c r="C4912" s="879"/>
    </row>
    <row r="4913" spans="1:3" x14ac:dyDescent="0.25">
      <c r="A4913" s="879"/>
      <c r="B4913" s="1452" t="s">
        <v>2853</v>
      </c>
      <c r="C4913" s="879"/>
    </row>
    <row r="4914" spans="1:3" x14ac:dyDescent="0.25">
      <c r="A4914" s="879"/>
      <c r="B4914" s="1452" t="s">
        <v>1456</v>
      </c>
      <c r="C4914" s="879"/>
    </row>
    <row r="4915" spans="1:3" x14ac:dyDescent="0.25">
      <c r="A4915" s="879"/>
      <c r="B4915" s="1452" t="s">
        <v>1367</v>
      </c>
      <c r="C4915" s="879"/>
    </row>
    <row r="4916" spans="1:3" x14ac:dyDescent="0.25">
      <c r="A4916" s="879"/>
      <c r="B4916" s="1452" t="s">
        <v>1450</v>
      </c>
      <c r="C4916" s="879"/>
    </row>
    <row r="4917" spans="1:3" x14ac:dyDescent="0.25">
      <c r="A4917" s="879"/>
      <c r="B4917" s="1452" t="s">
        <v>1451</v>
      </c>
      <c r="C4917" s="879"/>
    </row>
    <row r="4918" spans="1:3" x14ac:dyDescent="0.25">
      <c r="A4918" s="879"/>
      <c r="B4918" s="1452" t="s">
        <v>2847</v>
      </c>
      <c r="C4918" s="879"/>
    </row>
    <row r="4919" spans="1:3" x14ac:dyDescent="0.25">
      <c r="A4919" s="879"/>
      <c r="B4919" s="1452" t="s">
        <v>1892</v>
      </c>
      <c r="C4919" s="879"/>
    </row>
    <row r="4920" spans="1:3" x14ac:dyDescent="0.25">
      <c r="A4920" s="879"/>
      <c r="B4920" s="1452" t="s">
        <v>1682</v>
      </c>
      <c r="C4920" s="879"/>
    </row>
    <row r="4921" spans="1:3" x14ac:dyDescent="0.25">
      <c r="A4921" s="879"/>
      <c r="B4921" s="1452" t="s">
        <v>1517</v>
      </c>
      <c r="C4921" s="879"/>
    </row>
    <row r="4922" spans="1:3" x14ac:dyDescent="0.25">
      <c r="A4922" s="879"/>
      <c r="B4922" s="1452" t="s">
        <v>1684</v>
      </c>
      <c r="C4922" s="879"/>
    </row>
    <row r="4923" spans="1:3" x14ac:dyDescent="0.25">
      <c r="A4923" s="879"/>
      <c r="B4923" s="1452" t="s">
        <v>2848</v>
      </c>
      <c r="C4923" s="879"/>
    </row>
    <row r="4924" spans="1:3" x14ac:dyDescent="0.25">
      <c r="A4924" s="879"/>
      <c r="B4924" s="1452" t="s">
        <v>2849</v>
      </c>
      <c r="C4924" s="879"/>
    </row>
    <row r="4925" spans="1:3" x14ac:dyDescent="0.25">
      <c r="A4925" s="879"/>
      <c r="B4925" s="1452" t="s">
        <v>1685</v>
      </c>
      <c r="C4925" s="879"/>
    </row>
    <row r="4926" spans="1:3" x14ac:dyDescent="0.25">
      <c r="A4926" s="879"/>
      <c r="B4926" s="1452" t="s">
        <v>1686</v>
      </c>
      <c r="C4926" s="879"/>
    </row>
    <row r="4927" spans="1:3" x14ac:dyDescent="0.25">
      <c r="A4927" s="879"/>
      <c r="B4927" s="1452" t="s">
        <v>2850</v>
      </c>
      <c r="C4927" s="879"/>
    </row>
    <row r="4928" spans="1:3" x14ac:dyDescent="0.25">
      <c r="A4928" s="879"/>
      <c r="B4928" s="1452" t="s">
        <v>2851</v>
      </c>
      <c r="C4928" s="879"/>
    </row>
    <row r="4929" spans="1:3" x14ac:dyDescent="0.25">
      <c r="A4929" s="879"/>
      <c r="B4929" s="1452" t="s">
        <v>1455</v>
      </c>
      <c r="C4929" s="879"/>
    </row>
    <row r="4930" spans="1:3" x14ac:dyDescent="0.25">
      <c r="A4930" s="879"/>
      <c r="B4930" s="1452" t="s">
        <v>2852</v>
      </c>
      <c r="C4930" s="879"/>
    </row>
    <row r="4931" spans="1:3" x14ac:dyDescent="0.25">
      <c r="A4931" s="879"/>
      <c r="B4931" s="1452" t="s">
        <v>1688</v>
      </c>
      <c r="C4931" s="879"/>
    </row>
    <row r="4932" spans="1:3" x14ac:dyDescent="0.25">
      <c r="A4932" s="879"/>
      <c r="B4932" s="1452" t="s">
        <v>2853</v>
      </c>
      <c r="C4932" s="879"/>
    </row>
    <row r="4933" spans="1:3" x14ac:dyDescent="0.25">
      <c r="A4933" s="879"/>
      <c r="B4933" s="1452" t="s">
        <v>1690</v>
      </c>
      <c r="C4933" s="879"/>
    </row>
    <row r="4934" spans="1:3" x14ac:dyDescent="0.25">
      <c r="A4934" s="879"/>
      <c r="B4934" s="1452" t="s">
        <v>1367</v>
      </c>
      <c r="C4934" s="879"/>
    </row>
    <row r="4935" spans="1:3" x14ac:dyDescent="0.25">
      <c r="A4935" s="879"/>
      <c r="B4935" s="1452" t="s">
        <v>1691</v>
      </c>
      <c r="C4935" s="879"/>
    </row>
    <row r="4936" spans="1:3" x14ac:dyDescent="0.25">
      <c r="A4936" s="879"/>
      <c r="B4936" s="1452" t="s">
        <v>1692</v>
      </c>
      <c r="C4936" s="879"/>
    </row>
    <row r="4937" spans="1:3" x14ac:dyDescent="0.25">
      <c r="A4937" s="879"/>
      <c r="B4937" s="1452" t="s">
        <v>1693</v>
      </c>
      <c r="C4937" s="879"/>
    </row>
    <row r="4938" spans="1:3" x14ac:dyDescent="0.25">
      <c r="A4938" s="879"/>
      <c r="B4938" s="1452" t="s">
        <v>1694</v>
      </c>
      <c r="C4938" s="879"/>
    </row>
    <row r="4939" spans="1:3" x14ac:dyDescent="0.25">
      <c r="A4939" s="879"/>
      <c r="B4939" s="1452" t="s">
        <v>1695</v>
      </c>
      <c r="C4939" s="879"/>
    </row>
    <row r="4940" spans="1:3" x14ac:dyDescent="0.25">
      <c r="A4940" s="879"/>
      <c r="B4940" s="1452" t="s">
        <v>1696</v>
      </c>
      <c r="C4940" s="879"/>
    </row>
    <row r="4941" spans="1:3" x14ac:dyDescent="0.25">
      <c r="A4941" s="879"/>
      <c r="B4941" s="1452" t="s">
        <v>1697</v>
      </c>
      <c r="C4941" s="879"/>
    </row>
    <row r="4942" spans="1:3" x14ac:dyDescent="0.25">
      <c r="A4942" s="879"/>
      <c r="B4942" s="1452" t="s">
        <v>1698</v>
      </c>
      <c r="C4942" s="879"/>
    </row>
    <row r="4943" spans="1:3" x14ac:dyDescent="0.25">
      <c r="A4943" s="879"/>
      <c r="B4943" s="1452" t="s">
        <v>1699</v>
      </c>
      <c r="C4943" s="879"/>
    </row>
    <row r="4944" spans="1:3" x14ac:dyDescent="0.25">
      <c r="A4944" s="879"/>
      <c r="B4944" s="1452" t="s">
        <v>1700</v>
      </c>
      <c r="C4944" s="879"/>
    </row>
    <row r="4945" spans="1:3" x14ac:dyDescent="0.25">
      <c r="A4945" s="879"/>
      <c r="B4945" s="1452" t="s">
        <v>1701</v>
      </c>
      <c r="C4945" s="879"/>
    </row>
    <row r="4946" spans="1:3" x14ac:dyDescent="0.25">
      <c r="A4946" s="879"/>
      <c r="B4946" s="1452" t="s">
        <v>1702</v>
      </c>
      <c r="C4946" s="879"/>
    </row>
    <row r="4947" spans="1:3" x14ac:dyDescent="0.25">
      <c r="A4947" s="879"/>
      <c r="B4947" s="1452" t="s">
        <v>1703</v>
      </c>
      <c r="C4947" s="879"/>
    </row>
    <row r="4948" spans="1:3" x14ac:dyDescent="0.25">
      <c r="A4948" s="879"/>
      <c r="B4948" s="1452" t="s">
        <v>1704</v>
      </c>
      <c r="C4948" s="879"/>
    </row>
    <row r="4949" spans="1:3" x14ac:dyDescent="0.25">
      <c r="A4949" s="879"/>
      <c r="B4949" s="1452" t="s">
        <v>1705</v>
      </c>
      <c r="C4949" s="879"/>
    </row>
    <row r="4950" spans="1:3" x14ac:dyDescent="0.25">
      <c r="A4950" s="879"/>
      <c r="B4950" s="1452"/>
      <c r="C4950" s="879"/>
    </row>
    <row r="4951" spans="1:3" x14ac:dyDescent="0.25">
      <c r="A4951" s="879"/>
      <c r="B4951" s="1452"/>
      <c r="C4951" s="879"/>
    </row>
    <row r="4952" spans="1:3" x14ac:dyDescent="0.25">
      <c r="A4952" s="879"/>
      <c r="B4952" s="1452" t="s">
        <v>1368</v>
      </c>
      <c r="C4952" s="879"/>
    </row>
    <row r="4953" spans="1:3" x14ac:dyDescent="0.25">
      <c r="A4953" s="879"/>
      <c r="B4953" s="1452" t="s">
        <v>2964</v>
      </c>
      <c r="C4953" s="879"/>
    </row>
    <row r="4954" spans="1:3" x14ac:dyDescent="0.25">
      <c r="A4954" s="879"/>
      <c r="B4954" s="1452" t="s">
        <v>1368</v>
      </c>
      <c r="C4954" s="879"/>
    </row>
    <row r="4955" spans="1:3" x14ac:dyDescent="0.25">
      <c r="A4955" s="879"/>
      <c r="B4955" s="1452" t="s">
        <v>2965</v>
      </c>
      <c r="C4955" s="879"/>
    </row>
    <row r="4956" spans="1:3" x14ac:dyDescent="0.25">
      <c r="A4956" s="879"/>
      <c r="B4956" s="1452" t="s">
        <v>1367</v>
      </c>
      <c r="C4956" s="879"/>
    </row>
    <row r="4957" spans="1:3" x14ac:dyDescent="0.25">
      <c r="A4957" s="879"/>
      <c r="B4957" s="1452" t="s">
        <v>1369</v>
      </c>
      <c r="C4957" s="879"/>
    </row>
    <row r="4958" spans="1:3" x14ac:dyDescent="0.25">
      <c r="A4958" s="879"/>
      <c r="B4958" s="1452" t="s">
        <v>1370</v>
      </c>
      <c r="C4958" s="879"/>
    </row>
    <row r="4959" spans="1:3" x14ac:dyDescent="0.25">
      <c r="A4959" s="879"/>
      <c r="B4959" s="1452" t="s">
        <v>1367</v>
      </c>
      <c r="C4959" s="879"/>
    </row>
    <row r="4960" spans="1:3" x14ac:dyDescent="0.25">
      <c r="A4960" s="879"/>
      <c r="B4960" s="1452" t="s">
        <v>1460</v>
      </c>
      <c r="C4960" s="879"/>
    </row>
    <row r="4961" spans="1:3" x14ac:dyDescent="0.25">
      <c r="A4961" s="879"/>
      <c r="B4961" s="1452" t="s">
        <v>1461</v>
      </c>
      <c r="C4961" s="879"/>
    </row>
    <row r="4962" spans="1:3" x14ac:dyDescent="0.25">
      <c r="A4962" s="879"/>
      <c r="B4962" s="1452" t="s">
        <v>2966</v>
      </c>
      <c r="C4962" s="879"/>
    </row>
    <row r="4963" spans="1:3" x14ac:dyDescent="0.25">
      <c r="A4963" s="879"/>
      <c r="B4963" s="1452" t="s">
        <v>2967</v>
      </c>
      <c r="C4963" s="879"/>
    </row>
    <row r="4964" spans="1:3" x14ac:dyDescent="0.25">
      <c r="A4964" s="879"/>
      <c r="B4964" s="1452" t="s">
        <v>2968</v>
      </c>
      <c r="C4964" s="879"/>
    </row>
    <row r="4965" spans="1:3" x14ac:dyDescent="0.25">
      <c r="A4965" s="879"/>
      <c r="B4965" s="1452" t="s">
        <v>2859</v>
      </c>
      <c r="C4965" s="879"/>
    </row>
    <row r="4966" spans="1:3" x14ac:dyDescent="0.25">
      <c r="A4966" s="879"/>
      <c r="B4966" s="1452" t="s">
        <v>2969</v>
      </c>
      <c r="C4966" s="879"/>
    </row>
    <row r="4967" spans="1:3" x14ac:dyDescent="0.25">
      <c r="A4967" s="879"/>
      <c r="B4967" s="1452" t="s">
        <v>2970</v>
      </c>
      <c r="C4967" s="879"/>
    </row>
    <row r="4968" spans="1:3" x14ac:dyDescent="0.25">
      <c r="A4968" s="879"/>
      <c r="B4968" s="1452" t="s">
        <v>2971</v>
      </c>
      <c r="C4968" s="879"/>
    </row>
    <row r="4969" spans="1:3" x14ac:dyDescent="0.25">
      <c r="A4969" s="879"/>
      <c r="B4969" s="1452" t="s">
        <v>2972</v>
      </c>
      <c r="C4969" s="879"/>
    </row>
    <row r="4970" spans="1:3" x14ac:dyDescent="0.25">
      <c r="A4970" s="879"/>
      <c r="B4970" s="1452" t="s">
        <v>2973</v>
      </c>
      <c r="C4970" s="879"/>
    </row>
    <row r="4971" spans="1:3" x14ac:dyDescent="0.25">
      <c r="A4971" s="879"/>
      <c r="B4971" s="1452" t="s">
        <v>1382</v>
      </c>
      <c r="C4971" s="879"/>
    </row>
    <row r="4972" spans="1:3" x14ac:dyDescent="0.25">
      <c r="A4972" s="879"/>
      <c r="B4972" s="1452" t="s">
        <v>1367</v>
      </c>
      <c r="C4972" s="879"/>
    </row>
    <row r="4973" spans="1:3" x14ac:dyDescent="0.25">
      <c r="A4973" s="879"/>
      <c r="B4973" s="1452" t="s">
        <v>1460</v>
      </c>
      <c r="C4973" s="879"/>
    </row>
    <row r="4974" spans="1:3" x14ac:dyDescent="0.25">
      <c r="A4974" s="879"/>
      <c r="B4974" s="1452" t="s">
        <v>2974</v>
      </c>
      <c r="C4974" s="879"/>
    </row>
    <row r="4975" spans="1:3" x14ac:dyDescent="0.25">
      <c r="A4975" s="879"/>
      <c r="B4975" s="1452" t="s">
        <v>2975</v>
      </c>
      <c r="C4975" s="879"/>
    </row>
    <row r="4976" spans="1:3" x14ac:dyDescent="0.25">
      <c r="A4976" s="879"/>
      <c r="B4976" s="1452" t="s">
        <v>2976</v>
      </c>
      <c r="C4976" s="879"/>
    </row>
    <row r="4977" spans="1:3" x14ac:dyDescent="0.25">
      <c r="A4977" s="879"/>
      <c r="B4977" s="1452" t="s">
        <v>2977</v>
      </c>
      <c r="C4977" s="879"/>
    </row>
    <row r="4978" spans="1:3" x14ac:dyDescent="0.25">
      <c r="A4978" s="879"/>
      <c r="B4978" s="1452" t="s">
        <v>2978</v>
      </c>
      <c r="C4978" s="879"/>
    </row>
    <row r="4979" spans="1:3" x14ac:dyDescent="0.25">
      <c r="A4979" s="879"/>
      <c r="B4979" s="1452" t="s">
        <v>2979</v>
      </c>
      <c r="C4979" s="879"/>
    </row>
    <row r="4980" spans="1:3" x14ac:dyDescent="0.25">
      <c r="A4980" s="879"/>
      <c r="B4980" s="1452" t="s">
        <v>2980</v>
      </c>
      <c r="C4980" s="879"/>
    </row>
    <row r="4981" spans="1:3" x14ac:dyDescent="0.25">
      <c r="A4981" s="879"/>
      <c r="B4981" s="1452" t="s">
        <v>2981</v>
      </c>
      <c r="C4981" s="879"/>
    </row>
    <row r="4982" spans="1:3" x14ac:dyDescent="0.25">
      <c r="A4982" s="879"/>
      <c r="B4982" s="1452" t="s">
        <v>2982</v>
      </c>
      <c r="C4982" s="879"/>
    </row>
    <row r="4983" spans="1:3" x14ac:dyDescent="0.25">
      <c r="A4983" s="879"/>
      <c r="B4983" s="1452" t="s">
        <v>2983</v>
      </c>
      <c r="C4983" s="879"/>
    </row>
    <row r="4984" spans="1:3" x14ac:dyDescent="0.25">
      <c r="A4984" s="879"/>
      <c r="B4984" s="1452" t="s">
        <v>1466</v>
      </c>
      <c r="C4984" s="879"/>
    </row>
    <row r="4985" spans="1:3" x14ac:dyDescent="0.25">
      <c r="A4985" s="879"/>
      <c r="B4985" s="1452" t="s">
        <v>1467</v>
      </c>
      <c r="C4985" s="879"/>
    </row>
    <row r="4986" spans="1:3" x14ac:dyDescent="0.25">
      <c r="A4986" s="879"/>
      <c r="B4986" s="1452" t="s">
        <v>2984</v>
      </c>
      <c r="C4986" s="879"/>
    </row>
    <row r="4987" spans="1:3" x14ac:dyDescent="0.25">
      <c r="A4987" s="879"/>
      <c r="B4987" s="1452" t="s">
        <v>1469</v>
      </c>
      <c r="C4987" s="879"/>
    </row>
    <row r="4988" spans="1:3" x14ac:dyDescent="0.25">
      <c r="A4988" s="879"/>
      <c r="B4988" s="1452" t="s">
        <v>2985</v>
      </c>
      <c r="C4988" s="879"/>
    </row>
    <row r="4989" spans="1:3" x14ac:dyDescent="0.25">
      <c r="A4989" s="879"/>
      <c r="B4989" s="1452" t="s">
        <v>2986</v>
      </c>
      <c r="C4989" s="879"/>
    </row>
    <row r="4990" spans="1:3" x14ac:dyDescent="0.25">
      <c r="A4990" s="879"/>
      <c r="B4990" s="1452" t="s">
        <v>2987</v>
      </c>
      <c r="C4990" s="879"/>
    </row>
    <row r="4991" spans="1:3" x14ac:dyDescent="0.25">
      <c r="A4991" s="879"/>
      <c r="B4991" s="1452" t="s">
        <v>2988</v>
      </c>
      <c r="C4991" s="879"/>
    </row>
    <row r="4992" spans="1:3" x14ac:dyDescent="0.25">
      <c r="A4992" s="879"/>
      <c r="B4992" s="1452" t="s">
        <v>2989</v>
      </c>
      <c r="C4992" s="879"/>
    </row>
    <row r="4993" spans="1:3" x14ac:dyDescent="0.25">
      <c r="A4993" s="879"/>
      <c r="B4993" s="1452" t="s">
        <v>1471</v>
      </c>
      <c r="C4993" s="879"/>
    </row>
    <row r="4994" spans="1:3" x14ac:dyDescent="0.25">
      <c r="A4994" s="879"/>
      <c r="B4994" s="1452" t="s">
        <v>2990</v>
      </c>
      <c r="C4994" s="879"/>
    </row>
    <row r="4995" spans="1:3" x14ac:dyDescent="0.25">
      <c r="A4995" s="879"/>
      <c r="B4995" s="1452" t="s">
        <v>1955</v>
      </c>
      <c r="C4995" s="879"/>
    </row>
    <row r="4996" spans="1:3" x14ac:dyDescent="0.25">
      <c r="A4996" s="879"/>
      <c r="B4996" s="1452" t="s">
        <v>1473</v>
      </c>
      <c r="C4996" s="879"/>
    </row>
    <row r="4997" spans="1:3" x14ac:dyDescent="0.25">
      <c r="A4997" s="879"/>
      <c r="B4997" s="1452" t="s">
        <v>2991</v>
      </c>
      <c r="C4997" s="879"/>
    </row>
    <row r="4998" spans="1:3" x14ac:dyDescent="0.25">
      <c r="A4998" s="879"/>
      <c r="B4998" s="1452" t="s">
        <v>2992</v>
      </c>
      <c r="C4998" s="879"/>
    </row>
    <row r="4999" spans="1:3" x14ac:dyDescent="0.25">
      <c r="A4999" s="879"/>
      <c r="B4999" s="1452" t="s">
        <v>2993</v>
      </c>
      <c r="C4999" s="879"/>
    </row>
    <row r="5000" spans="1:3" x14ac:dyDescent="0.25">
      <c r="A5000" s="879"/>
      <c r="B5000" s="1452" t="s">
        <v>2994</v>
      </c>
      <c r="C5000" s="879"/>
    </row>
    <row r="5001" spans="1:3" x14ac:dyDescent="0.25">
      <c r="A5001" s="879"/>
      <c r="B5001" s="1452" t="s">
        <v>2995</v>
      </c>
      <c r="C5001" s="879"/>
    </row>
    <row r="5002" spans="1:3" x14ac:dyDescent="0.25">
      <c r="A5002" s="879"/>
      <c r="B5002" s="1452" t="s">
        <v>2996</v>
      </c>
      <c r="C5002" s="879"/>
    </row>
    <row r="5003" spans="1:3" x14ac:dyDescent="0.25">
      <c r="A5003" s="879"/>
      <c r="B5003" s="1452" t="s">
        <v>1478</v>
      </c>
      <c r="C5003" s="879"/>
    </row>
    <row r="5004" spans="1:3" x14ac:dyDescent="0.25">
      <c r="A5004" s="879"/>
      <c r="B5004" s="1452" t="s">
        <v>2997</v>
      </c>
      <c r="C5004" s="879"/>
    </row>
    <row r="5005" spans="1:3" x14ac:dyDescent="0.25">
      <c r="A5005" s="879"/>
      <c r="B5005" s="1452" t="s">
        <v>2998</v>
      </c>
      <c r="C5005" s="879"/>
    </row>
    <row r="5006" spans="1:3" x14ac:dyDescent="0.25">
      <c r="A5006" s="879"/>
      <c r="B5006" s="1452" t="s">
        <v>1479</v>
      </c>
      <c r="C5006" s="879"/>
    </row>
    <row r="5007" spans="1:3" x14ac:dyDescent="0.25">
      <c r="A5007" s="879"/>
      <c r="B5007" s="1452" t="s">
        <v>1480</v>
      </c>
      <c r="C5007" s="879"/>
    </row>
    <row r="5008" spans="1:3" x14ac:dyDescent="0.25">
      <c r="A5008" s="879"/>
      <c r="B5008" s="1452" t="s">
        <v>2999</v>
      </c>
      <c r="C5008" s="879"/>
    </row>
    <row r="5009" spans="1:3" x14ac:dyDescent="0.25">
      <c r="A5009" s="879"/>
      <c r="B5009" s="1452" t="s">
        <v>3000</v>
      </c>
      <c r="C5009" s="879"/>
    </row>
    <row r="5010" spans="1:3" x14ac:dyDescent="0.25">
      <c r="A5010" s="879"/>
      <c r="B5010" s="1452" t="s">
        <v>3001</v>
      </c>
      <c r="C5010" s="879"/>
    </row>
    <row r="5011" spans="1:3" x14ac:dyDescent="0.25">
      <c r="A5011" s="879"/>
      <c r="B5011" s="1452" t="s">
        <v>3002</v>
      </c>
      <c r="C5011" s="879"/>
    </row>
    <row r="5012" spans="1:3" x14ac:dyDescent="0.25">
      <c r="A5012" s="879"/>
      <c r="B5012" s="1452" t="s">
        <v>3003</v>
      </c>
      <c r="C5012" s="879"/>
    </row>
    <row r="5013" spans="1:3" x14ac:dyDescent="0.25">
      <c r="A5013" s="879"/>
      <c r="B5013" s="1452" t="s">
        <v>3004</v>
      </c>
      <c r="C5013" s="879"/>
    </row>
    <row r="5014" spans="1:3" x14ac:dyDescent="0.25">
      <c r="A5014" s="879"/>
      <c r="B5014" s="1452" t="s">
        <v>3005</v>
      </c>
      <c r="C5014" s="879"/>
    </row>
    <row r="5015" spans="1:3" x14ac:dyDescent="0.25">
      <c r="A5015" s="879"/>
      <c r="B5015" s="1452" t="s">
        <v>3006</v>
      </c>
      <c r="C5015" s="879"/>
    </row>
    <row r="5016" spans="1:3" x14ac:dyDescent="0.25">
      <c r="A5016" s="879"/>
      <c r="B5016" s="1452" t="s">
        <v>3007</v>
      </c>
      <c r="C5016" s="879"/>
    </row>
    <row r="5017" spans="1:3" x14ac:dyDescent="0.25">
      <c r="A5017" s="879"/>
      <c r="B5017" s="1452" t="s">
        <v>1481</v>
      </c>
      <c r="C5017" s="879"/>
    </row>
    <row r="5018" spans="1:3" x14ac:dyDescent="0.25">
      <c r="A5018" s="879"/>
      <c r="B5018" s="1452" t="s">
        <v>1482</v>
      </c>
      <c r="C5018" s="879"/>
    </row>
    <row r="5019" spans="1:3" x14ac:dyDescent="0.25">
      <c r="A5019" s="879"/>
      <c r="B5019" s="1452" t="s">
        <v>3008</v>
      </c>
      <c r="C5019" s="879"/>
    </row>
    <row r="5020" spans="1:3" x14ac:dyDescent="0.25">
      <c r="A5020" s="879"/>
      <c r="B5020" s="1452" t="s">
        <v>1484</v>
      </c>
      <c r="C5020" s="879"/>
    </row>
    <row r="5021" spans="1:3" x14ac:dyDescent="0.25">
      <c r="A5021" s="879"/>
      <c r="B5021" s="1452" t="s">
        <v>1430</v>
      </c>
      <c r="C5021" s="879"/>
    </row>
    <row r="5022" spans="1:3" x14ac:dyDescent="0.25">
      <c r="A5022" s="879"/>
      <c r="B5022" s="1452" t="s">
        <v>1367</v>
      </c>
      <c r="C5022" s="879"/>
    </row>
    <row r="5023" spans="1:3" x14ac:dyDescent="0.25">
      <c r="A5023" s="879"/>
      <c r="B5023" s="1452" t="s">
        <v>1449</v>
      </c>
      <c r="C5023" s="879"/>
    </row>
    <row r="5024" spans="1:3" x14ac:dyDescent="0.25">
      <c r="A5024" s="879"/>
      <c r="B5024" s="1452" t="s">
        <v>1367</v>
      </c>
      <c r="C5024" s="879"/>
    </row>
    <row r="5025" spans="1:3" x14ac:dyDescent="0.25">
      <c r="A5025" s="879"/>
      <c r="B5025" s="1452" t="s">
        <v>1450</v>
      </c>
      <c r="C5025" s="879"/>
    </row>
    <row r="5026" spans="1:3" x14ac:dyDescent="0.25">
      <c r="A5026" s="879"/>
      <c r="B5026" s="1452" t="s">
        <v>1451</v>
      </c>
      <c r="C5026" s="879"/>
    </row>
    <row r="5027" spans="1:3" x14ac:dyDescent="0.25">
      <c r="A5027" s="879"/>
      <c r="B5027" s="1452" t="s">
        <v>3009</v>
      </c>
      <c r="C5027" s="879"/>
    </row>
    <row r="5028" spans="1:3" x14ac:dyDescent="0.25">
      <c r="A5028" s="879"/>
      <c r="B5028" s="1452" t="s">
        <v>3010</v>
      </c>
      <c r="C5028" s="879"/>
    </row>
    <row r="5029" spans="1:3" x14ac:dyDescent="0.25">
      <c r="A5029" s="879"/>
      <c r="B5029" s="1452" t="s">
        <v>3011</v>
      </c>
      <c r="C5029" s="879"/>
    </row>
    <row r="5030" spans="1:3" x14ac:dyDescent="0.25">
      <c r="A5030" s="879"/>
      <c r="B5030" s="1452" t="s">
        <v>3012</v>
      </c>
      <c r="C5030" s="879"/>
    </row>
    <row r="5031" spans="1:3" x14ac:dyDescent="0.25">
      <c r="A5031" s="879"/>
      <c r="B5031" s="1452" t="s">
        <v>1684</v>
      </c>
      <c r="C5031" s="879"/>
    </row>
    <row r="5032" spans="1:3" x14ac:dyDescent="0.25">
      <c r="A5032" s="879"/>
      <c r="B5032" s="1452" t="s">
        <v>3013</v>
      </c>
      <c r="C5032" s="879"/>
    </row>
    <row r="5033" spans="1:3" x14ac:dyDescent="0.25">
      <c r="A5033" s="879"/>
      <c r="B5033" s="1452" t="s">
        <v>3014</v>
      </c>
      <c r="C5033" s="879"/>
    </row>
    <row r="5034" spans="1:3" x14ac:dyDescent="0.25">
      <c r="A5034" s="879"/>
      <c r="B5034" s="1452" t="s">
        <v>1685</v>
      </c>
      <c r="C5034" s="879"/>
    </row>
    <row r="5035" spans="1:3" x14ac:dyDescent="0.25">
      <c r="A5035" s="879"/>
      <c r="B5035" s="1452" t="s">
        <v>1686</v>
      </c>
      <c r="C5035" s="879"/>
    </row>
    <row r="5036" spans="1:3" x14ac:dyDescent="0.25">
      <c r="A5036" s="879"/>
      <c r="B5036" s="1452" t="s">
        <v>1454</v>
      </c>
      <c r="C5036" s="879"/>
    </row>
    <row r="5037" spans="1:3" x14ac:dyDescent="0.25">
      <c r="A5037" s="879"/>
      <c r="B5037" s="1452" t="s">
        <v>3015</v>
      </c>
      <c r="C5037" s="879"/>
    </row>
    <row r="5038" spans="1:3" x14ac:dyDescent="0.25">
      <c r="A5038" s="879"/>
      <c r="B5038" s="1452" t="s">
        <v>1455</v>
      </c>
      <c r="C5038" s="879"/>
    </row>
    <row r="5039" spans="1:3" x14ac:dyDescent="0.25">
      <c r="A5039" s="879"/>
      <c r="B5039" s="1452" t="s">
        <v>3016</v>
      </c>
      <c r="C5039" s="879"/>
    </row>
    <row r="5040" spans="1:3" x14ac:dyDescent="0.25">
      <c r="A5040" s="879"/>
      <c r="B5040" s="1452" t="s">
        <v>1688</v>
      </c>
      <c r="C5040" s="879"/>
    </row>
    <row r="5041" spans="1:3" x14ac:dyDescent="0.25">
      <c r="A5041" s="879"/>
      <c r="B5041" s="1452" t="s">
        <v>3017</v>
      </c>
      <c r="C5041" s="879"/>
    </row>
    <row r="5042" spans="1:3" x14ac:dyDescent="0.25">
      <c r="A5042" s="879"/>
      <c r="B5042" s="1452" t="s">
        <v>1456</v>
      </c>
      <c r="C5042" s="879"/>
    </row>
    <row r="5043" spans="1:3" x14ac:dyDescent="0.25">
      <c r="A5043" s="879"/>
      <c r="B5043" s="1452" t="s">
        <v>1367</v>
      </c>
      <c r="C5043" s="879"/>
    </row>
    <row r="5044" spans="1:3" x14ac:dyDescent="0.25">
      <c r="A5044" s="879"/>
      <c r="B5044" s="1452" t="s">
        <v>1450</v>
      </c>
      <c r="C5044" s="879"/>
    </row>
    <row r="5045" spans="1:3" x14ac:dyDescent="0.25">
      <c r="A5045" s="879"/>
      <c r="B5045" s="1452" t="s">
        <v>1451</v>
      </c>
      <c r="C5045" s="879"/>
    </row>
    <row r="5046" spans="1:3" x14ac:dyDescent="0.25">
      <c r="A5046" s="879"/>
      <c r="B5046" s="1452" t="s">
        <v>3009</v>
      </c>
      <c r="C5046" s="879"/>
    </row>
    <row r="5047" spans="1:3" x14ac:dyDescent="0.25">
      <c r="A5047" s="879"/>
      <c r="B5047" s="1452" t="s">
        <v>3010</v>
      </c>
      <c r="C5047" s="879"/>
    </row>
    <row r="5048" spans="1:3" x14ac:dyDescent="0.25">
      <c r="A5048" s="879"/>
      <c r="B5048" s="1452" t="s">
        <v>3011</v>
      </c>
      <c r="C5048" s="879"/>
    </row>
    <row r="5049" spans="1:3" x14ac:dyDescent="0.25">
      <c r="A5049" s="879"/>
      <c r="B5049" s="1452" t="s">
        <v>3012</v>
      </c>
      <c r="C5049" s="879"/>
    </row>
    <row r="5050" spans="1:3" x14ac:dyDescent="0.25">
      <c r="A5050" s="879"/>
      <c r="B5050" s="1452" t="s">
        <v>1684</v>
      </c>
      <c r="C5050" s="879"/>
    </row>
    <row r="5051" spans="1:3" x14ac:dyDescent="0.25">
      <c r="A5051" s="879"/>
      <c r="B5051" s="1452" t="s">
        <v>3013</v>
      </c>
      <c r="C5051" s="879"/>
    </row>
    <row r="5052" spans="1:3" x14ac:dyDescent="0.25">
      <c r="A5052" s="879"/>
      <c r="B5052" s="1452" t="s">
        <v>3014</v>
      </c>
      <c r="C5052" s="879"/>
    </row>
    <row r="5053" spans="1:3" x14ac:dyDescent="0.25">
      <c r="A5053" s="879"/>
      <c r="B5053" s="1452" t="s">
        <v>1685</v>
      </c>
      <c r="C5053" s="879"/>
    </row>
    <row r="5054" spans="1:3" x14ac:dyDescent="0.25">
      <c r="A5054" s="879"/>
      <c r="B5054" s="1452" t="s">
        <v>1686</v>
      </c>
      <c r="C5054" s="879"/>
    </row>
    <row r="5055" spans="1:3" x14ac:dyDescent="0.25">
      <c r="A5055" s="879"/>
      <c r="B5055" s="1452" t="s">
        <v>1454</v>
      </c>
      <c r="C5055" s="879"/>
    </row>
    <row r="5056" spans="1:3" x14ac:dyDescent="0.25">
      <c r="A5056" s="879"/>
      <c r="B5056" s="1452" t="s">
        <v>3015</v>
      </c>
      <c r="C5056" s="879"/>
    </row>
    <row r="5057" spans="1:3" x14ac:dyDescent="0.25">
      <c r="A5057" s="879"/>
      <c r="B5057" s="1452" t="s">
        <v>1455</v>
      </c>
      <c r="C5057" s="879"/>
    </row>
    <row r="5058" spans="1:3" x14ac:dyDescent="0.25">
      <c r="A5058" s="879"/>
      <c r="B5058" s="1452" t="s">
        <v>3016</v>
      </c>
      <c r="C5058" s="879"/>
    </row>
    <row r="5059" spans="1:3" x14ac:dyDescent="0.25">
      <c r="A5059" s="879"/>
      <c r="B5059" s="1452" t="s">
        <v>1688</v>
      </c>
      <c r="C5059" s="879"/>
    </row>
    <row r="5060" spans="1:3" x14ac:dyDescent="0.25">
      <c r="A5060" s="879"/>
      <c r="B5060" s="1452" t="s">
        <v>3017</v>
      </c>
      <c r="C5060" s="879"/>
    </row>
    <row r="5061" spans="1:3" x14ac:dyDescent="0.25">
      <c r="A5061" s="879"/>
      <c r="B5061" s="1452" t="s">
        <v>1690</v>
      </c>
      <c r="C5061" s="879"/>
    </row>
    <row r="5062" spans="1:3" x14ac:dyDescent="0.25">
      <c r="A5062" s="879"/>
      <c r="B5062" s="1452" t="s">
        <v>1367</v>
      </c>
      <c r="C5062" s="879"/>
    </row>
    <row r="5063" spans="1:3" x14ac:dyDescent="0.25">
      <c r="A5063" s="879"/>
      <c r="B5063" s="1452" t="s">
        <v>1691</v>
      </c>
      <c r="C5063" s="879"/>
    </row>
    <row r="5064" spans="1:3" x14ac:dyDescent="0.25">
      <c r="A5064" s="879"/>
      <c r="B5064" s="1452" t="s">
        <v>1692</v>
      </c>
      <c r="C5064" s="879"/>
    </row>
    <row r="5065" spans="1:3" x14ac:dyDescent="0.25">
      <c r="A5065" s="879"/>
      <c r="B5065" s="1452" t="s">
        <v>1693</v>
      </c>
      <c r="C5065" s="879"/>
    </row>
    <row r="5066" spans="1:3" x14ac:dyDescent="0.25">
      <c r="A5066" s="879"/>
      <c r="B5066" s="1452" t="s">
        <v>1694</v>
      </c>
      <c r="C5066" s="879"/>
    </row>
    <row r="5067" spans="1:3" x14ac:dyDescent="0.25">
      <c r="A5067" s="879"/>
      <c r="B5067" s="1452" t="s">
        <v>1695</v>
      </c>
      <c r="C5067" s="879"/>
    </row>
    <row r="5068" spans="1:3" x14ac:dyDescent="0.25">
      <c r="A5068" s="879"/>
      <c r="B5068" s="1452" t="s">
        <v>1696</v>
      </c>
      <c r="C5068" s="879"/>
    </row>
    <row r="5069" spans="1:3" x14ac:dyDescent="0.25">
      <c r="A5069" s="879"/>
      <c r="B5069" s="1452" t="s">
        <v>1697</v>
      </c>
      <c r="C5069" s="879"/>
    </row>
    <row r="5070" spans="1:3" x14ac:dyDescent="0.25">
      <c r="A5070" s="879"/>
      <c r="B5070" s="1452" t="s">
        <v>1698</v>
      </c>
      <c r="C5070" s="879"/>
    </row>
    <row r="5071" spans="1:3" x14ac:dyDescent="0.25">
      <c r="A5071" s="879"/>
      <c r="B5071" s="1452" t="s">
        <v>1699</v>
      </c>
      <c r="C5071" s="879"/>
    </row>
    <row r="5072" spans="1:3" x14ac:dyDescent="0.25">
      <c r="A5072" s="879"/>
      <c r="B5072" s="1452" t="s">
        <v>1700</v>
      </c>
      <c r="C5072" s="879"/>
    </row>
    <row r="5073" spans="1:3" x14ac:dyDescent="0.25">
      <c r="A5073" s="879"/>
      <c r="B5073" s="1452" t="s">
        <v>1701</v>
      </c>
      <c r="C5073" s="879"/>
    </row>
    <row r="5074" spans="1:3" x14ac:dyDescent="0.25">
      <c r="A5074" s="879"/>
      <c r="B5074" s="1452" t="s">
        <v>1702</v>
      </c>
      <c r="C5074" s="879"/>
    </row>
    <row r="5075" spans="1:3" x14ac:dyDescent="0.25">
      <c r="A5075" s="879"/>
      <c r="B5075" s="1452" t="s">
        <v>1703</v>
      </c>
      <c r="C5075" s="879"/>
    </row>
    <row r="5076" spans="1:3" x14ac:dyDescent="0.25">
      <c r="A5076" s="879"/>
      <c r="B5076" s="1452" t="s">
        <v>1704</v>
      </c>
      <c r="C5076" s="879"/>
    </row>
    <row r="5077" spans="1:3" x14ac:dyDescent="0.25">
      <c r="A5077" s="879"/>
      <c r="B5077" s="1452" t="s">
        <v>1705</v>
      </c>
      <c r="C5077" s="879"/>
    </row>
    <row r="5078" spans="1:3" x14ac:dyDescent="0.25">
      <c r="A5078" s="879"/>
      <c r="B5078" s="1452"/>
      <c r="C5078" s="879"/>
    </row>
    <row r="5079" spans="1:3" x14ac:dyDescent="0.25">
      <c r="A5079" s="879"/>
      <c r="B5079" s="1452"/>
      <c r="C5079" s="879"/>
    </row>
    <row r="5080" spans="1:3" x14ac:dyDescent="0.25">
      <c r="A5080" s="879"/>
      <c r="B5080" s="1452" t="s">
        <v>1368</v>
      </c>
      <c r="C5080" s="879"/>
    </row>
    <row r="5081" spans="1:3" x14ac:dyDescent="0.25">
      <c r="A5081" s="879"/>
      <c r="B5081" s="1452" t="s">
        <v>3018</v>
      </c>
      <c r="C5081" s="879"/>
    </row>
    <row r="5082" spans="1:3" x14ac:dyDescent="0.25">
      <c r="A5082" s="879"/>
      <c r="B5082" s="1452" t="s">
        <v>1368</v>
      </c>
      <c r="C5082" s="879"/>
    </row>
    <row r="5083" spans="1:3" x14ac:dyDescent="0.25">
      <c r="A5083" s="879"/>
      <c r="B5083" s="1452" t="s">
        <v>3019</v>
      </c>
      <c r="C5083" s="879"/>
    </row>
    <row r="5084" spans="1:3" x14ac:dyDescent="0.25">
      <c r="A5084" s="879"/>
      <c r="B5084" s="1452" t="s">
        <v>1367</v>
      </c>
      <c r="C5084" s="879"/>
    </row>
    <row r="5085" spans="1:3" x14ac:dyDescent="0.25">
      <c r="A5085" s="879"/>
      <c r="B5085" s="1452" t="s">
        <v>1369</v>
      </c>
      <c r="C5085" s="879"/>
    </row>
    <row r="5086" spans="1:3" x14ac:dyDescent="0.25">
      <c r="A5086" s="879"/>
      <c r="B5086" s="1452" t="s">
        <v>1370</v>
      </c>
      <c r="C5086" s="879"/>
    </row>
    <row r="5087" spans="1:3" x14ac:dyDescent="0.25">
      <c r="A5087" s="879"/>
      <c r="B5087" s="1452" t="s">
        <v>1367</v>
      </c>
      <c r="C5087" s="879"/>
    </row>
    <row r="5088" spans="1:3" x14ac:dyDescent="0.25">
      <c r="A5088" s="879"/>
      <c r="B5088" s="1452" t="s">
        <v>1460</v>
      </c>
      <c r="C5088" s="879"/>
    </row>
    <row r="5089" spans="1:3" x14ac:dyDescent="0.25">
      <c r="A5089" s="879"/>
      <c r="B5089" s="1452" t="s">
        <v>1461</v>
      </c>
      <c r="C5089" s="879"/>
    </row>
    <row r="5090" spans="1:3" x14ac:dyDescent="0.25">
      <c r="A5090" s="879"/>
      <c r="B5090" s="1452" t="s">
        <v>2936</v>
      </c>
      <c r="C5090" s="879"/>
    </row>
    <row r="5091" spans="1:3" x14ac:dyDescent="0.25">
      <c r="A5091" s="879"/>
      <c r="B5091" s="1452" t="s">
        <v>2967</v>
      </c>
      <c r="C5091" s="879"/>
    </row>
    <row r="5092" spans="1:3" x14ac:dyDescent="0.25">
      <c r="A5092" s="879"/>
      <c r="B5092" s="1452" t="s">
        <v>1710</v>
      </c>
      <c r="C5092" s="879"/>
    </row>
    <row r="5093" spans="1:3" x14ac:dyDescent="0.25">
      <c r="A5093" s="879"/>
      <c r="B5093" s="1452" t="s">
        <v>1711</v>
      </c>
      <c r="C5093" s="879"/>
    </row>
    <row r="5094" spans="1:3" x14ac:dyDescent="0.25">
      <c r="A5094" s="879"/>
      <c r="B5094" s="1452" t="s">
        <v>1712</v>
      </c>
      <c r="C5094" s="879"/>
    </row>
    <row r="5095" spans="1:3" x14ac:dyDescent="0.25">
      <c r="A5095" s="879"/>
      <c r="B5095" s="1452" t="s">
        <v>3020</v>
      </c>
      <c r="C5095" s="879"/>
    </row>
    <row r="5096" spans="1:3" x14ac:dyDescent="0.25">
      <c r="A5096" s="879"/>
      <c r="B5096" s="1452" t="s">
        <v>3021</v>
      </c>
      <c r="C5096" s="879"/>
    </row>
    <row r="5097" spans="1:3" x14ac:dyDescent="0.25">
      <c r="A5097" s="879"/>
      <c r="B5097" s="1452" t="s">
        <v>3022</v>
      </c>
      <c r="C5097" s="879"/>
    </row>
    <row r="5098" spans="1:3" x14ac:dyDescent="0.25">
      <c r="A5098" s="879"/>
      <c r="B5098" s="1452" t="s">
        <v>1716</v>
      </c>
      <c r="C5098" s="879"/>
    </row>
    <row r="5099" spans="1:3" x14ac:dyDescent="0.25">
      <c r="A5099" s="879"/>
      <c r="B5099" s="1452" t="s">
        <v>1382</v>
      </c>
      <c r="C5099" s="879"/>
    </row>
    <row r="5100" spans="1:3" x14ac:dyDescent="0.25">
      <c r="A5100" s="879"/>
      <c r="B5100" s="1452" t="s">
        <v>1367</v>
      </c>
      <c r="C5100" s="879"/>
    </row>
    <row r="5101" spans="1:3" x14ac:dyDescent="0.25">
      <c r="A5101" s="879"/>
      <c r="B5101" s="1452" t="s">
        <v>1460</v>
      </c>
      <c r="C5101" s="879"/>
    </row>
    <row r="5102" spans="1:3" x14ac:dyDescent="0.25">
      <c r="A5102" s="879"/>
      <c r="B5102" s="1452" t="s">
        <v>1537</v>
      </c>
      <c r="C5102" s="879"/>
    </row>
    <row r="5103" spans="1:3" x14ac:dyDescent="0.25">
      <c r="A5103" s="879"/>
      <c r="B5103" s="1452" t="s">
        <v>3023</v>
      </c>
      <c r="C5103" s="879"/>
    </row>
    <row r="5104" spans="1:3" x14ac:dyDescent="0.25">
      <c r="A5104" s="879"/>
      <c r="B5104" s="1452" t="s">
        <v>3024</v>
      </c>
      <c r="C5104" s="879"/>
    </row>
    <row r="5105" spans="1:3" x14ac:dyDescent="0.25">
      <c r="A5105" s="879"/>
      <c r="B5105" s="1452" t="s">
        <v>3025</v>
      </c>
      <c r="C5105" s="879"/>
    </row>
    <row r="5106" spans="1:3" x14ac:dyDescent="0.25">
      <c r="A5106" s="879"/>
      <c r="B5106" s="1452" t="s">
        <v>3026</v>
      </c>
      <c r="C5106" s="879"/>
    </row>
    <row r="5107" spans="1:3" x14ac:dyDescent="0.25">
      <c r="A5107" s="879"/>
      <c r="B5107" s="1452" t="s">
        <v>3027</v>
      </c>
      <c r="C5107" s="879"/>
    </row>
    <row r="5108" spans="1:3" x14ac:dyDescent="0.25">
      <c r="A5108" s="879"/>
      <c r="B5108" s="1452" t="s">
        <v>3028</v>
      </c>
      <c r="C5108" s="879"/>
    </row>
    <row r="5109" spans="1:3" x14ac:dyDescent="0.25">
      <c r="A5109" s="879"/>
      <c r="B5109" s="1452" t="s">
        <v>3029</v>
      </c>
      <c r="C5109" s="879"/>
    </row>
    <row r="5110" spans="1:3" x14ac:dyDescent="0.25">
      <c r="A5110" s="879"/>
      <c r="B5110" s="1452" t="s">
        <v>1464</v>
      </c>
      <c r="C5110" s="879"/>
    </row>
    <row r="5111" spans="1:3" x14ac:dyDescent="0.25">
      <c r="A5111" s="879"/>
      <c r="B5111" s="1452" t="s">
        <v>1465</v>
      </c>
      <c r="C5111" s="879"/>
    </row>
    <row r="5112" spans="1:3" x14ac:dyDescent="0.25">
      <c r="A5112" s="879"/>
      <c r="B5112" s="1452" t="s">
        <v>1466</v>
      </c>
      <c r="C5112" s="879"/>
    </row>
    <row r="5113" spans="1:3" x14ac:dyDescent="0.25">
      <c r="A5113" s="879"/>
      <c r="B5113" s="1452" t="s">
        <v>1467</v>
      </c>
      <c r="C5113" s="879"/>
    </row>
    <row r="5114" spans="1:3" x14ac:dyDescent="0.25">
      <c r="A5114" s="879"/>
      <c r="B5114" s="1452" t="s">
        <v>1468</v>
      </c>
      <c r="C5114" s="879"/>
    </row>
    <row r="5115" spans="1:3" x14ac:dyDescent="0.25">
      <c r="A5115" s="879"/>
      <c r="B5115" s="1452" t="s">
        <v>1469</v>
      </c>
      <c r="C5115" s="879"/>
    </row>
    <row r="5116" spans="1:3" x14ac:dyDescent="0.25">
      <c r="A5116" s="879"/>
      <c r="B5116" s="1452" t="s">
        <v>3030</v>
      </c>
      <c r="C5116" s="879"/>
    </row>
    <row r="5117" spans="1:3" x14ac:dyDescent="0.25">
      <c r="A5117" s="879"/>
      <c r="B5117" s="1452" t="s">
        <v>1545</v>
      </c>
      <c r="C5117" s="879"/>
    </row>
    <row r="5118" spans="1:3" x14ac:dyDescent="0.25">
      <c r="A5118" s="879"/>
      <c r="B5118" s="1452" t="s">
        <v>3031</v>
      </c>
      <c r="C5118" s="879"/>
    </row>
    <row r="5119" spans="1:3" x14ac:dyDescent="0.25">
      <c r="A5119" s="879"/>
      <c r="B5119" s="1452" t="s">
        <v>1726</v>
      </c>
      <c r="C5119" s="879"/>
    </row>
    <row r="5120" spans="1:3" x14ac:dyDescent="0.25">
      <c r="A5120" s="879"/>
      <c r="B5120" s="1452" t="s">
        <v>1547</v>
      </c>
      <c r="C5120" s="879"/>
    </row>
    <row r="5121" spans="1:3" x14ac:dyDescent="0.25">
      <c r="A5121" s="879"/>
      <c r="B5121" s="1452" t="s">
        <v>1471</v>
      </c>
      <c r="C5121" s="879"/>
    </row>
    <row r="5122" spans="1:3" x14ac:dyDescent="0.25">
      <c r="A5122" s="879"/>
      <c r="B5122" s="1452" t="s">
        <v>3032</v>
      </c>
      <c r="C5122" s="879"/>
    </row>
    <row r="5123" spans="1:3" x14ac:dyDescent="0.25">
      <c r="A5123" s="879"/>
      <c r="B5123" s="1452" t="s">
        <v>1548</v>
      </c>
      <c r="C5123" s="879"/>
    </row>
    <row r="5124" spans="1:3" x14ac:dyDescent="0.25">
      <c r="A5124" s="879"/>
      <c r="B5124" s="1452" t="s">
        <v>1473</v>
      </c>
      <c r="C5124" s="879"/>
    </row>
    <row r="5125" spans="1:3" x14ac:dyDescent="0.25">
      <c r="A5125" s="879"/>
      <c r="B5125" s="1452" t="s">
        <v>3033</v>
      </c>
      <c r="C5125" s="879"/>
    </row>
    <row r="5126" spans="1:3" x14ac:dyDescent="0.25">
      <c r="A5126" s="879"/>
      <c r="B5126" s="1452" t="s">
        <v>3034</v>
      </c>
      <c r="C5126" s="879"/>
    </row>
    <row r="5127" spans="1:3" x14ac:dyDescent="0.25">
      <c r="A5127" s="879"/>
      <c r="B5127" s="1452" t="s">
        <v>1730</v>
      </c>
      <c r="C5127" s="879"/>
    </row>
    <row r="5128" spans="1:3" x14ac:dyDescent="0.25">
      <c r="A5128" s="879"/>
      <c r="B5128" s="1452" t="s">
        <v>3035</v>
      </c>
      <c r="C5128" s="879"/>
    </row>
    <row r="5129" spans="1:3" x14ac:dyDescent="0.25">
      <c r="A5129" s="879"/>
      <c r="B5129" s="1452" t="s">
        <v>1553</v>
      </c>
      <c r="C5129" s="879"/>
    </row>
    <row r="5130" spans="1:3" x14ac:dyDescent="0.25">
      <c r="A5130" s="879"/>
      <c r="B5130" s="1452" t="s">
        <v>1732</v>
      </c>
      <c r="C5130" s="879"/>
    </row>
    <row r="5131" spans="1:3" x14ac:dyDescent="0.25">
      <c r="A5131" s="879"/>
      <c r="B5131" s="1452" t="s">
        <v>1478</v>
      </c>
      <c r="C5131" s="879"/>
    </row>
    <row r="5132" spans="1:3" x14ac:dyDescent="0.25">
      <c r="A5132" s="879"/>
      <c r="B5132" s="1452" t="s">
        <v>3036</v>
      </c>
      <c r="C5132" s="879"/>
    </row>
    <row r="5133" spans="1:3" x14ac:dyDescent="0.25">
      <c r="A5133" s="879"/>
      <c r="B5133" s="1452" t="s">
        <v>1734</v>
      </c>
      <c r="C5133" s="879"/>
    </row>
    <row r="5134" spans="1:3" x14ac:dyDescent="0.25">
      <c r="A5134" s="879"/>
      <c r="B5134" s="1452" t="s">
        <v>1479</v>
      </c>
      <c r="C5134" s="879"/>
    </row>
    <row r="5135" spans="1:3" x14ac:dyDescent="0.25">
      <c r="A5135" s="879"/>
      <c r="B5135" s="1452" t="s">
        <v>1480</v>
      </c>
      <c r="C5135" s="879"/>
    </row>
    <row r="5136" spans="1:3" x14ac:dyDescent="0.25">
      <c r="A5136" s="879"/>
      <c r="B5136" s="1452" t="s">
        <v>3037</v>
      </c>
      <c r="C5136" s="879"/>
    </row>
    <row r="5137" spans="1:3" x14ac:dyDescent="0.25">
      <c r="A5137" s="879"/>
      <c r="B5137" s="1452" t="s">
        <v>3038</v>
      </c>
      <c r="C5137" s="879"/>
    </row>
    <row r="5138" spans="1:3" x14ac:dyDescent="0.25">
      <c r="A5138" s="879"/>
      <c r="B5138" s="1452" t="s">
        <v>3039</v>
      </c>
      <c r="C5138" s="879"/>
    </row>
    <row r="5139" spans="1:3" x14ac:dyDescent="0.25">
      <c r="A5139" s="879"/>
      <c r="B5139" s="1452" t="s">
        <v>3040</v>
      </c>
      <c r="C5139" s="879"/>
    </row>
    <row r="5140" spans="1:3" x14ac:dyDescent="0.25">
      <c r="A5140" s="879"/>
      <c r="B5140" s="1452" t="s">
        <v>3041</v>
      </c>
      <c r="C5140" s="879"/>
    </row>
    <row r="5141" spans="1:3" x14ac:dyDescent="0.25">
      <c r="A5141" s="879"/>
      <c r="B5141" s="1452" t="s">
        <v>3042</v>
      </c>
      <c r="C5141" s="879"/>
    </row>
    <row r="5142" spans="1:3" x14ac:dyDescent="0.25">
      <c r="A5142" s="879"/>
      <c r="B5142" s="1452" t="s">
        <v>3043</v>
      </c>
      <c r="C5142" s="879"/>
    </row>
    <row r="5143" spans="1:3" x14ac:dyDescent="0.25">
      <c r="A5143" s="879"/>
      <c r="B5143" s="1452" t="s">
        <v>1969</v>
      </c>
      <c r="C5143" s="879"/>
    </row>
    <row r="5144" spans="1:3" x14ac:dyDescent="0.25">
      <c r="A5144" s="879"/>
      <c r="B5144" s="1452" t="s">
        <v>3044</v>
      </c>
      <c r="C5144" s="879"/>
    </row>
    <row r="5145" spans="1:3" x14ac:dyDescent="0.25">
      <c r="A5145" s="879"/>
      <c r="B5145" s="1452" t="s">
        <v>1481</v>
      </c>
      <c r="C5145" s="879"/>
    </row>
    <row r="5146" spans="1:3" x14ac:dyDescent="0.25">
      <c r="A5146" s="879"/>
      <c r="B5146" s="1452" t="s">
        <v>1562</v>
      </c>
      <c r="C5146" s="879"/>
    </row>
    <row r="5147" spans="1:3" x14ac:dyDescent="0.25">
      <c r="A5147" s="879"/>
      <c r="B5147" s="1452" t="s">
        <v>1744</v>
      </c>
      <c r="C5147" s="879"/>
    </row>
    <row r="5148" spans="1:3" x14ac:dyDescent="0.25">
      <c r="A5148" s="879"/>
      <c r="B5148" s="1452" t="s">
        <v>1484</v>
      </c>
      <c r="C5148" s="879"/>
    </row>
    <row r="5149" spans="1:3" x14ac:dyDescent="0.25">
      <c r="A5149" s="879"/>
      <c r="B5149" s="1452" t="s">
        <v>1430</v>
      </c>
      <c r="C5149" s="879"/>
    </row>
    <row r="5150" spans="1:3" x14ac:dyDescent="0.25">
      <c r="A5150" s="879"/>
      <c r="B5150" s="1452" t="s">
        <v>1367</v>
      </c>
      <c r="C5150" s="879"/>
    </row>
    <row r="5151" spans="1:3" x14ac:dyDescent="0.25">
      <c r="A5151" s="879"/>
      <c r="B5151" s="1452" t="s">
        <v>1449</v>
      </c>
      <c r="C5151" s="879"/>
    </row>
    <row r="5152" spans="1:3" x14ac:dyDescent="0.25">
      <c r="A5152" s="879"/>
      <c r="B5152" s="1452" t="s">
        <v>1367</v>
      </c>
      <c r="C5152" s="879"/>
    </row>
    <row r="5153" spans="1:3" x14ac:dyDescent="0.25">
      <c r="A5153" s="879"/>
      <c r="B5153" s="1452" t="s">
        <v>1450</v>
      </c>
      <c r="C5153" s="879"/>
    </row>
    <row r="5154" spans="1:3" x14ac:dyDescent="0.25">
      <c r="A5154" s="879"/>
      <c r="B5154" s="1452" t="s">
        <v>1451</v>
      </c>
      <c r="C5154" s="879"/>
    </row>
    <row r="5155" spans="1:3" x14ac:dyDescent="0.25">
      <c r="A5155" s="879"/>
      <c r="B5155" s="1452" t="s">
        <v>1452</v>
      </c>
      <c r="C5155" s="879"/>
    </row>
    <row r="5156" spans="1:3" x14ac:dyDescent="0.25">
      <c r="A5156" s="879"/>
      <c r="B5156" s="1452" t="s">
        <v>1681</v>
      </c>
      <c r="C5156" s="879"/>
    </row>
    <row r="5157" spans="1:3" x14ac:dyDescent="0.25">
      <c r="A5157" s="879"/>
      <c r="B5157" s="1452" t="s">
        <v>1682</v>
      </c>
      <c r="C5157" s="879"/>
    </row>
    <row r="5158" spans="1:3" x14ac:dyDescent="0.25">
      <c r="A5158" s="879"/>
      <c r="B5158" s="1452" t="s">
        <v>1517</v>
      </c>
      <c r="C5158" s="879"/>
    </row>
    <row r="5159" spans="1:3" x14ac:dyDescent="0.25">
      <c r="A5159" s="879"/>
      <c r="B5159" s="1452" t="s">
        <v>1684</v>
      </c>
      <c r="C5159" s="879"/>
    </row>
    <row r="5160" spans="1:3" x14ac:dyDescent="0.25">
      <c r="A5160" s="879"/>
      <c r="B5160" s="1452" t="s">
        <v>1453</v>
      </c>
      <c r="C5160" s="879"/>
    </row>
    <row r="5161" spans="1:3" x14ac:dyDescent="0.25">
      <c r="A5161" s="879"/>
      <c r="B5161" s="1452" t="s">
        <v>1745</v>
      </c>
      <c r="C5161" s="879"/>
    </row>
    <row r="5162" spans="1:3" x14ac:dyDescent="0.25">
      <c r="A5162" s="879"/>
      <c r="B5162" s="1452" t="s">
        <v>1685</v>
      </c>
      <c r="C5162" s="879"/>
    </row>
    <row r="5163" spans="1:3" x14ac:dyDescent="0.25">
      <c r="A5163" s="879"/>
      <c r="B5163" s="1452" t="s">
        <v>1686</v>
      </c>
      <c r="C5163" s="879"/>
    </row>
    <row r="5164" spans="1:3" x14ac:dyDescent="0.25">
      <c r="A5164" s="879"/>
      <c r="B5164" s="1452" t="s">
        <v>1454</v>
      </c>
      <c r="C5164" s="879"/>
    </row>
    <row r="5165" spans="1:3" x14ac:dyDescent="0.25">
      <c r="A5165" s="879"/>
      <c r="B5165" s="1452" t="s">
        <v>1486</v>
      </c>
      <c r="C5165" s="879"/>
    </row>
    <row r="5166" spans="1:3" x14ac:dyDescent="0.25">
      <c r="A5166" s="879"/>
      <c r="B5166" s="1452" t="s">
        <v>1455</v>
      </c>
      <c r="C5166" s="879"/>
    </row>
    <row r="5167" spans="1:3" x14ac:dyDescent="0.25">
      <c r="A5167" s="879"/>
      <c r="B5167" s="1452" t="s">
        <v>1518</v>
      </c>
      <c r="C5167" s="879"/>
    </row>
    <row r="5168" spans="1:3" x14ac:dyDescent="0.25">
      <c r="A5168" s="879"/>
      <c r="B5168" s="1452" t="s">
        <v>1688</v>
      </c>
      <c r="C5168" s="879"/>
    </row>
    <row r="5169" spans="1:3" x14ac:dyDescent="0.25">
      <c r="A5169" s="879"/>
      <c r="B5169" s="1452" t="s">
        <v>1746</v>
      </c>
      <c r="C5169" s="879"/>
    </row>
    <row r="5170" spans="1:3" x14ac:dyDescent="0.25">
      <c r="A5170" s="879"/>
      <c r="B5170" s="1452" t="s">
        <v>1456</v>
      </c>
      <c r="C5170" s="879"/>
    </row>
    <row r="5171" spans="1:3" x14ac:dyDescent="0.25">
      <c r="A5171" s="879"/>
      <c r="B5171" s="1452" t="s">
        <v>1367</v>
      </c>
      <c r="C5171" s="879"/>
    </row>
    <row r="5172" spans="1:3" x14ac:dyDescent="0.25">
      <c r="A5172" s="879"/>
      <c r="B5172" s="1452" t="s">
        <v>1450</v>
      </c>
      <c r="C5172" s="879"/>
    </row>
    <row r="5173" spans="1:3" x14ac:dyDescent="0.25">
      <c r="A5173" s="879"/>
      <c r="B5173" s="1452" t="s">
        <v>1451</v>
      </c>
      <c r="C5173" s="879"/>
    </row>
    <row r="5174" spans="1:3" x14ac:dyDescent="0.25">
      <c r="A5174" s="879"/>
      <c r="B5174" s="1452" t="s">
        <v>1452</v>
      </c>
      <c r="C5174" s="879"/>
    </row>
    <row r="5175" spans="1:3" x14ac:dyDescent="0.25">
      <c r="A5175" s="879"/>
      <c r="B5175" s="1452" t="s">
        <v>1681</v>
      </c>
      <c r="C5175" s="879"/>
    </row>
    <row r="5176" spans="1:3" x14ac:dyDescent="0.25">
      <c r="A5176" s="879"/>
      <c r="B5176" s="1452" t="s">
        <v>1682</v>
      </c>
      <c r="C5176" s="879"/>
    </row>
    <row r="5177" spans="1:3" x14ac:dyDescent="0.25">
      <c r="A5177" s="879"/>
      <c r="B5177" s="1452" t="s">
        <v>1517</v>
      </c>
      <c r="C5177" s="879"/>
    </row>
    <row r="5178" spans="1:3" x14ac:dyDescent="0.25">
      <c r="A5178" s="879"/>
      <c r="B5178" s="1452" t="s">
        <v>1684</v>
      </c>
      <c r="C5178" s="879"/>
    </row>
    <row r="5179" spans="1:3" x14ac:dyDescent="0.25">
      <c r="A5179" s="879"/>
      <c r="B5179" s="1452" t="s">
        <v>1453</v>
      </c>
      <c r="C5179" s="879"/>
    </row>
    <row r="5180" spans="1:3" x14ac:dyDescent="0.25">
      <c r="A5180" s="879"/>
      <c r="B5180" s="1452" t="s">
        <v>1745</v>
      </c>
      <c r="C5180" s="879"/>
    </row>
    <row r="5181" spans="1:3" x14ac:dyDescent="0.25">
      <c r="A5181" s="879"/>
      <c r="B5181" s="1452" t="s">
        <v>1685</v>
      </c>
      <c r="C5181" s="879"/>
    </row>
    <row r="5182" spans="1:3" x14ac:dyDescent="0.25">
      <c r="A5182" s="879"/>
      <c r="B5182" s="1452" t="s">
        <v>1686</v>
      </c>
      <c r="C5182" s="879"/>
    </row>
    <row r="5183" spans="1:3" x14ac:dyDescent="0.25">
      <c r="A5183" s="879"/>
      <c r="B5183" s="1452" t="s">
        <v>1454</v>
      </c>
      <c r="C5183" s="879"/>
    </row>
    <row r="5184" spans="1:3" x14ac:dyDescent="0.25">
      <c r="A5184" s="879"/>
      <c r="B5184" s="1452" t="s">
        <v>1486</v>
      </c>
      <c r="C5184" s="879"/>
    </row>
    <row r="5185" spans="1:3" x14ac:dyDescent="0.25">
      <c r="A5185" s="879"/>
      <c r="B5185" s="1452" t="s">
        <v>1455</v>
      </c>
      <c r="C5185" s="879"/>
    </row>
    <row r="5186" spans="1:3" x14ac:dyDescent="0.25">
      <c r="A5186" s="879"/>
      <c r="B5186" s="1452" t="s">
        <v>1518</v>
      </c>
      <c r="C5186" s="879"/>
    </row>
    <row r="5187" spans="1:3" x14ac:dyDescent="0.25">
      <c r="A5187" s="879"/>
      <c r="B5187" s="1452" t="s">
        <v>1688</v>
      </c>
      <c r="C5187" s="879"/>
    </row>
    <row r="5188" spans="1:3" x14ac:dyDescent="0.25">
      <c r="A5188" s="879"/>
      <c r="B5188" s="1452" t="s">
        <v>1746</v>
      </c>
      <c r="C5188" s="879"/>
    </row>
    <row r="5189" spans="1:3" x14ac:dyDescent="0.25">
      <c r="A5189" s="879"/>
      <c r="B5189" s="1452" t="s">
        <v>1690</v>
      </c>
      <c r="C5189" s="879"/>
    </row>
    <row r="5190" spans="1:3" x14ac:dyDescent="0.25">
      <c r="A5190" s="879"/>
      <c r="B5190" s="1452" t="s">
        <v>1367</v>
      </c>
      <c r="C5190" s="879"/>
    </row>
    <row r="5191" spans="1:3" x14ac:dyDescent="0.25">
      <c r="A5191" s="879"/>
      <c r="B5191" s="1452" t="s">
        <v>1691</v>
      </c>
      <c r="C5191" s="879"/>
    </row>
    <row r="5192" spans="1:3" x14ac:dyDescent="0.25">
      <c r="A5192" s="879"/>
      <c r="B5192" s="1452" t="s">
        <v>1692</v>
      </c>
      <c r="C5192" s="879"/>
    </row>
    <row r="5193" spans="1:3" x14ac:dyDescent="0.25">
      <c r="A5193" s="879"/>
      <c r="B5193" s="1452" t="s">
        <v>1693</v>
      </c>
      <c r="C5193" s="879"/>
    </row>
    <row r="5194" spans="1:3" x14ac:dyDescent="0.25">
      <c r="A5194" s="879"/>
      <c r="B5194" s="1452" t="s">
        <v>1694</v>
      </c>
      <c r="C5194" s="879"/>
    </row>
    <row r="5195" spans="1:3" x14ac:dyDescent="0.25">
      <c r="A5195" s="879"/>
      <c r="B5195" s="1452" t="s">
        <v>1695</v>
      </c>
      <c r="C5195" s="879"/>
    </row>
    <row r="5196" spans="1:3" x14ac:dyDescent="0.25">
      <c r="A5196" s="879"/>
      <c r="B5196" s="1452" t="s">
        <v>1696</v>
      </c>
      <c r="C5196" s="879"/>
    </row>
    <row r="5197" spans="1:3" x14ac:dyDescent="0.25">
      <c r="A5197" s="879"/>
      <c r="B5197" s="1452" t="s">
        <v>1697</v>
      </c>
      <c r="C5197" s="879"/>
    </row>
    <row r="5198" spans="1:3" x14ac:dyDescent="0.25">
      <c r="A5198" s="879"/>
      <c r="B5198" s="1452" t="s">
        <v>1698</v>
      </c>
      <c r="C5198" s="879"/>
    </row>
    <row r="5199" spans="1:3" x14ac:dyDescent="0.25">
      <c r="A5199" s="879"/>
      <c r="B5199" s="1452" t="s">
        <v>1699</v>
      </c>
      <c r="C5199" s="879"/>
    </row>
    <row r="5200" spans="1:3" x14ac:dyDescent="0.25">
      <c r="A5200" s="879"/>
      <c r="B5200" s="1452" t="s">
        <v>1700</v>
      </c>
      <c r="C5200" s="879"/>
    </row>
    <row r="5201" spans="1:3" x14ac:dyDescent="0.25">
      <c r="A5201" s="879"/>
      <c r="B5201" s="1452" t="s">
        <v>1701</v>
      </c>
      <c r="C5201" s="879"/>
    </row>
    <row r="5202" spans="1:3" x14ac:dyDescent="0.25">
      <c r="A5202" s="879"/>
      <c r="B5202" s="1452" t="s">
        <v>1702</v>
      </c>
      <c r="C5202" s="879"/>
    </row>
    <row r="5203" spans="1:3" x14ac:dyDescent="0.25">
      <c r="A5203" s="879"/>
      <c r="B5203" s="1452" t="s">
        <v>1703</v>
      </c>
      <c r="C5203" s="879"/>
    </row>
    <row r="5204" spans="1:3" x14ac:dyDescent="0.25">
      <c r="A5204" s="879"/>
      <c r="B5204" s="1452" t="s">
        <v>1704</v>
      </c>
      <c r="C5204" s="879"/>
    </row>
    <row r="5205" spans="1:3" x14ac:dyDescent="0.25">
      <c r="A5205" s="879"/>
      <c r="B5205" s="1452" t="s">
        <v>1705</v>
      </c>
      <c r="C5205" s="879"/>
    </row>
    <row r="5206" spans="1:3" x14ac:dyDescent="0.25">
      <c r="A5206" s="879"/>
      <c r="B5206" s="1452"/>
      <c r="C5206" s="879"/>
    </row>
    <row r="5207" spans="1:3" x14ac:dyDescent="0.25">
      <c r="A5207" s="879"/>
      <c r="B5207" s="1452"/>
      <c r="C5207" s="879"/>
    </row>
    <row r="5208" spans="1:3" x14ac:dyDescent="0.25">
      <c r="A5208" s="879"/>
      <c r="B5208" s="1452" t="s">
        <v>1368</v>
      </c>
      <c r="C5208" s="879"/>
    </row>
    <row r="5209" spans="1:3" x14ac:dyDescent="0.25">
      <c r="A5209" s="879"/>
      <c r="B5209" s="1452" t="s">
        <v>3045</v>
      </c>
      <c r="C5209" s="879"/>
    </row>
    <row r="5210" spans="1:3" x14ac:dyDescent="0.25">
      <c r="A5210" s="879"/>
      <c r="B5210" s="1452" t="s">
        <v>1368</v>
      </c>
      <c r="C5210" s="879"/>
    </row>
    <row r="5211" spans="1:3" x14ac:dyDescent="0.25">
      <c r="A5211" s="879"/>
      <c r="B5211" s="1452" t="s">
        <v>3046</v>
      </c>
      <c r="C5211" s="879"/>
    </row>
    <row r="5212" spans="1:3" x14ac:dyDescent="0.25">
      <c r="A5212" s="879"/>
      <c r="B5212" s="1452" t="s">
        <v>1367</v>
      </c>
      <c r="C5212" s="879"/>
    </row>
    <row r="5213" spans="1:3" x14ac:dyDescent="0.25">
      <c r="A5213" s="879"/>
      <c r="B5213" s="1452" t="s">
        <v>1369</v>
      </c>
      <c r="C5213" s="879"/>
    </row>
    <row r="5214" spans="1:3" x14ac:dyDescent="0.25">
      <c r="A5214" s="879"/>
      <c r="B5214" s="1452" t="s">
        <v>1370</v>
      </c>
      <c r="C5214" s="879"/>
    </row>
    <row r="5215" spans="1:3" x14ac:dyDescent="0.25">
      <c r="A5215" s="879"/>
      <c r="B5215" s="1452" t="s">
        <v>1367</v>
      </c>
      <c r="C5215" s="879"/>
    </row>
    <row r="5216" spans="1:3" x14ac:dyDescent="0.25">
      <c r="A5216" s="879"/>
      <c r="B5216" s="1452" t="s">
        <v>2296</v>
      </c>
      <c r="C5216" s="879"/>
    </row>
    <row r="5217" spans="1:3" x14ac:dyDescent="0.25">
      <c r="A5217" s="879"/>
      <c r="B5217" s="1452" t="s">
        <v>3047</v>
      </c>
      <c r="C5217" s="879"/>
    </row>
    <row r="5218" spans="1:3" x14ac:dyDescent="0.25">
      <c r="A5218" s="879"/>
      <c r="B5218" s="1452" t="s">
        <v>2298</v>
      </c>
      <c r="C5218" s="879"/>
    </row>
    <row r="5219" spans="1:3" x14ac:dyDescent="0.25">
      <c r="A5219" s="879"/>
      <c r="B5219" s="1452" t="s">
        <v>2299</v>
      </c>
      <c r="C5219" s="879"/>
    </row>
    <row r="5220" spans="1:3" x14ac:dyDescent="0.25">
      <c r="A5220" s="879"/>
      <c r="B5220" s="1452" t="s">
        <v>3048</v>
      </c>
      <c r="C5220" s="879"/>
    </row>
    <row r="5221" spans="1:3" x14ac:dyDescent="0.25">
      <c r="A5221" s="879"/>
      <c r="B5221" s="1452" t="s">
        <v>3049</v>
      </c>
      <c r="C5221" s="879"/>
    </row>
    <row r="5222" spans="1:3" x14ac:dyDescent="0.25">
      <c r="A5222" s="879"/>
      <c r="B5222" s="1452" t="s">
        <v>3050</v>
      </c>
      <c r="C5222" s="879"/>
    </row>
    <row r="5223" spans="1:3" x14ac:dyDescent="0.25">
      <c r="A5223" s="879"/>
      <c r="B5223" s="1452" t="s">
        <v>3051</v>
      </c>
      <c r="C5223" s="879"/>
    </row>
    <row r="5224" spans="1:3" x14ac:dyDescent="0.25">
      <c r="A5224" s="879"/>
      <c r="B5224" s="1452" t="s">
        <v>3052</v>
      </c>
      <c r="C5224" s="879"/>
    </row>
    <row r="5225" spans="1:3" x14ac:dyDescent="0.25">
      <c r="A5225" s="879"/>
      <c r="B5225" s="1452" t="s">
        <v>3053</v>
      </c>
      <c r="C5225" s="879"/>
    </row>
    <row r="5226" spans="1:3" x14ac:dyDescent="0.25">
      <c r="A5226" s="879"/>
      <c r="B5226" s="1452" t="s">
        <v>3054</v>
      </c>
      <c r="C5226" s="879"/>
    </row>
    <row r="5227" spans="1:3" x14ac:dyDescent="0.25">
      <c r="A5227" s="879"/>
      <c r="B5227" s="1452" t="s">
        <v>1382</v>
      </c>
      <c r="C5227" s="879"/>
    </row>
    <row r="5228" spans="1:3" x14ac:dyDescent="0.25">
      <c r="A5228" s="879"/>
      <c r="B5228" s="1452" t="s">
        <v>1367</v>
      </c>
      <c r="C5228" s="879"/>
    </row>
    <row r="5229" spans="1:3" x14ac:dyDescent="0.25">
      <c r="A5229" s="879"/>
      <c r="B5229" s="1452" t="s">
        <v>2296</v>
      </c>
      <c r="C5229" s="879"/>
    </row>
    <row r="5230" spans="1:3" x14ac:dyDescent="0.25">
      <c r="A5230" s="879"/>
      <c r="B5230" s="1452" t="s">
        <v>3055</v>
      </c>
      <c r="C5230" s="879"/>
    </row>
    <row r="5231" spans="1:3" x14ac:dyDescent="0.25">
      <c r="A5231" s="879"/>
      <c r="B5231" s="1452" t="s">
        <v>3056</v>
      </c>
      <c r="C5231" s="879"/>
    </row>
    <row r="5232" spans="1:3" x14ac:dyDescent="0.25">
      <c r="A5232" s="879"/>
      <c r="B5232" s="1452" t="s">
        <v>3057</v>
      </c>
      <c r="C5232" s="879"/>
    </row>
    <row r="5233" spans="1:3" x14ac:dyDescent="0.25">
      <c r="A5233" s="879"/>
      <c r="B5233" s="1452" t="s">
        <v>3058</v>
      </c>
      <c r="C5233" s="879"/>
    </row>
    <row r="5234" spans="1:3" x14ac:dyDescent="0.25">
      <c r="A5234" s="879"/>
      <c r="B5234" s="1452" t="s">
        <v>3059</v>
      </c>
      <c r="C5234" s="879"/>
    </row>
    <row r="5235" spans="1:3" x14ac:dyDescent="0.25">
      <c r="A5235" s="879"/>
      <c r="B5235" s="1452" t="s">
        <v>3060</v>
      </c>
      <c r="C5235" s="879"/>
    </row>
    <row r="5236" spans="1:3" x14ac:dyDescent="0.25">
      <c r="A5236" s="879"/>
      <c r="B5236" s="1452" t="s">
        <v>3061</v>
      </c>
      <c r="C5236" s="879"/>
    </row>
    <row r="5237" spans="1:3" x14ac:dyDescent="0.25">
      <c r="A5237" s="879"/>
      <c r="B5237" s="1452" t="s">
        <v>3062</v>
      </c>
      <c r="C5237" s="879"/>
    </row>
    <row r="5238" spans="1:3" x14ac:dyDescent="0.25">
      <c r="A5238" s="879"/>
      <c r="B5238" s="1452" t="s">
        <v>3063</v>
      </c>
      <c r="C5238" s="879"/>
    </row>
    <row r="5239" spans="1:3" x14ac:dyDescent="0.25">
      <c r="A5239" s="879"/>
      <c r="B5239" s="1452" t="s">
        <v>3064</v>
      </c>
      <c r="C5239" s="879"/>
    </row>
    <row r="5240" spans="1:3" x14ac:dyDescent="0.25">
      <c r="A5240" s="879"/>
      <c r="B5240" s="1452" t="s">
        <v>3065</v>
      </c>
      <c r="C5240" s="879"/>
    </row>
    <row r="5241" spans="1:3" x14ac:dyDescent="0.25">
      <c r="A5241" s="879"/>
      <c r="B5241" s="1452" t="s">
        <v>3066</v>
      </c>
      <c r="C5241" s="879"/>
    </row>
    <row r="5242" spans="1:3" x14ac:dyDescent="0.25">
      <c r="A5242" s="879"/>
      <c r="B5242" s="1452" t="s">
        <v>2319</v>
      </c>
      <c r="C5242" s="879"/>
    </row>
    <row r="5243" spans="1:3" x14ac:dyDescent="0.25">
      <c r="A5243" s="879"/>
      <c r="B5243" s="1452" t="s">
        <v>2320</v>
      </c>
      <c r="C5243" s="879"/>
    </row>
    <row r="5244" spans="1:3" x14ac:dyDescent="0.25">
      <c r="A5244" s="879"/>
      <c r="B5244" s="1452" t="s">
        <v>2321</v>
      </c>
      <c r="C5244" s="879"/>
    </row>
    <row r="5245" spans="1:3" x14ac:dyDescent="0.25">
      <c r="A5245" s="879"/>
      <c r="B5245" s="1452" t="s">
        <v>3067</v>
      </c>
      <c r="C5245" s="879"/>
    </row>
    <row r="5246" spans="1:3" x14ac:dyDescent="0.25">
      <c r="A5246" s="879"/>
      <c r="B5246" s="1452" t="s">
        <v>3068</v>
      </c>
      <c r="C5246" s="879"/>
    </row>
    <row r="5247" spans="1:3" x14ac:dyDescent="0.25">
      <c r="A5247" s="879"/>
      <c r="B5247" s="1452" t="s">
        <v>3069</v>
      </c>
      <c r="C5247" s="879"/>
    </row>
    <row r="5248" spans="1:3" x14ac:dyDescent="0.25">
      <c r="A5248" s="879"/>
      <c r="B5248" s="1452" t="s">
        <v>3070</v>
      </c>
      <c r="C5248" s="879"/>
    </row>
    <row r="5249" spans="1:3" x14ac:dyDescent="0.25">
      <c r="A5249" s="879"/>
      <c r="B5249" s="1452" t="s">
        <v>2804</v>
      </c>
      <c r="C5249" s="879"/>
    </row>
    <row r="5250" spans="1:3" x14ac:dyDescent="0.25">
      <c r="A5250" s="879"/>
      <c r="B5250" s="1452" t="s">
        <v>2327</v>
      </c>
      <c r="C5250" s="879"/>
    </row>
    <row r="5251" spans="1:3" x14ac:dyDescent="0.25">
      <c r="A5251" s="879"/>
      <c r="B5251" s="1452" t="s">
        <v>3071</v>
      </c>
      <c r="C5251" s="879"/>
    </row>
    <row r="5252" spans="1:3" x14ac:dyDescent="0.25">
      <c r="A5252" s="879"/>
      <c r="B5252" s="1452" t="s">
        <v>2329</v>
      </c>
      <c r="C5252" s="879"/>
    </row>
    <row r="5253" spans="1:3" x14ac:dyDescent="0.25">
      <c r="A5253" s="879"/>
      <c r="B5253" s="1452" t="s">
        <v>3072</v>
      </c>
      <c r="C5253" s="879"/>
    </row>
    <row r="5254" spans="1:3" x14ac:dyDescent="0.25">
      <c r="A5254" s="879"/>
      <c r="B5254" s="1452" t="s">
        <v>3073</v>
      </c>
      <c r="C5254" s="879"/>
    </row>
    <row r="5255" spans="1:3" x14ac:dyDescent="0.25">
      <c r="A5255" s="879"/>
      <c r="B5255" s="1452" t="s">
        <v>3074</v>
      </c>
      <c r="C5255" s="879"/>
    </row>
    <row r="5256" spans="1:3" x14ac:dyDescent="0.25">
      <c r="A5256" s="879"/>
      <c r="B5256" s="1452" t="s">
        <v>2333</v>
      </c>
      <c r="C5256" s="879"/>
    </row>
    <row r="5257" spans="1:3" x14ac:dyDescent="0.25">
      <c r="A5257" s="879"/>
      <c r="B5257" s="1452" t="s">
        <v>3075</v>
      </c>
      <c r="C5257" s="879"/>
    </row>
    <row r="5258" spans="1:3" x14ac:dyDescent="0.25">
      <c r="A5258" s="879"/>
      <c r="B5258" s="1452" t="s">
        <v>3076</v>
      </c>
      <c r="C5258" s="879"/>
    </row>
    <row r="5259" spans="1:3" x14ac:dyDescent="0.25">
      <c r="A5259" s="879"/>
      <c r="B5259" s="1452" t="s">
        <v>2336</v>
      </c>
      <c r="C5259" s="879"/>
    </row>
    <row r="5260" spans="1:3" x14ac:dyDescent="0.25">
      <c r="A5260" s="879"/>
      <c r="B5260" s="1452" t="s">
        <v>3077</v>
      </c>
      <c r="C5260" s="879"/>
    </row>
    <row r="5261" spans="1:3" x14ac:dyDescent="0.25">
      <c r="A5261" s="879"/>
      <c r="B5261" s="1452" t="s">
        <v>3078</v>
      </c>
      <c r="C5261" s="879"/>
    </row>
    <row r="5262" spans="1:3" x14ac:dyDescent="0.25">
      <c r="A5262" s="879"/>
      <c r="B5262" s="1452" t="s">
        <v>3079</v>
      </c>
      <c r="C5262" s="879"/>
    </row>
    <row r="5263" spans="1:3" x14ac:dyDescent="0.25">
      <c r="A5263" s="879"/>
      <c r="B5263" s="1452" t="s">
        <v>2340</v>
      </c>
      <c r="C5263" s="879"/>
    </row>
    <row r="5264" spans="1:3" x14ac:dyDescent="0.25">
      <c r="A5264" s="879"/>
      <c r="B5264" s="1452" t="s">
        <v>2341</v>
      </c>
      <c r="C5264" s="879"/>
    </row>
    <row r="5265" spans="1:3" x14ac:dyDescent="0.25">
      <c r="A5265" s="879"/>
      <c r="B5265" s="1452" t="s">
        <v>2342</v>
      </c>
      <c r="C5265" s="879"/>
    </row>
    <row r="5266" spans="1:3" x14ac:dyDescent="0.25">
      <c r="A5266" s="879"/>
      <c r="B5266" s="1452" t="s">
        <v>3080</v>
      </c>
      <c r="C5266" s="879"/>
    </row>
    <row r="5267" spans="1:3" x14ac:dyDescent="0.25">
      <c r="A5267" s="879"/>
      <c r="B5267" s="1452" t="s">
        <v>3081</v>
      </c>
      <c r="C5267" s="879"/>
    </row>
    <row r="5268" spans="1:3" x14ac:dyDescent="0.25">
      <c r="A5268" s="879"/>
      <c r="B5268" s="1452" t="s">
        <v>3082</v>
      </c>
      <c r="C5268" s="879"/>
    </row>
    <row r="5269" spans="1:3" x14ac:dyDescent="0.25">
      <c r="A5269" s="879"/>
      <c r="B5269" s="1452" t="s">
        <v>3083</v>
      </c>
      <c r="C5269" s="879"/>
    </row>
    <row r="5270" spans="1:3" x14ac:dyDescent="0.25">
      <c r="A5270" s="879"/>
      <c r="B5270" s="1452" t="s">
        <v>2347</v>
      </c>
      <c r="C5270" s="879"/>
    </row>
    <row r="5271" spans="1:3" x14ac:dyDescent="0.25">
      <c r="A5271" s="879"/>
      <c r="B5271" s="1452" t="s">
        <v>2348</v>
      </c>
      <c r="C5271" s="879"/>
    </row>
    <row r="5272" spans="1:3" x14ac:dyDescent="0.25">
      <c r="A5272" s="879"/>
      <c r="B5272" s="1452" t="s">
        <v>2349</v>
      </c>
      <c r="C5272" s="879"/>
    </row>
    <row r="5273" spans="1:3" x14ac:dyDescent="0.25">
      <c r="A5273" s="879"/>
      <c r="B5273" s="1452" t="s">
        <v>2350</v>
      </c>
      <c r="C5273" s="879"/>
    </row>
    <row r="5274" spans="1:3" x14ac:dyDescent="0.25">
      <c r="A5274" s="879"/>
      <c r="B5274" s="1452" t="s">
        <v>2351</v>
      </c>
      <c r="C5274" s="879"/>
    </row>
    <row r="5275" spans="1:3" x14ac:dyDescent="0.25">
      <c r="A5275" s="879"/>
      <c r="B5275" s="1452" t="s">
        <v>3084</v>
      </c>
      <c r="C5275" s="879"/>
    </row>
    <row r="5276" spans="1:3" x14ac:dyDescent="0.25">
      <c r="A5276" s="879"/>
      <c r="B5276" s="1452" t="s">
        <v>2353</v>
      </c>
      <c r="C5276" s="879"/>
    </row>
    <row r="5277" spans="1:3" x14ac:dyDescent="0.25">
      <c r="A5277" s="879"/>
      <c r="B5277" s="1452" t="s">
        <v>1430</v>
      </c>
      <c r="C5277" s="879"/>
    </row>
    <row r="5278" spans="1:3" x14ac:dyDescent="0.25">
      <c r="A5278" s="879"/>
      <c r="B5278" s="1452" t="s">
        <v>1367</v>
      </c>
      <c r="C5278" s="879"/>
    </row>
    <row r="5279" spans="1:3" x14ac:dyDescent="0.25">
      <c r="A5279" s="879"/>
      <c r="B5279" s="1452" t="s">
        <v>1504</v>
      </c>
      <c r="C5279" s="879"/>
    </row>
    <row r="5280" spans="1:3" x14ac:dyDescent="0.25">
      <c r="A5280" s="879"/>
      <c r="B5280" s="1452" t="s">
        <v>1367</v>
      </c>
      <c r="C5280" s="879"/>
    </row>
    <row r="5281" spans="1:3" x14ac:dyDescent="0.25">
      <c r="A5281" s="879"/>
      <c r="B5281" s="1452" t="s">
        <v>1450</v>
      </c>
      <c r="C5281" s="879"/>
    </row>
    <row r="5282" spans="1:3" x14ac:dyDescent="0.25">
      <c r="A5282" s="879"/>
      <c r="B5282" s="1452" t="s">
        <v>1451</v>
      </c>
      <c r="C5282" s="879"/>
    </row>
    <row r="5283" spans="1:3" x14ac:dyDescent="0.25">
      <c r="A5283" s="879"/>
      <c r="B5283" s="1452" t="s">
        <v>1452</v>
      </c>
      <c r="C5283" s="879"/>
    </row>
    <row r="5284" spans="1:3" x14ac:dyDescent="0.25">
      <c r="A5284" s="879"/>
      <c r="B5284" s="1452" t="s">
        <v>1681</v>
      </c>
      <c r="C5284" s="879"/>
    </row>
    <row r="5285" spans="1:3" x14ac:dyDescent="0.25">
      <c r="A5285" s="879"/>
      <c r="B5285" s="1452" t="s">
        <v>1682</v>
      </c>
      <c r="C5285" s="879"/>
    </row>
    <row r="5286" spans="1:3" x14ac:dyDescent="0.25">
      <c r="A5286" s="879"/>
      <c r="B5286" s="1452" t="s">
        <v>1517</v>
      </c>
      <c r="C5286" s="879"/>
    </row>
    <row r="5287" spans="1:3" x14ac:dyDescent="0.25">
      <c r="A5287" s="879"/>
      <c r="B5287" s="1452" t="s">
        <v>1684</v>
      </c>
      <c r="C5287" s="879"/>
    </row>
    <row r="5288" spans="1:3" x14ac:dyDescent="0.25">
      <c r="A5288" s="879"/>
      <c r="B5288" s="1452" t="s">
        <v>1453</v>
      </c>
      <c r="C5288" s="879"/>
    </row>
    <row r="5289" spans="1:3" x14ac:dyDescent="0.25">
      <c r="A5289" s="879"/>
      <c r="B5289" s="1452" t="s">
        <v>1485</v>
      </c>
      <c r="C5289" s="879"/>
    </row>
    <row r="5290" spans="1:3" x14ac:dyDescent="0.25">
      <c r="A5290" s="879"/>
      <c r="B5290" s="1452" t="s">
        <v>1685</v>
      </c>
      <c r="C5290" s="879"/>
    </row>
    <row r="5291" spans="1:3" x14ac:dyDescent="0.25">
      <c r="A5291" s="879"/>
      <c r="B5291" s="1452" t="s">
        <v>1686</v>
      </c>
      <c r="C5291" s="879"/>
    </row>
    <row r="5292" spans="1:3" x14ac:dyDescent="0.25">
      <c r="A5292" s="879"/>
      <c r="B5292" s="1452" t="s">
        <v>1454</v>
      </c>
      <c r="C5292" s="879"/>
    </row>
    <row r="5293" spans="1:3" x14ac:dyDescent="0.25">
      <c r="A5293" s="879"/>
      <c r="B5293" s="1452" t="s">
        <v>1486</v>
      </c>
      <c r="C5293" s="879"/>
    </row>
    <row r="5294" spans="1:3" x14ac:dyDescent="0.25">
      <c r="A5294" s="879"/>
      <c r="B5294" s="1452" t="s">
        <v>1455</v>
      </c>
      <c r="C5294" s="879"/>
    </row>
    <row r="5295" spans="1:3" x14ac:dyDescent="0.25">
      <c r="A5295" s="879"/>
      <c r="B5295" s="1452" t="s">
        <v>1518</v>
      </c>
      <c r="C5295" s="879"/>
    </row>
    <row r="5296" spans="1:3" x14ac:dyDescent="0.25">
      <c r="A5296" s="879"/>
      <c r="B5296" s="1452" t="s">
        <v>3085</v>
      </c>
      <c r="C5296" s="879"/>
    </row>
    <row r="5297" spans="1:3" x14ac:dyDescent="0.25">
      <c r="A5297" s="879"/>
      <c r="B5297" s="1452" t="s">
        <v>3086</v>
      </c>
      <c r="C5297" s="879"/>
    </row>
    <row r="5298" spans="1:3" x14ac:dyDescent="0.25">
      <c r="A5298" s="879"/>
      <c r="B5298" s="1452" t="s">
        <v>1505</v>
      </c>
      <c r="C5298" s="879"/>
    </row>
    <row r="5299" spans="1:3" x14ac:dyDescent="0.25">
      <c r="A5299" s="879"/>
      <c r="B5299" s="1452" t="s">
        <v>1367</v>
      </c>
      <c r="C5299" s="879"/>
    </row>
    <row r="5300" spans="1:3" x14ac:dyDescent="0.25">
      <c r="A5300" s="879"/>
      <c r="B5300" s="1452" t="s">
        <v>1450</v>
      </c>
      <c r="C5300" s="879"/>
    </row>
    <row r="5301" spans="1:3" x14ac:dyDescent="0.25">
      <c r="A5301" s="879"/>
      <c r="B5301" s="1452" t="s">
        <v>1451</v>
      </c>
      <c r="C5301" s="879"/>
    </row>
    <row r="5302" spans="1:3" x14ac:dyDescent="0.25">
      <c r="A5302" s="879"/>
      <c r="B5302" s="1452" t="s">
        <v>2362</v>
      </c>
      <c r="C5302" s="879"/>
    </row>
    <row r="5303" spans="1:3" x14ac:dyDescent="0.25">
      <c r="A5303" s="879"/>
      <c r="B5303" s="1452" t="s">
        <v>2363</v>
      </c>
      <c r="C5303" s="879"/>
    </row>
    <row r="5304" spans="1:3" x14ac:dyDescent="0.25">
      <c r="A5304" s="879"/>
      <c r="B5304" s="1452" t="s">
        <v>2356</v>
      </c>
      <c r="C5304" s="879"/>
    </row>
    <row r="5305" spans="1:3" x14ac:dyDescent="0.25">
      <c r="A5305" s="879"/>
      <c r="B5305" s="1452" t="s">
        <v>2364</v>
      </c>
      <c r="C5305" s="879"/>
    </row>
    <row r="5306" spans="1:3" x14ac:dyDescent="0.25">
      <c r="A5306" s="879"/>
      <c r="B5306" s="1452" t="s">
        <v>1684</v>
      </c>
      <c r="C5306" s="879"/>
    </row>
    <row r="5307" spans="1:3" x14ac:dyDescent="0.25">
      <c r="A5307" s="879"/>
      <c r="B5307" s="1452" t="s">
        <v>2358</v>
      </c>
      <c r="C5307" s="879"/>
    </row>
    <row r="5308" spans="1:3" x14ac:dyDescent="0.25">
      <c r="A5308" s="879"/>
      <c r="B5308" s="1452" t="s">
        <v>2359</v>
      </c>
      <c r="C5308" s="879"/>
    </row>
    <row r="5309" spans="1:3" x14ac:dyDescent="0.25">
      <c r="A5309" s="879"/>
      <c r="B5309" s="1452" t="s">
        <v>1685</v>
      </c>
      <c r="C5309" s="879"/>
    </row>
    <row r="5310" spans="1:3" x14ac:dyDescent="0.25">
      <c r="A5310" s="879"/>
      <c r="B5310" s="1452" t="s">
        <v>1686</v>
      </c>
      <c r="C5310" s="879"/>
    </row>
    <row r="5311" spans="1:3" x14ac:dyDescent="0.25">
      <c r="A5311" s="879"/>
      <c r="B5311" s="1452" t="s">
        <v>1454</v>
      </c>
      <c r="C5311" s="879"/>
    </row>
    <row r="5312" spans="1:3" x14ac:dyDescent="0.25">
      <c r="A5312" s="879"/>
      <c r="B5312" s="1452" t="s">
        <v>2365</v>
      </c>
      <c r="C5312" s="879"/>
    </row>
    <row r="5313" spans="1:3" x14ac:dyDescent="0.25">
      <c r="A5313" s="879"/>
      <c r="B5313" s="1452" t="s">
        <v>1455</v>
      </c>
      <c r="C5313" s="879"/>
    </row>
    <row r="5314" spans="1:3" x14ac:dyDescent="0.25">
      <c r="A5314" s="879"/>
      <c r="B5314" s="1452" t="s">
        <v>2366</v>
      </c>
      <c r="C5314" s="879"/>
    </row>
    <row r="5315" spans="1:3" x14ac:dyDescent="0.25">
      <c r="A5315" s="879"/>
      <c r="B5315" s="1452" t="s">
        <v>1688</v>
      </c>
      <c r="C5315" s="879"/>
    </row>
    <row r="5316" spans="1:3" x14ac:dyDescent="0.25">
      <c r="A5316" s="879"/>
      <c r="B5316" s="1452" t="s">
        <v>1458</v>
      </c>
      <c r="C5316" s="879"/>
    </row>
    <row r="5317" spans="1:3" x14ac:dyDescent="0.25">
      <c r="A5317" s="879"/>
      <c r="B5317" s="1452" t="s">
        <v>3087</v>
      </c>
      <c r="C5317" s="879"/>
    </row>
    <row r="5318" spans="1:3" x14ac:dyDescent="0.25">
      <c r="A5318" s="879"/>
      <c r="B5318" s="1452" t="s">
        <v>1367</v>
      </c>
      <c r="C5318" s="879"/>
    </row>
    <row r="5319" spans="1:3" x14ac:dyDescent="0.25">
      <c r="A5319" s="879"/>
      <c r="B5319" s="1452" t="s">
        <v>1450</v>
      </c>
      <c r="C5319" s="879"/>
    </row>
    <row r="5320" spans="1:3" x14ac:dyDescent="0.25">
      <c r="A5320" s="879"/>
      <c r="B5320" s="1452" t="s">
        <v>1451</v>
      </c>
      <c r="C5320" s="879"/>
    </row>
    <row r="5321" spans="1:3" x14ac:dyDescent="0.25">
      <c r="A5321" s="879"/>
      <c r="B5321" s="1452" t="s">
        <v>1452</v>
      </c>
      <c r="C5321" s="879"/>
    </row>
    <row r="5322" spans="1:3" x14ac:dyDescent="0.25">
      <c r="A5322" s="879"/>
      <c r="B5322" s="1452" t="s">
        <v>1681</v>
      </c>
      <c r="C5322" s="879"/>
    </row>
    <row r="5323" spans="1:3" x14ac:dyDescent="0.25">
      <c r="A5323" s="879"/>
      <c r="B5323" s="1452" t="s">
        <v>1682</v>
      </c>
      <c r="C5323" s="879"/>
    </row>
    <row r="5324" spans="1:3" x14ac:dyDescent="0.25">
      <c r="A5324" s="879"/>
      <c r="B5324" s="1452" t="s">
        <v>1517</v>
      </c>
      <c r="C5324" s="879"/>
    </row>
    <row r="5325" spans="1:3" x14ac:dyDescent="0.25">
      <c r="A5325" s="879"/>
      <c r="B5325" s="1452" t="s">
        <v>1684</v>
      </c>
      <c r="C5325" s="879"/>
    </row>
    <row r="5326" spans="1:3" x14ac:dyDescent="0.25">
      <c r="A5326" s="879"/>
      <c r="B5326" s="1452" t="s">
        <v>1453</v>
      </c>
      <c r="C5326" s="879"/>
    </row>
    <row r="5327" spans="1:3" x14ac:dyDescent="0.25">
      <c r="A5327" s="879"/>
      <c r="B5327" s="1452" t="s">
        <v>1485</v>
      </c>
      <c r="C5327" s="879"/>
    </row>
    <row r="5328" spans="1:3" x14ac:dyDescent="0.25">
      <c r="A5328" s="879"/>
      <c r="B5328" s="1452" t="s">
        <v>1685</v>
      </c>
      <c r="C5328" s="879"/>
    </row>
    <row r="5329" spans="1:3" x14ac:dyDescent="0.25">
      <c r="A5329" s="879"/>
      <c r="B5329" s="1452" t="s">
        <v>1686</v>
      </c>
      <c r="C5329" s="879"/>
    </row>
    <row r="5330" spans="1:3" x14ac:dyDescent="0.25">
      <c r="A5330" s="879"/>
      <c r="B5330" s="1452" t="s">
        <v>1454</v>
      </c>
      <c r="C5330" s="879"/>
    </row>
    <row r="5331" spans="1:3" x14ac:dyDescent="0.25">
      <c r="A5331" s="879"/>
      <c r="B5331" s="1452" t="s">
        <v>1486</v>
      </c>
      <c r="C5331" s="879"/>
    </row>
    <row r="5332" spans="1:3" x14ac:dyDescent="0.25">
      <c r="A5332" s="879"/>
      <c r="B5332" s="1452" t="s">
        <v>1455</v>
      </c>
      <c r="C5332" s="879"/>
    </row>
    <row r="5333" spans="1:3" x14ac:dyDescent="0.25">
      <c r="A5333" s="879"/>
      <c r="B5333" s="1452" t="s">
        <v>1518</v>
      </c>
      <c r="C5333" s="879"/>
    </row>
    <row r="5334" spans="1:3" x14ac:dyDescent="0.25">
      <c r="A5334" s="879"/>
      <c r="B5334" s="1452" t="s">
        <v>3085</v>
      </c>
      <c r="C5334" s="879"/>
    </row>
    <row r="5335" spans="1:3" x14ac:dyDescent="0.25">
      <c r="A5335" s="879"/>
      <c r="B5335" s="1452" t="s">
        <v>3086</v>
      </c>
      <c r="C5335" s="879"/>
    </row>
    <row r="5336" spans="1:3" x14ac:dyDescent="0.25">
      <c r="A5336" s="879"/>
      <c r="B5336" s="1452" t="s">
        <v>1457</v>
      </c>
      <c r="C5336" s="879"/>
    </row>
    <row r="5337" spans="1:3" x14ac:dyDescent="0.25">
      <c r="A5337" s="879"/>
      <c r="B5337" s="1452" t="s">
        <v>1367</v>
      </c>
      <c r="C5337" s="879"/>
    </row>
    <row r="5338" spans="1:3" x14ac:dyDescent="0.25">
      <c r="A5338" s="879"/>
      <c r="B5338" s="1452" t="s">
        <v>1450</v>
      </c>
      <c r="C5338" s="879"/>
    </row>
    <row r="5339" spans="1:3" x14ac:dyDescent="0.25">
      <c r="A5339" s="879"/>
      <c r="B5339" s="1452" t="s">
        <v>1451</v>
      </c>
      <c r="C5339" s="879"/>
    </row>
    <row r="5340" spans="1:3" x14ac:dyDescent="0.25">
      <c r="A5340" s="879"/>
      <c r="B5340" s="1452" t="s">
        <v>2362</v>
      </c>
      <c r="C5340" s="879"/>
    </row>
    <row r="5341" spans="1:3" x14ac:dyDescent="0.25">
      <c r="A5341" s="879"/>
      <c r="B5341" s="1452" t="s">
        <v>2363</v>
      </c>
      <c r="C5341" s="879"/>
    </row>
    <row r="5342" spans="1:3" x14ac:dyDescent="0.25">
      <c r="A5342" s="879"/>
      <c r="B5342" s="1452" t="s">
        <v>2356</v>
      </c>
      <c r="C5342" s="879"/>
    </row>
    <row r="5343" spans="1:3" x14ac:dyDescent="0.25">
      <c r="A5343" s="879"/>
      <c r="B5343" s="1452" t="s">
        <v>2364</v>
      </c>
      <c r="C5343" s="879"/>
    </row>
    <row r="5344" spans="1:3" x14ac:dyDescent="0.25">
      <c r="A5344" s="879"/>
      <c r="B5344" s="1452" t="s">
        <v>1684</v>
      </c>
      <c r="C5344" s="879"/>
    </row>
    <row r="5345" spans="1:3" x14ac:dyDescent="0.25">
      <c r="A5345" s="879"/>
      <c r="B5345" s="1452" t="s">
        <v>2358</v>
      </c>
      <c r="C5345" s="879"/>
    </row>
    <row r="5346" spans="1:3" x14ac:dyDescent="0.25">
      <c r="A5346" s="879"/>
      <c r="B5346" s="1452" t="s">
        <v>2359</v>
      </c>
      <c r="C5346" s="879"/>
    </row>
    <row r="5347" spans="1:3" x14ac:dyDescent="0.25">
      <c r="A5347" s="879"/>
      <c r="B5347" s="1452" t="s">
        <v>1685</v>
      </c>
      <c r="C5347" s="879"/>
    </row>
    <row r="5348" spans="1:3" x14ac:dyDescent="0.25">
      <c r="A5348" s="879"/>
      <c r="B5348" s="1452" t="s">
        <v>1686</v>
      </c>
      <c r="C5348" s="879"/>
    </row>
    <row r="5349" spans="1:3" x14ac:dyDescent="0.25">
      <c r="A5349" s="879"/>
      <c r="B5349" s="1452" t="s">
        <v>1454</v>
      </c>
      <c r="C5349" s="879"/>
    </row>
    <row r="5350" spans="1:3" x14ac:dyDescent="0.25">
      <c r="A5350" s="879"/>
      <c r="B5350" s="1452" t="s">
        <v>2365</v>
      </c>
      <c r="C5350" s="879"/>
    </row>
    <row r="5351" spans="1:3" x14ac:dyDescent="0.25">
      <c r="A5351" s="879"/>
      <c r="B5351" s="1452" t="s">
        <v>1455</v>
      </c>
      <c r="C5351" s="879"/>
    </row>
    <row r="5352" spans="1:3" x14ac:dyDescent="0.25">
      <c r="A5352" s="879"/>
      <c r="B5352" s="1452" t="s">
        <v>2366</v>
      </c>
      <c r="C5352" s="879"/>
    </row>
    <row r="5353" spans="1:3" x14ac:dyDescent="0.25">
      <c r="A5353" s="879"/>
      <c r="B5353" s="1452" t="s">
        <v>1688</v>
      </c>
      <c r="C5353" s="879"/>
    </row>
    <row r="5354" spans="1:3" x14ac:dyDescent="0.25">
      <c r="A5354" s="879"/>
      <c r="B5354" s="1452" t="s">
        <v>1458</v>
      </c>
      <c r="C5354" s="879"/>
    </row>
    <row r="5355" spans="1:3" x14ac:dyDescent="0.25">
      <c r="A5355" s="879"/>
      <c r="B5355" s="1452" t="s">
        <v>1457</v>
      </c>
      <c r="C5355" s="879"/>
    </row>
    <row r="5356" spans="1:3" x14ac:dyDescent="0.25">
      <c r="A5356" s="879"/>
      <c r="B5356" s="1452" t="s">
        <v>1367</v>
      </c>
      <c r="C5356" s="879"/>
    </row>
    <row r="5357" spans="1:3" x14ac:dyDescent="0.25">
      <c r="A5357" s="879"/>
      <c r="B5357" s="1452" t="s">
        <v>1450</v>
      </c>
      <c r="C5357" s="879"/>
    </row>
    <row r="5358" spans="1:3" x14ac:dyDescent="0.25">
      <c r="A5358" s="879"/>
      <c r="B5358" s="1452" t="s">
        <v>1451</v>
      </c>
      <c r="C5358" s="879"/>
    </row>
    <row r="5359" spans="1:3" x14ac:dyDescent="0.25">
      <c r="A5359" s="879"/>
      <c r="B5359" s="1452" t="s">
        <v>2369</v>
      </c>
      <c r="C5359" s="879"/>
    </row>
    <row r="5360" spans="1:3" x14ac:dyDescent="0.25">
      <c r="A5360" s="879"/>
      <c r="B5360" s="1452" t="s">
        <v>2370</v>
      </c>
      <c r="C5360" s="879"/>
    </row>
    <row r="5361" spans="1:3" x14ac:dyDescent="0.25">
      <c r="A5361" s="879"/>
      <c r="B5361" s="1452" t="s">
        <v>2356</v>
      </c>
      <c r="C5361" s="879"/>
    </row>
    <row r="5362" spans="1:3" x14ac:dyDescent="0.25">
      <c r="A5362" s="879"/>
      <c r="B5362" s="1452" t="s">
        <v>2357</v>
      </c>
      <c r="C5362" s="879"/>
    </row>
    <row r="5363" spans="1:3" x14ac:dyDescent="0.25">
      <c r="A5363" s="879"/>
      <c r="B5363" s="1452" t="s">
        <v>1684</v>
      </c>
      <c r="C5363" s="879"/>
    </row>
    <row r="5364" spans="1:3" x14ac:dyDescent="0.25">
      <c r="A5364" s="879"/>
      <c r="B5364" s="1452" t="s">
        <v>2358</v>
      </c>
      <c r="C5364" s="879"/>
    </row>
    <row r="5365" spans="1:3" x14ac:dyDescent="0.25">
      <c r="A5365" s="879"/>
      <c r="B5365" s="1452" t="s">
        <v>2359</v>
      </c>
      <c r="C5365" s="879"/>
    </row>
    <row r="5366" spans="1:3" x14ac:dyDescent="0.25">
      <c r="A5366" s="879"/>
      <c r="B5366" s="1452" t="s">
        <v>1685</v>
      </c>
      <c r="C5366" s="879"/>
    </row>
    <row r="5367" spans="1:3" x14ac:dyDescent="0.25">
      <c r="A5367" s="879"/>
      <c r="B5367" s="1452" t="s">
        <v>1686</v>
      </c>
      <c r="C5367" s="879"/>
    </row>
    <row r="5368" spans="1:3" x14ac:dyDescent="0.25">
      <c r="A5368" s="879"/>
      <c r="B5368" s="1452" t="s">
        <v>1454</v>
      </c>
      <c r="C5368" s="879"/>
    </row>
    <row r="5369" spans="1:3" x14ac:dyDescent="0.25">
      <c r="A5369" s="879"/>
      <c r="B5369" s="1452" t="s">
        <v>2371</v>
      </c>
      <c r="C5369" s="879"/>
    </row>
    <row r="5370" spans="1:3" x14ac:dyDescent="0.25">
      <c r="A5370" s="879"/>
      <c r="B5370" s="1452" t="s">
        <v>1455</v>
      </c>
      <c r="C5370" s="879"/>
    </row>
    <row r="5371" spans="1:3" x14ac:dyDescent="0.25">
      <c r="A5371" s="879"/>
      <c r="B5371" s="1452" t="s">
        <v>2361</v>
      </c>
      <c r="C5371" s="879"/>
    </row>
    <row r="5372" spans="1:3" x14ac:dyDescent="0.25">
      <c r="A5372" s="879"/>
      <c r="B5372" s="1452" t="s">
        <v>1688</v>
      </c>
      <c r="C5372" s="879"/>
    </row>
    <row r="5373" spans="1:3" x14ac:dyDescent="0.25">
      <c r="A5373" s="879"/>
      <c r="B5373" s="1452" t="s">
        <v>1458</v>
      </c>
      <c r="C5373" s="879"/>
    </row>
    <row r="5374" spans="1:3" x14ac:dyDescent="0.25">
      <c r="A5374" s="879"/>
      <c r="B5374" s="1452" t="s">
        <v>1690</v>
      </c>
      <c r="C5374" s="879"/>
    </row>
    <row r="5375" spans="1:3" x14ac:dyDescent="0.25">
      <c r="A5375" s="879"/>
      <c r="B5375" s="1452" t="s">
        <v>1367</v>
      </c>
      <c r="C5375" s="879"/>
    </row>
    <row r="5376" spans="1:3" x14ac:dyDescent="0.25">
      <c r="A5376" s="879"/>
      <c r="B5376" s="1452" t="s">
        <v>1691</v>
      </c>
      <c r="C5376" s="879"/>
    </row>
    <row r="5377" spans="1:3" x14ac:dyDescent="0.25">
      <c r="A5377" s="879"/>
      <c r="B5377" s="1452" t="s">
        <v>2820</v>
      </c>
      <c r="C5377" s="879"/>
    </row>
    <row r="5378" spans="1:3" x14ac:dyDescent="0.25">
      <c r="A5378" s="879"/>
      <c r="B5378" s="1452" t="s">
        <v>2821</v>
      </c>
      <c r="C5378" s="879"/>
    </row>
    <row r="5379" spans="1:3" x14ac:dyDescent="0.25">
      <c r="A5379" s="879"/>
      <c r="B5379" s="1452" t="s">
        <v>2822</v>
      </c>
      <c r="C5379" s="879"/>
    </row>
    <row r="5380" spans="1:3" x14ac:dyDescent="0.25">
      <c r="A5380" s="879"/>
      <c r="B5380" s="1452" t="s">
        <v>2823</v>
      </c>
      <c r="C5380" s="879"/>
    </row>
    <row r="5381" spans="1:3" x14ac:dyDescent="0.25">
      <c r="A5381" s="879"/>
      <c r="B5381" s="1452" t="s">
        <v>1696</v>
      </c>
      <c r="C5381" s="879"/>
    </row>
    <row r="5382" spans="1:3" x14ac:dyDescent="0.25">
      <c r="A5382" s="879"/>
      <c r="B5382" s="1452" t="s">
        <v>2824</v>
      </c>
      <c r="C5382" s="879"/>
    </row>
    <row r="5383" spans="1:3" x14ac:dyDescent="0.25">
      <c r="A5383" s="879"/>
      <c r="B5383" s="1452" t="s">
        <v>2825</v>
      </c>
      <c r="C5383" s="879"/>
    </row>
    <row r="5384" spans="1:3" x14ac:dyDescent="0.25">
      <c r="A5384" s="879"/>
      <c r="B5384" s="1452" t="s">
        <v>1699</v>
      </c>
      <c r="C5384" s="879"/>
    </row>
    <row r="5385" spans="1:3" x14ac:dyDescent="0.25">
      <c r="A5385" s="879"/>
      <c r="B5385" s="1452" t="s">
        <v>1700</v>
      </c>
      <c r="C5385" s="879"/>
    </row>
    <row r="5386" spans="1:3" x14ac:dyDescent="0.25">
      <c r="A5386" s="879"/>
      <c r="B5386" s="1452" t="s">
        <v>1701</v>
      </c>
      <c r="C5386" s="879"/>
    </row>
    <row r="5387" spans="1:3" x14ac:dyDescent="0.25">
      <c r="A5387" s="879"/>
      <c r="B5387" s="1452" t="s">
        <v>2826</v>
      </c>
      <c r="C5387" s="879"/>
    </row>
    <row r="5388" spans="1:3" x14ac:dyDescent="0.25">
      <c r="A5388" s="879"/>
      <c r="B5388" s="1452" t="s">
        <v>1703</v>
      </c>
      <c r="C5388" s="879"/>
    </row>
    <row r="5389" spans="1:3" x14ac:dyDescent="0.25">
      <c r="A5389" s="879"/>
      <c r="B5389" s="1452" t="s">
        <v>2827</v>
      </c>
      <c r="C5389" s="879"/>
    </row>
    <row r="5390" spans="1:3" x14ac:dyDescent="0.25">
      <c r="A5390" s="879"/>
      <c r="B5390" s="1452" t="s">
        <v>2828</v>
      </c>
      <c r="C5390" s="879"/>
    </row>
    <row r="5391" spans="1:3" x14ac:dyDescent="0.25">
      <c r="A5391" s="879"/>
      <c r="B5391" s="1452"/>
      <c r="C5391" s="879"/>
    </row>
    <row r="5392" spans="1:3" x14ac:dyDescent="0.25">
      <c r="A5392" s="879"/>
      <c r="B5392" s="1452"/>
      <c r="C5392" s="879"/>
    </row>
    <row r="5393" spans="1:3" x14ac:dyDescent="0.25">
      <c r="A5393" s="879"/>
      <c r="B5393" s="1452" t="s">
        <v>1368</v>
      </c>
      <c r="C5393" s="879"/>
    </row>
    <row r="5394" spans="1:3" x14ac:dyDescent="0.25">
      <c r="A5394" s="879"/>
      <c r="B5394" s="1452" t="s">
        <v>3088</v>
      </c>
      <c r="C5394" s="879"/>
    </row>
    <row r="5395" spans="1:3" x14ac:dyDescent="0.25">
      <c r="A5395" s="879"/>
      <c r="B5395" s="1452" t="s">
        <v>1368</v>
      </c>
      <c r="C5395" s="879"/>
    </row>
    <row r="5396" spans="1:3" x14ac:dyDescent="0.25">
      <c r="A5396" s="879"/>
      <c r="B5396" s="1452" t="s">
        <v>3089</v>
      </c>
      <c r="C5396" s="879"/>
    </row>
    <row r="5397" spans="1:3" x14ac:dyDescent="0.25">
      <c r="A5397" s="879"/>
      <c r="B5397" s="1452" t="s">
        <v>1367</v>
      </c>
      <c r="C5397" s="879"/>
    </row>
    <row r="5398" spans="1:3" x14ac:dyDescent="0.25">
      <c r="A5398" s="879"/>
      <c r="B5398" s="1452" t="s">
        <v>1369</v>
      </c>
      <c r="C5398" s="879"/>
    </row>
    <row r="5399" spans="1:3" x14ac:dyDescent="0.25">
      <c r="A5399" s="879"/>
      <c r="B5399" s="1452" t="s">
        <v>1370</v>
      </c>
      <c r="C5399" s="879"/>
    </row>
    <row r="5400" spans="1:3" x14ac:dyDescent="0.25">
      <c r="A5400" s="879"/>
      <c r="B5400" s="1452" t="s">
        <v>1367</v>
      </c>
      <c r="C5400" s="879"/>
    </row>
    <row r="5401" spans="1:3" x14ac:dyDescent="0.25">
      <c r="A5401" s="879"/>
      <c r="B5401" s="1452" t="s">
        <v>1520</v>
      </c>
      <c r="C5401" s="879"/>
    </row>
    <row r="5402" spans="1:3" x14ac:dyDescent="0.25">
      <c r="A5402" s="879"/>
      <c r="B5402" s="1452" t="s">
        <v>3090</v>
      </c>
      <c r="C5402" s="879"/>
    </row>
    <row r="5403" spans="1:3" x14ac:dyDescent="0.25">
      <c r="A5403" s="879"/>
      <c r="B5403" s="1452" t="s">
        <v>3091</v>
      </c>
      <c r="C5403" s="879"/>
    </row>
    <row r="5404" spans="1:3" x14ac:dyDescent="0.25">
      <c r="A5404" s="879"/>
      <c r="B5404" s="1452" t="s">
        <v>3092</v>
      </c>
      <c r="C5404" s="879"/>
    </row>
    <row r="5405" spans="1:3" x14ac:dyDescent="0.25">
      <c r="A5405" s="879"/>
      <c r="B5405" s="1452" t="s">
        <v>3093</v>
      </c>
      <c r="C5405" s="879"/>
    </row>
    <row r="5406" spans="1:3" x14ac:dyDescent="0.25">
      <c r="A5406" s="879"/>
      <c r="B5406" s="1452" t="s">
        <v>3094</v>
      </c>
      <c r="C5406" s="879"/>
    </row>
    <row r="5407" spans="1:3" x14ac:dyDescent="0.25">
      <c r="A5407" s="879"/>
      <c r="B5407" s="1452" t="s">
        <v>3095</v>
      </c>
      <c r="C5407" s="879"/>
    </row>
    <row r="5408" spans="1:3" x14ac:dyDescent="0.25">
      <c r="A5408" s="879"/>
      <c r="B5408" s="1452" t="s">
        <v>3096</v>
      </c>
      <c r="C5408" s="879"/>
    </row>
    <row r="5409" spans="1:3" x14ac:dyDescent="0.25">
      <c r="A5409" s="879"/>
      <c r="B5409" s="1452" t="s">
        <v>3097</v>
      </c>
      <c r="C5409" s="879"/>
    </row>
    <row r="5410" spans="1:3" x14ac:dyDescent="0.25">
      <c r="A5410" s="879"/>
      <c r="B5410" s="1452" t="s">
        <v>3098</v>
      </c>
      <c r="C5410" s="879"/>
    </row>
    <row r="5411" spans="1:3" x14ac:dyDescent="0.25">
      <c r="A5411" s="879"/>
      <c r="B5411" s="1452" t="s">
        <v>3099</v>
      </c>
      <c r="C5411" s="879"/>
    </row>
    <row r="5412" spans="1:3" x14ac:dyDescent="0.25">
      <c r="A5412" s="879"/>
      <c r="B5412" s="1452" t="s">
        <v>1382</v>
      </c>
      <c r="C5412" s="879"/>
    </row>
    <row r="5413" spans="1:3" x14ac:dyDescent="0.25">
      <c r="A5413" s="879"/>
      <c r="B5413" s="1452" t="s">
        <v>1367</v>
      </c>
      <c r="C5413" s="879"/>
    </row>
    <row r="5414" spans="1:3" x14ac:dyDescent="0.25">
      <c r="A5414" s="879"/>
      <c r="B5414" s="1452" t="s">
        <v>1520</v>
      </c>
      <c r="C5414" s="879"/>
    </row>
    <row r="5415" spans="1:3" x14ac:dyDescent="0.25">
      <c r="A5415" s="879"/>
      <c r="B5415" s="1452" t="s">
        <v>3100</v>
      </c>
      <c r="C5415" s="879"/>
    </row>
    <row r="5416" spans="1:3" x14ac:dyDescent="0.25">
      <c r="A5416" s="879"/>
      <c r="B5416" s="1452" t="s">
        <v>3101</v>
      </c>
      <c r="C5416" s="879"/>
    </row>
    <row r="5417" spans="1:3" x14ac:dyDescent="0.25">
      <c r="A5417" s="879"/>
      <c r="B5417" s="1452" t="s">
        <v>3102</v>
      </c>
      <c r="C5417" s="879"/>
    </row>
    <row r="5418" spans="1:3" x14ac:dyDescent="0.25">
      <c r="A5418" s="879"/>
      <c r="B5418" s="1452" t="s">
        <v>3103</v>
      </c>
      <c r="C5418" s="879"/>
    </row>
    <row r="5419" spans="1:3" x14ac:dyDescent="0.25">
      <c r="A5419" s="879"/>
      <c r="B5419" s="1452" t="s">
        <v>3104</v>
      </c>
      <c r="C5419" s="879"/>
    </row>
    <row r="5420" spans="1:3" x14ac:dyDescent="0.25">
      <c r="A5420" s="879"/>
      <c r="B5420" s="1452" t="s">
        <v>3105</v>
      </c>
      <c r="C5420" s="879"/>
    </row>
    <row r="5421" spans="1:3" x14ac:dyDescent="0.25">
      <c r="A5421" s="879"/>
      <c r="B5421" s="1452" t="s">
        <v>3106</v>
      </c>
      <c r="C5421" s="879"/>
    </row>
    <row r="5422" spans="1:3" x14ac:dyDescent="0.25">
      <c r="A5422" s="879"/>
      <c r="B5422" s="1452" t="s">
        <v>3107</v>
      </c>
      <c r="C5422" s="879"/>
    </row>
    <row r="5423" spans="1:3" x14ac:dyDescent="0.25">
      <c r="A5423" s="879"/>
      <c r="B5423" s="1452" t="s">
        <v>3108</v>
      </c>
      <c r="C5423" s="879"/>
    </row>
    <row r="5424" spans="1:3" x14ac:dyDescent="0.25">
      <c r="A5424" s="879"/>
      <c r="B5424" s="1452" t="s">
        <v>3109</v>
      </c>
      <c r="C5424" s="879"/>
    </row>
    <row r="5425" spans="1:3" x14ac:dyDescent="0.25">
      <c r="A5425" s="879"/>
      <c r="B5425" s="1452" t="s">
        <v>3110</v>
      </c>
      <c r="C5425" s="879"/>
    </row>
    <row r="5426" spans="1:3" x14ac:dyDescent="0.25">
      <c r="A5426" s="879"/>
      <c r="B5426" s="1452" t="s">
        <v>3111</v>
      </c>
      <c r="C5426" s="879"/>
    </row>
    <row r="5427" spans="1:3" x14ac:dyDescent="0.25">
      <c r="A5427" s="879"/>
      <c r="B5427" s="1452" t="s">
        <v>3112</v>
      </c>
      <c r="C5427" s="879"/>
    </row>
    <row r="5428" spans="1:3" x14ac:dyDescent="0.25">
      <c r="A5428" s="879"/>
      <c r="B5428" s="1452" t="s">
        <v>1525</v>
      </c>
      <c r="C5428" s="879"/>
    </row>
    <row r="5429" spans="1:3" x14ac:dyDescent="0.25">
      <c r="A5429" s="879"/>
      <c r="B5429" s="1452" t="s">
        <v>3113</v>
      </c>
      <c r="C5429" s="879"/>
    </row>
    <row r="5430" spans="1:3" x14ac:dyDescent="0.25">
      <c r="A5430" s="879"/>
      <c r="B5430" s="1452" t="s">
        <v>3114</v>
      </c>
      <c r="C5430" s="879"/>
    </row>
    <row r="5431" spans="1:3" x14ac:dyDescent="0.25">
      <c r="A5431" s="879"/>
      <c r="B5431" s="1452" t="s">
        <v>3115</v>
      </c>
      <c r="C5431" s="879"/>
    </row>
    <row r="5432" spans="1:3" x14ac:dyDescent="0.25">
      <c r="A5432" s="879"/>
      <c r="B5432" s="1452" t="s">
        <v>3116</v>
      </c>
      <c r="C5432" s="879"/>
    </row>
    <row r="5433" spans="1:3" x14ac:dyDescent="0.25">
      <c r="A5433" s="879"/>
      <c r="B5433" s="1452" t="s">
        <v>3117</v>
      </c>
      <c r="C5433" s="879"/>
    </row>
    <row r="5434" spans="1:3" x14ac:dyDescent="0.25">
      <c r="A5434" s="879"/>
      <c r="B5434" s="1452" t="s">
        <v>3118</v>
      </c>
      <c r="C5434" s="879"/>
    </row>
    <row r="5435" spans="1:3" x14ac:dyDescent="0.25">
      <c r="A5435" s="879"/>
      <c r="B5435" s="1452" t="s">
        <v>3119</v>
      </c>
      <c r="C5435" s="879"/>
    </row>
    <row r="5436" spans="1:3" x14ac:dyDescent="0.25">
      <c r="A5436" s="879"/>
      <c r="B5436" s="1452" t="s">
        <v>3120</v>
      </c>
      <c r="C5436" s="879"/>
    </row>
    <row r="5437" spans="1:3" x14ac:dyDescent="0.25">
      <c r="A5437" s="879"/>
      <c r="B5437" s="1452" t="s">
        <v>1527</v>
      </c>
      <c r="C5437" s="879"/>
    </row>
    <row r="5438" spans="1:3" x14ac:dyDescent="0.25">
      <c r="A5438" s="879"/>
      <c r="B5438" s="1452" t="s">
        <v>3121</v>
      </c>
      <c r="C5438" s="879"/>
    </row>
    <row r="5439" spans="1:3" x14ac:dyDescent="0.25">
      <c r="A5439" s="879"/>
      <c r="B5439" s="1452" t="s">
        <v>3122</v>
      </c>
      <c r="C5439" s="879"/>
    </row>
    <row r="5440" spans="1:3" x14ac:dyDescent="0.25">
      <c r="A5440" s="879"/>
      <c r="B5440" s="1452" t="s">
        <v>3123</v>
      </c>
      <c r="C5440" s="879"/>
    </row>
    <row r="5441" spans="1:3" x14ac:dyDescent="0.25">
      <c r="A5441" s="879"/>
      <c r="B5441" s="1452" t="s">
        <v>3124</v>
      </c>
      <c r="C5441" s="879"/>
    </row>
    <row r="5442" spans="1:3" x14ac:dyDescent="0.25">
      <c r="A5442" s="879"/>
      <c r="B5442" s="1452" t="s">
        <v>1568</v>
      </c>
      <c r="C5442" s="879"/>
    </row>
    <row r="5443" spans="1:3" x14ac:dyDescent="0.25">
      <c r="A5443" s="879"/>
      <c r="B5443" s="1452" t="s">
        <v>3125</v>
      </c>
      <c r="C5443" s="879"/>
    </row>
    <row r="5444" spans="1:3" x14ac:dyDescent="0.25">
      <c r="A5444" s="879"/>
      <c r="B5444" s="1452" t="s">
        <v>3126</v>
      </c>
      <c r="C5444" s="879"/>
    </row>
    <row r="5445" spans="1:3" x14ac:dyDescent="0.25">
      <c r="A5445" s="879"/>
      <c r="B5445" s="1452" t="s">
        <v>3127</v>
      </c>
      <c r="C5445" s="879"/>
    </row>
    <row r="5446" spans="1:3" x14ac:dyDescent="0.25">
      <c r="A5446" s="879"/>
      <c r="B5446" s="1452" t="s">
        <v>3128</v>
      </c>
      <c r="C5446" s="879"/>
    </row>
    <row r="5447" spans="1:3" x14ac:dyDescent="0.25">
      <c r="A5447" s="879"/>
      <c r="B5447" s="1452" t="s">
        <v>3129</v>
      </c>
      <c r="C5447" s="879"/>
    </row>
    <row r="5448" spans="1:3" x14ac:dyDescent="0.25">
      <c r="A5448" s="879"/>
      <c r="B5448" s="1452" t="s">
        <v>3130</v>
      </c>
      <c r="C5448" s="879"/>
    </row>
    <row r="5449" spans="1:3" x14ac:dyDescent="0.25">
      <c r="A5449" s="879"/>
      <c r="B5449" s="1452" t="s">
        <v>3131</v>
      </c>
      <c r="C5449" s="879"/>
    </row>
    <row r="5450" spans="1:3" x14ac:dyDescent="0.25">
      <c r="A5450" s="879"/>
      <c r="B5450" s="1452" t="s">
        <v>3132</v>
      </c>
      <c r="C5450" s="879"/>
    </row>
    <row r="5451" spans="1:3" x14ac:dyDescent="0.25">
      <c r="A5451" s="879"/>
      <c r="B5451" s="1452" t="s">
        <v>3133</v>
      </c>
      <c r="C5451" s="879"/>
    </row>
    <row r="5452" spans="1:3" x14ac:dyDescent="0.25">
      <c r="A5452" s="879"/>
      <c r="B5452" s="1452" t="s">
        <v>3134</v>
      </c>
      <c r="C5452" s="879"/>
    </row>
    <row r="5453" spans="1:3" x14ac:dyDescent="0.25">
      <c r="A5453" s="879"/>
      <c r="B5453" s="1452" t="s">
        <v>3135</v>
      </c>
      <c r="C5453" s="879"/>
    </row>
    <row r="5454" spans="1:3" x14ac:dyDescent="0.25">
      <c r="A5454" s="879"/>
      <c r="B5454" s="1452" t="s">
        <v>3136</v>
      </c>
      <c r="C5454" s="879"/>
    </row>
    <row r="5455" spans="1:3" x14ac:dyDescent="0.25">
      <c r="A5455" s="879"/>
      <c r="B5455" s="1452" t="s">
        <v>3137</v>
      </c>
      <c r="C5455" s="879"/>
    </row>
    <row r="5456" spans="1:3" x14ac:dyDescent="0.25">
      <c r="A5456" s="879"/>
      <c r="B5456" s="1452" t="s">
        <v>3138</v>
      </c>
      <c r="C5456" s="879"/>
    </row>
    <row r="5457" spans="1:3" x14ac:dyDescent="0.25">
      <c r="A5457" s="879"/>
      <c r="B5457" s="1452" t="s">
        <v>3139</v>
      </c>
      <c r="C5457" s="879"/>
    </row>
    <row r="5458" spans="1:3" x14ac:dyDescent="0.25">
      <c r="A5458" s="879"/>
      <c r="B5458" s="1452" t="s">
        <v>1531</v>
      </c>
      <c r="C5458" s="879"/>
    </row>
    <row r="5459" spans="1:3" x14ac:dyDescent="0.25">
      <c r="A5459" s="879"/>
      <c r="B5459" s="1452" t="s">
        <v>3140</v>
      </c>
      <c r="C5459" s="879"/>
    </row>
    <row r="5460" spans="1:3" x14ac:dyDescent="0.25">
      <c r="A5460" s="879"/>
      <c r="B5460" s="1452" t="s">
        <v>3141</v>
      </c>
      <c r="C5460" s="879"/>
    </row>
    <row r="5461" spans="1:3" x14ac:dyDescent="0.25">
      <c r="A5461" s="879"/>
      <c r="B5461" s="1452" t="s">
        <v>1532</v>
      </c>
      <c r="C5461" s="879"/>
    </row>
    <row r="5462" spans="1:3" x14ac:dyDescent="0.25">
      <c r="A5462" s="879"/>
      <c r="B5462" s="1452" t="s">
        <v>1430</v>
      </c>
      <c r="C5462" s="879"/>
    </row>
    <row r="5463" spans="1:3" x14ac:dyDescent="0.25">
      <c r="A5463" s="879"/>
      <c r="B5463" s="1452" t="s">
        <v>1367</v>
      </c>
      <c r="C5463" s="879"/>
    </row>
    <row r="5464" spans="1:3" x14ac:dyDescent="0.25">
      <c r="A5464" s="879"/>
      <c r="B5464" s="1452" t="s">
        <v>3142</v>
      </c>
      <c r="C5464" s="879"/>
    </row>
    <row r="5465" spans="1:3" x14ac:dyDescent="0.25">
      <c r="A5465" s="879"/>
      <c r="B5465" s="1452" t="s">
        <v>1367</v>
      </c>
      <c r="C5465" s="879"/>
    </row>
    <row r="5466" spans="1:3" x14ac:dyDescent="0.25">
      <c r="A5466" s="879"/>
      <c r="B5466" s="1452" t="s">
        <v>1450</v>
      </c>
      <c r="C5466" s="879"/>
    </row>
    <row r="5467" spans="1:3" x14ac:dyDescent="0.25">
      <c r="A5467" s="879"/>
      <c r="B5467" s="1452" t="s">
        <v>1451</v>
      </c>
      <c r="C5467" s="879"/>
    </row>
    <row r="5468" spans="1:3" x14ac:dyDescent="0.25">
      <c r="A5468" s="879"/>
      <c r="B5468" s="1452" t="s">
        <v>3143</v>
      </c>
      <c r="C5468" s="879"/>
    </row>
    <row r="5469" spans="1:3" x14ac:dyDescent="0.25">
      <c r="A5469" s="879"/>
      <c r="B5469" s="1452" t="s">
        <v>1892</v>
      </c>
      <c r="C5469" s="879"/>
    </row>
    <row r="5470" spans="1:3" x14ac:dyDescent="0.25">
      <c r="A5470" s="879"/>
      <c r="B5470" s="1452" t="s">
        <v>1682</v>
      </c>
      <c r="C5470" s="879"/>
    </row>
    <row r="5471" spans="1:3" x14ac:dyDescent="0.25">
      <c r="A5471" s="879"/>
      <c r="B5471" s="1452" t="s">
        <v>1517</v>
      </c>
      <c r="C5471" s="879"/>
    </row>
    <row r="5472" spans="1:3" x14ac:dyDescent="0.25">
      <c r="A5472" s="879"/>
      <c r="B5472" s="1452" t="s">
        <v>1684</v>
      </c>
      <c r="C5472" s="879"/>
    </row>
    <row r="5473" spans="1:3" x14ac:dyDescent="0.25">
      <c r="A5473" s="879"/>
      <c r="B5473" s="1452" t="s">
        <v>3144</v>
      </c>
      <c r="C5473" s="879"/>
    </row>
    <row r="5474" spans="1:3" x14ac:dyDescent="0.25">
      <c r="A5474" s="879"/>
      <c r="B5474" s="1452" t="s">
        <v>3145</v>
      </c>
      <c r="C5474" s="879"/>
    </row>
    <row r="5475" spans="1:3" x14ac:dyDescent="0.25">
      <c r="A5475" s="879"/>
      <c r="B5475" s="1452" t="s">
        <v>1685</v>
      </c>
      <c r="C5475" s="879"/>
    </row>
    <row r="5476" spans="1:3" x14ac:dyDescent="0.25">
      <c r="A5476" s="879"/>
      <c r="B5476" s="1452" t="s">
        <v>1686</v>
      </c>
      <c r="C5476" s="879"/>
    </row>
    <row r="5477" spans="1:3" x14ac:dyDescent="0.25">
      <c r="A5477" s="879"/>
      <c r="B5477" s="1452" t="s">
        <v>3146</v>
      </c>
      <c r="C5477" s="879"/>
    </row>
    <row r="5478" spans="1:3" x14ac:dyDescent="0.25">
      <c r="A5478" s="879"/>
      <c r="B5478" s="1452" t="s">
        <v>3147</v>
      </c>
      <c r="C5478" s="879"/>
    </row>
    <row r="5479" spans="1:3" x14ac:dyDescent="0.25">
      <c r="A5479" s="879"/>
      <c r="B5479" s="1452" t="s">
        <v>1455</v>
      </c>
      <c r="C5479" s="879"/>
    </row>
    <row r="5480" spans="1:3" x14ac:dyDescent="0.25">
      <c r="A5480" s="879"/>
      <c r="B5480" s="1452" t="s">
        <v>3148</v>
      </c>
      <c r="C5480" s="879"/>
    </row>
    <row r="5481" spans="1:3" x14ac:dyDescent="0.25">
      <c r="A5481" s="879"/>
      <c r="B5481" s="1452" t="s">
        <v>1688</v>
      </c>
      <c r="C5481" s="879"/>
    </row>
    <row r="5482" spans="1:3" x14ac:dyDescent="0.25">
      <c r="A5482" s="879"/>
      <c r="B5482" s="1452" t="s">
        <v>3149</v>
      </c>
      <c r="C5482" s="879"/>
    </row>
    <row r="5483" spans="1:3" x14ac:dyDescent="0.25">
      <c r="A5483" s="879"/>
      <c r="B5483" s="1452" t="s">
        <v>3150</v>
      </c>
      <c r="C5483" s="879"/>
    </row>
    <row r="5484" spans="1:3" x14ac:dyDescent="0.25">
      <c r="A5484" s="879"/>
      <c r="B5484" s="1452" t="s">
        <v>1367</v>
      </c>
      <c r="C5484" s="879"/>
    </row>
    <row r="5485" spans="1:3" x14ac:dyDescent="0.25">
      <c r="A5485" s="879"/>
      <c r="B5485" s="1452" t="s">
        <v>1450</v>
      </c>
      <c r="C5485" s="879"/>
    </row>
    <row r="5486" spans="1:3" x14ac:dyDescent="0.25">
      <c r="A5486" s="879"/>
      <c r="B5486" s="1452" t="s">
        <v>1451</v>
      </c>
      <c r="C5486" s="879"/>
    </row>
    <row r="5487" spans="1:3" x14ac:dyDescent="0.25">
      <c r="A5487" s="879"/>
      <c r="B5487" s="1452" t="s">
        <v>3151</v>
      </c>
      <c r="C5487" s="879"/>
    </row>
    <row r="5488" spans="1:3" x14ac:dyDescent="0.25">
      <c r="A5488" s="879"/>
      <c r="B5488" s="1452" t="s">
        <v>1892</v>
      </c>
      <c r="C5488" s="879"/>
    </row>
    <row r="5489" spans="1:3" x14ac:dyDescent="0.25">
      <c r="A5489" s="879"/>
      <c r="B5489" s="1452" t="s">
        <v>1682</v>
      </c>
      <c r="C5489" s="879"/>
    </row>
    <row r="5490" spans="1:3" x14ac:dyDescent="0.25">
      <c r="A5490" s="879"/>
      <c r="B5490" s="1452" t="s">
        <v>1517</v>
      </c>
      <c r="C5490" s="879"/>
    </row>
    <row r="5491" spans="1:3" x14ac:dyDescent="0.25">
      <c r="A5491" s="879"/>
      <c r="B5491" s="1452" t="s">
        <v>1684</v>
      </c>
      <c r="C5491" s="879"/>
    </row>
    <row r="5492" spans="1:3" x14ac:dyDescent="0.25">
      <c r="A5492" s="879"/>
      <c r="B5492" s="1452" t="s">
        <v>3152</v>
      </c>
      <c r="C5492" s="879"/>
    </row>
    <row r="5493" spans="1:3" x14ac:dyDescent="0.25">
      <c r="A5493" s="879"/>
      <c r="B5493" s="1452" t="s">
        <v>3153</v>
      </c>
      <c r="C5493" s="879"/>
    </row>
    <row r="5494" spans="1:3" x14ac:dyDescent="0.25">
      <c r="A5494" s="879"/>
      <c r="B5494" s="1452" t="s">
        <v>1685</v>
      </c>
      <c r="C5494" s="879"/>
    </row>
    <row r="5495" spans="1:3" x14ac:dyDescent="0.25">
      <c r="A5495" s="879"/>
      <c r="B5495" s="1452" t="s">
        <v>1686</v>
      </c>
      <c r="C5495" s="879"/>
    </row>
    <row r="5496" spans="1:3" x14ac:dyDescent="0.25">
      <c r="A5496" s="879"/>
      <c r="B5496" s="1452" t="s">
        <v>3154</v>
      </c>
      <c r="C5496" s="879"/>
    </row>
    <row r="5497" spans="1:3" x14ac:dyDescent="0.25">
      <c r="A5497" s="879"/>
      <c r="B5497" s="1452" t="s">
        <v>3155</v>
      </c>
      <c r="C5497" s="879"/>
    </row>
    <row r="5498" spans="1:3" x14ac:dyDescent="0.25">
      <c r="A5498" s="879"/>
      <c r="B5498" s="1452" t="s">
        <v>1455</v>
      </c>
      <c r="C5498" s="879"/>
    </row>
    <row r="5499" spans="1:3" x14ac:dyDescent="0.25">
      <c r="A5499" s="879"/>
      <c r="B5499" s="1452" t="s">
        <v>3156</v>
      </c>
      <c r="C5499" s="879"/>
    </row>
    <row r="5500" spans="1:3" x14ac:dyDescent="0.25">
      <c r="A5500" s="879"/>
      <c r="B5500" s="1452" t="s">
        <v>1688</v>
      </c>
      <c r="C5500" s="879"/>
    </row>
    <row r="5501" spans="1:3" x14ac:dyDescent="0.25">
      <c r="A5501" s="879"/>
      <c r="B5501" s="1452" t="s">
        <v>3157</v>
      </c>
      <c r="C5501" s="879"/>
    </row>
    <row r="5502" spans="1:3" x14ac:dyDescent="0.25">
      <c r="A5502" s="879"/>
      <c r="B5502" s="1452" t="s">
        <v>3158</v>
      </c>
      <c r="C5502" s="879"/>
    </row>
    <row r="5503" spans="1:3" x14ac:dyDescent="0.25">
      <c r="A5503" s="879"/>
      <c r="B5503" s="1452" t="s">
        <v>1367</v>
      </c>
      <c r="C5503" s="879"/>
    </row>
    <row r="5504" spans="1:3" x14ac:dyDescent="0.25">
      <c r="A5504" s="879"/>
      <c r="B5504" s="1452" t="s">
        <v>1450</v>
      </c>
      <c r="C5504" s="879"/>
    </row>
    <row r="5505" spans="1:3" x14ac:dyDescent="0.25">
      <c r="A5505" s="879"/>
      <c r="B5505" s="1452" t="s">
        <v>1451</v>
      </c>
      <c r="C5505" s="879"/>
    </row>
    <row r="5506" spans="1:3" x14ac:dyDescent="0.25">
      <c r="A5506" s="879"/>
      <c r="B5506" s="1452" t="s">
        <v>1452</v>
      </c>
      <c r="C5506" s="879"/>
    </row>
    <row r="5507" spans="1:3" x14ac:dyDescent="0.25">
      <c r="A5507" s="879"/>
      <c r="B5507" s="1452" t="s">
        <v>1681</v>
      </c>
      <c r="C5507" s="879"/>
    </row>
    <row r="5508" spans="1:3" x14ac:dyDescent="0.25">
      <c r="A5508" s="879"/>
      <c r="B5508" s="1452" t="s">
        <v>1682</v>
      </c>
      <c r="C5508" s="879"/>
    </row>
    <row r="5509" spans="1:3" x14ac:dyDescent="0.25">
      <c r="A5509" s="879"/>
      <c r="B5509" s="1452" t="s">
        <v>1517</v>
      </c>
      <c r="C5509" s="879"/>
    </row>
    <row r="5510" spans="1:3" x14ac:dyDescent="0.25">
      <c r="A5510" s="879"/>
      <c r="B5510" s="1452" t="s">
        <v>1684</v>
      </c>
      <c r="C5510" s="879"/>
    </row>
    <row r="5511" spans="1:3" x14ac:dyDescent="0.25">
      <c r="A5511" s="879"/>
      <c r="B5511" s="1452" t="s">
        <v>3159</v>
      </c>
      <c r="C5511" s="879"/>
    </row>
    <row r="5512" spans="1:3" x14ac:dyDescent="0.25">
      <c r="A5512" s="879"/>
      <c r="B5512" s="1452" t="s">
        <v>3160</v>
      </c>
      <c r="C5512" s="879"/>
    </row>
    <row r="5513" spans="1:3" x14ac:dyDescent="0.25">
      <c r="A5513" s="879"/>
      <c r="B5513" s="1452" t="s">
        <v>1685</v>
      </c>
      <c r="C5513" s="879"/>
    </row>
    <row r="5514" spans="1:3" x14ac:dyDescent="0.25">
      <c r="A5514" s="879"/>
      <c r="B5514" s="1452" t="s">
        <v>1686</v>
      </c>
      <c r="C5514" s="879"/>
    </row>
    <row r="5515" spans="1:3" x14ac:dyDescent="0.25">
      <c r="A5515" s="879"/>
      <c r="B5515" s="1452" t="s">
        <v>1454</v>
      </c>
      <c r="C5515" s="879"/>
    </row>
    <row r="5516" spans="1:3" x14ac:dyDescent="0.25">
      <c r="A5516" s="879"/>
      <c r="B5516" s="1452" t="s">
        <v>3161</v>
      </c>
      <c r="C5516" s="879"/>
    </row>
    <row r="5517" spans="1:3" x14ac:dyDescent="0.25">
      <c r="A5517" s="879"/>
      <c r="B5517" s="1452" t="s">
        <v>1455</v>
      </c>
      <c r="C5517" s="879"/>
    </row>
    <row r="5518" spans="1:3" x14ac:dyDescent="0.25">
      <c r="A5518" s="879"/>
      <c r="B5518" s="1452" t="s">
        <v>1518</v>
      </c>
      <c r="C5518" s="879"/>
    </row>
    <row r="5519" spans="1:3" x14ac:dyDescent="0.25">
      <c r="A5519" s="879"/>
      <c r="B5519" s="1452" t="s">
        <v>1688</v>
      </c>
      <c r="C5519" s="879"/>
    </row>
    <row r="5520" spans="1:3" x14ac:dyDescent="0.25">
      <c r="A5520" s="879"/>
      <c r="B5520" s="1452" t="s">
        <v>3162</v>
      </c>
      <c r="C5520" s="879"/>
    </row>
    <row r="5521" spans="1:3" x14ac:dyDescent="0.25">
      <c r="A5521" s="879"/>
      <c r="B5521" s="1452" t="s">
        <v>1690</v>
      </c>
      <c r="C5521" s="879"/>
    </row>
    <row r="5522" spans="1:3" x14ac:dyDescent="0.25">
      <c r="A5522" s="879"/>
      <c r="B5522" s="1452" t="s">
        <v>1367</v>
      </c>
      <c r="C5522" s="879"/>
    </row>
    <row r="5523" spans="1:3" x14ac:dyDescent="0.25">
      <c r="A5523" s="879"/>
      <c r="B5523" s="1452" t="s">
        <v>1691</v>
      </c>
      <c r="C5523" s="879"/>
    </row>
    <row r="5524" spans="1:3" x14ac:dyDescent="0.25">
      <c r="A5524" s="879"/>
      <c r="B5524" s="1452" t="s">
        <v>3163</v>
      </c>
      <c r="C5524" s="879"/>
    </row>
    <row r="5525" spans="1:3" x14ac:dyDescent="0.25">
      <c r="A5525" s="879"/>
      <c r="B5525" s="1452" t="s">
        <v>1693</v>
      </c>
      <c r="C5525" s="879"/>
    </row>
    <row r="5526" spans="1:3" x14ac:dyDescent="0.25">
      <c r="A5526" s="879"/>
      <c r="B5526" s="1452" t="s">
        <v>1694</v>
      </c>
      <c r="C5526" s="879"/>
    </row>
    <row r="5527" spans="1:3" x14ac:dyDescent="0.25">
      <c r="A5527" s="879"/>
      <c r="B5527" s="1452" t="s">
        <v>1695</v>
      </c>
      <c r="C5527" s="879"/>
    </row>
    <row r="5528" spans="1:3" x14ac:dyDescent="0.25">
      <c r="A5528" s="879"/>
      <c r="B5528" s="1452" t="s">
        <v>1696</v>
      </c>
      <c r="C5528" s="879"/>
    </row>
    <row r="5529" spans="1:3" x14ac:dyDescent="0.25">
      <c r="A5529" s="879"/>
      <c r="B5529" s="1452" t="s">
        <v>3164</v>
      </c>
      <c r="C5529" s="879"/>
    </row>
    <row r="5530" spans="1:3" x14ac:dyDescent="0.25">
      <c r="A5530" s="879"/>
      <c r="B5530" s="1452" t="s">
        <v>3165</v>
      </c>
      <c r="C5530" s="879"/>
    </row>
    <row r="5531" spans="1:3" x14ac:dyDescent="0.25">
      <c r="A5531" s="879"/>
      <c r="B5531" s="1452" t="s">
        <v>1699</v>
      </c>
      <c r="C5531" s="879"/>
    </row>
    <row r="5532" spans="1:3" x14ac:dyDescent="0.25">
      <c r="A5532" s="879"/>
      <c r="B5532" s="1452" t="s">
        <v>1700</v>
      </c>
      <c r="C5532" s="879"/>
    </row>
    <row r="5533" spans="1:3" x14ac:dyDescent="0.25">
      <c r="A5533" s="879"/>
      <c r="B5533" s="1452" t="s">
        <v>3166</v>
      </c>
      <c r="C5533" s="879"/>
    </row>
    <row r="5534" spans="1:3" x14ac:dyDescent="0.25">
      <c r="A5534" s="879"/>
      <c r="B5534" s="1452" t="s">
        <v>3167</v>
      </c>
      <c r="C5534" s="879"/>
    </row>
    <row r="5535" spans="1:3" x14ac:dyDescent="0.25">
      <c r="A5535" s="879"/>
      <c r="B5535" s="1452" t="s">
        <v>1703</v>
      </c>
      <c r="C5535" s="879"/>
    </row>
    <row r="5536" spans="1:3" x14ac:dyDescent="0.25">
      <c r="A5536" s="879"/>
      <c r="B5536" s="1452" t="s">
        <v>3168</v>
      </c>
      <c r="C5536" s="879"/>
    </row>
    <row r="5537" spans="1:3" x14ac:dyDescent="0.25">
      <c r="A5537" s="879"/>
      <c r="B5537" s="1452" t="s">
        <v>1705</v>
      </c>
      <c r="C5537" s="879"/>
    </row>
    <row r="5538" spans="1:3" x14ac:dyDescent="0.25">
      <c r="A5538" s="879"/>
      <c r="B5538" s="1452"/>
      <c r="C5538" s="879"/>
    </row>
    <row r="5539" spans="1:3" x14ac:dyDescent="0.25">
      <c r="A5539" s="879"/>
      <c r="B5539" s="1452"/>
      <c r="C5539" s="879"/>
    </row>
    <row r="5540" spans="1:3" x14ac:dyDescent="0.25">
      <c r="A5540" s="879"/>
      <c r="B5540" s="1452" t="s">
        <v>1368</v>
      </c>
      <c r="C5540" s="879"/>
    </row>
    <row r="5541" spans="1:3" x14ac:dyDescent="0.25">
      <c r="A5541" s="879"/>
      <c r="B5541" s="1452" t="s">
        <v>3169</v>
      </c>
      <c r="C5541" s="879"/>
    </row>
    <row r="5542" spans="1:3" x14ac:dyDescent="0.25">
      <c r="A5542" s="879"/>
      <c r="B5542" s="1452" t="s">
        <v>1368</v>
      </c>
      <c r="C5542" s="879"/>
    </row>
    <row r="5543" spans="1:3" x14ac:dyDescent="0.25">
      <c r="A5543" s="879"/>
      <c r="B5543" s="1452" t="s">
        <v>3170</v>
      </c>
      <c r="C5543" s="879"/>
    </row>
    <row r="5544" spans="1:3" x14ac:dyDescent="0.25">
      <c r="A5544" s="879"/>
      <c r="B5544" s="1452" t="s">
        <v>1367</v>
      </c>
      <c r="C5544" s="879"/>
    </row>
    <row r="5545" spans="1:3" x14ac:dyDescent="0.25">
      <c r="A5545" s="879"/>
      <c r="B5545" s="1452" t="s">
        <v>1369</v>
      </c>
      <c r="C5545" s="879"/>
    </row>
    <row r="5546" spans="1:3" x14ac:dyDescent="0.25">
      <c r="A5546" s="879"/>
      <c r="B5546" s="1452" t="s">
        <v>1370</v>
      </c>
      <c r="C5546" s="879"/>
    </row>
    <row r="5547" spans="1:3" x14ac:dyDescent="0.25">
      <c r="A5547" s="879"/>
      <c r="B5547" s="1452" t="s">
        <v>1367</v>
      </c>
      <c r="C5547" s="879"/>
    </row>
    <row r="5548" spans="1:3" x14ac:dyDescent="0.25">
      <c r="A5548" s="879"/>
      <c r="B5548" s="1452" t="s">
        <v>1520</v>
      </c>
      <c r="C5548" s="879"/>
    </row>
    <row r="5549" spans="1:3" x14ac:dyDescent="0.25">
      <c r="A5549" s="879"/>
      <c r="B5549" s="1452" t="s">
        <v>3171</v>
      </c>
      <c r="C5549" s="879"/>
    </row>
    <row r="5550" spans="1:3" x14ac:dyDescent="0.25">
      <c r="A5550" s="879"/>
      <c r="B5550" s="1452" t="s">
        <v>3172</v>
      </c>
      <c r="C5550" s="879"/>
    </row>
    <row r="5551" spans="1:3" x14ac:dyDescent="0.25">
      <c r="A5551" s="879"/>
      <c r="B5551" s="1452" t="s">
        <v>3092</v>
      </c>
      <c r="C5551" s="879"/>
    </row>
    <row r="5552" spans="1:3" x14ac:dyDescent="0.25">
      <c r="A5552" s="879"/>
      <c r="B5552" s="1452" t="s">
        <v>3173</v>
      </c>
      <c r="C5552" s="879"/>
    </row>
    <row r="5553" spans="1:3" x14ac:dyDescent="0.25">
      <c r="A5553" s="879"/>
      <c r="B5553" s="1452" t="s">
        <v>3174</v>
      </c>
      <c r="C5553" s="879"/>
    </row>
    <row r="5554" spans="1:3" x14ac:dyDescent="0.25">
      <c r="A5554" s="879"/>
      <c r="B5554" s="1452" t="s">
        <v>3175</v>
      </c>
      <c r="C5554" s="879"/>
    </row>
    <row r="5555" spans="1:3" x14ac:dyDescent="0.25">
      <c r="A5555" s="879"/>
      <c r="B5555" s="1452" t="s">
        <v>3176</v>
      </c>
      <c r="C5555" s="879"/>
    </row>
    <row r="5556" spans="1:3" x14ac:dyDescent="0.25">
      <c r="A5556" s="879"/>
      <c r="B5556" s="1452" t="s">
        <v>3177</v>
      </c>
      <c r="C5556" s="879"/>
    </row>
    <row r="5557" spans="1:3" x14ac:dyDescent="0.25">
      <c r="A5557" s="879"/>
      <c r="B5557" s="1452" t="s">
        <v>3178</v>
      </c>
      <c r="C5557" s="879"/>
    </row>
    <row r="5558" spans="1:3" x14ac:dyDescent="0.25">
      <c r="A5558" s="879"/>
      <c r="B5558" s="1452" t="s">
        <v>3179</v>
      </c>
      <c r="C5558" s="879"/>
    </row>
    <row r="5559" spans="1:3" x14ac:dyDescent="0.25">
      <c r="A5559" s="879"/>
      <c r="B5559" s="1452" t="s">
        <v>1382</v>
      </c>
      <c r="C5559" s="879"/>
    </row>
    <row r="5560" spans="1:3" x14ac:dyDescent="0.25">
      <c r="A5560" s="879"/>
      <c r="B5560" s="1452" t="s">
        <v>1367</v>
      </c>
      <c r="C5560" s="879"/>
    </row>
    <row r="5561" spans="1:3" x14ac:dyDescent="0.25">
      <c r="A5561" s="879"/>
      <c r="B5561" s="1452" t="s">
        <v>1520</v>
      </c>
      <c r="C5561" s="879"/>
    </row>
    <row r="5562" spans="1:3" x14ac:dyDescent="0.25">
      <c r="A5562" s="879"/>
      <c r="B5562" s="1452" t="s">
        <v>3180</v>
      </c>
      <c r="C5562" s="879"/>
    </row>
    <row r="5563" spans="1:3" x14ac:dyDescent="0.25">
      <c r="A5563" s="879"/>
      <c r="B5563" s="1452" t="s">
        <v>3181</v>
      </c>
      <c r="C5563" s="879"/>
    </row>
    <row r="5564" spans="1:3" x14ac:dyDescent="0.25">
      <c r="A5564" s="879"/>
      <c r="B5564" s="1452" t="s">
        <v>3182</v>
      </c>
      <c r="C5564" s="879"/>
    </row>
    <row r="5565" spans="1:3" x14ac:dyDescent="0.25">
      <c r="A5565" s="879"/>
      <c r="B5565" s="1452" t="s">
        <v>3183</v>
      </c>
      <c r="C5565" s="879"/>
    </row>
    <row r="5566" spans="1:3" x14ac:dyDescent="0.25">
      <c r="A5566" s="879"/>
      <c r="B5566" s="1452" t="s">
        <v>3184</v>
      </c>
      <c r="C5566" s="879"/>
    </row>
    <row r="5567" spans="1:3" x14ac:dyDescent="0.25">
      <c r="A5567" s="879"/>
      <c r="B5567" s="1452" t="s">
        <v>3185</v>
      </c>
      <c r="C5567" s="879"/>
    </row>
    <row r="5568" spans="1:3" x14ac:dyDescent="0.25">
      <c r="A5568" s="879"/>
      <c r="B5568" s="1452" t="s">
        <v>3186</v>
      </c>
      <c r="C5568" s="879"/>
    </row>
    <row r="5569" spans="1:3" x14ac:dyDescent="0.25">
      <c r="A5569" s="879"/>
      <c r="B5569" s="1452" t="s">
        <v>3187</v>
      </c>
      <c r="C5569" s="879"/>
    </row>
    <row r="5570" spans="1:3" x14ac:dyDescent="0.25">
      <c r="A5570" s="879"/>
      <c r="B5570" s="1452" t="s">
        <v>3188</v>
      </c>
      <c r="C5570" s="879"/>
    </row>
    <row r="5571" spans="1:3" x14ac:dyDescent="0.25">
      <c r="A5571" s="879"/>
      <c r="B5571" s="1452" t="s">
        <v>3189</v>
      </c>
      <c r="C5571" s="879"/>
    </row>
    <row r="5572" spans="1:3" x14ac:dyDescent="0.25">
      <c r="A5572" s="879"/>
      <c r="B5572" s="1452" t="s">
        <v>3190</v>
      </c>
      <c r="C5572" s="879"/>
    </row>
    <row r="5573" spans="1:3" x14ac:dyDescent="0.25">
      <c r="A5573" s="879"/>
      <c r="B5573" s="1452" t="s">
        <v>3191</v>
      </c>
      <c r="C5573" s="879"/>
    </row>
    <row r="5574" spans="1:3" x14ac:dyDescent="0.25">
      <c r="A5574" s="879"/>
      <c r="B5574" s="1452" t="s">
        <v>3192</v>
      </c>
      <c r="C5574" s="879"/>
    </row>
    <row r="5575" spans="1:3" x14ac:dyDescent="0.25">
      <c r="A5575" s="879"/>
      <c r="B5575" s="1452" t="s">
        <v>1525</v>
      </c>
      <c r="C5575" s="879"/>
    </row>
    <row r="5576" spans="1:3" x14ac:dyDescent="0.25">
      <c r="A5576" s="879"/>
      <c r="B5576" s="1452" t="s">
        <v>3193</v>
      </c>
      <c r="C5576" s="879"/>
    </row>
    <row r="5577" spans="1:3" x14ac:dyDescent="0.25">
      <c r="A5577" s="879"/>
      <c r="B5577" s="1452" t="s">
        <v>3194</v>
      </c>
      <c r="C5577" s="879"/>
    </row>
    <row r="5578" spans="1:3" x14ac:dyDescent="0.25">
      <c r="A5578" s="879"/>
      <c r="B5578" s="1452" t="s">
        <v>3195</v>
      </c>
      <c r="C5578" s="879"/>
    </row>
    <row r="5579" spans="1:3" x14ac:dyDescent="0.25">
      <c r="A5579" s="879"/>
      <c r="B5579" s="1452" t="s">
        <v>3196</v>
      </c>
      <c r="C5579" s="879"/>
    </row>
    <row r="5580" spans="1:3" x14ac:dyDescent="0.25">
      <c r="A5580" s="879"/>
      <c r="B5580" s="1452" t="s">
        <v>3197</v>
      </c>
      <c r="C5580" s="879"/>
    </row>
    <row r="5581" spans="1:3" x14ac:dyDescent="0.25">
      <c r="A5581" s="879"/>
      <c r="B5581" s="1452" t="s">
        <v>3198</v>
      </c>
      <c r="C5581" s="879"/>
    </row>
    <row r="5582" spans="1:3" x14ac:dyDescent="0.25">
      <c r="A5582" s="879"/>
      <c r="B5582" s="1452" t="s">
        <v>3199</v>
      </c>
      <c r="C5582" s="879"/>
    </row>
    <row r="5583" spans="1:3" x14ac:dyDescent="0.25">
      <c r="A5583" s="879"/>
      <c r="B5583" s="1452" t="s">
        <v>3200</v>
      </c>
      <c r="C5583" s="879"/>
    </row>
    <row r="5584" spans="1:3" x14ac:dyDescent="0.25">
      <c r="A5584" s="879"/>
      <c r="B5584" s="1452" t="s">
        <v>1527</v>
      </c>
      <c r="C5584" s="879"/>
    </row>
    <row r="5585" spans="1:3" x14ac:dyDescent="0.25">
      <c r="A5585" s="879"/>
      <c r="B5585" s="1452" t="s">
        <v>3201</v>
      </c>
      <c r="C5585" s="879"/>
    </row>
    <row r="5586" spans="1:3" x14ac:dyDescent="0.25">
      <c r="A5586" s="879"/>
      <c r="B5586" s="1452" t="s">
        <v>3202</v>
      </c>
      <c r="C5586" s="879"/>
    </row>
    <row r="5587" spans="1:3" x14ac:dyDescent="0.25">
      <c r="A5587" s="879"/>
      <c r="B5587" s="1452" t="s">
        <v>3123</v>
      </c>
      <c r="C5587" s="879"/>
    </row>
    <row r="5588" spans="1:3" x14ac:dyDescent="0.25">
      <c r="A5588" s="879"/>
      <c r="B5588" s="1452" t="s">
        <v>3203</v>
      </c>
      <c r="C5588" s="879"/>
    </row>
    <row r="5589" spans="1:3" x14ac:dyDescent="0.25">
      <c r="A5589" s="879"/>
      <c r="B5589" s="1452" t="s">
        <v>1609</v>
      </c>
      <c r="C5589" s="879"/>
    </row>
    <row r="5590" spans="1:3" x14ac:dyDescent="0.25">
      <c r="A5590" s="879"/>
      <c r="B5590" s="1452" t="s">
        <v>3204</v>
      </c>
      <c r="C5590" s="879"/>
    </row>
    <row r="5591" spans="1:3" x14ac:dyDescent="0.25">
      <c r="A5591" s="879"/>
      <c r="B5591" s="1452" t="s">
        <v>3205</v>
      </c>
      <c r="C5591" s="879"/>
    </row>
    <row r="5592" spans="1:3" x14ac:dyDescent="0.25">
      <c r="A5592" s="879"/>
      <c r="B5592" s="1452" t="s">
        <v>3206</v>
      </c>
      <c r="C5592" s="879"/>
    </row>
    <row r="5593" spans="1:3" x14ac:dyDescent="0.25">
      <c r="A5593" s="879"/>
      <c r="B5593" s="1452" t="s">
        <v>3128</v>
      </c>
      <c r="C5593" s="879"/>
    </row>
    <row r="5594" spans="1:3" x14ac:dyDescent="0.25">
      <c r="A5594" s="879"/>
      <c r="B5594" s="1452" t="s">
        <v>3207</v>
      </c>
      <c r="C5594" s="879"/>
    </row>
    <row r="5595" spans="1:3" x14ac:dyDescent="0.25">
      <c r="A5595" s="879"/>
      <c r="B5595" s="1452" t="s">
        <v>3208</v>
      </c>
      <c r="C5595" s="879"/>
    </row>
    <row r="5596" spans="1:3" x14ac:dyDescent="0.25">
      <c r="A5596" s="879"/>
      <c r="B5596" s="1452" t="s">
        <v>3209</v>
      </c>
      <c r="C5596" s="879"/>
    </row>
    <row r="5597" spans="1:3" x14ac:dyDescent="0.25">
      <c r="A5597" s="879"/>
      <c r="B5597" s="1452" t="s">
        <v>3210</v>
      </c>
      <c r="C5597" s="879"/>
    </row>
    <row r="5598" spans="1:3" x14ac:dyDescent="0.25">
      <c r="A5598" s="879"/>
      <c r="B5598" s="1452" t="s">
        <v>3211</v>
      </c>
      <c r="C5598" s="879"/>
    </row>
    <row r="5599" spans="1:3" x14ac:dyDescent="0.25">
      <c r="A5599" s="879"/>
      <c r="B5599" s="1452" t="s">
        <v>3212</v>
      </c>
      <c r="C5599" s="879"/>
    </row>
    <row r="5600" spans="1:3" x14ac:dyDescent="0.25">
      <c r="A5600" s="879"/>
      <c r="B5600" s="1452" t="s">
        <v>3213</v>
      </c>
      <c r="C5600" s="879"/>
    </row>
    <row r="5601" spans="1:3" x14ac:dyDescent="0.25">
      <c r="A5601" s="879"/>
      <c r="B5601" s="1452" t="s">
        <v>3214</v>
      </c>
      <c r="C5601" s="879"/>
    </row>
    <row r="5602" spans="1:3" x14ac:dyDescent="0.25">
      <c r="A5602" s="879"/>
      <c r="B5602" s="1452" t="s">
        <v>3215</v>
      </c>
      <c r="C5602" s="879"/>
    </row>
    <row r="5603" spans="1:3" x14ac:dyDescent="0.25">
      <c r="A5603" s="879"/>
      <c r="B5603" s="1452" t="s">
        <v>3216</v>
      </c>
      <c r="C5603" s="879"/>
    </row>
    <row r="5604" spans="1:3" x14ac:dyDescent="0.25">
      <c r="A5604" s="879"/>
      <c r="B5604" s="1452" t="s">
        <v>3217</v>
      </c>
      <c r="C5604" s="879"/>
    </row>
    <row r="5605" spans="1:3" x14ac:dyDescent="0.25">
      <c r="A5605" s="879"/>
      <c r="B5605" s="1452" t="s">
        <v>1531</v>
      </c>
      <c r="C5605" s="879"/>
    </row>
    <row r="5606" spans="1:3" x14ac:dyDescent="0.25">
      <c r="A5606" s="879"/>
      <c r="B5606" s="1452" t="s">
        <v>3218</v>
      </c>
      <c r="C5606" s="879"/>
    </row>
    <row r="5607" spans="1:3" x14ac:dyDescent="0.25">
      <c r="A5607" s="879"/>
      <c r="B5607" s="1452" t="s">
        <v>3219</v>
      </c>
      <c r="C5607" s="879"/>
    </row>
    <row r="5608" spans="1:3" x14ac:dyDescent="0.25">
      <c r="A5608" s="879"/>
      <c r="B5608" s="1452" t="s">
        <v>1532</v>
      </c>
      <c r="C5608" s="879"/>
    </row>
    <row r="5609" spans="1:3" x14ac:dyDescent="0.25">
      <c r="A5609" s="879"/>
      <c r="B5609" s="1452" t="s">
        <v>1430</v>
      </c>
      <c r="C5609" s="879"/>
    </row>
    <row r="5610" spans="1:3" x14ac:dyDescent="0.25">
      <c r="A5610" s="879"/>
      <c r="B5610" s="1452" t="s">
        <v>1367</v>
      </c>
      <c r="C5610" s="879"/>
    </row>
    <row r="5611" spans="1:3" x14ac:dyDescent="0.25">
      <c r="A5611" s="879"/>
      <c r="B5611" s="1452" t="s">
        <v>3220</v>
      </c>
      <c r="C5611" s="879"/>
    </row>
    <row r="5612" spans="1:3" x14ac:dyDescent="0.25">
      <c r="A5612" s="879"/>
      <c r="B5612" s="1452" t="s">
        <v>1367</v>
      </c>
      <c r="C5612" s="879"/>
    </row>
    <row r="5613" spans="1:3" x14ac:dyDescent="0.25">
      <c r="A5613" s="879"/>
      <c r="B5613" s="1452" t="s">
        <v>1450</v>
      </c>
      <c r="C5613" s="879"/>
    </row>
    <row r="5614" spans="1:3" x14ac:dyDescent="0.25">
      <c r="A5614" s="879"/>
      <c r="B5614" s="1452" t="s">
        <v>1451</v>
      </c>
      <c r="C5614" s="879"/>
    </row>
    <row r="5615" spans="1:3" x14ac:dyDescent="0.25">
      <c r="A5615" s="879"/>
      <c r="B5615" s="1452" t="s">
        <v>3143</v>
      </c>
      <c r="C5615" s="879"/>
    </row>
    <row r="5616" spans="1:3" x14ac:dyDescent="0.25">
      <c r="A5616" s="879"/>
      <c r="B5616" s="1452" t="s">
        <v>1892</v>
      </c>
      <c r="C5616" s="879"/>
    </row>
    <row r="5617" spans="1:3" x14ac:dyDescent="0.25">
      <c r="A5617" s="879"/>
      <c r="B5617" s="1452" t="s">
        <v>1682</v>
      </c>
      <c r="C5617" s="879"/>
    </row>
    <row r="5618" spans="1:3" x14ac:dyDescent="0.25">
      <c r="A5618" s="879"/>
      <c r="B5618" s="1452" t="s">
        <v>1517</v>
      </c>
      <c r="C5618" s="879"/>
    </row>
    <row r="5619" spans="1:3" x14ac:dyDescent="0.25">
      <c r="A5619" s="879"/>
      <c r="B5619" s="1452" t="s">
        <v>1684</v>
      </c>
      <c r="C5619" s="879"/>
    </row>
    <row r="5620" spans="1:3" x14ac:dyDescent="0.25">
      <c r="A5620" s="879"/>
      <c r="B5620" s="1452" t="s">
        <v>3144</v>
      </c>
      <c r="C5620" s="879"/>
    </row>
    <row r="5621" spans="1:3" x14ac:dyDescent="0.25">
      <c r="A5621" s="879"/>
      <c r="B5621" s="1452" t="s">
        <v>3145</v>
      </c>
      <c r="C5621" s="879"/>
    </row>
    <row r="5622" spans="1:3" x14ac:dyDescent="0.25">
      <c r="A5622" s="879"/>
      <c r="B5622" s="1452" t="s">
        <v>1685</v>
      </c>
      <c r="C5622" s="879"/>
    </row>
    <row r="5623" spans="1:3" x14ac:dyDescent="0.25">
      <c r="A5623" s="879"/>
      <c r="B5623" s="1452" t="s">
        <v>1686</v>
      </c>
      <c r="C5623" s="879"/>
    </row>
    <row r="5624" spans="1:3" x14ac:dyDescent="0.25">
      <c r="A5624" s="879"/>
      <c r="B5624" s="1452" t="s">
        <v>3146</v>
      </c>
      <c r="C5624" s="879"/>
    </row>
    <row r="5625" spans="1:3" x14ac:dyDescent="0.25">
      <c r="A5625" s="879"/>
      <c r="B5625" s="1452" t="s">
        <v>3147</v>
      </c>
      <c r="C5625" s="879"/>
    </row>
    <row r="5626" spans="1:3" x14ac:dyDescent="0.25">
      <c r="A5626" s="879"/>
      <c r="B5626" s="1452" t="s">
        <v>1455</v>
      </c>
      <c r="C5626" s="879"/>
    </row>
    <row r="5627" spans="1:3" x14ac:dyDescent="0.25">
      <c r="A5627" s="879"/>
      <c r="B5627" s="1452" t="s">
        <v>3148</v>
      </c>
      <c r="C5627" s="879"/>
    </row>
    <row r="5628" spans="1:3" x14ac:dyDescent="0.25">
      <c r="A5628" s="879"/>
      <c r="B5628" s="1452" t="s">
        <v>1688</v>
      </c>
      <c r="C5628" s="879"/>
    </row>
    <row r="5629" spans="1:3" x14ac:dyDescent="0.25">
      <c r="A5629" s="879"/>
      <c r="B5629" s="1452" t="s">
        <v>3149</v>
      </c>
      <c r="C5629" s="879"/>
    </row>
    <row r="5630" spans="1:3" x14ac:dyDescent="0.25">
      <c r="A5630" s="879"/>
      <c r="B5630" s="1452" t="s">
        <v>3221</v>
      </c>
      <c r="C5630" s="879"/>
    </row>
    <row r="5631" spans="1:3" x14ac:dyDescent="0.25">
      <c r="A5631" s="879"/>
      <c r="B5631" s="1452" t="s">
        <v>1367</v>
      </c>
      <c r="C5631" s="879"/>
    </row>
    <row r="5632" spans="1:3" x14ac:dyDescent="0.25">
      <c r="A5632" s="879"/>
      <c r="B5632" s="1452" t="s">
        <v>1450</v>
      </c>
      <c r="C5632" s="879"/>
    </row>
    <row r="5633" spans="1:3" x14ac:dyDescent="0.25">
      <c r="A5633" s="879"/>
      <c r="B5633" s="1452" t="s">
        <v>1451</v>
      </c>
      <c r="C5633" s="879"/>
    </row>
    <row r="5634" spans="1:3" x14ac:dyDescent="0.25">
      <c r="A5634" s="879"/>
      <c r="B5634" s="1452" t="s">
        <v>3222</v>
      </c>
      <c r="C5634" s="879"/>
    </row>
    <row r="5635" spans="1:3" x14ac:dyDescent="0.25">
      <c r="A5635" s="879"/>
      <c r="B5635" s="1452" t="s">
        <v>1892</v>
      </c>
      <c r="C5635" s="879"/>
    </row>
    <row r="5636" spans="1:3" x14ac:dyDescent="0.25">
      <c r="A5636" s="879"/>
      <c r="B5636" s="1452" t="s">
        <v>1682</v>
      </c>
      <c r="C5636" s="879"/>
    </row>
    <row r="5637" spans="1:3" x14ac:dyDescent="0.25">
      <c r="A5637" s="879"/>
      <c r="B5637" s="1452" t="s">
        <v>1517</v>
      </c>
      <c r="C5637" s="879"/>
    </row>
    <row r="5638" spans="1:3" x14ac:dyDescent="0.25">
      <c r="A5638" s="879"/>
      <c r="B5638" s="1452" t="s">
        <v>1684</v>
      </c>
      <c r="C5638" s="879"/>
    </row>
    <row r="5639" spans="1:3" x14ac:dyDescent="0.25">
      <c r="A5639" s="879"/>
      <c r="B5639" s="1452" t="s">
        <v>3223</v>
      </c>
      <c r="C5639" s="879"/>
    </row>
    <row r="5640" spans="1:3" x14ac:dyDescent="0.25">
      <c r="A5640" s="879"/>
      <c r="B5640" s="1452" t="s">
        <v>3224</v>
      </c>
      <c r="C5640" s="879"/>
    </row>
    <row r="5641" spans="1:3" x14ac:dyDescent="0.25">
      <c r="A5641" s="879"/>
      <c r="B5641" s="1452" t="s">
        <v>1685</v>
      </c>
      <c r="C5641" s="879"/>
    </row>
    <row r="5642" spans="1:3" x14ac:dyDescent="0.25">
      <c r="A5642" s="879"/>
      <c r="B5642" s="1452" t="s">
        <v>1686</v>
      </c>
      <c r="C5642" s="879"/>
    </row>
    <row r="5643" spans="1:3" x14ac:dyDescent="0.25">
      <c r="A5643" s="879"/>
      <c r="B5643" s="1452" t="s">
        <v>3225</v>
      </c>
      <c r="C5643" s="879"/>
    </row>
    <row r="5644" spans="1:3" x14ac:dyDescent="0.25">
      <c r="A5644" s="879"/>
      <c r="B5644" s="1452" t="s">
        <v>3226</v>
      </c>
      <c r="C5644" s="879"/>
    </row>
    <row r="5645" spans="1:3" x14ac:dyDescent="0.25">
      <c r="A5645" s="879"/>
      <c r="B5645" s="1452" t="s">
        <v>1455</v>
      </c>
      <c r="C5645" s="879"/>
    </row>
    <row r="5646" spans="1:3" x14ac:dyDescent="0.25">
      <c r="A5646" s="879"/>
      <c r="B5646" s="1452" t="s">
        <v>3227</v>
      </c>
      <c r="C5646" s="879"/>
    </row>
    <row r="5647" spans="1:3" x14ac:dyDescent="0.25">
      <c r="A5647" s="879"/>
      <c r="B5647" s="1452" t="s">
        <v>1688</v>
      </c>
      <c r="C5647" s="879"/>
    </row>
    <row r="5648" spans="1:3" x14ac:dyDescent="0.25">
      <c r="A5648" s="879"/>
      <c r="B5648" s="1452" t="s">
        <v>3228</v>
      </c>
      <c r="C5648" s="879"/>
    </row>
    <row r="5649" spans="1:3" x14ac:dyDescent="0.25">
      <c r="A5649" s="879"/>
      <c r="B5649" s="1452" t="s">
        <v>3229</v>
      </c>
      <c r="C5649" s="879"/>
    </row>
    <row r="5650" spans="1:3" x14ac:dyDescent="0.25">
      <c r="A5650" s="879"/>
      <c r="B5650" s="1452" t="s">
        <v>1367</v>
      </c>
      <c r="C5650" s="879"/>
    </row>
    <row r="5651" spans="1:3" x14ac:dyDescent="0.25">
      <c r="A5651" s="879"/>
      <c r="B5651" s="1452" t="s">
        <v>1450</v>
      </c>
      <c r="C5651" s="879"/>
    </row>
    <row r="5652" spans="1:3" x14ac:dyDescent="0.25">
      <c r="A5652" s="879"/>
      <c r="B5652" s="1452" t="s">
        <v>1451</v>
      </c>
      <c r="C5652" s="879"/>
    </row>
    <row r="5653" spans="1:3" x14ac:dyDescent="0.25">
      <c r="A5653" s="879"/>
      <c r="B5653" s="1452" t="s">
        <v>1452</v>
      </c>
      <c r="C5653" s="879"/>
    </row>
    <row r="5654" spans="1:3" x14ac:dyDescent="0.25">
      <c r="A5654" s="879"/>
      <c r="B5654" s="1452" t="s">
        <v>1681</v>
      </c>
      <c r="C5654" s="879"/>
    </row>
    <row r="5655" spans="1:3" x14ac:dyDescent="0.25">
      <c r="A5655" s="879"/>
      <c r="B5655" s="1452" t="s">
        <v>1682</v>
      </c>
      <c r="C5655" s="879"/>
    </row>
    <row r="5656" spans="1:3" x14ac:dyDescent="0.25">
      <c r="A5656" s="879"/>
      <c r="B5656" s="1452" t="s">
        <v>1517</v>
      </c>
      <c r="C5656" s="879"/>
    </row>
    <row r="5657" spans="1:3" x14ac:dyDescent="0.25">
      <c r="A5657" s="879"/>
      <c r="B5657" s="1452" t="s">
        <v>1684</v>
      </c>
      <c r="C5657" s="879"/>
    </row>
    <row r="5658" spans="1:3" x14ac:dyDescent="0.25">
      <c r="A5658" s="879"/>
      <c r="B5658" s="1452" t="s">
        <v>1453</v>
      </c>
      <c r="C5658" s="879"/>
    </row>
    <row r="5659" spans="1:3" x14ac:dyDescent="0.25">
      <c r="A5659" s="879"/>
      <c r="B5659" s="1452" t="s">
        <v>3230</v>
      </c>
      <c r="C5659" s="879"/>
    </row>
    <row r="5660" spans="1:3" x14ac:dyDescent="0.25">
      <c r="A5660" s="879"/>
      <c r="B5660" s="1452" t="s">
        <v>1685</v>
      </c>
      <c r="C5660" s="879"/>
    </row>
    <row r="5661" spans="1:3" x14ac:dyDescent="0.25">
      <c r="A5661" s="879"/>
      <c r="B5661" s="1452" t="s">
        <v>1686</v>
      </c>
      <c r="C5661" s="879"/>
    </row>
    <row r="5662" spans="1:3" x14ac:dyDescent="0.25">
      <c r="A5662" s="879"/>
      <c r="B5662" s="1452" t="s">
        <v>1454</v>
      </c>
      <c r="C5662" s="879"/>
    </row>
    <row r="5663" spans="1:3" x14ac:dyDescent="0.25">
      <c r="A5663" s="879"/>
      <c r="B5663" s="1452" t="s">
        <v>3231</v>
      </c>
      <c r="C5663" s="879"/>
    </row>
    <row r="5664" spans="1:3" x14ac:dyDescent="0.25">
      <c r="A5664" s="879"/>
      <c r="B5664" s="1452" t="s">
        <v>1455</v>
      </c>
      <c r="C5664" s="879"/>
    </row>
    <row r="5665" spans="1:3" x14ac:dyDescent="0.25">
      <c r="A5665" s="879"/>
      <c r="B5665" s="1452" t="s">
        <v>1518</v>
      </c>
      <c r="C5665" s="879"/>
    </row>
    <row r="5666" spans="1:3" x14ac:dyDescent="0.25">
      <c r="A5666" s="879"/>
      <c r="B5666" s="1452" t="s">
        <v>1688</v>
      </c>
      <c r="C5666" s="879"/>
    </row>
    <row r="5667" spans="1:3" x14ac:dyDescent="0.25">
      <c r="A5667" s="879"/>
      <c r="B5667" s="1452" t="s">
        <v>3232</v>
      </c>
      <c r="C5667" s="879"/>
    </row>
    <row r="5668" spans="1:3" x14ac:dyDescent="0.25">
      <c r="A5668" s="879"/>
      <c r="B5668" s="1452" t="s">
        <v>1690</v>
      </c>
      <c r="C5668" s="879"/>
    </row>
    <row r="5669" spans="1:3" x14ac:dyDescent="0.25">
      <c r="A5669" s="879"/>
      <c r="B5669" s="1452" t="s">
        <v>1367</v>
      </c>
      <c r="C5669" s="879"/>
    </row>
    <row r="5670" spans="1:3" x14ac:dyDescent="0.25">
      <c r="A5670" s="879"/>
      <c r="B5670" s="1452" t="s">
        <v>1691</v>
      </c>
      <c r="C5670" s="879"/>
    </row>
    <row r="5671" spans="1:3" x14ac:dyDescent="0.25">
      <c r="A5671" s="879"/>
      <c r="B5671" s="1452" t="s">
        <v>3233</v>
      </c>
      <c r="C5671" s="879"/>
    </row>
    <row r="5672" spans="1:3" x14ac:dyDescent="0.25">
      <c r="A5672" s="879"/>
      <c r="B5672" s="1452" t="s">
        <v>1693</v>
      </c>
      <c r="C5672" s="879"/>
    </row>
    <row r="5673" spans="1:3" x14ac:dyDescent="0.25">
      <c r="A5673" s="879"/>
      <c r="B5673" s="1452" t="s">
        <v>1694</v>
      </c>
      <c r="C5673" s="879"/>
    </row>
    <row r="5674" spans="1:3" x14ac:dyDescent="0.25">
      <c r="A5674" s="879"/>
      <c r="B5674" s="1452" t="s">
        <v>1695</v>
      </c>
      <c r="C5674" s="879"/>
    </row>
    <row r="5675" spans="1:3" x14ac:dyDescent="0.25">
      <c r="A5675" s="879"/>
      <c r="B5675" s="1452" t="s">
        <v>1696</v>
      </c>
      <c r="C5675" s="879"/>
    </row>
    <row r="5676" spans="1:3" x14ac:dyDescent="0.25">
      <c r="A5676" s="879"/>
      <c r="B5676" s="1452" t="s">
        <v>3234</v>
      </c>
      <c r="C5676" s="879"/>
    </row>
    <row r="5677" spans="1:3" x14ac:dyDescent="0.25">
      <c r="A5677" s="879"/>
      <c r="B5677" s="1452" t="s">
        <v>3235</v>
      </c>
      <c r="C5677" s="879"/>
    </row>
    <row r="5678" spans="1:3" x14ac:dyDescent="0.25">
      <c r="A5678" s="879"/>
      <c r="B5678" s="1452" t="s">
        <v>1699</v>
      </c>
      <c r="C5678" s="879"/>
    </row>
    <row r="5679" spans="1:3" x14ac:dyDescent="0.25">
      <c r="A5679" s="879"/>
      <c r="B5679" s="1452" t="s">
        <v>1700</v>
      </c>
      <c r="C5679" s="879"/>
    </row>
    <row r="5680" spans="1:3" x14ac:dyDescent="0.25">
      <c r="A5680" s="879"/>
      <c r="B5680" s="1452" t="s">
        <v>3236</v>
      </c>
      <c r="C5680" s="879"/>
    </row>
    <row r="5681" spans="1:3" x14ac:dyDescent="0.25">
      <c r="A5681" s="879"/>
      <c r="B5681" s="1452" t="s">
        <v>3237</v>
      </c>
      <c r="C5681" s="879"/>
    </row>
    <row r="5682" spans="1:3" x14ac:dyDescent="0.25">
      <c r="A5682" s="879"/>
      <c r="B5682" s="1452" t="s">
        <v>1703</v>
      </c>
      <c r="C5682" s="879"/>
    </row>
    <row r="5683" spans="1:3" x14ac:dyDescent="0.25">
      <c r="A5683" s="879"/>
      <c r="B5683" s="1452" t="s">
        <v>3238</v>
      </c>
      <c r="C5683" s="879"/>
    </row>
    <row r="5684" spans="1:3" x14ac:dyDescent="0.25">
      <c r="A5684" s="879"/>
      <c r="B5684" s="1452" t="s">
        <v>1705</v>
      </c>
      <c r="C5684" s="879"/>
    </row>
    <row r="5685" spans="1:3" x14ac:dyDescent="0.25">
      <c r="A5685" s="879"/>
      <c r="B5685" s="1452"/>
      <c r="C5685" s="879"/>
    </row>
    <row r="5686" spans="1:3" x14ac:dyDescent="0.25">
      <c r="A5686" s="879"/>
      <c r="B5686" s="1452"/>
      <c r="C5686" s="879"/>
    </row>
    <row r="5687" spans="1:3" x14ac:dyDescent="0.25">
      <c r="A5687" s="879"/>
      <c r="B5687" s="1452" t="s">
        <v>1368</v>
      </c>
      <c r="C5687" s="879"/>
    </row>
    <row r="5688" spans="1:3" x14ac:dyDescent="0.25">
      <c r="A5688" s="879"/>
      <c r="B5688" s="1452" t="s">
        <v>3239</v>
      </c>
      <c r="C5688" s="879"/>
    </row>
    <row r="5689" spans="1:3" x14ac:dyDescent="0.25">
      <c r="A5689" s="879"/>
      <c r="B5689" s="1452" t="s">
        <v>1368</v>
      </c>
      <c r="C5689" s="879"/>
    </row>
    <row r="5690" spans="1:3" x14ac:dyDescent="0.25">
      <c r="A5690" s="879"/>
      <c r="B5690" s="1452" t="s">
        <v>3240</v>
      </c>
      <c r="C5690" s="879"/>
    </row>
    <row r="5691" spans="1:3" x14ac:dyDescent="0.25">
      <c r="A5691" s="879"/>
      <c r="B5691" s="1452" t="s">
        <v>1367</v>
      </c>
      <c r="C5691" s="879"/>
    </row>
    <row r="5692" spans="1:3" x14ac:dyDescent="0.25">
      <c r="A5692" s="879"/>
      <c r="B5692" s="1452" t="s">
        <v>1369</v>
      </c>
      <c r="C5692" s="879"/>
    </row>
    <row r="5693" spans="1:3" x14ac:dyDescent="0.25">
      <c r="A5693" s="879"/>
      <c r="B5693" s="1452" t="s">
        <v>1370</v>
      </c>
      <c r="C5693" s="879"/>
    </row>
    <row r="5694" spans="1:3" x14ac:dyDescent="0.25">
      <c r="A5694" s="879"/>
      <c r="B5694" s="1452" t="s">
        <v>1367</v>
      </c>
      <c r="C5694" s="879"/>
    </row>
    <row r="5695" spans="1:3" x14ac:dyDescent="0.25">
      <c r="A5695" s="879"/>
      <c r="B5695" s="1452" t="s">
        <v>1534</v>
      </c>
      <c r="C5695" s="879"/>
    </row>
    <row r="5696" spans="1:3" x14ac:dyDescent="0.25">
      <c r="A5696" s="879"/>
      <c r="B5696" s="1452" t="s">
        <v>1509</v>
      </c>
      <c r="C5696" s="879"/>
    </row>
    <row r="5697" spans="1:3" x14ac:dyDescent="0.25">
      <c r="A5697" s="879"/>
      <c r="B5697" s="1452" t="s">
        <v>3241</v>
      </c>
      <c r="C5697" s="879"/>
    </row>
    <row r="5698" spans="1:3" x14ac:dyDescent="0.25">
      <c r="A5698" s="879"/>
      <c r="B5698" s="1452" t="s">
        <v>3242</v>
      </c>
      <c r="C5698" s="879"/>
    </row>
    <row r="5699" spans="1:3" x14ac:dyDescent="0.25">
      <c r="A5699" s="879"/>
      <c r="B5699" s="1452" t="s">
        <v>1710</v>
      </c>
      <c r="C5699" s="879"/>
    </row>
    <row r="5700" spans="1:3" x14ac:dyDescent="0.25">
      <c r="A5700" s="879"/>
      <c r="B5700" s="1452" t="s">
        <v>1711</v>
      </c>
      <c r="C5700" s="879"/>
    </row>
    <row r="5701" spans="1:3" x14ac:dyDescent="0.25">
      <c r="A5701" s="879"/>
      <c r="B5701" s="1452" t="s">
        <v>1712</v>
      </c>
      <c r="C5701" s="879"/>
    </row>
    <row r="5702" spans="1:3" x14ac:dyDescent="0.25">
      <c r="A5702" s="879"/>
      <c r="B5702" s="1452" t="s">
        <v>1535</v>
      </c>
      <c r="C5702" s="879"/>
    </row>
    <row r="5703" spans="1:3" x14ac:dyDescent="0.25">
      <c r="A5703" s="879"/>
      <c r="B5703" s="1452" t="s">
        <v>3243</v>
      </c>
      <c r="C5703" s="879"/>
    </row>
    <row r="5704" spans="1:3" x14ac:dyDescent="0.25">
      <c r="A5704" s="879"/>
      <c r="B5704" s="1452" t="s">
        <v>2198</v>
      </c>
      <c r="C5704" s="879"/>
    </row>
    <row r="5705" spans="1:3" x14ac:dyDescent="0.25">
      <c r="A5705" s="879"/>
      <c r="B5705" s="1452" t="s">
        <v>1716</v>
      </c>
      <c r="C5705" s="879"/>
    </row>
    <row r="5706" spans="1:3" x14ac:dyDescent="0.25">
      <c r="A5706" s="879"/>
      <c r="B5706" s="1452" t="s">
        <v>1382</v>
      </c>
      <c r="C5706" s="879"/>
    </row>
    <row r="5707" spans="1:3" x14ac:dyDescent="0.25">
      <c r="A5707" s="879"/>
      <c r="B5707" s="1452" t="s">
        <v>1367</v>
      </c>
      <c r="C5707" s="879"/>
    </row>
    <row r="5708" spans="1:3" x14ac:dyDescent="0.25">
      <c r="A5708" s="879"/>
      <c r="B5708" s="1452" t="s">
        <v>1534</v>
      </c>
      <c r="C5708" s="879"/>
    </row>
    <row r="5709" spans="1:3" x14ac:dyDescent="0.25">
      <c r="A5709" s="879"/>
      <c r="B5709" s="1452" t="s">
        <v>1537</v>
      </c>
      <c r="C5709" s="879"/>
    </row>
    <row r="5710" spans="1:3" x14ac:dyDescent="0.25">
      <c r="A5710" s="879"/>
      <c r="B5710" s="1452" t="s">
        <v>3244</v>
      </c>
      <c r="C5710" s="879"/>
    </row>
    <row r="5711" spans="1:3" x14ac:dyDescent="0.25">
      <c r="A5711" s="879"/>
      <c r="B5711" s="1452" t="s">
        <v>3245</v>
      </c>
      <c r="C5711" s="879"/>
    </row>
    <row r="5712" spans="1:3" x14ac:dyDescent="0.25">
      <c r="A5712" s="879"/>
      <c r="B5712" s="1452" t="s">
        <v>3246</v>
      </c>
      <c r="C5712" s="879"/>
    </row>
    <row r="5713" spans="1:3" x14ac:dyDescent="0.25">
      <c r="A5713" s="879"/>
      <c r="B5713" s="1452" t="s">
        <v>1540</v>
      </c>
      <c r="C5713" s="879"/>
    </row>
    <row r="5714" spans="1:3" x14ac:dyDescent="0.25">
      <c r="A5714" s="879"/>
      <c r="B5714" s="1452" t="s">
        <v>3247</v>
      </c>
      <c r="C5714" s="879"/>
    </row>
    <row r="5715" spans="1:3" x14ac:dyDescent="0.25">
      <c r="A5715" s="879"/>
      <c r="B5715" s="1452" t="s">
        <v>3248</v>
      </c>
      <c r="C5715" s="879"/>
    </row>
    <row r="5716" spans="1:3" x14ac:dyDescent="0.25">
      <c r="A5716" s="879"/>
      <c r="B5716" s="1452" t="s">
        <v>1575</v>
      </c>
      <c r="C5716" s="879"/>
    </row>
    <row r="5717" spans="1:3" x14ac:dyDescent="0.25">
      <c r="A5717" s="879"/>
      <c r="B5717" s="1452" t="s">
        <v>1464</v>
      </c>
      <c r="C5717" s="879"/>
    </row>
    <row r="5718" spans="1:3" x14ac:dyDescent="0.25">
      <c r="A5718" s="879"/>
      <c r="B5718" s="1452" t="s">
        <v>1465</v>
      </c>
      <c r="C5718" s="879"/>
    </row>
    <row r="5719" spans="1:3" x14ac:dyDescent="0.25">
      <c r="A5719" s="879"/>
      <c r="B5719" s="1452" t="s">
        <v>1466</v>
      </c>
      <c r="C5719" s="879"/>
    </row>
    <row r="5720" spans="1:3" x14ac:dyDescent="0.25">
      <c r="A5720" s="879"/>
      <c r="B5720" s="1452" t="s">
        <v>1544</v>
      </c>
      <c r="C5720" s="879"/>
    </row>
    <row r="5721" spans="1:3" x14ac:dyDescent="0.25">
      <c r="A5721" s="879"/>
      <c r="B5721" s="1452" t="s">
        <v>1468</v>
      </c>
      <c r="C5721" s="879"/>
    </row>
    <row r="5722" spans="1:3" x14ac:dyDescent="0.25">
      <c r="A5722" s="879"/>
      <c r="B5722" s="1452" t="s">
        <v>1469</v>
      </c>
      <c r="C5722" s="879"/>
    </row>
    <row r="5723" spans="1:3" x14ac:dyDescent="0.25">
      <c r="A5723" s="879"/>
      <c r="B5723" s="1452" t="s">
        <v>1511</v>
      </c>
      <c r="C5723" s="879"/>
    </row>
    <row r="5724" spans="1:3" x14ac:dyDescent="0.25">
      <c r="A5724" s="879"/>
      <c r="B5724" s="1452" t="s">
        <v>1545</v>
      </c>
      <c r="C5724" s="879"/>
    </row>
    <row r="5725" spans="1:3" x14ac:dyDescent="0.25">
      <c r="A5725" s="879"/>
      <c r="B5725" s="1452" t="s">
        <v>3249</v>
      </c>
      <c r="C5725" s="879"/>
    </row>
    <row r="5726" spans="1:3" x14ac:dyDescent="0.25">
      <c r="A5726" s="879"/>
      <c r="B5726" s="1452" t="s">
        <v>1726</v>
      </c>
      <c r="C5726" s="879"/>
    </row>
    <row r="5727" spans="1:3" x14ac:dyDescent="0.25">
      <c r="A5727" s="879"/>
      <c r="B5727" s="1452" t="s">
        <v>1547</v>
      </c>
      <c r="C5727" s="879"/>
    </row>
    <row r="5728" spans="1:3" x14ac:dyDescent="0.25">
      <c r="A5728" s="879"/>
      <c r="B5728" s="1452" t="s">
        <v>3250</v>
      </c>
      <c r="C5728" s="879"/>
    </row>
    <row r="5729" spans="1:3" x14ac:dyDescent="0.25">
      <c r="A5729" s="879"/>
      <c r="B5729" s="1452" t="s">
        <v>3251</v>
      </c>
      <c r="C5729" s="879"/>
    </row>
    <row r="5730" spans="1:3" x14ac:dyDescent="0.25">
      <c r="A5730" s="879"/>
      <c r="B5730" s="1452" t="s">
        <v>1548</v>
      </c>
      <c r="C5730" s="879"/>
    </row>
    <row r="5731" spans="1:3" x14ac:dyDescent="0.25">
      <c r="A5731" s="879"/>
      <c r="B5731" s="1452" t="s">
        <v>1473</v>
      </c>
      <c r="C5731" s="879"/>
    </row>
    <row r="5732" spans="1:3" x14ac:dyDescent="0.25">
      <c r="A5732" s="879"/>
      <c r="B5732" s="1452" t="s">
        <v>1549</v>
      </c>
      <c r="C5732" s="879"/>
    </row>
    <row r="5733" spans="1:3" x14ac:dyDescent="0.25">
      <c r="A5733" s="879"/>
      <c r="B5733" s="1452" t="s">
        <v>1550</v>
      </c>
      <c r="C5733" s="879"/>
    </row>
    <row r="5734" spans="1:3" x14ac:dyDescent="0.25">
      <c r="A5734" s="879"/>
      <c r="B5734" s="1452" t="s">
        <v>3252</v>
      </c>
      <c r="C5734" s="879"/>
    </row>
    <row r="5735" spans="1:3" x14ac:dyDescent="0.25">
      <c r="A5735" s="879"/>
      <c r="B5735" s="1452" t="s">
        <v>3253</v>
      </c>
      <c r="C5735" s="879"/>
    </row>
    <row r="5736" spans="1:3" x14ac:dyDescent="0.25">
      <c r="A5736" s="879"/>
      <c r="B5736" s="1452" t="s">
        <v>1553</v>
      </c>
      <c r="C5736" s="879"/>
    </row>
    <row r="5737" spans="1:3" x14ac:dyDescent="0.25">
      <c r="A5737" s="879"/>
      <c r="B5737" s="1452" t="s">
        <v>1732</v>
      </c>
      <c r="C5737" s="879"/>
    </row>
    <row r="5738" spans="1:3" x14ac:dyDescent="0.25">
      <c r="A5738" s="879"/>
      <c r="B5738" s="1452" t="s">
        <v>1512</v>
      </c>
      <c r="C5738" s="879"/>
    </row>
    <row r="5739" spans="1:3" x14ac:dyDescent="0.25">
      <c r="A5739" s="879"/>
      <c r="B5739" s="1452" t="s">
        <v>1554</v>
      </c>
      <c r="C5739" s="879"/>
    </row>
    <row r="5740" spans="1:3" x14ac:dyDescent="0.25">
      <c r="A5740" s="879"/>
      <c r="B5740" s="1452" t="s">
        <v>3254</v>
      </c>
      <c r="C5740" s="879"/>
    </row>
    <row r="5741" spans="1:3" x14ac:dyDescent="0.25">
      <c r="A5741" s="879"/>
      <c r="B5741" s="1452" t="s">
        <v>1513</v>
      </c>
      <c r="C5741" s="879"/>
    </row>
    <row r="5742" spans="1:3" x14ac:dyDescent="0.25">
      <c r="A5742" s="879"/>
      <c r="B5742" s="1452" t="s">
        <v>3255</v>
      </c>
      <c r="C5742" s="879"/>
    </row>
    <row r="5743" spans="1:3" x14ac:dyDescent="0.25">
      <c r="A5743" s="879"/>
      <c r="B5743" s="1452" t="s">
        <v>3256</v>
      </c>
      <c r="C5743" s="879"/>
    </row>
    <row r="5744" spans="1:3" x14ac:dyDescent="0.25">
      <c r="A5744" s="879"/>
      <c r="B5744" s="1452" t="s">
        <v>3257</v>
      </c>
      <c r="C5744" s="879"/>
    </row>
    <row r="5745" spans="1:3" x14ac:dyDescent="0.25">
      <c r="A5745" s="879"/>
      <c r="B5745" s="1452" t="s">
        <v>1576</v>
      </c>
      <c r="C5745" s="879"/>
    </row>
    <row r="5746" spans="1:3" x14ac:dyDescent="0.25">
      <c r="A5746" s="879"/>
      <c r="B5746" s="1452" t="s">
        <v>1577</v>
      </c>
      <c r="C5746" s="879"/>
    </row>
    <row r="5747" spans="1:3" x14ac:dyDescent="0.25">
      <c r="A5747" s="879"/>
      <c r="B5747" s="1452" t="s">
        <v>3258</v>
      </c>
      <c r="C5747" s="879"/>
    </row>
    <row r="5748" spans="1:3" x14ac:dyDescent="0.25">
      <c r="A5748" s="879"/>
      <c r="B5748" s="1452" t="s">
        <v>3259</v>
      </c>
      <c r="C5748" s="879"/>
    </row>
    <row r="5749" spans="1:3" x14ac:dyDescent="0.25">
      <c r="A5749" s="879"/>
      <c r="B5749" s="1452" t="s">
        <v>1514</v>
      </c>
      <c r="C5749" s="879"/>
    </row>
    <row r="5750" spans="1:3" x14ac:dyDescent="0.25">
      <c r="A5750" s="879"/>
      <c r="B5750" s="1452" t="s">
        <v>1515</v>
      </c>
      <c r="C5750" s="879"/>
    </row>
    <row r="5751" spans="1:3" x14ac:dyDescent="0.25">
      <c r="A5751" s="879"/>
      <c r="B5751" s="1452" t="s">
        <v>1516</v>
      </c>
      <c r="C5751" s="879"/>
    </row>
    <row r="5752" spans="1:3" x14ac:dyDescent="0.25">
      <c r="A5752" s="879"/>
      <c r="B5752" s="1452" t="s">
        <v>1481</v>
      </c>
      <c r="C5752" s="879"/>
    </row>
    <row r="5753" spans="1:3" x14ac:dyDescent="0.25">
      <c r="A5753" s="879"/>
      <c r="B5753" s="1452" t="s">
        <v>1562</v>
      </c>
      <c r="C5753" s="879"/>
    </row>
    <row r="5754" spans="1:3" x14ac:dyDescent="0.25">
      <c r="A5754" s="879"/>
      <c r="B5754" s="1452" t="s">
        <v>1744</v>
      </c>
      <c r="C5754" s="879"/>
    </row>
    <row r="5755" spans="1:3" x14ac:dyDescent="0.25">
      <c r="A5755" s="879"/>
      <c r="B5755" s="1452" t="s">
        <v>1484</v>
      </c>
      <c r="C5755" s="879"/>
    </row>
    <row r="5756" spans="1:3" x14ac:dyDescent="0.25">
      <c r="A5756" s="879"/>
      <c r="B5756" s="1452" t="s">
        <v>1430</v>
      </c>
      <c r="C5756" s="879"/>
    </row>
    <row r="5757" spans="1:3" x14ac:dyDescent="0.25">
      <c r="A5757" s="879"/>
      <c r="B5757" s="1452" t="s">
        <v>1367</v>
      </c>
      <c r="C5757" s="879"/>
    </row>
    <row r="5758" spans="1:3" x14ac:dyDescent="0.25">
      <c r="A5758" s="879"/>
      <c r="B5758" s="1452" t="s">
        <v>1504</v>
      </c>
      <c r="C5758" s="879"/>
    </row>
    <row r="5759" spans="1:3" x14ac:dyDescent="0.25">
      <c r="A5759" s="879"/>
      <c r="B5759" s="1452" t="s">
        <v>1367</v>
      </c>
      <c r="C5759" s="879"/>
    </row>
    <row r="5760" spans="1:3" x14ac:dyDescent="0.25">
      <c r="A5760" s="879"/>
      <c r="B5760" s="1452" t="s">
        <v>1450</v>
      </c>
      <c r="C5760" s="879"/>
    </row>
    <row r="5761" spans="1:3" x14ac:dyDescent="0.25">
      <c r="A5761" s="879"/>
      <c r="B5761" s="1452" t="s">
        <v>1451</v>
      </c>
      <c r="C5761" s="879"/>
    </row>
    <row r="5762" spans="1:3" x14ac:dyDescent="0.25">
      <c r="A5762" s="879"/>
      <c r="B5762" s="1452" t="s">
        <v>1452</v>
      </c>
      <c r="C5762" s="879"/>
    </row>
    <row r="5763" spans="1:3" x14ac:dyDescent="0.25">
      <c r="A5763" s="879"/>
      <c r="B5763" s="1452" t="s">
        <v>1681</v>
      </c>
      <c r="C5763" s="879"/>
    </row>
    <row r="5764" spans="1:3" x14ac:dyDescent="0.25">
      <c r="A5764" s="879"/>
      <c r="B5764" s="1452" t="s">
        <v>1682</v>
      </c>
      <c r="C5764" s="879"/>
    </row>
    <row r="5765" spans="1:3" x14ac:dyDescent="0.25">
      <c r="A5765" s="879"/>
      <c r="B5765" s="1452" t="s">
        <v>1517</v>
      </c>
      <c r="C5765" s="879"/>
    </row>
    <row r="5766" spans="1:3" x14ac:dyDescent="0.25">
      <c r="A5766" s="879"/>
      <c r="B5766" s="1452" t="s">
        <v>1684</v>
      </c>
      <c r="C5766" s="879"/>
    </row>
    <row r="5767" spans="1:3" x14ac:dyDescent="0.25">
      <c r="A5767" s="879"/>
      <c r="B5767" s="1452" t="s">
        <v>1453</v>
      </c>
      <c r="C5767" s="879"/>
    </row>
    <row r="5768" spans="1:3" x14ac:dyDescent="0.25">
      <c r="A5768" s="879"/>
      <c r="B5768" s="1452" t="s">
        <v>1745</v>
      </c>
      <c r="C5768" s="879"/>
    </row>
    <row r="5769" spans="1:3" x14ac:dyDescent="0.25">
      <c r="A5769" s="879"/>
      <c r="B5769" s="1452" t="s">
        <v>1685</v>
      </c>
      <c r="C5769" s="879"/>
    </row>
    <row r="5770" spans="1:3" x14ac:dyDescent="0.25">
      <c r="A5770" s="879"/>
      <c r="B5770" s="1452" t="s">
        <v>1686</v>
      </c>
      <c r="C5770" s="879"/>
    </row>
    <row r="5771" spans="1:3" x14ac:dyDescent="0.25">
      <c r="A5771" s="879"/>
      <c r="B5771" s="1452" t="s">
        <v>1454</v>
      </c>
      <c r="C5771" s="879"/>
    </row>
    <row r="5772" spans="1:3" x14ac:dyDescent="0.25">
      <c r="A5772" s="879"/>
      <c r="B5772" s="1452" t="s">
        <v>1486</v>
      </c>
      <c r="C5772" s="879"/>
    </row>
    <row r="5773" spans="1:3" x14ac:dyDescent="0.25">
      <c r="A5773" s="879"/>
      <c r="B5773" s="1452" t="s">
        <v>1455</v>
      </c>
      <c r="C5773" s="879"/>
    </row>
    <row r="5774" spans="1:3" x14ac:dyDescent="0.25">
      <c r="A5774" s="879"/>
      <c r="B5774" s="1452" t="s">
        <v>1518</v>
      </c>
      <c r="C5774" s="879"/>
    </row>
    <row r="5775" spans="1:3" x14ac:dyDescent="0.25">
      <c r="A5775" s="879"/>
      <c r="B5775" s="1452" t="s">
        <v>1688</v>
      </c>
      <c r="C5775" s="879"/>
    </row>
    <row r="5776" spans="1:3" x14ac:dyDescent="0.25">
      <c r="A5776" s="879"/>
      <c r="B5776" s="1452" t="s">
        <v>1746</v>
      </c>
      <c r="C5776" s="879"/>
    </row>
    <row r="5777" spans="1:3" x14ac:dyDescent="0.25">
      <c r="A5777" s="879"/>
      <c r="B5777" s="1452" t="s">
        <v>1533</v>
      </c>
      <c r="C5777" s="879"/>
    </row>
    <row r="5778" spans="1:3" x14ac:dyDescent="0.25">
      <c r="A5778" s="879"/>
      <c r="B5778" s="1452" t="s">
        <v>1367</v>
      </c>
      <c r="C5778" s="879"/>
    </row>
    <row r="5779" spans="1:3" x14ac:dyDescent="0.25">
      <c r="A5779" s="879"/>
      <c r="B5779" s="1452" t="s">
        <v>1450</v>
      </c>
      <c r="C5779" s="879"/>
    </row>
    <row r="5780" spans="1:3" x14ac:dyDescent="0.25">
      <c r="A5780" s="879"/>
      <c r="B5780" s="1452" t="s">
        <v>1451</v>
      </c>
      <c r="C5780" s="879"/>
    </row>
    <row r="5781" spans="1:3" x14ac:dyDescent="0.25">
      <c r="A5781" s="879"/>
      <c r="B5781" s="1452" t="s">
        <v>1452</v>
      </c>
      <c r="C5781" s="879"/>
    </row>
    <row r="5782" spans="1:3" x14ac:dyDescent="0.25">
      <c r="A5782" s="879"/>
      <c r="B5782" s="1452" t="s">
        <v>1681</v>
      </c>
      <c r="C5782" s="879"/>
    </row>
    <row r="5783" spans="1:3" x14ac:dyDescent="0.25">
      <c r="A5783" s="879"/>
      <c r="B5783" s="1452" t="s">
        <v>1682</v>
      </c>
      <c r="C5783" s="879"/>
    </row>
    <row r="5784" spans="1:3" x14ac:dyDescent="0.25">
      <c r="A5784" s="879"/>
      <c r="B5784" s="1452" t="s">
        <v>1517</v>
      </c>
      <c r="C5784" s="879"/>
    </row>
    <row r="5785" spans="1:3" x14ac:dyDescent="0.25">
      <c r="A5785" s="879"/>
      <c r="B5785" s="1452" t="s">
        <v>1684</v>
      </c>
      <c r="C5785" s="879"/>
    </row>
    <row r="5786" spans="1:3" x14ac:dyDescent="0.25">
      <c r="A5786" s="879"/>
      <c r="B5786" s="1452" t="s">
        <v>1453</v>
      </c>
      <c r="C5786" s="879"/>
    </row>
    <row r="5787" spans="1:3" x14ac:dyDescent="0.25">
      <c r="A5787" s="879"/>
      <c r="B5787" s="1452" t="s">
        <v>1745</v>
      </c>
      <c r="C5787" s="879"/>
    </row>
    <row r="5788" spans="1:3" x14ac:dyDescent="0.25">
      <c r="A5788" s="879"/>
      <c r="B5788" s="1452" t="s">
        <v>1685</v>
      </c>
      <c r="C5788" s="879"/>
    </row>
    <row r="5789" spans="1:3" x14ac:dyDescent="0.25">
      <c r="A5789" s="879"/>
      <c r="B5789" s="1452" t="s">
        <v>1686</v>
      </c>
      <c r="C5789" s="879"/>
    </row>
    <row r="5790" spans="1:3" x14ac:dyDescent="0.25">
      <c r="A5790" s="879"/>
      <c r="B5790" s="1452" t="s">
        <v>1454</v>
      </c>
      <c r="C5790" s="879"/>
    </row>
    <row r="5791" spans="1:3" x14ac:dyDescent="0.25">
      <c r="A5791" s="879"/>
      <c r="B5791" s="1452" t="s">
        <v>1486</v>
      </c>
      <c r="C5791" s="879"/>
    </row>
    <row r="5792" spans="1:3" x14ac:dyDescent="0.25">
      <c r="A5792" s="879"/>
      <c r="B5792" s="1452" t="s">
        <v>1455</v>
      </c>
      <c r="C5792" s="879"/>
    </row>
    <row r="5793" spans="1:3" x14ac:dyDescent="0.25">
      <c r="A5793" s="879"/>
      <c r="B5793" s="1452" t="s">
        <v>1518</v>
      </c>
      <c r="C5793" s="879"/>
    </row>
    <row r="5794" spans="1:3" x14ac:dyDescent="0.25">
      <c r="A5794" s="879"/>
      <c r="B5794" s="1452" t="s">
        <v>1688</v>
      </c>
      <c r="C5794" s="879"/>
    </row>
    <row r="5795" spans="1:3" x14ac:dyDescent="0.25">
      <c r="A5795" s="879"/>
      <c r="B5795" s="1452" t="s">
        <v>1746</v>
      </c>
      <c r="C5795" s="879"/>
    </row>
    <row r="5796" spans="1:3" x14ac:dyDescent="0.25">
      <c r="A5796" s="879"/>
      <c r="B5796" s="1452" t="s">
        <v>1690</v>
      </c>
      <c r="C5796" s="879"/>
    </row>
    <row r="5797" spans="1:3" x14ac:dyDescent="0.25">
      <c r="A5797" s="879"/>
      <c r="B5797" s="1452" t="s">
        <v>1367</v>
      </c>
      <c r="C5797" s="879"/>
    </row>
    <row r="5798" spans="1:3" x14ac:dyDescent="0.25">
      <c r="A5798" s="879"/>
      <c r="B5798" s="1452" t="s">
        <v>1691</v>
      </c>
      <c r="C5798" s="879"/>
    </row>
    <row r="5799" spans="1:3" x14ac:dyDescent="0.25">
      <c r="A5799" s="879"/>
      <c r="B5799" s="1452" t="s">
        <v>1692</v>
      </c>
      <c r="C5799" s="879"/>
    </row>
    <row r="5800" spans="1:3" x14ac:dyDescent="0.25">
      <c r="A5800" s="879"/>
      <c r="B5800" s="1452" t="s">
        <v>1693</v>
      </c>
      <c r="C5800" s="879"/>
    </row>
    <row r="5801" spans="1:3" x14ac:dyDescent="0.25">
      <c r="A5801" s="879"/>
      <c r="B5801" s="1452" t="s">
        <v>1694</v>
      </c>
      <c r="C5801" s="879"/>
    </row>
    <row r="5802" spans="1:3" x14ac:dyDescent="0.25">
      <c r="A5802" s="879"/>
      <c r="B5802" s="1452" t="s">
        <v>1695</v>
      </c>
      <c r="C5802" s="879"/>
    </row>
    <row r="5803" spans="1:3" x14ac:dyDescent="0.25">
      <c r="A5803" s="879"/>
      <c r="B5803" s="1452" t="s">
        <v>1696</v>
      </c>
      <c r="C5803" s="879"/>
    </row>
    <row r="5804" spans="1:3" x14ac:dyDescent="0.25">
      <c r="A5804" s="879"/>
      <c r="B5804" s="1452" t="s">
        <v>1697</v>
      </c>
      <c r="C5804" s="879"/>
    </row>
    <row r="5805" spans="1:3" x14ac:dyDescent="0.25">
      <c r="A5805" s="879"/>
      <c r="B5805" s="1452" t="s">
        <v>2203</v>
      </c>
      <c r="C5805" s="879"/>
    </row>
    <row r="5806" spans="1:3" x14ac:dyDescent="0.25">
      <c r="A5806" s="879"/>
      <c r="B5806" s="1452" t="s">
        <v>1699</v>
      </c>
      <c r="C5806" s="879"/>
    </row>
    <row r="5807" spans="1:3" x14ac:dyDescent="0.25">
      <c r="A5807" s="879"/>
      <c r="B5807" s="1452" t="s">
        <v>1700</v>
      </c>
      <c r="C5807" s="879"/>
    </row>
    <row r="5808" spans="1:3" x14ac:dyDescent="0.25">
      <c r="A5808" s="879"/>
      <c r="B5808" s="1452" t="s">
        <v>1701</v>
      </c>
      <c r="C5808" s="879"/>
    </row>
    <row r="5809" spans="1:3" x14ac:dyDescent="0.25">
      <c r="A5809" s="879"/>
      <c r="B5809" s="1452" t="s">
        <v>1702</v>
      </c>
      <c r="C5809" s="879"/>
    </row>
    <row r="5810" spans="1:3" x14ac:dyDescent="0.25">
      <c r="A5810" s="879"/>
      <c r="B5810" s="1452" t="s">
        <v>1703</v>
      </c>
      <c r="C5810" s="879"/>
    </row>
    <row r="5811" spans="1:3" x14ac:dyDescent="0.25">
      <c r="A5811" s="879"/>
      <c r="B5811" s="1452" t="s">
        <v>1704</v>
      </c>
      <c r="C5811" s="879"/>
    </row>
    <row r="5812" spans="1:3" x14ac:dyDescent="0.25">
      <c r="A5812" s="879"/>
      <c r="B5812" s="1452" t="s">
        <v>1705</v>
      </c>
      <c r="C5812" s="879"/>
    </row>
    <row r="5813" spans="1:3" x14ac:dyDescent="0.25">
      <c r="A5813" s="879"/>
      <c r="B5813" s="1452"/>
      <c r="C5813" s="879"/>
    </row>
    <row r="5814" spans="1:3" x14ac:dyDescent="0.25">
      <c r="A5814" s="879"/>
      <c r="B5814" s="1452"/>
      <c r="C5814" s="879"/>
    </row>
    <row r="5815" spans="1:3" x14ac:dyDescent="0.25">
      <c r="A5815" s="879"/>
      <c r="B5815" s="1452" t="s">
        <v>1368</v>
      </c>
      <c r="C5815" s="879"/>
    </row>
    <row r="5816" spans="1:3" x14ac:dyDescent="0.25">
      <c r="A5816" s="879"/>
      <c r="B5816" s="1452" t="s">
        <v>1611</v>
      </c>
      <c r="C5816" s="879"/>
    </row>
  </sheetData>
  <phoneticPr fontId="0" type="noConversion"/>
  <pageMargins left="0.75" right="0.75" top="1" bottom="1" header="0.5" footer="0.5"/>
  <pageSetup orientation="portrait" horizontalDpi="1200" verticalDpi="1200"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indexed="50"/>
    <pageSetUpPr fitToPage="1"/>
  </sheetPr>
  <dimension ref="A1:H223"/>
  <sheetViews>
    <sheetView tabSelected="1" zoomScaleNormal="100" workbookViewId="0">
      <pane xSplit="1" ySplit="7" topLeftCell="B8" activePane="bottomRight" state="frozen"/>
      <selection pane="topRight" activeCell="B1" sqref="B1"/>
      <selection pane="bottomLeft" activeCell="A8" sqref="A8"/>
      <selection pane="bottomRight" activeCell="B4" sqref="B4"/>
    </sheetView>
  </sheetViews>
  <sheetFormatPr defaultColWidth="9.33203125" defaultRowHeight="13.2" x14ac:dyDescent="0.25"/>
  <cols>
    <col min="1" max="1" width="4.44140625" style="435" customWidth="1"/>
    <col min="2" max="2" width="62.6640625" style="29" customWidth="1"/>
    <col min="3" max="3" width="21.33203125" style="29" customWidth="1"/>
    <col min="4" max="4" width="20.33203125" style="29" customWidth="1"/>
    <col min="5" max="5" width="24.33203125" style="29" customWidth="1"/>
    <col min="6" max="7" width="25.6640625" style="29" customWidth="1"/>
    <col min="8" max="8" width="33.6640625" style="29" customWidth="1"/>
    <col min="9" max="9" width="38" style="29" bestFit="1" customWidth="1"/>
    <col min="10" max="10" width="47.33203125" style="29" customWidth="1"/>
    <col min="11" max="11" width="18.44140625" style="29" customWidth="1"/>
    <col min="12" max="12" width="9.33203125" style="29"/>
    <col min="13" max="13" width="9.6640625" style="29" bestFit="1" customWidth="1"/>
    <col min="14" max="16384" width="9.33203125" style="29"/>
  </cols>
  <sheetData>
    <row r="1" spans="1:8" ht="8.6999999999999993" customHeight="1" thickBot="1" x14ac:dyDescent="0.3">
      <c r="A1" s="1351"/>
      <c r="B1" s="1038"/>
      <c r="C1" s="1038"/>
      <c r="D1" s="1038"/>
      <c r="E1" s="1038"/>
      <c r="F1" s="1038"/>
      <c r="G1" s="1038"/>
      <c r="H1" s="1038"/>
    </row>
    <row r="2" spans="1:8" ht="27" customHeight="1" thickBot="1" x14ac:dyDescent="0.3">
      <c r="A2" s="1438"/>
      <c r="B2" s="1496" t="s">
        <v>1257</v>
      </c>
      <c r="C2" s="1497"/>
      <c r="D2" s="1497"/>
      <c r="E2" s="1498"/>
      <c r="F2" s="1498"/>
      <c r="G2" s="1499"/>
      <c r="H2" s="1038"/>
    </row>
    <row r="3" spans="1:8" ht="32.4" customHeight="1" thickBot="1" x14ac:dyDescent="0.3">
      <c r="A3" s="1438" t="s">
        <v>1024</v>
      </c>
      <c r="B3" s="1500" t="s">
        <v>3269</v>
      </c>
      <c r="C3" s="1501"/>
      <c r="D3" s="1502"/>
      <c r="E3" s="312"/>
      <c r="F3" s="1202"/>
      <c r="G3" s="1235"/>
      <c r="H3" s="1038"/>
    </row>
    <row r="4" spans="1:8" ht="6.6" customHeight="1" thickBot="1" x14ac:dyDescent="0.3">
      <c r="A4" s="1438"/>
      <c r="B4" s="1352"/>
      <c r="C4" s="312"/>
      <c r="D4" s="1503"/>
      <c r="E4" s="1503"/>
      <c r="F4" s="1202"/>
      <c r="G4" s="1235"/>
      <c r="H4" s="1038"/>
    </row>
    <row r="5" spans="1:8" ht="21.6" thickTop="1" x14ac:dyDescent="0.25">
      <c r="A5" s="1438"/>
      <c r="B5" s="1353" t="s">
        <v>1049</v>
      </c>
      <c r="C5" s="1354"/>
      <c r="D5" s="1355"/>
      <c r="E5" s="1355"/>
      <c r="F5" s="1189"/>
      <c r="G5" s="1190"/>
      <c r="H5" s="1038"/>
    </row>
    <row r="6" spans="1:8" ht="21" customHeight="1" x14ac:dyDescent="0.25">
      <c r="A6" s="1438"/>
      <c r="B6" s="1356" t="s">
        <v>202</v>
      </c>
      <c r="C6" s="312"/>
      <c r="D6" s="1357"/>
      <c r="E6" s="1357"/>
      <c r="F6" s="1202"/>
      <c r="G6" s="1235"/>
      <c r="H6" s="1038"/>
    </row>
    <row r="7" spans="1:8" ht="21" x14ac:dyDescent="0.25">
      <c r="A7" s="1438"/>
      <c r="B7" s="1358"/>
      <c r="C7" s="312"/>
      <c r="D7" s="1258"/>
      <c r="E7" s="1258"/>
      <c r="F7" s="1202"/>
      <c r="G7" s="1235"/>
      <c r="H7" s="1038"/>
    </row>
    <row r="8" spans="1:8" ht="29.25" customHeight="1" x14ac:dyDescent="0.25">
      <c r="A8" s="1438"/>
      <c r="B8" s="1356" t="s">
        <v>197</v>
      </c>
      <c r="C8" s="312"/>
      <c r="D8" s="1258"/>
      <c r="E8" s="1258"/>
      <c r="F8" s="1202"/>
      <c r="G8" s="1235"/>
      <c r="H8" s="1038"/>
    </row>
    <row r="9" spans="1:8" ht="21" x14ac:dyDescent="0.25">
      <c r="A9" s="1438"/>
      <c r="B9" s="1358"/>
      <c r="C9" s="312"/>
      <c r="D9" s="312"/>
      <c r="E9" s="312"/>
      <c r="F9" s="1202"/>
      <c r="G9" s="1235"/>
      <c r="H9" s="1038"/>
    </row>
    <row r="10" spans="1:8" ht="21" x14ac:dyDescent="0.25">
      <c r="A10" s="1438"/>
      <c r="B10" s="1356" t="s">
        <v>196</v>
      </c>
      <c r="C10" s="312"/>
      <c r="D10" s="312"/>
      <c r="E10" s="312"/>
      <c r="F10" s="1202"/>
      <c r="G10" s="1235"/>
      <c r="H10" s="1038"/>
    </row>
    <row r="11" spans="1:8" ht="21" x14ac:dyDescent="0.25">
      <c r="A11" s="1438"/>
      <c r="B11" s="1352"/>
      <c r="C11" s="312"/>
      <c r="D11" s="312"/>
      <c r="E11" s="312"/>
      <c r="F11" s="1202"/>
      <c r="G11" s="1235"/>
      <c r="H11" s="1038"/>
    </row>
    <row r="12" spans="1:8" ht="21" x14ac:dyDescent="0.25">
      <c r="A12" s="1438"/>
      <c r="B12" s="1352"/>
      <c r="C12" s="312"/>
      <c r="D12" s="312"/>
      <c r="E12" s="312"/>
      <c r="F12" s="1202"/>
      <c r="G12" s="1235"/>
      <c r="H12" s="1038"/>
    </row>
    <row r="13" spans="1:8" ht="21" x14ac:dyDescent="0.25">
      <c r="A13" s="1438"/>
      <c r="B13" s="1352"/>
      <c r="C13" s="312"/>
      <c r="D13" s="312"/>
      <c r="E13" s="312"/>
      <c r="F13" s="1202"/>
      <c r="G13" s="1235"/>
      <c r="H13" s="1038"/>
    </row>
    <row r="14" spans="1:8" ht="21" x14ac:dyDescent="0.25">
      <c r="A14" s="1438"/>
      <c r="B14" s="1359" t="s">
        <v>321</v>
      </c>
      <c r="C14" s="312"/>
      <c r="D14" s="312"/>
      <c r="E14" s="312"/>
      <c r="F14" s="312"/>
      <c r="G14" s="1235"/>
      <c r="H14" s="1038"/>
    </row>
    <row r="15" spans="1:8" ht="21" x14ac:dyDescent="0.25">
      <c r="A15" s="1438"/>
      <c r="B15" s="1359" t="s">
        <v>369</v>
      </c>
      <c r="C15" s="312"/>
      <c r="D15" s="312"/>
      <c r="E15" s="312"/>
      <c r="F15" s="312"/>
      <c r="G15" s="1235"/>
      <c r="H15" s="1038"/>
    </row>
    <row r="16" spans="1:8" ht="21" x14ac:dyDescent="0.25">
      <c r="A16" s="1438"/>
      <c r="B16" s="1359" t="s">
        <v>142</v>
      </c>
      <c r="C16" s="312"/>
      <c r="D16" s="312"/>
      <c r="E16" s="312"/>
      <c r="F16" s="312"/>
      <c r="G16" s="1235"/>
      <c r="H16" s="1373" t="s">
        <v>1158</v>
      </c>
    </row>
    <row r="17" spans="1:8" ht="21" x14ac:dyDescent="0.25">
      <c r="A17" s="1438"/>
      <c r="B17" s="1359" t="s">
        <v>938</v>
      </c>
      <c r="C17" s="312"/>
      <c r="D17" s="312"/>
      <c r="E17" s="312"/>
      <c r="F17" s="312"/>
      <c r="G17" s="1235"/>
      <c r="H17" s="1374">
        <f ca="1">+NPV</f>
        <v>2.3007607764836916E-9</v>
      </c>
    </row>
    <row r="18" spans="1:8" ht="21" x14ac:dyDescent="0.25">
      <c r="A18" s="1438"/>
      <c r="B18" s="1359" t="s">
        <v>351</v>
      </c>
      <c r="C18" s="312"/>
      <c r="D18" s="312"/>
      <c r="E18" s="312"/>
      <c r="F18" s="312"/>
      <c r="G18" s="1235"/>
      <c r="H18" s="1038"/>
    </row>
    <row r="19" spans="1:8" ht="21" x14ac:dyDescent="0.25">
      <c r="A19" s="1438"/>
      <c r="B19" s="1359" t="s">
        <v>939</v>
      </c>
      <c r="C19" s="312"/>
      <c r="D19" s="312"/>
      <c r="E19" s="312"/>
      <c r="F19" s="312"/>
      <c r="G19" s="1235"/>
      <c r="H19" s="1038"/>
    </row>
    <row r="20" spans="1:8" ht="21" x14ac:dyDescent="0.25">
      <c r="A20" s="1438"/>
      <c r="B20" s="1359" t="s">
        <v>940</v>
      </c>
      <c r="C20" s="312"/>
      <c r="D20" s="312"/>
      <c r="E20" s="312"/>
      <c r="F20" s="312"/>
      <c r="G20" s="1235"/>
      <c r="H20" s="1038"/>
    </row>
    <row r="21" spans="1:8" ht="5.7" customHeight="1" x14ac:dyDescent="0.25">
      <c r="A21" s="1438"/>
      <c r="B21" s="1360"/>
      <c r="C21" s="312"/>
      <c r="D21" s="1258"/>
      <c r="E21" s="1258"/>
      <c r="F21" s="1202"/>
      <c r="G21" s="1235"/>
      <c r="H21" s="1038"/>
    </row>
    <row r="22" spans="1:8" ht="5.7" customHeight="1" x14ac:dyDescent="0.25">
      <c r="A22" s="1438"/>
      <c r="B22" s="1038"/>
      <c r="C22" s="1038"/>
      <c r="D22" s="1038"/>
      <c r="E22" s="1258"/>
      <c r="F22" s="1202"/>
      <c r="G22" s="1235"/>
      <c r="H22" s="1038"/>
    </row>
    <row r="23" spans="1:8" ht="5.7" customHeight="1" thickBot="1" x14ac:dyDescent="0.3">
      <c r="A23" s="1438"/>
      <c r="B23" s="1352"/>
      <c r="C23" s="312"/>
      <c r="D23" s="1258"/>
      <c r="E23" s="1258"/>
      <c r="F23" s="1202"/>
      <c r="G23" s="1235"/>
      <c r="H23" s="1038"/>
    </row>
    <row r="24" spans="1:8" ht="31.5" customHeight="1" thickTop="1" thickBot="1" x14ac:dyDescent="0.3">
      <c r="A24" s="1438"/>
      <c r="B24" s="1361" t="s">
        <v>321</v>
      </c>
      <c r="C24" s="1184"/>
      <c r="D24" s="1184"/>
      <c r="E24" s="1488" t="s">
        <v>431</v>
      </c>
      <c r="F24" s="1488"/>
      <c r="G24" s="1489"/>
      <c r="H24" s="1038"/>
    </row>
    <row r="25" spans="1:8" ht="17.100000000000001" customHeight="1" thickBot="1" x14ac:dyDescent="0.3">
      <c r="A25" s="1438" t="s">
        <v>7</v>
      </c>
      <c r="B25" s="313" t="s">
        <v>333</v>
      </c>
      <c r="C25" s="1473">
        <f ca="1">0.86*sensitivity_01</f>
        <v>0.86</v>
      </c>
      <c r="D25" s="1182"/>
      <c r="E25" s="1486"/>
      <c r="F25" s="1486"/>
      <c r="G25" s="1487"/>
      <c r="H25" s="1038"/>
    </row>
    <row r="26" spans="1:8" ht="17.100000000000001" customHeight="1" thickBot="1" x14ac:dyDescent="0.3">
      <c r="A26" s="1438" t="s">
        <v>25</v>
      </c>
      <c r="B26" s="313" t="s">
        <v>334</v>
      </c>
      <c r="C26" s="1474">
        <f ca="1">1500*sensitivity_02</f>
        <v>1500</v>
      </c>
      <c r="D26" s="1182"/>
      <c r="E26" s="1486"/>
      <c r="F26" s="1486"/>
      <c r="G26" s="1487"/>
      <c r="H26" s="1038"/>
    </row>
    <row r="27" spans="1:8" ht="17.100000000000001" customHeight="1" thickBot="1" x14ac:dyDescent="0.3">
      <c r="A27" s="1438"/>
      <c r="B27" s="313" t="s">
        <v>420</v>
      </c>
      <c r="C27" s="1181">
        <f ca="1">design_cap*cap_factor</f>
        <v>1290</v>
      </c>
      <c r="D27" s="1182"/>
      <c r="E27" s="1307"/>
      <c r="F27" s="1307"/>
      <c r="G27" s="1304"/>
      <c r="H27" s="1038"/>
    </row>
    <row r="28" spans="1:8" ht="17.100000000000001" customHeight="1" thickBot="1" x14ac:dyDescent="0.3">
      <c r="A28" s="1438" t="s">
        <v>991</v>
      </c>
      <c r="B28" s="313" t="s">
        <v>19</v>
      </c>
      <c r="C28" s="1183">
        <f ca="1">output_kgpday*365</f>
        <v>470850</v>
      </c>
      <c r="D28" s="1182"/>
      <c r="E28" s="1493"/>
      <c r="F28" s="1486"/>
      <c r="G28" s="1487"/>
      <c r="H28" s="1038"/>
    </row>
    <row r="29" spans="1:8" ht="20.100000000000001" customHeight="1" thickTop="1" thickBot="1" x14ac:dyDescent="0.3">
      <c r="A29" s="1438"/>
      <c r="B29" s="1361" t="s">
        <v>369</v>
      </c>
      <c r="C29" s="1184"/>
      <c r="D29" s="1185"/>
      <c r="E29" s="1488" t="s">
        <v>1080</v>
      </c>
      <c r="F29" s="1488"/>
      <c r="G29" s="1489"/>
      <c r="H29" s="1038"/>
    </row>
    <row r="30" spans="1:8" ht="17.100000000000001" customHeight="1" thickBot="1" x14ac:dyDescent="0.3">
      <c r="A30" s="1438" t="s">
        <v>1007</v>
      </c>
      <c r="B30" s="313" t="s">
        <v>1008</v>
      </c>
      <c r="C30" s="1475">
        <v>2016</v>
      </c>
      <c r="D30" s="1149"/>
      <c r="E30" s="1486"/>
      <c r="F30" s="1486"/>
      <c r="G30" s="1487"/>
      <c r="H30" s="1038"/>
    </row>
    <row r="31" spans="1:8" ht="17.100000000000001" customHeight="1" thickBot="1" x14ac:dyDescent="0.3">
      <c r="A31" s="1438" t="s">
        <v>181</v>
      </c>
      <c r="B31" s="313" t="s">
        <v>370</v>
      </c>
      <c r="C31" s="1475">
        <v>2015</v>
      </c>
      <c r="D31" s="1182"/>
      <c r="E31" s="1486"/>
      <c r="F31" s="1486"/>
      <c r="G31" s="1487"/>
      <c r="H31" s="1038"/>
    </row>
    <row r="32" spans="1:8" ht="17.100000000000001" customHeight="1" thickBot="1" x14ac:dyDescent="0.3">
      <c r="A32" s="1438"/>
      <c r="B32" s="313" t="s">
        <v>828</v>
      </c>
      <c r="C32" s="1475">
        <v>2005</v>
      </c>
      <c r="D32" s="1504" t="s">
        <v>1079</v>
      </c>
      <c r="E32" s="1307"/>
      <c r="F32" s="1307"/>
      <c r="G32" s="1304"/>
      <c r="H32" s="1038"/>
    </row>
    <row r="33" spans="1:8" ht="17.100000000000001" customHeight="1" thickBot="1" x14ac:dyDescent="0.3">
      <c r="A33" s="1438" t="s">
        <v>9</v>
      </c>
      <c r="B33" s="313" t="s">
        <v>371</v>
      </c>
      <c r="C33" s="1475">
        <v>1</v>
      </c>
      <c r="D33" s="1504"/>
      <c r="E33" s="1486"/>
      <c r="F33" s="1486"/>
      <c r="G33" s="1487"/>
      <c r="H33" s="1038"/>
    </row>
    <row r="34" spans="1:8" ht="17.100000000000001" customHeight="1" thickBot="1" x14ac:dyDescent="0.3">
      <c r="A34" s="1438" t="s">
        <v>160</v>
      </c>
      <c r="B34" s="313" t="s">
        <v>932</v>
      </c>
      <c r="C34" s="1476">
        <v>1</v>
      </c>
      <c r="D34" s="1186"/>
      <c r="E34" s="1486"/>
      <c r="F34" s="1486"/>
      <c r="G34" s="1487"/>
      <c r="H34" s="1038"/>
    </row>
    <row r="35" spans="1:8" ht="17.100000000000001" customHeight="1" thickBot="1" x14ac:dyDescent="0.3">
      <c r="A35" s="1438" t="s">
        <v>161</v>
      </c>
      <c r="B35" s="313" t="s">
        <v>372</v>
      </c>
      <c r="C35" s="1476">
        <v>0</v>
      </c>
      <c r="D35" s="1186"/>
      <c r="E35" s="1486"/>
      <c r="F35" s="1486"/>
      <c r="G35" s="1487"/>
      <c r="H35" s="1038"/>
    </row>
    <row r="36" spans="1:8" ht="17.100000000000001" customHeight="1" thickBot="1" x14ac:dyDescent="0.3">
      <c r="A36" s="1438" t="s">
        <v>162</v>
      </c>
      <c r="B36" s="313" t="s">
        <v>373</v>
      </c>
      <c r="C36" s="1476">
        <v>0</v>
      </c>
      <c r="D36" s="1186"/>
      <c r="E36" s="1486"/>
      <c r="F36" s="1486"/>
      <c r="G36" s="1487"/>
      <c r="H36" s="1038"/>
    </row>
    <row r="37" spans="1:8" ht="17.100000000000001" customHeight="1" thickBot="1" x14ac:dyDescent="0.3">
      <c r="A37" s="1438" t="s">
        <v>163</v>
      </c>
      <c r="B37" s="313" t="s">
        <v>322</v>
      </c>
      <c r="C37" s="1476"/>
      <c r="D37" s="1182"/>
      <c r="E37" s="1486"/>
      <c r="F37" s="1486"/>
      <c r="G37" s="1487"/>
      <c r="H37" s="1038"/>
    </row>
    <row r="38" spans="1:8" ht="17.100000000000001" customHeight="1" thickBot="1" x14ac:dyDescent="0.3">
      <c r="A38" s="1438" t="s">
        <v>180</v>
      </c>
      <c r="B38" s="313" t="s">
        <v>375</v>
      </c>
      <c r="C38" s="1482">
        <v>0.57999999999999996</v>
      </c>
      <c r="D38" s="1182"/>
      <c r="E38" s="1486"/>
      <c r="F38" s="1486"/>
      <c r="G38" s="1487"/>
      <c r="H38" s="1038"/>
    </row>
    <row r="39" spans="1:8" ht="17.100000000000001" customHeight="1" thickBot="1" x14ac:dyDescent="0.3">
      <c r="A39" s="1438" t="s">
        <v>169</v>
      </c>
      <c r="B39" s="313" t="s">
        <v>376</v>
      </c>
      <c r="C39" s="1475">
        <v>20</v>
      </c>
      <c r="D39" s="1182"/>
      <c r="E39" s="1486"/>
      <c r="F39" s="1486"/>
      <c r="G39" s="1487"/>
      <c r="H39" s="1038"/>
    </row>
    <row r="40" spans="1:8" ht="17.100000000000001" customHeight="1" thickBot="1" x14ac:dyDescent="0.3">
      <c r="A40" s="1438" t="s">
        <v>6</v>
      </c>
      <c r="B40" s="313" t="s">
        <v>377</v>
      </c>
      <c r="C40" s="1475">
        <v>20</v>
      </c>
      <c r="D40" s="1182"/>
      <c r="E40" s="1486"/>
      <c r="F40" s="1486"/>
      <c r="G40" s="1487"/>
      <c r="H40" s="1038"/>
    </row>
    <row r="41" spans="1:8" ht="17.100000000000001" customHeight="1" thickBot="1" x14ac:dyDescent="0.3">
      <c r="A41" s="1438" t="s">
        <v>23</v>
      </c>
      <c r="B41" s="313" t="s">
        <v>378</v>
      </c>
      <c r="C41" s="1475">
        <v>7</v>
      </c>
      <c r="D41" s="1182"/>
      <c r="E41" s="1486"/>
      <c r="F41" s="1486"/>
      <c r="G41" s="1487"/>
      <c r="H41" s="1038"/>
    </row>
    <row r="42" spans="1:8" ht="17.100000000000001" customHeight="1" thickBot="1" x14ac:dyDescent="0.3">
      <c r="A42" s="1438" t="s">
        <v>24</v>
      </c>
      <c r="B42" s="313" t="s">
        <v>386</v>
      </c>
      <c r="C42" s="1477" t="s">
        <v>428</v>
      </c>
      <c r="D42" s="1182"/>
      <c r="E42" s="1486"/>
      <c r="F42" s="1486"/>
      <c r="G42" s="1487"/>
      <c r="H42" s="1038"/>
    </row>
    <row r="43" spans="1:8" ht="17.100000000000001" customHeight="1" thickBot="1" x14ac:dyDescent="0.3">
      <c r="A43" s="1438" t="s">
        <v>246</v>
      </c>
      <c r="B43" s="313" t="s">
        <v>18</v>
      </c>
      <c r="C43" s="1478">
        <v>0.4</v>
      </c>
      <c r="D43" s="1182"/>
      <c r="E43" s="1486"/>
      <c r="F43" s="1486"/>
      <c r="G43" s="1487"/>
      <c r="H43" s="1038"/>
    </row>
    <row r="44" spans="1:8" ht="17.100000000000001" customHeight="1" thickBot="1" x14ac:dyDescent="0.3">
      <c r="A44" s="1438" t="s">
        <v>12</v>
      </c>
      <c r="B44" s="313" t="s">
        <v>385</v>
      </c>
      <c r="C44" s="1479">
        <v>3.6999999999999998E-2</v>
      </c>
      <c r="D44" s="1182"/>
      <c r="E44" s="1486"/>
      <c r="F44" s="1486"/>
      <c r="G44" s="1487"/>
      <c r="H44" s="1038"/>
    </row>
    <row r="45" spans="1:8" ht="17.100000000000001" customHeight="1" thickBot="1" x14ac:dyDescent="0.3">
      <c r="A45" s="1438" t="s">
        <v>13</v>
      </c>
      <c r="B45" s="313" t="s">
        <v>379</v>
      </c>
      <c r="C45" s="1480">
        <v>0</v>
      </c>
      <c r="D45" s="1182"/>
      <c r="E45" s="1486" t="s">
        <v>1256</v>
      </c>
      <c r="F45" s="1486"/>
      <c r="G45" s="1487"/>
      <c r="H45" s="1038"/>
    </row>
    <row r="46" spans="1:8" ht="17.100000000000001" customHeight="1" thickBot="1" x14ac:dyDescent="0.3">
      <c r="A46" s="1438" t="s">
        <v>164</v>
      </c>
      <c r="B46" s="313" t="s">
        <v>380</v>
      </c>
      <c r="C46" s="1476">
        <v>0.75</v>
      </c>
      <c r="D46" s="1182"/>
      <c r="E46" s="1486"/>
      <c r="F46" s="1486"/>
      <c r="G46" s="1487"/>
      <c r="H46" s="1038"/>
    </row>
    <row r="47" spans="1:8" ht="17.100000000000001" customHeight="1" thickBot="1" x14ac:dyDescent="0.3">
      <c r="A47" s="1438" t="s">
        <v>166</v>
      </c>
      <c r="B47" s="313" t="s">
        <v>381</v>
      </c>
      <c r="C47" s="1476">
        <v>0.5</v>
      </c>
      <c r="D47" s="1182"/>
      <c r="E47" s="1486"/>
      <c r="F47" s="1486"/>
      <c r="G47" s="1487"/>
      <c r="H47" s="1038"/>
    </row>
    <row r="48" spans="1:8" ht="17.100000000000001" customHeight="1" thickBot="1" x14ac:dyDescent="0.3">
      <c r="A48" s="1438" t="s">
        <v>167</v>
      </c>
      <c r="B48" s="313" t="s">
        <v>382</v>
      </c>
      <c r="C48" s="1476">
        <v>0.5</v>
      </c>
      <c r="D48" s="1182"/>
      <c r="E48" s="1486"/>
      <c r="F48" s="1486"/>
      <c r="G48" s="1487"/>
      <c r="H48" s="1038"/>
    </row>
    <row r="49" spans="1:8" ht="17.100000000000001" customHeight="1" thickBot="1" x14ac:dyDescent="0.3">
      <c r="A49" s="1438" t="s">
        <v>17</v>
      </c>
      <c r="B49" s="313" t="s">
        <v>383</v>
      </c>
      <c r="C49" s="1476">
        <v>0.1</v>
      </c>
      <c r="D49" s="1182"/>
      <c r="E49" s="1486"/>
      <c r="F49" s="1486"/>
      <c r="G49" s="1487"/>
      <c r="H49" s="1038"/>
    </row>
    <row r="50" spans="1:8" ht="17.100000000000001" customHeight="1" thickBot="1" x14ac:dyDescent="0.3">
      <c r="A50" s="1438" t="s">
        <v>177</v>
      </c>
      <c r="B50" s="313" t="s">
        <v>384</v>
      </c>
      <c r="C50" s="1476">
        <v>0.1</v>
      </c>
      <c r="D50" s="1182"/>
      <c r="E50" s="1486"/>
      <c r="F50" s="1486"/>
      <c r="G50" s="1487"/>
      <c r="H50" s="1038"/>
    </row>
    <row r="51" spans="1:8" ht="17.100000000000001" customHeight="1" thickBot="1" x14ac:dyDescent="0.3">
      <c r="A51" s="1438" t="s">
        <v>29</v>
      </c>
      <c r="B51" s="313" t="s">
        <v>961</v>
      </c>
      <c r="C51" s="1473">
        <v>1.9E-2</v>
      </c>
      <c r="D51" s="1182"/>
      <c r="E51" s="1486"/>
      <c r="F51" s="1486"/>
      <c r="G51" s="1487"/>
      <c r="H51" s="1038"/>
    </row>
    <row r="52" spans="1:8" ht="17.100000000000001" customHeight="1" thickBot="1" x14ac:dyDescent="0.3">
      <c r="A52" s="1438" t="s">
        <v>173</v>
      </c>
      <c r="B52" s="313" t="s">
        <v>1002</v>
      </c>
      <c r="C52" s="1473">
        <f ca="1">0.08*sensitivity_03</f>
        <v>0.08</v>
      </c>
      <c r="D52" s="1182"/>
      <c r="E52" s="1486"/>
      <c r="F52" s="1486"/>
      <c r="G52" s="1487"/>
      <c r="H52" s="1038"/>
    </row>
    <row r="53" spans="1:8" ht="17.100000000000001" customHeight="1" thickBot="1" x14ac:dyDescent="0.3">
      <c r="A53" s="1438" t="s">
        <v>183</v>
      </c>
      <c r="B53" s="313" t="s">
        <v>1003</v>
      </c>
      <c r="C53" s="1473">
        <v>0.06</v>
      </c>
      <c r="D53" s="1182"/>
      <c r="E53" s="1486"/>
      <c r="F53" s="1486"/>
      <c r="G53" s="1487"/>
      <c r="H53" s="1038"/>
    </row>
    <row r="54" spans="1:8" ht="17.100000000000001" customHeight="1" thickBot="1" x14ac:dyDescent="0.3">
      <c r="A54" s="1438" t="s">
        <v>27</v>
      </c>
      <c r="B54" s="313" t="s">
        <v>960</v>
      </c>
      <c r="C54" s="1481">
        <v>0.21</v>
      </c>
      <c r="D54" s="1182"/>
      <c r="E54" s="1486"/>
      <c r="F54" s="1486"/>
      <c r="G54" s="1487"/>
      <c r="H54" s="1038"/>
    </row>
    <row r="55" spans="1:8" ht="17.100000000000001" customHeight="1" thickBot="1" x14ac:dyDescent="0.3">
      <c r="A55" s="1438" t="s">
        <v>999</v>
      </c>
      <c r="B55" s="313" t="s">
        <v>20</v>
      </c>
      <c r="C55" s="1180">
        <f>fed_tax_rate+state_tax_rate*(1-fed_tax_rate)</f>
        <v>0.25739999999999996</v>
      </c>
      <c r="D55" s="1187"/>
      <c r="E55" s="1493"/>
      <c r="F55" s="1486"/>
      <c r="G55" s="1487"/>
      <c r="H55" s="1038"/>
    </row>
    <row r="56" spans="1:8" ht="17.100000000000001" customHeight="1" thickBot="1" x14ac:dyDescent="0.3">
      <c r="A56" s="1438" t="s">
        <v>188</v>
      </c>
      <c r="B56" s="313" t="s">
        <v>368</v>
      </c>
      <c r="C56" s="1176">
        <v>0.15</v>
      </c>
      <c r="D56" s="1182"/>
      <c r="E56" s="1486"/>
      <c r="F56" s="1486"/>
      <c r="G56" s="1487"/>
      <c r="H56" s="1038"/>
    </row>
    <row r="57" spans="1:8" ht="18.75" customHeight="1" thickTop="1" x14ac:dyDescent="0.25">
      <c r="A57" s="1438"/>
      <c r="B57" s="1362" t="s">
        <v>1025</v>
      </c>
      <c r="C57" s="1188"/>
      <c r="D57" s="1189"/>
      <c r="E57" s="1189"/>
      <c r="F57" s="1189"/>
      <c r="G57" s="1190"/>
      <c r="H57" s="1038"/>
    </row>
    <row r="58" spans="1:8" ht="21" customHeight="1" thickBot="1" x14ac:dyDescent="0.3">
      <c r="A58" s="1438"/>
      <c r="B58" s="412" t="s">
        <v>274</v>
      </c>
      <c r="C58" s="444"/>
      <c r="D58" s="1191"/>
      <c r="E58" s="1191"/>
      <c r="F58" s="1191"/>
      <c r="G58" s="1192"/>
      <c r="H58" s="1038"/>
    </row>
    <row r="59" spans="1:8" ht="23.25" customHeight="1" thickBot="1" x14ac:dyDescent="0.3">
      <c r="A59" s="1438"/>
      <c r="B59" s="978" t="s">
        <v>1197</v>
      </c>
      <c r="C59" s="444"/>
      <c r="D59" s="1191"/>
      <c r="E59" s="1191"/>
      <c r="F59" s="1490" t="s">
        <v>703</v>
      </c>
      <c r="G59" s="1192"/>
      <c r="H59" s="1038"/>
    </row>
    <row r="60" spans="1:8" ht="18.75" customHeight="1" thickBot="1" x14ac:dyDescent="0.3">
      <c r="A60" s="1438"/>
      <c r="B60" s="412" t="s">
        <v>685</v>
      </c>
      <c r="C60" s="1191"/>
      <c r="D60" s="1191"/>
      <c r="E60" s="1191"/>
      <c r="F60" s="1490"/>
      <c r="G60" s="1192"/>
      <c r="H60" s="1038"/>
    </row>
    <row r="61" spans="1:8" ht="17.100000000000001" customHeight="1" thickBot="1" x14ac:dyDescent="0.3">
      <c r="A61" s="1438"/>
      <c r="B61" s="978" t="s">
        <v>820</v>
      </c>
      <c r="C61" s="414" t="str">
        <f>IF(OR(TMP_FeedType="Feedstock",TMP_FeedType = "Utility")," Enter usage in","Enter production in")</f>
        <v xml:space="preserve"> Enter usage in</v>
      </c>
      <c r="D61" s="414" t="str">
        <f ca="1">VLOOKUP(TMP_FeedName,INDIRECT(TMP_PriceTable),4,FALSE)</f>
        <v>kWh</v>
      </c>
      <c r="E61" s="1191"/>
      <c r="F61" s="1490"/>
      <c r="G61" s="1192"/>
      <c r="H61" s="1038"/>
    </row>
    <row r="62" spans="1:8" ht="17.100000000000001" customHeight="1" thickBot="1" x14ac:dyDescent="0.3">
      <c r="A62" s="1438"/>
      <c r="B62" s="412" t="s">
        <v>686</v>
      </c>
      <c r="C62" s="414"/>
      <c r="D62" s="414"/>
      <c r="E62" s="1191"/>
      <c r="F62" s="1490"/>
      <c r="G62" s="1192"/>
      <c r="H62" s="1038"/>
    </row>
    <row r="63" spans="1:8" ht="17.100000000000001" customHeight="1" thickBot="1" x14ac:dyDescent="0.3">
      <c r="A63" s="1438"/>
      <c r="B63" s="978" t="s">
        <v>672</v>
      </c>
      <c r="C63" s="1191"/>
      <c r="D63" s="1191"/>
      <c r="E63" s="1191"/>
      <c r="F63" s="1490"/>
      <c r="G63" s="1192"/>
      <c r="H63" s="1038"/>
    </row>
    <row r="64" spans="1:8" ht="17.100000000000001" customHeight="1" thickBot="1" x14ac:dyDescent="0.3">
      <c r="A64" s="1438"/>
      <c r="B64" s="1363"/>
      <c r="C64" s="1191"/>
      <c r="D64" s="1191"/>
      <c r="E64" s="1191"/>
      <c r="F64" s="1490"/>
      <c r="G64" s="1192"/>
      <c r="H64" s="1038"/>
    </row>
    <row r="65" spans="1:8" ht="37.5" customHeight="1" thickBot="1" x14ac:dyDescent="0.3">
      <c r="A65" s="1438"/>
      <c r="B65" s="420" t="str">
        <f>SELECTED_FEED</f>
        <v>feedstock</v>
      </c>
      <c r="C65" s="474" t="str">
        <f>TMP_FeedName</f>
        <v>Commercial Electricity</v>
      </c>
      <c r="D65" s="475"/>
      <c r="E65" s="1193"/>
      <c r="F65" s="1490"/>
      <c r="G65" s="1192"/>
      <c r="H65" s="1038"/>
    </row>
    <row r="66" spans="1:8" ht="19.2" customHeight="1" thickBot="1" x14ac:dyDescent="0.3">
      <c r="A66" s="1438"/>
      <c r="B66" s="421" t="str">
        <f ca="1">"Price Conversion Factor (GJ/"&amp;TMP_Units&amp;")"</f>
        <v>Price Conversion Factor (GJ/kWh)</v>
      </c>
      <c r="C66" s="428">
        <f ca="1">VLOOKUP(TMP_FeedName,MASTER_PROPERTY_TABLE,9,FALSE)</f>
        <v>3.5999999999999995E-3</v>
      </c>
      <c r="D66" s="1193"/>
      <c r="E66" s="1193"/>
      <c r="F66" s="1490"/>
      <c r="G66" s="1192"/>
      <c r="H66" s="1038"/>
    </row>
    <row r="67" spans="1:8" ht="19.2" customHeight="1" thickBot="1" x14ac:dyDescent="0.3">
      <c r="A67" s="1438"/>
      <c r="B67" s="699" t="str">
        <f ca="1">"Price in Startup Year ($" &amp; ref_year &amp; ")/" &amp; TMP_Units</f>
        <v>Price in Startup Year ($2016)/kWh</v>
      </c>
      <c r="C67" s="1035">
        <f ca="1">HLOOKUP(startup_year,INDIRECT(TMP_PriceTable),MATCH(TMP_FeedName,INDIRECT(Energy_Feed_List),0),FALSE)*TMP_Conversion</f>
        <v>0.10775596291985907</v>
      </c>
      <c r="D67" s="1194"/>
      <c r="E67" s="416"/>
      <c r="F67" s="1490"/>
      <c r="G67" s="1192"/>
      <c r="H67" s="1038"/>
    </row>
    <row r="68" spans="1:8" ht="19.2" customHeight="1" thickBot="1" x14ac:dyDescent="0.3">
      <c r="A68" s="1438"/>
      <c r="B68" s="421" t="str">
        <f ca="1">IF(OR(TMP_FeedType="Feedstock",TMP_FeedType = "Utility"),"Usage ("&amp;TMP_Units&amp;"/kg H2)","Production ("&amp;TMP_Units&amp;"/kg H2)")</f>
        <v>Usage (kWh/kg H2)</v>
      </c>
      <c r="C68" s="1285">
        <v>1.1100000000000001</v>
      </c>
      <c r="D68" s="416"/>
      <c r="E68" s="1193"/>
      <c r="F68" s="1490"/>
      <c r="G68" s="1192"/>
      <c r="H68" s="1038"/>
    </row>
    <row r="69" spans="1:8" ht="19.2" customHeight="1" thickBot="1" x14ac:dyDescent="0.3">
      <c r="A69" s="1438"/>
      <c r="B69" s="422" t="str">
        <f>IF(OR(TMP_FeedType = "Feedstock",TMP_FeedType = "Utility"), "Cost in Startup Year","Income in Startup Year")</f>
        <v>Cost in Startup Year</v>
      </c>
      <c r="C69" s="433">
        <f ca="1">design_cap*365*cap_factor*TMP_Usage*TMP_StartPrice</f>
        <v>56317.953606305375</v>
      </c>
      <c r="D69" s="1193"/>
      <c r="E69" s="1193"/>
      <c r="F69" s="1191"/>
      <c r="G69" s="1192"/>
      <c r="H69" s="1038"/>
    </row>
    <row r="70" spans="1:8" ht="19.2" customHeight="1" thickBot="1" x14ac:dyDescent="0.3">
      <c r="A70" s="1438"/>
      <c r="B70" s="421" t="s">
        <v>261</v>
      </c>
      <c r="C70" s="427" t="s">
        <v>700</v>
      </c>
      <c r="D70" s="1193"/>
      <c r="E70" s="1193"/>
      <c r="F70" s="1191"/>
      <c r="G70" s="1192"/>
      <c r="H70" s="1038"/>
    </row>
    <row r="71" spans="1:8" s="413" customFormat="1" ht="19.2" customHeight="1" x14ac:dyDescent="0.25">
      <c r="A71" s="1439"/>
      <c r="B71" s="751"/>
      <c r="C71" s="752"/>
      <c r="D71" s="1193"/>
      <c r="E71" s="1193"/>
      <c r="F71" s="1191"/>
      <c r="G71" s="1192"/>
      <c r="H71" s="1038"/>
    </row>
    <row r="72" spans="1:8" ht="27" customHeight="1" thickBot="1" x14ac:dyDescent="0.3">
      <c r="A72" s="1440"/>
      <c r="B72" s="1364" t="s">
        <v>704</v>
      </c>
      <c r="C72" s="1195"/>
      <c r="D72" s="1195"/>
      <c r="E72" s="1195"/>
      <c r="F72" s="1195"/>
      <c r="G72" s="1196"/>
      <c r="H72" s="1038"/>
    </row>
    <row r="73" spans="1:8" ht="28.2" customHeight="1" x14ac:dyDescent="0.25">
      <c r="A73" s="1440" t="s">
        <v>14</v>
      </c>
      <c r="B73" s="429"/>
      <c r="C73" s="430"/>
      <c r="D73" s="430"/>
      <c r="E73" s="430"/>
      <c r="F73" s="431"/>
      <c r="G73" s="432"/>
      <c r="H73" s="1038"/>
    </row>
    <row r="74" spans="1:8" ht="28.2" customHeight="1" x14ac:dyDescent="0.25">
      <c r="A74" s="1440"/>
      <c r="B74" s="429" t="s">
        <v>820</v>
      </c>
      <c r="C74" s="430" t="s">
        <v>3260</v>
      </c>
      <c r="D74" s="430" t="s">
        <v>3261</v>
      </c>
      <c r="E74" s="430" t="s">
        <v>3262</v>
      </c>
      <c r="F74" s="431" t="s">
        <v>821</v>
      </c>
      <c r="G74" s="432" t="s">
        <v>261</v>
      </c>
      <c r="H74" s="1038"/>
    </row>
    <row r="75" spans="1:8" ht="28.2" customHeight="1" x14ac:dyDescent="0.25">
      <c r="A75" s="1440"/>
      <c r="B75" s="429" t="s">
        <v>282</v>
      </c>
      <c r="C75" s="430">
        <v>1.0549999999999999</v>
      </c>
      <c r="D75" s="430">
        <v>3.7336748144174337</v>
      </c>
      <c r="E75" s="430">
        <v>0.15579701239747201</v>
      </c>
      <c r="F75" s="431">
        <f ca="1">+output_kgyear*feedstockIndustrial_Natural_Gas_Price*feedstockIndustrial_Natural_Gas_Usage</f>
        <v>273891.27030861069</v>
      </c>
      <c r="G75" s="432" t="s">
        <v>700</v>
      </c>
      <c r="H75" s="1038"/>
    </row>
    <row r="76" spans="1:8" ht="28.2" customHeight="1" x14ac:dyDescent="0.25">
      <c r="A76" s="1440"/>
      <c r="B76" s="429" t="s">
        <v>820</v>
      </c>
      <c r="C76" s="430" t="s">
        <v>1253</v>
      </c>
      <c r="D76" s="430" t="s">
        <v>1254</v>
      </c>
      <c r="E76" s="430" t="s">
        <v>1255</v>
      </c>
      <c r="F76" s="431" t="s">
        <v>821</v>
      </c>
      <c r="G76" s="432" t="s">
        <v>261</v>
      </c>
      <c r="H76" s="1038"/>
    </row>
    <row r="77" spans="1:8" ht="28.2" customHeight="1" x14ac:dyDescent="0.25">
      <c r="A77" s="1440"/>
      <c r="B77" s="429" t="s">
        <v>672</v>
      </c>
      <c r="C77" s="430">
        <v>3.5999999999999995E-3</v>
      </c>
      <c r="D77" s="430">
        <v>0.10775596291985907</v>
      </c>
      <c r="E77" s="430">
        <v>1.1100000000000001</v>
      </c>
      <c r="F77" s="431">
        <f ca="1">+output_kgyear*feedstockCommercial_Electricity_Price*feedstockCommercial_Electricity_Usage</f>
        <v>56317.953606305367</v>
      </c>
      <c r="G77" s="432" t="s">
        <v>700</v>
      </c>
      <c r="H77" s="1038"/>
    </row>
    <row r="78" spans="1:8" ht="28.2" customHeight="1" x14ac:dyDescent="0.25">
      <c r="A78" s="1440" t="s">
        <v>14</v>
      </c>
      <c r="B78" s="429"/>
      <c r="C78" s="430"/>
      <c r="D78" s="430"/>
      <c r="E78" s="430"/>
      <c r="F78" s="431"/>
      <c r="G78" s="432"/>
      <c r="H78" s="1038"/>
    </row>
    <row r="79" spans="1:8" ht="28.2" customHeight="1" x14ac:dyDescent="0.25">
      <c r="A79" s="1438" t="s">
        <v>272</v>
      </c>
      <c r="B79" s="429"/>
      <c r="C79" s="430"/>
      <c r="D79" s="430"/>
      <c r="E79" s="430"/>
      <c r="F79" s="431"/>
      <c r="G79" s="432"/>
      <c r="H79" s="1038"/>
    </row>
    <row r="80" spans="1:8" ht="28.2" customHeight="1" x14ac:dyDescent="0.25">
      <c r="A80" s="1441" t="s">
        <v>273</v>
      </c>
      <c r="B80" s="430"/>
      <c r="C80" s="430"/>
      <c r="D80" s="430"/>
      <c r="E80" s="430"/>
      <c r="F80" s="431"/>
      <c r="G80" s="432"/>
      <c r="H80" s="1038"/>
    </row>
    <row r="81" spans="1:8" ht="17.100000000000001" customHeight="1" thickBot="1" x14ac:dyDescent="0.3">
      <c r="A81" s="1441"/>
      <c r="B81" s="1197"/>
      <c r="C81" s="1197"/>
      <c r="D81" s="1198"/>
      <c r="E81" s="1198"/>
      <c r="F81" s="1199" t="s">
        <v>57</v>
      </c>
      <c r="G81" s="1200"/>
      <c r="H81" s="1038"/>
    </row>
    <row r="82" spans="1:8" ht="17.100000000000001" customHeight="1" thickBot="1" x14ac:dyDescent="0.3">
      <c r="A82" s="1438" t="s">
        <v>250</v>
      </c>
      <c r="B82" s="316" t="s">
        <v>276</v>
      </c>
      <c r="C82" s="1199"/>
      <c r="D82" s="1198"/>
      <c r="E82" s="1198"/>
      <c r="F82" s="1201">
        <f ca="1">SUM(Dynamic_Feed_Total)</f>
        <v>330209.22391491605</v>
      </c>
      <c r="G82" s="1200"/>
      <c r="H82" s="1038"/>
    </row>
    <row r="83" spans="1:8" ht="17.100000000000001" customHeight="1" thickBot="1" x14ac:dyDescent="0.3">
      <c r="A83" s="1438" t="s">
        <v>251</v>
      </c>
      <c r="B83" s="316" t="s">
        <v>277</v>
      </c>
      <c r="C83" s="1199"/>
      <c r="D83" s="1198"/>
      <c r="E83" s="1198"/>
      <c r="F83" s="1201">
        <f>SUM(Dynamic_Utilities_Total)</f>
        <v>0</v>
      </c>
      <c r="G83" s="1200"/>
      <c r="H83" s="1038"/>
    </row>
    <row r="84" spans="1:8" ht="17.100000000000001" customHeight="1" thickBot="1" x14ac:dyDescent="0.3">
      <c r="A84" s="1438" t="s">
        <v>255</v>
      </c>
      <c r="B84" s="314" t="s">
        <v>275</v>
      </c>
      <c r="C84" s="1199"/>
      <c r="D84" s="1198"/>
      <c r="E84" s="1198"/>
      <c r="F84" s="1201">
        <f>SUM(Dynamic_Byproduct_Total)</f>
        <v>0</v>
      </c>
      <c r="G84" s="1200"/>
      <c r="H84" s="1038"/>
    </row>
    <row r="85" spans="1:8" ht="38.25" customHeight="1" x14ac:dyDescent="0.25">
      <c r="A85" s="1438"/>
      <c r="B85" s="314"/>
      <c r="C85" s="1202"/>
      <c r="D85" s="1203" t="s">
        <v>316</v>
      </c>
      <c r="E85" s="1486"/>
      <c r="F85" s="1486"/>
      <c r="G85" s="1487"/>
      <c r="H85" s="1038"/>
    </row>
    <row r="86" spans="1:8" ht="28.5" customHeight="1" thickBot="1" x14ac:dyDescent="0.3">
      <c r="A86" s="1438"/>
      <c r="B86" s="314"/>
      <c r="C86" s="1202"/>
      <c r="D86" s="1191"/>
      <c r="E86" s="1494"/>
      <c r="F86" s="1494"/>
      <c r="G86" s="1495"/>
      <c r="H86" s="1038"/>
    </row>
    <row r="87" spans="1:8" ht="17.100000000000001" customHeight="1" thickTop="1" thickBot="1" x14ac:dyDescent="0.3">
      <c r="A87" s="1438"/>
      <c r="B87" s="1361" t="s">
        <v>82</v>
      </c>
      <c r="C87" s="1189"/>
      <c r="D87" s="1189"/>
      <c r="E87" s="1488" t="s">
        <v>431</v>
      </c>
      <c r="F87" s="1488"/>
      <c r="G87" s="1489"/>
      <c r="H87" s="1038"/>
    </row>
    <row r="88" spans="1:8" ht="20.100000000000001" customHeight="1" thickBot="1" x14ac:dyDescent="0.3">
      <c r="A88" s="1438" t="s">
        <v>245</v>
      </c>
      <c r="B88" s="315" t="s">
        <v>335</v>
      </c>
      <c r="C88" s="1204">
        <f ca="1">Det_scaled_cap</f>
        <v>1237693.2076089224</v>
      </c>
      <c r="D88" s="1182"/>
      <c r="E88" s="1491" t="s">
        <v>521</v>
      </c>
      <c r="F88" s="1491"/>
      <c r="G88" s="1492"/>
      <c r="H88" s="1038"/>
    </row>
    <row r="89" spans="1:8" ht="28.95" customHeight="1" thickBot="1" x14ac:dyDescent="0.3">
      <c r="A89" s="1438"/>
      <c r="B89" s="315" t="s">
        <v>985</v>
      </c>
      <c r="C89" s="1669"/>
      <c r="D89" s="1182"/>
      <c r="E89" s="1491" t="s">
        <v>830</v>
      </c>
      <c r="F89" s="1491"/>
      <c r="G89" s="1492"/>
      <c r="H89" s="1038"/>
    </row>
    <row r="90" spans="1:8" ht="21.75" customHeight="1" x14ac:dyDescent="0.25">
      <c r="A90" s="1438"/>
      <c r="B90" s="315"/>
      <c r="C90" s="299"/>
      <c r="D90" s="299"/>
      <c r="E90" s="299"/>
      <c r="F90" s="299"/>
      <c r="G90" s="1205"/>
      <c r="H90" s="1038"/>
    </row>
    <row r="91" spans="1:8" ht="45.75" customHeight="1" thickBot="1" x14ac:dyDescent="0.3">
      <c r="A91" s="1438"/>
      <c r="B91" s="315" t="s">
        <v>336</v>
      </c>
      <c r="C91" s="818" t="str">
        <f>"Enter values in basis year (" &amp; BasisYear &amp; ") dollars"</f>
        <v>Enter values in basis year (2005) dollars</v>
      </c>
      <c r="D91" s="818" t="s">
        <v>831</v>
      </c>
      <c r="E91" s="818" t="str">
        <f xml:space="preserve"> "Reference Year ("&amp; ref_year &amp; ") Dollars"</f>
        <v>Reference Year (2016) Dollars</v>
      </c>
      <c r="F91" s="299"/>
      <c r="G91" s="1205"/>
      <c r="H91" s="1038"/>
    </row>
    <row r="92" spans="1:8" ht="17.100000000000001" customHeight="1" x14ac:dyDescent="0.25">
      <c r="A92" s="1438" t="s">
        <v>178</v>
      </c>
      <c r="B92" s="313" t="s">
        <v>701</v>
      </c>
      <c r="C92" s="1174">
        <f ca="1">0.1885*direct_cap/(CPIinflator*CEPCIinflator)</f>
        <v>180358.70633128428</v>
      </c>
      <c r="D92" s="1206">
        <f t="shared" ref="D92:D98" si="0">CEPCIinflator*CPIinflator</f>
        <v>1.2935620041859532</v>
      </c>
      <c r="E92" s="1207">
        <f ca="1">C92*D92</f>
        <v>233305.16963428186</v>
      </c>
      <c r="F92" s="1517" t="s">
        <v>1269</v>
      </c>
      <c r="G92" s="1518"/>
      <c r="H92" s="1038"/>
    </row>
    <row r="93" spans="1:8" ht="29.25" customHeight="1" x14ac:dyDescent="0.25">
      <c r="A93" s="1438" t="s">
        <v>26</v>
      </c>
      <c r="B93" s="313" t="s">
        <v>337</v>
      </c>
      <c r="C93" s="1211">
        <f>50000</f>
        <v>50000</v>
      </c>
      <c r="D93" s="1208">
        <f t="shared" si="0"/>
        <v>1.2935620041859532</v>
      </c>
      <c r="E93" s="1209">
        <f t="shared" ref="E93:E98" si="1">C93*D93</f>
        <v>64678.100209297663</v>
      </c>
      <c r="F93" s="1517"/>
      <c r="G93" s="1518"/>
      <c r="H93" s="1038"/>
    </row>
    <row r="94" spans="1:8" ht="30.6" customHeight="1" x14ac:dyDescent="0.25">
      <c r="A94" s="1438" t="s">
        <v>170</v>
      </c>
      <c r="B94" s="313" t="s">
        <v>1271</v>
      </c>
      <c r="C94" s="1211">
        <v>0</v>
      </c>
      <c r="D94" s="1208">
        <f t="shared" si="0"/>
        <v>1.2935620041859532</v>
      </c>
      <c r="E94" s="1209">
        <f t="shared" si="1"/>
        <v>0</v>
      </c>
      <c r="F94" s="1303"/>
      <c r="G94" s="1233"/>
      <c r="H94" s="1038"/>
    </row>
    <row r="95" spans="1:8" ht="30.6" customHeight="1" x14ac:dyDescent="0.25">
      <c r="A95" s="1438" t="s">
        <v>172</v>
      </c>
      <c r="B95" s="313" t="s">
        <v>1270</v>
      </c>
      <c r="C95" s="1211">
        <f ca="1">0.15*(direct_cap)/(CEPCIinflator*CPIinflator)</f>
        <v>143521.51697449677</v>
      </c>
      <c r="D95" s="1208">
        <f t="shared" si="0"/>
        <v>1.2935620041859532</v>
      </c>
      <c r="E95" s="1209">
        <f t="shared" ca="1" si="1"/>
        <v>185653.98114133836</v>
      </c>
      <c r="F95" s="1303"/>
      <c r="G95" s="1233"/>
      <c r="H95" s="1038"/>
    </row>
    <row r="96" spans="1:8" ht="31.5" customHeight="1" x14ac:dyDescent="0.25">
      <c r="A96" s="1438" t="s">
        <v>158</v>
      </c>
      <c r="B96" s="313" t="s">
        <v>347</v>
      </c>
      <c r="C96" s="1211">
        <v>0</v>
      </c>
      <c r="D96" s="1208">
        <f t="shared" si="0"/>
        <v>1.2935620041859532</v>
      </c>
      <c r="E96" s="1209">
        <f t="shared" si="1"/>
        <v>0</v>
      </c>
      <c r="F96" s="1308"/>
      <c r="G96" s="1306"/>
      <c r="H96" s="1038"/>
    </row>
    <row r="97" spans="1:8" ht="17.100000000000001" customHeight="1" x14ac:dyDescent="0.25">
      <c r="A97" s="1438" t="s">
        <v>28</v>
      </c>
      <c r="B97" s="313" t="s">
        <v>346</v>
      </c>
      <c r="C97" s="1211"/>
      <c r="D97" s="1208">
        <f t="shared" si="0"/>
        <v>1.2935620041859532</v>
      </c>
      <c r="E97" s="1209">
        <f t="shared" si="1"/>
        <v>0</v>
      </c>
      <c r="F97" s="1308"/>
      <c r="G97" s="1306"/>
      <c r="H97" s="1038"/>
    </row>
    <row r="98" spans="1:8" ht="21.75" customHeight="1" thickBot="1" x14ac:dyDescent="0.3">
      <c r="A98" s="1438" t="s">
        <v>168</v>
      </c>
      <c r="B98" s="313" t="s">
        <v>702</v>
      </c>
      <c r="C98" s="1437">
        <v>30000</v>
      </c>
      <c r="D98" s="1212">
        <f t="shared" si="0"/>
        <v>1.2935620041859532</v>
      </c>
      <c r="E98" s="1213">
        <f t="shared" si="1"/>
        <v>38806.860125578598</v>
      </c>
      <c r="F98" s="1308"/>
      <c r="G98" s="1306"/>
      <c r="H98" s="1038"/>
    </row>
    <row r="99" spans="1:8" ht="20.100000000000001" customHeight="1" thickBot="1" x14ac:dyDescent="0.3">
      <c r="A99" s="1438" t="s">
        <v>992</v>
      </c>
      <c r="B99" s="315" t="s">
        <v>962</v>
      </c>
      <c r="C99" s="299"/>
      <c r="D99" s="1038"/>
      <c r="E99" s="1214">
        <f ca="1">direct_cap+CO2_seq+SUM($E$92:$E$98)</f>
        <v>1760137.3187194187</v>
      </c>
      <c r="F99" s="1215"/>
      <c r="G99" s="1216"/>
      <c r="H99" s="1038"/>
    </row>
    <row r="100" spans="1:8" x14ac:dyDescent="0.25">
      <c r="A100" s="1438"/>
      <c r="B100" s="313"/>
      <c r="C100" s="1202"/>
      <c r="D100" s="1510" t="s">
        <v>831</v>
      </c>
      <c r="E100" s="299"/>
      <c r="F100" s="1171"/>
      <c r="G100" s="1217"/>
      <c r="H100" s="1038"/>
    </row>
    <row r="101" spans="1:8" ht="30.75" customHeight="1" thickBot="1" x14ac:dyDescent="0.3">
      <c r="A101" s="1438"/>
      <c r="B101" s="315" t="s">
        <v>348</v>
      </c>
      <c r="C101" s="818" t="str">
        <f>"Enter values in basis year (" &amp; BasisYear &amp; ") dollars"</f>
        <v>Enter values in basis year (2005) dollars</v>
      </c>
      <c r="D101" s="1511"/>
      <c r="E101" s="818" t="str">
        <f xml:space="preserve"> "Reference Year ("&amp; ref_year &amp; ") Dollars"</f>
        <v>Reference Year (2016) Dollars</v>
      </c>
      <c r="F101" s="1171"/>
      <c r="G101" s="1217"/>
      <c r="H101" s="1038"/>
    </row>
    <row r="102" spans="1:8" ht="27.75" customHeight="1" thickBot="1" x14ac:dyDescent="0.3">
      <c r="A102" s="1438" t="s">
        <v>1075</v>
      </c>
      <c r="B102" s="313" t="s">
        <v>349</v>
      </c>
      <c r="C102" s="1365">
        <v>0</v>
      </c>
      <c r="D102" s="1206">
        <f>CPIinflator</f>
        <v>1.0995746738559611</v>
      </c>
      <c r="E102" s="1218">
        <f>C102*D102</f>
        <v>0</v>
      </c>
      <c r="F102" s="1171"/>
      <c r="G102" s="1217"/>
      <c r="H102" s="1038"/>
    </row>
    <row r="103" spans="1:8" ht="25.5" customHeight="1" thickBot="1" x14ac:dyDescent="0.3">
      <c r="A103" s="1438" t="s">
        <v>1076</v>
      </c>
      <c r="B103" s="313" t="s">
        <v>350</v>
      </c>
      <c r="C103" s="1366">
        <v>0</v>
      </c>
      <c r="D103" s="1219">
        <f ca="1">Scale_Factor *1</f>
        <v>1</v>
      </c>
      <c r="E103" s="1220">
        <f ca="1">C103*D103</f>
        <v>0</v>
      </c>
      <c r="F103" s="1517" t="s">
        <v>1264</v>
      </c>
      <c r="G103" s="1518"/>
      <c r="H103" s="1038"/>
    </row>
    <row r="104" spans="1:8" ht="27" customHeight="1" thickBot="1" x14ac:dyDescent="0.3">
      <c r="A104" s="1438" t="s">
        <v>993</v>
      </c>
      <c r="B104" s="313" t="s">
        <v>963</v>
      </c>
      <c r="C104" s="1221"/>
      <c r="D104" s="1221"/>
      <c r="E104" s="1214">
        <f ca="1">acre_cost*acres</f>
        <v>0</v>
      </c>
      <c r="F104" s="1171"/>
      <c r="G104" s="1217"/>
      <c r="H104" s="1038"/>
    </row>
    <row r="105" spans="1:8" ht="17.100000000000001" customHeight="1" thickBot="1" x14ac:dyDescent="0.3">
      <c r="A105" s="1438"/>
      <c r="B105" s="313" t="s">
        <v>994</v>
      </c>
      <c r="C105" s="1174"/>
      <c r="D105" s="1206">
        <f>CPIinflator</f>
        <v>1.0995746738559611</v>
      </c>
      <c r="E105" s="1214">
        <f>C105*D105</f>
        <v>0</v>
      </c>
      <c r="F105" s="1215"/>
      <c r="G105" s="1216"/>
      <c r="H105" s="1038"/>
    </row>
    <row r="106" spans="1:8" ht="20.100000000000001" customHeight="1" thickBot="1" x14ac:dyDescent="0.3">
      <c r="A106" s="1438" t="s">
        <v>1000</v>
      </c>
      <c r="B106" s="315" t="s">
        <v>964</v>
      </c>
      <c r="C106" s="1221"/>
      <c r="D106" s="1221"/>
      <c r="E106" s="1222">
        <f ca="1">land_cost+$E$105</f>
        <v>0</v>
      </c>
      <c r="F106" s="1171"/>
      <c r="G106" s="1217"/>
      <c r="H106" s="1038"/>
    </row>
    <row r="107" spans="1:8" ht="13.8" thickBot="1" x14ac:dyDescent="0.3">
      <c r="A107" s="1438"/>
      <c r="B107" s="313"/>
      <c r="C107" s="1202"/>
      <c r="D107" s="1221"/>
      <c r="E107" s="1171"/>
      <c r="F107" s="1171"/>
      <c r="G107" s="1217"/>
      <c r="H107" s="1038"/>
    </row>
    <row r="108" spans="1:8" ht="20.100000000000001" customHeight="1" thickBot="1" x14ac:dyDescent="0.3">
      <c r="A108" s="1438" t="s">
        <v>1001</v>
      </c>
      <c r="B108" s="315" t="s">
        <v>978</v>
      </c>
      <c r="C108" s="1204">
        <f ca="1">(depr_cap+non_dep_cap)*sensitivity_06</f>
        <v>1760137.3187194187</v>
      </c>
      <c r="D108" s="1221"/>
      <c r="E108" s="1223"/>
      <c r="F108" s="1171"/>
      <c r="G108" s="1217"/>
      <c r="H108" s="1038"/>
    </row>
    <row r="109" spans="1:8" ht="13.8" thickBot="1" x14ac:dyDescent="0.3">
      <c r="A109" s="1438"/>
      <c r="B109" s="313"/>
      <c r="C109" s="1202"/>
      <c r="D109" s="1221"/>
      <c r="E109" s="1171"/>
      <c r="F109" s="1171"/>
      <c r="G109" s="1217"/>
      <c r="H109" s="1038"/>
    </row>
    <row r="110" spans="1:8" ht="44.25" customHeight="1" thickTop="1" thickBot="1" x14ac:dyDescent="0.3">
      <c r="A110" s="1438"/>
      <c r="B110" s="1361" t="s">
        <v>351</v>
      </c>
      <c r="C110" s="824" t="str">
        <f>"Enter values in basis year (" &amp; BasisYear &amp; ") dollars"</f>
        <v>Enter values in basis year (2005) dollars</v>
      </c>
      <c r="D110" s="824" t="s">
        <v>831</v>
      </c>
      <c r="E110" s="824" t="str">
        <f xml:space="preserve"> "Reference Year ("&amp; ref_year &amp; ") Dollars"</f>
        <v>Reference Year (2016) Dollars</v>
      </c>
      <c r="F110" s="1189"/>
      <c r="G110" s="1190"/>
      <c r="H110" s="1038"/>
    </row>
    <row r="111" spans="1:8" s="33" customFormat="1" ht="29.25" customHeight="1" thickBot="1" x14ac:dyDescent="0.3">
      <c r="A111" s="1438" t="s">
        <v>1004</v>
      </c>
      <c r="B111" s="313" t="s">
        <v>352</v>
      </c>
      <c r="C111" s="1367">
        <v>0</v>
      </c>
      <c r="D111" s="1224">
        <f ca="1">Scale_Ratio^0.25</f>
        <v>1</v>
      </c>
      <c r="E111" s="1225">
        <f ca="1">C111*D111</f>
        <v>0</v>
      </c>
      <c r="F111" s="1171"/>
      <c r="G111" s="1217"/>
      <c r="H111" s="1038"/>
    </row>
    <row r="112" spans="1:8" s="33" customFormat="1" ht="17.25" customHeight="1" thickBot="1" x14ac:dyDescent="0.3">
      <c r="A112" s="1438" t="s">
        <v>1005</v>
      </c>
      <c r="B112" s="313" t="s">
        <v>353</v>
      </c>
      <c r="C112" s="1174">
        <v>50</v>
      </c>
      <c r="D112" s="1206">
        <f>VLOOKUP(ref_year,Tbl_labor_indexes,2,FALSE)/VLOOKUP(BasisYear,Tbl_labor_indexes,2,FALSE)</f>
        <v>1.1548042704626329</v>
      </c>
      <c r="E112" s="1226">
        <f>C112*D112</f>
        <v>57.740213523131644</v>
      </c>
      <c r="F112" s="1171" t="s">
        <v>1265</v>
      </c>
      <c r="G112" s="1217"/>
      <c r="H112" s="1038"/>
    </row>
    <row r="113" spans="1:8" s="33" customFormat="1" ht="17.100000000000001" customHeight="1" thickBot="1" x14ac:dyDescent="0.3">
      <c r="A113" s="1438" t="s">
        <v>995</v>
      </c>
      <c r="B113" s="313" t="s">
        <v>979</v>
      </c>
      <c r="C113" s="1221"/>
      <c r="D113" s="1221"/>
      <c r="E113" s="1227">
        <f ca="1">FTEs*2080*FTE_cost</f>
        <v>0</v>
      </c>
      <c r="F113" s="1171"/>
      <c r="G113" s="1217"/>
      <c r="H113" s="1038"/>
    </row>
    <row r="114" spans="1:8" s="33" customFormat="1" ht="17.100000000000001" customHeight="1" thickBot="1" x14ac:dyDescent="0.3">
      <c r="A114" s="1438" t="s">
        <v>159</v>
      </c>
      <c r="B114" s="313" t="s">
        <v>354</v>
      </c>
      <c r="C114" s="1176">
        <v>0.2</v>
      </c>
      <c r="D114" s="1221"/>
      <c r="E114" s="1038"/>
      <c r="F114" s="1171" t="s">
        <v>1265</v>
      </c>
      <c r="G114" s="1217"/>
      <c r="H114" s="1038"/>
    </row>
    <row r="115" spans="1:8" s="33" customFormat="1" ht="17.100000000000001" customHeight="1" thickBot="1" x14ac:dyDescent="0.3">
      <c r="A115" s="1438" t="s">
        <v>998</v>
      </c>
      <c r="B115" s="313" t="s">
        <v>972</v>
      </c>
      <c r="C115" s="1221"/>
      <c r="D115" s="1221"/>
      <c r="E115" s="1228">
        <f ca="1">labor_cost*overhead_rate</f>
        <v>0</v>
      </c>
      <c r="F115" s="1171"/>
      <c r="G115" s="1217"/>
      <c r="H115" s="1038"/>
    </row>
    <row r="116" spans="1:8" s="33" customFormat="1" ht="17.100000000000001" customHeight="1" thickBot="1" x14ac:dyDescent="0.3">
      <c r="A116" s="1438" t="s">
        <v>30</v>
      </c>
      <c r="B116" s="313" t="s">
        <v>355</v>
      </c>
      <c r="C116" s="1174">
        <v>0</v>
      </c>
      <c r="D116" s="1206">
        <f ca="1">Scale_Factor *CEPCIinflator*CPIinflator</f>
        <v>1.2935620041859532</v>
      </c>
      <c r="E116" s="1222">
        <f ca="1">C116*D116</f>
        <v>0</v>
      </c>
      <c r="F116" s="1171"/>
      <c r="G116" s="1217"/>
      <c r="H116" s="1038"/>
    </row>
    <row r="117" spans="1:8" s="33" customFormat="1" ht="26.25" customHeight="1" thickBot="1" x14ac:dyDescent="0.3">
      <c r="A117" s="1438" t="s">
        <v>185</v>
      </c>
      <c r="B117" s="313" t="s">
        <v>1078</v>
      </c>
      <c r="C117" s="1175">
        <v>0.02</v>
      </c>
      <c r="D117" s="1229"/>
      <c r="E117" s="1038"/>
      <c r="F117" s="1171"/>
      <c r="G117" s="1217"/>
      <c r="H117" s="1038"/>
    </row>
    <row r="118" spans="1:8" s="33" customFormat="1" ht="17.100000000000001" customHeight="1" thickBot="1" x14ac:dyDescent="0.3">
      <c r="A118" s="1438" t="s">
        <v>996</v>
      </c>
      <c r="B118" s="313" t="s">
        <v>977</v>
      </c>
      <c r="C118" s="1221"/>
      <c r="D118" s="1229"/>
      <c r="E118" s="1230">
        <f ca="1">tax_ins_rate*total_cap</f>
        <v>35202.746374388378</v>
      </c>
      <c r="F118" s="1171"/>
      <c r="G118" s="1217"/>
      <c r="H118" s="1038"/>
    </row>
    <row r="119" spans="1:8" s="33" customFormat="1" ht="17.100000000000001" customHeight="1" thickBot="1" x14ac:dyDescent="0.3">
      <c r="A119" s="1438" t="s">
        <v>174</v>
      </c>
      <c r="B119" s="313" t="s">
        <v>356</v>
      </c>
      <c r="C119" s="1174">
        <v>3370</v>
      </c>
      <c r="D119" s="1206">
        <f ca="1">Scale_Factor *CPIinflator</f>
        <v>1.0995746738559611</v>
      </c>
      <c r="E119" s="1218">
        <f ca="1">C119*D119</f>
        <v>3705.5666508945887</v>
      </c>
      <c r="F119" s="1171"/>
      <c r="G119" s="1217"/>
      <c r="H119" s="1038"/>
    </row>
    <row r="120" spans="1:8" s="33" customFormat="1" ht="27" customHeight="1" thickBot="1" x14ac:dyDescent="0.3">
      <c r="A120" s="1438" t="s">
        <v>1006</v>
      </c>
      <c r="B120" s="313" t="s">
        <v>357</v>
      </c>
      <c r="C120" s="1174">
        <v>0</v>
      </c>
      <c r="D120" s="1206">
        <f ca="1">Scale_Factor *CEPCIinflator*CPIinflator</f>
        <v>1.2935620041859532</v>
      </c>
      <c r="E120" s="1231">
        <f ca="1">C120*D120</f>
        <v>0</v>
      </c>
      <c r="F120" s="1171"/>
      <c r="G120" s="1217"/>
      <c r="H120" s="1232"/>
    </row>
    <row r="121" spans="1:8" s="33" customFormat="1" ht="17.100000000000001" customHeight="1" thickBot="1" x14ac:dyDescent="0.3">
      <c r="A121" s="1438" t="s">
        <v>171</v>
      </c>
      <c r="B121" s="313" t="s">
        <v>358</v>
      </c>
      <c r="C121" s="1174">
        <f ca="1">0.05*direct_cap/(CPIinflator*CEPCIinflator)</f>
        <v>47840.505658165595</v>
      </c>
      <c r="D121" s="1206">
        <f ca="1">Scale_Factor *CEPCIinflator*CPIinflator</f>
        <v>1.2935620041859532</v>
      </c>
      <c r="E121" s="1218">
        <f ca="1">C121*D121</f>
        <v>61884.660380446127</v>
      </c>
      <c r="F121" s="1171" t="s">
        <v>1272</v>
      </c>
      <c r="G121" s="1217"/>
      <c r="H121" s="1038"/>
    </row>
    <row r="122" spans="1:8" s="33" customFormat="1" ht="17.100000000000001" customHeight="1" thickBot="1" x14ac:dyDescent="0.3">
      <c r="A122" s="1438" t="s">
        <v>156</v>
      </c>
      <c r="B122" s="313" t="s">
        <v>359</v>
      </c>
      <c r="C122" s="1174"/>
      <c r="D122" s="1206">
        <f ca="1">Scale_Ratio * CEPCIinflator*CPIinflator</f>
        <v>1.2935620041859532</v>
      </c>
      <c r="E122" s="1231">
        <f ca="1">C122*D122</f>
        <v>0</v>
      </c>
      <c r="F122" s="1171" t="s">
        <v>1266</v>
      </c>
      <c r="G122" s="1217"/>
      <c r="H122" s="1038"/>
    </row>
    <row r="123" spans="1:8" s="33" customFormat="1" ht="17.100000000000001" customHeight="1" thickBot="1" x14ac:dyDescent="0.3">
      <c r="A123" s="1438" t="s">
        <v>157</v>
      </c>
      <c r="B123" s="313" t="s">
        <v>360</v>
      </c>
      <c r="C123" s="1174"/>
      <c r="D123" s="1206">
        <f ca="1">Scale_Factor *CEPCIinflator*CPIinflator</f>
        <v>1.2935620041859532</v>
      </c>
      <c r="E123" s="1222">
        <f ca="1">C123*D123</f>
        <v>0</v>
      </c>
      <c r="F123" s="1171"/>
      <c r="G123" s="1217"/>
      <c r="H123" s="1038"/>
    </row>
    <row r="124" spans="1:8" s="33" customFormat="1" ht="24" customHeight="1" thickBot="1" x14ac:dyDescent="0.3">
      <c r="A124" s="1438" t="s">
        <v>997</v>
      </c>
      <c r="B124" s="315" t="s">
        <v>980</v>
      </c>
      <c r="C124" s="1221"/>
      <c r="D124" s="1221"/>
      <c r="E124" s="1214">
        <f ca="1">(labor_cost+overhead_GA+tax_insurance+licensing+SUM(E119:E123))*sensitivity_07</f>
        <v>100792.97340572911</v>
      </c>
      <c r="F124" s="1223"/>
      <c r="G124" s="1233"/>
      <c r="H124" s="1038"/>
    </row>
    <row r="125" spans="1:8" s="33" customFormat="1" ht="13.8" thickBot="1" x14ac:dyDescent="0.3">
      <c r="A125" s="1438"/>
      <c r="B125" s="313"/>
      <c r="C125" s="1202"/>
      <c r="D125" s="1234"/>
      <c r="E125" s="1202"/>
      <c r="F125" s="1202"/>
      <c r="G125" s="1235"/>
      <c r="H125" s="1038"/>
    </row>
    <row r="126" spans="1:8" s="33" customFormat="1" ht="26.25" customHeight="1" thickTop="1" thickBot="1" x14ac:dyDescent="0.3">
      <c r="A126" s="1438"/>
      <c r="B126" s="1368" t="s">
        <v>935</v>
      </c>
      <c r="C126" s="1236"/>
      <c r="D126" s="1237"/>
      <c r="E126" s="1238"/>
      <c r="F126" s="1237"/>
      <c r="G126" s="1239"/>
      <c r="H126" s="1038"/>
    </row>
    <row r="127" spans="1:8" customFormat="1" ht="15" customHeight="1" thickTop="1" x14ac:dyDescent="0.25">
      <c r="A127" s="1438"/>
      <c r="B127" s="1362" t="s">
        <v>1026</v>
      </c>
      <c r="C127" s="1240"/>
      <c r="D127" s="1240"/>
      <c r="E127" s="1240"/>
      <c r="F127" s="1240"/>
      <c r="G127" s="1241"/>
      <c r="H127" s="299"/>
    </row>
    <row r="128" spans="1:8" customFormat="1" ht="15" customHeight="1" x14ac:dyDescent="0.25">
      <c r="A128" s="1438"/>
      <c r="B128" s="1369"/>
      <c r="C128" s="1242"/>
      <c r="D128" s="1242"/>
      <c r="E128" s="1242"/>
      <c r="F128" s="1242"/>
      <c r="G128" s="1205"/>
      <c r="H128" s="299"/>
    </row>
    <row r="129" spans="1:8" customFormat="1" ht="24" customHeight="1" thickBot="1" x14ac:dyDescent="0.3">
      <c r="A129" s="1438"/>
      <c r="B129" s="412" t="s">
        <v>1033</v>
      </c>
      <c r="C129" s="1242"/>
      <c r="D129" s="1242"/>
      <c r="E129" s="1242"/>
      <c r="F129" s="1242"/>
      <c r="G129" s="1205"/>
      <c r="H129" s="299"/>
    </row>
    <row r="130" spans="1:8" customFormat="1" ht="24" customHeight="1" thickBot="1" x14ac:dyDescent="0.3">
      <c r="A130" s="1438"/>
      <c r="B130" s="978" t="s">
        <v>1029</v>
      </c>
      <c r="C130" s="1242"/>
      <c r="D130" s="1242"/>
      <c r="E130" s="1242"/>
      <c r="F130" s="1242"/>
      <c r="G130" s="1205"/>
      <c r="H130" s="299"/>
    </row>
    <row r="131" spans="1:8" customFormat="1" ht="24" customHeight="1" thickBot="1" x14ac:dyDescent="0.3">
      <c r="A131" s="1438"/>
      <c r="B131" s="1370" t="s">
        <v>1054</v>
      </c>
      <c r="C131" s="1506" t="str">
        <f>B130</f>
        <v>Process Water</v>
      </c>
      <c r="D131" s="1507"/>
      <c r="E131" s="1242"/>
      <c r="F131" s="1242"/>
      <c r="G131" s="1205"/>
      <c r="H131" s="299"/>
    </row>
    <row r="132" spans="1:8" customFormat="1" ht="18.75" customHeight="1" thickBot="1" x14ac:dyDescent="0.3">
      <c r="A132" s="1438"/>
      <c r="B132" s="415" t="str">
        <f ca="1">"$(" &amp; ref_year &amp; ")/ " &amp; VLOOKUP(TMP_NonE_Feed,Tbl_Other_Inputs_and_Byproducts,2,FALSE)</f>
        <v>$(2016)/ gal</v>
      </c>
      <c r="C132" s="437">
        <f ca="1">HLOOKUP(startup_year,Tbl_Other_Inputs_and_Byproducts,MATCH(TMP_NonE_Feed,Other_Inputs_List,0),FALSE)</f>
        <v>2.374951094500801E-3</v>
      </c>
      <c r="D132" s="1242"/>
      <c r="E132" s="1242"/>
      <c r="F132" s="1242"/>
      <c r="G132" s="1205"/>
      <c r="H132" s="299"/>
    </row>
    <row r="133" spans="1:8" customFormat="1" ht="18" customHeight="1" thickBot="1" x14ac:dyDescent="0.3">
      <c r="A133" s="1438"/>
      <c r="B133" s="417" t="str">
        <f>IF(TMP_NonE_Type="Feed or utility","Usage per kg H2","Production per kg H2")</f>
        <v>Usage per kg H2</v>
      </c>
      <c r="C133" s="1286"/>
      <c r="D133" s="1242"/>
      <c r="E133" s="1242"/>
      <c r="F133" s="1242"/>
      <c r="G133" s="1205"/>
      <c r="H133" s="299"/>
    </row>
    <row r="134" spans="1:8" customFormat="1" ht="19.5" customHeight="1" thickBot="1" x14ac:dyDescent="0.3">
      <c r="A134" s="1438"/>
      <c r="B134" s="417" t="str">
        <f>IF(TMP_NonE_Type = "Feed or utility", "Cost in Startup Year","Income in Startup Year")</f>
        <v>Cost in Startup Year</v>
      </c>
      <c r="C134" s="425">
        <f ca="1">design_cap*365*cap_factor*TMP_NonE_Usage*TMP_NonE_StartPrice</f>
        <v>0</v>
      </c>
      <c r="D134" s="1242"/>
      <c r="E134" s="1242"/>
      <c r="F134" s="1242"/>
      <c r="G134" s="1205"/>
      <c r="H134" s="299"/>
    </row>
    <row r="135" spans="1:8" customFormat="1" ht="24" customHeight="1" thickBot="1" x14ac:dyDescent="0.3">
      <c r="A135" s="1438"/>
      <c r="B135" s="424" t="s">
        <v>261</v>
      </c>
      <c r="C135" s="426" t="s">
        <v>22</v>
      </c>
      <c r="D135" s="1243"/>
      <c r="E135" s="1243"/>
      <c r="F135" s="1243"/>
      <c r="G135" s="1196"/>
      <c r="H135" s="299"/>
    </row>
    <row r="136" spans="1:8" customFormat="1" ht="24" customHeight="1" x14ac:dyDescent="0.25">
      <c r="A136" s="1442" t="s">
        <v>1035</v>
      </c>
      <c r="B136" s="1371"/>
      <c r="C136" s="1199"/>
      <c r="D136" s="1199"/>
      <c r="E136" s="1244"/>
      <c r="F136" s="1199"/>
      <c r="G136" s="1200"/>
      <c r="H136" s="299"/>
    </row>
    <row r="137" spans="1:8" customFormat="1" ht="24" customHeight="1" x14ac:dyDescent="0.25">
      <c r="A137" s="1442"/>
      <c r="B137" s="1371" t="s">
        <v>1054</v>
      </c>
      <c r="C137" s="1199" t="s">
        <v>1207</v>
      </c>
      <c r="D137" s="1199" t="s">
        <v>824</v>
      </c>
      <c r="E137" s="1244" t="s">
        <v>821</v>
      </c>
      <c r="F137" s="1199" t="s">
        <v>261</v>
      </c>
      <c r="G137" s="1200"/>
      <c r="H137" s="299"/>
    </row>
    <row r="138" spans="1:8" customFormat="1" ht="24" customHeight="1" x14ac:dyDescent="0.25">
      <c r="A138" s="1442"/>
      <c r="B138" s="1371" t="s">
        <v>1029</v>
      </c>
      <c r="C138" s="1199">
        <v>2.374951094500801E-3</v>
      </c>
      <c r="D138" s="1199">
        <v>5.77</v>
      </c>
      <c r="E138" s="1244">
        <f ca="1">+D138*output_kgyear*C138</f>
        <v>6452.2778208197014</v>
      </c>
      <c r="F138" s="1199" t="s">
        <v>22</v>
      </c>
      <c r="G138" s="1200"/>
      <c r="H138" s="299"/>
    </row>
    <row r="139" spans="1:8" customFormat="1" ht="16.2" customHeight="1" x14ac:dyDescent="0.25">
      <c r="A139" s="1438" t="s">
        <v>1036</v>
      </c>
      <c r="B139" s="1371"/>
      <c r="C139" s="1245"/>
      <c r="D139" s="1245"/>
      <c r="E139" s="1246"/>
      <c r="F139" s="1245"/>
      <c r="G139" s="1200"/>
      <c r="H139" s="299"/>
    </row>
    <row r="140" spans="1:8" customFormat="1" ht="16.2" customHeight="1" thickBot="1" x14ac:dyDescent="0.3">
      <c r="A140" s="1438" t="s">
        <v>1037</v>
      </c>
      <c r="B140" s="1371"/>
      <c r="C140" s="1199"/>
      <c r="D140" s="1199"/>
      <c r="E140" s="1246"/>
      <c r="F140" s="1199"/>
      <c r="G140" s="1200"/>
      <c r="H140" s="299"/>
    </row>
    <row r="141" spans="1:8" customFormat="1" ht="17.100000000000001" customHeight="1" thickBot="1" x14ac:dyDescent="0.3">
      <c r="A141" s="1438"/>
      <c r="B141" s="316" t="s">
        <v>849</v>
      </c>
      <c r="C141" s="1201">
        <f ca="1">SUM(Dynamic_NonE_Feed_Total)</f>
        <v>6452.2778208197014</v>
      </c>
      <c r="D141" s="1187"/>
      <c r="E141" s="1512"/>
      <c r="F141" s="1512"/>
      <c r="G141" s="1487"/>
      <c r="H141" s="299"/>
    </row>
    <row r="142" spans="1:8" customFormat="1" ht="17.100000000000001" customHeight="1" thickBot="1" x14ac:dyDescent="0.3">
      <c r="A142" s="1438" t="s">
        <v>256</v>
      </c>
      <c r="B142" s="316" t="s">
        <v>278</v>
      </c>
      <c r="C142" s="1201">
        <f>SUM(Dynamic_NonE_Byprod_Total)</f>
        <v>0</v>
      </c>
      <c r="D142" s="1187"/>
      <c r="E142" s="1512"/>
      <c r="F142" s="1512"/>
      <c r="G142" s="1487"/>
      <c r="H142" s="299"/>
    </row>
    <row r="143" spans="1:8" customFormat="1" ht="26.7" customHeight="1" thickBot="1" x14ac:dyDescent="0.3">
      <c r="A143" s="1438"/>
      <c r="B143" s="316"/>
      <c r="C143" s="1199"/>
      <c r="D143" s="1247"/>
      <c r="E143" s="1512"/>
      <c r="F143" s="1512"/>
      <c r="G143" s="1487"/>
      <c r="H143" s="299"/>
    </row>
    <row r="144" spans="1:8" customFormat="1" ht="17.100000000000001" customHeight="1" thickBot="1" x14ac:dyDescent="0.3">
      <c r="A144" s="1438" t="s">
        <v>249</v>
      </c>
      <c r="B144" s="315" t="s">
        <v>252</v>
      </c>
      <c r="C144" s="1204">
        <f ca="1">Total_Energy_Feed_Cost</f>
        <v>330209.22391491605</v>
      </c>
      <c r="D144" s="1187"/>
      <c r="E144" s="1508"/>
      <c r="F144" s="1508"/>
      <c r="G144" s="1509"/>
      <c r="H144" s="299"/>
    </row>
    <row r="145" spans="1:8" customFormat="1" ht="17.100000000000001" customHeight="1" thickBot="1" x14ac:dyDescent="0.3">
      <c r="A145" s="1438" t="s">
        <v>653</v>
      </c>
      <c r="B145" s="315" t="s">
        <v>253</v>
      </c>
      <c r="C145" s="1204">
        <f ca="1">Total_Energy_Utilities_Cost+Total_Non_Energy_Feed_Cost</f>
        <v>6452.2778208197014</v>
      </c>
      <c r="D145" s="1187"/>
      <c r="E145" s="1508"/>
      <c r="F145" s="1508"/>
      <c r="G145" s="1509"/>
      <c r="H145" s="299"/>
    </row>
    <row r="146" spans="1:8" customFormat="1" ht="31.5" customHeight="1" thickBot="1" x14ac:dyDescent="0.3">
      <c r="A146" s="1438" t="s">
        <v>654</v>
      </c>
      <c r="B146" s="315" t="s">
        <v>254</v>
      </c>
      <c r="C146" s="1231">
        <f>Total_Energy_Byproduct_Credit+total_non_energy_byproduct_credit</f>
        <v>0</v>
      </c>
      <c r="D146" s="1187"/>
      <c r="E146" s="1515"/>
      <c r="F146" s="1515"/>
      <c r="G146" s="1516"/>
      <c r="H146" s="299"/>
    </row>
    <row r="147" spans="1:8" customFormat="1" ht="45.75" customHeight="1" thickTop="1" thickBot="1" x14ac:dyDescent="0.3">
      <c r="A147" s="1438"/>
      <c r="B147" s="1362" t="s">
        <v>805</v>
      </c>
      <c r="C147" s="824" t="str">
        <f>"Enter values in basis year (" &amp; BasisYear &amp; ") dollars"</f>
        <v>Enter values in basis year (2005) dollars</v>
      </c>
      <c r="D147" s="824" t="s">
        <v>831</v>
      </c>
      <c r="E147" s="824" t="str">
        <f xml:space="preserve"> "Reference Year ("&amp; ref_year &amp; ") Dollars"</f>
        <v>Reference Year (2016) Dollars</v>
      </c>
      <c r="F147" s="1240"/>
      <c r="G147" s="1248"/>
      <c r="H147" s="299"/>
    </row>
    <row r="148" spans="1:8" s="33" customFormat="1" ht="39" customHeight="1" thickBot="1" x14ac:dyDescent="0.3">
      <c r="A148" s="1438" t="s">
        <v>186</v>
      </c>
      <c r="B148" s="313" t="s">
        <v>361</v>
      </c>
      <c r="C148" s="1174">
        <v>1800</v>
      </c>
      <c r="D148" s="1206">
        <f ca="1">Scale_Ratio * VLOOKUP(ref_year,Chemical_price_indexes,2,FALSE)/VLOOKUP(BasisYear,Chemical_price_indexes,2,FALSE)</f>
        <v>1.4260544580886279</v>
      </c>
      <c r="E148" s="1231">
        <f ca="1">C148*D148</f>
        <v>2566.8980245595303</v>
      </c>
      <c r="F148" s="1519" t="s">
        <v>1635</v>
      </c>
      <c r="G148" s="1487"/>
      <c r="H148" s="1038"/>
    </row>
    <row r="149" spans="1:8" s="33" customFormat="1" ht="38.25" customHeight="1" thickBot="1" x14ac:dyDescent="0.3">
      <c r="A149" s="1438" t="s">
        <v>279</v>
      </c>
      <c r="B149" s="1372" t="s">
        <v>916</v>
      </c>
      <c r="C149" s="1174"/>
      <c r="D149" s="1206">
        <f ca="1">Scale_Ratio * VLOOKUP(ref_year,Chemical_price_indexes,2,FALSE)/VLOOKUP(BasisYear,Chemical_price_indexes,2,FALSE)</f>
        <v>1.4260544580886279</v>
      </c>
      <c r="E149" s="1231">
        <f ca="1">C149*D149</f>
        <v>0</v>
      </c>
      <c r="F149" s="1519"/>
      <c r="G149" s="1487"/>
      <c r="H149" s="1038"/>
    </row>
    <row r="150" spans="1:8" s="33" customFormat="1" ht="17.100000000000001" customHeight="1" thickBot="1" x14ac:dyDescent="0.3">
      <c r="A150" s="1438" t="s">
        <v>187</v>
      </c>
      <c r="B150" s="313" t="s">
        <v>362</v>
      </c>
      <c r="C150" s="1174"/>
      <c r="D150" s="1206">
        <f ca="1">Scale_Ratio * VLOOKUP(ref_year,Chemical_price_indexes,2,FALSE)/VLOOKUP(BasisYear,Chemical_price_indexes,2,FALSE)</f>
        <v>1.4260544580886279</v>
      </c>
      <c r="E150" s="1231">
        <f ca="1">C150*D150</f>
        <v>0</v>
      </c>
      <c r="F150" s="1519"/>
      <c r="G150" s="1487"/>
      <c r="H150" s="1038"/>
    </row>
    <row r="151" spans="1:8" s="33" customFormat="1" ht="26.4" customHeight="1" thickBot="1" x14ac:dyDescent="0.3">
      <c r="A151" s="1438" t="s">
        <v>179</v>
      </c>
      <c r="B151" s="313" t="s">
        <v>363</v>
      </c>
      <c r="C151" s="1174"/>
      <c r="D151" s="1206">
        <f ca="1">Scale_Ratio * VLOOKUP(ref_year,Chemical_price_indexes,2,FALSE)/VLOOKUP(BasisYear,Chemical_price_indexes,2,FALSE)</f>
        <v>1.4260544580886279</v>
      </c>
      <c r="E151" s="1231">
        <f ca="1">C151*D151</f>
        <v>0</v>
      </c>
      <c r="F151" s="1519"/>
      <c r="G151" s="1487"/>
      <c r="H151" s="1038"/>
    </row>
    <row r="152" spans="1:8" s="33" customFormat="1" ht="28.5" customHeight="1" thickBot="1" x14ac:dyDescent="0.3">
      <c r="A152" s="1438" t="s">
        <v>175</v>
      </c>
      <c r="B152" s="313" t="s">
        <v>364</v>
      </c>
      <c r="C152" s="1249">
        <v>0</v>
      </c>
      <c r="D152" s="299"/>
      <c r="E152" s="1513" t="s">
        <v>1185</v>
      </c>
      <c r="F152" s="1513"/>
      <c r="G152" s="1514"/>
      <c r="H152" s="1038"/>
    </row>
    <row r="153" spans="1:8" s="33" customFormat="1" ht="17.100000000000001" customHeight="1" thickBot="1" x14ac:dyDescent="0.3">
      <c r="A153" s="1438" t="s">
        <v>176</v>
      </c>
      <c r="B153" s="313" t="s">
        <v>365</v>
      </c>
      <c r="C153" s="1174">
        <v>0</v>
      </c>
      <c r="D153" s="1206">
        <f ca="1">Scale_Ratio * CPIinflator</f>
        <v>1.0995746738559611</v>
      </c>
      <c r="E153" s="1231">
        <v>0</v>
      </c>
      <c r="F153" s="1171"/>
      <c r="G153" s="1217"/>
      <c r="H153" s="1038"/>
    </row>
    <row r="154" spans="1:8" s="33" customFormat="1" ht="17.100000000000001" customHeight="1" thickBot="1" x14ac:dyDescent="0.3">
      <c r="A154" s="1438" t="s">
        <v>155</v>
      </c>
      <c r="B154" s="313" t="s">
        <v>366</v>
      </c>
      <c r="C154" s="1174">
        <v>0</v>
      </c>
      <c r="D154" s="1206">
        <f ca="1">Scale_Ratio * CPIinflator</f>
        <v>1.0995746738559611</v>
      </c>
      <c r="E154" s="1231">
        <v>0</v>
      </c>
      <c r="F154" s="1171"/>
      <c r="G154" s="1217"/>
      <c r="H154" s="1038"/>
    </row>
    <row r="155" spans="1:8" s="33" customFormat="1" ht="17.100000000000001" customHeight="1" thickBot="1" x14ac:dyDescent="0.3">
      <c r="A155" s="1438" t="s">
        <v>184</v>
      </c>
      <c r="B155" s="313" t="s">
        <v>367</v>
      </c>
      <c r="C155" s="1174">
        <v>0</v>
      </c>
      <c r="D155" s="1206">
        <f ca="1">Scale_Ratio * CPIinflator</f>
        <v>1.0995746738559611</v>
      </c>
      <c r="E155" s="1231">
        <v>0</v>
      </c>
      <c r="F155" s="822"/>
      <c r="G155" s="823"/>
      <c r="H155" s="1038"/>
    </row>
    <row r="156" spans="1:8" s="33" customFormat="1" ht="17.100000000000001" customHeight="1" thickBot="1" x14ac:dyDescent="0.3">
      <c r="A156" s="1438" t="s">
        <v>8</v>
      </c>
      <c r="B156" s="313" t="s">
        <v>945</v>
      </c>
      <c r="C156" s="299"/>
      <c r="D156" s="1250"/>
      <c r="E156" s="1670"/>
      <c r="F156" s="822"/>
      <c r="G156" s="1487"/>
      <c r="H156" s="1038"/>
    </row>
    <row r="157" spans="1:8" s="33" customFormat="1" ht="17.100000000000001" customHeight="1" thickBot="1" x14ac:dyDescent="0.3">
      <c r="A157" s="1438"/>
      <c r="B157" s="313" t="s">
        <v>942</v>
      </c>
      <c r="C157" s="1174">
        <v>0</v>
      </c>
      <c r="D157" s="1206">
        <f>CPIinflator</f>
        <v>1.0995746738559611</v>
      </c>
      <c r="E157" s="1231">
        <v>0</v>
      </c>
      <c r="F157" s="822"/>
      <c r="G157" s="1487"/>
      <c r="H157" s="1038"/>
    </row>
    <row r="158" spans="1:8" s="33" customFormat="1" ht="17.100000000000001" customHeight="1" thickBot="1" x14ac:dyDescent="0.3">
      <c r="A158" s="1438"/>
      <c r="B158" s="313" t="s">
        <v>941</v>
      </c>
      <c r="C158" s="299"/>
      <c r="D158" s="1250"/>
      <c r="E158" s="1251">
        <f ca="1">ROUND(Proc_CO2_tax*12/44*Proc_CO2_MTpY,-2)</f>
        <v>0</v>
      </c>
      <c r="F158" s="822"/>
      <c r="G158" s="1487"/>
      <c r="H158" s="1038"/>
    </row>
    <row r="159" spans="1:8" s="33" customFormat="1" ht="17.100000000000001" customHeight="1" thickBot="1" x14ac:dyDescent="0.3">
      <c r="A159" s="1438"/>
      <c r="B159" s="313" t="s">
        <v>943</v>
      </c>
      <c r="C159" s="1174">
        <v>0</v>
      </c>
      <c r="D159" s="1206">
        <f>CPIinflator</f>
        <v>1.0995746738559611</v>
      </c>
      <c r="E159" s="1251">
        <v>0</v>
      </c>
      <c r="F159" s="822"/>
      <c r="G159" s="1487"/>
      <c r="H159" s="1038"/>
    </row>
    <row r="160" spans="1:8" s="33" customFormat="1" ht="17.100000000000001" customHeight="1" thickBot="1" x14ac:dyDescent="0.3">
      <c r="A160" s="1438"/>
      <c r="B160" s="313" t="s">
        <v>944</v>
      </c>
      <c r="C160" s="1252"/>
      <c r="D160" s="1253"/>
      <c r="E160" s="1251">
        <f ca="1">ROUND(Upstream_CO2_tax/1000*Upstream_GHG_total*output_kgyear,2)</f>
        <v>0</v>
      </c>
      <c r="F160" s="1305"/>
      <c r="G160" s="1487"/>
      <c r="H160" s="1038"/>
    </row>
    <row r="161" spans="1:8" s="33" customFormat="1" ht="23.25" customHeight="1" thickBot="1" x14ac:dyDescent="0.3">
      <c r="A161" s="1438" t="s">
        <v>259</v>
      </c>
      <c r="B161" s="317" t="s">
        <v>257</v>
      </c>
      <c r="C161" s="1254"/>
      <c r="D161" s="1255"/>
      <c r="E161" s="1256">
        <f ca="1">ROUND(total_feedstock+total_utilities+total_other_raw-total_byproducts+var_misc+waste_treat+solidwaste_treat+royalties+operator_profit-tax_credit+CO2_OandMcost+Proc_CO2_taxpYear + Upstream_CO2_taxpYear,-2)</f>
        <v>339200</v>
      </c>
      <c r="F161" s="1257"/>
      <c r="G161" s="1505"/>
      <c r="H161" s="1038"/>
    </row>
    <row r="162" spans="1:8" s="33" customFormat="1" x14ac:dyDescent="0.25">
      <c r="A162" s="1210"/>
      <c r="B162" s="1038"/>
      <c r="C162" s="1038"/>
      <c r="D162" s="1038"/>
      <c r="E162" s="1038"/>
      <c r="F162" s="1038"/>
      <c r="G162" s="1038"/>
      <c r="H162" s="1038"/>
    </row>
    <row r="163" spans="1:8" s="33" customFormat="1" x14ac:dyDescent="0.25">
      <c r="A163" s="1210"/>
      <c r="B163" s="1038"/>
      <c r="C163" s="1038"/>
      <c r="D163" s="1038"/>
      <c r="E163" s="1038"/>
      <c r="F163" s="1038"/>
      <c r="G163" s="1038"/>
      <c r="H163" s="1038"/>
    </row>
    <row r="164" spans="1:8" s="33" customFormat="1" x14ac:dyDescent="0.25">
      <c r="A164" s="1210"/>
      <c r="B164" s="1038"/>
      <c r="C164" s="1038"/>
      <c r="D164" s="1038"/>
      <c r="E164" s="1038"/>
      <c r="F164" s="1038"/>
      <c r="G164" s="1038"/>
      <c r="H164" s="1038"/>
    </row>
    <row r="165" spans="1:8" s="33" customFormat="1" x14ac:dyDescent="0.25">
      <c r="A165" s="1210"/>
      <c r="B165" s="1038"/>
      <c r="C165" s="1038"/>
      <c r="D165" s="1038"/>
      <c r="E165" s="1038"/>
      <c r="F165" s="1038"/>
      <c r="G165" s="1038"/>
      <c r="H165" s="1038"/>
    </row>
    <row r="166" spans="1:8" s="33" customFormat="1" x14ac:dyDescent="0.25">
      <c r="A166" s="1210"/>
      <c r="B166" s="1038"/>
      <c r="C166" s="1038"/>
      <c r="D166" s="1038"/>
      <c r="E166" s="1038"/>
      <c r="F166" s="1038"/>
      <c r="G166" s="1038"/>
      <c r="H166" s="1038"/>
    </row>
    <row r="167" spans="1:8" s="33" customFormat="1" x14ac:dyDescent="0.25">
      <c r="A167" s="1210"/>
      <c r="B167" s="1038"/>
      <c r="C167" s="1038"/>
      <c r="D167" s="1038"/>
      <c r="E167" s="1038"/>
      <c r="F167" s="1038"/>
      <c r="G167" s="1038"/>
      <c r="H167" s="1038"/>
    </row>
    <row r="168" spans="1:8" s="33" customFormat="1" x14ac:dyDescent="0.25">
      <c r="A168" s="1210"/>
      <c r="B168" s="1038"/>
      <c r="C168" s="1038"/>
      <c r="D168" s="1038"/>
      <c r="E168" s="1038"/>
      <c r="F168" s="1038"/>
      <c r="G168" s="1038"/>
      <c r="H168" s="1038"/>
    </row>
    <row r="169" spans="1:8" s="33" customFormat="1" x14ac:dyDescent="0.25">
      <c r="A169" s="1210"/>
      <c r="B169" s="1038"/>
      <c r="C169" s="1038"/>
      <c r="D169" s="1038"/>
      <c r="E169" s="1038"/>
      <c r="F169" s="1038"/>
      <c r="G169" s="1038"/>
      <c r="H169" s="1038"/>
    </row>
    <row r="170" spans="1:8" s="33" customFormat="1" x14ac:dyDescent="0.25">
      <c r="A170" s="1210"/>
      <c r="B170" s="1038"/>
      <c r="C170" s="1038"/>
      <c r="D170" s="1038"/>
      <c r="E170" s="1038"/>
      <c r="F170" s="1038"/>
      <c r="G170" s="1038"/>
      <c r="H170" s="1038"/>
    </row>
    <row r="171" spans="1:8" s="33" customFormat="1" x14ac:dyDescent="0.25">
      <c r="A171" s="1210"/>
      <c r="B171" s="1038"/>
      <c r="C171" s="1038"/>
      <c r="D171" s="1038"/>
      <c r="E171" s="1038"/>
      <c r="F171" s="1038"/>
      <c r="G171" s="1038"/>
      <c r="H171" s="1038"/>
    </row>
    <row r="172" spans="1:8" s="33" customFormat="1" x14ac:dyDescent="0.25">
      <c r="A172" s="1210"/>
      <c r="B172" s="1038"/>
      <c r="C172" s="1038"/>
      <c r="D172" s="1038"/>
      <c r="E172" s="1038"/>
      <c r="F172" s="1038"/>
      <c r="G172" s="1038"/>
      <c r="H172" s="1038"/>
    </row>
    <row r="173" spans="1:8" s="33" customFormat="1" x14ac:dyDescent="0.25">
      <c r="A173" s="1210"/>
      <c r="B173" s="1038"/>
      <c r="C173" s="1038"/>
      <c r="D173" s="1038"/>
      <c r="E173" s="1038"/>
      <c r="F173" s="1038"/>
      <c r="G173" s="1038"/>
      <c r="H173" s="1038"/>
    </row>
    <row r="174" spans="1:8" s="33" customFormat="1" x14ac:dyDescent="0.25">
      <c r="A174" s="1210"/>
      <c r="B174" s="1038"/>
      <c r="C174" s="1038"/>
      <c r="D174" s="1038"/>
      <c r="E174" s="1038"/>
      <c r="F174" s="1038"/>
      <c r="G174" s="1038"/>
      <c r="H174" s="1038"/>
    </row>
    <row r="175" spans="1:8" s="33" customFormat="1" x14ac:dyDescent="0.25">
      <c r="A175" s="1210"/>
      <c r="B175" s="1038"/>
      <c r="C175" s="1038"/>
      <c r="D175" s="1038"/>
      <c r="E175" s="1038"/>
      <c r="F175" s="1038"/>
      <c r="G175" s="1038"/>
      <c r="H175" s="1038"/>
    </row>
    <row r="176" spans="1:8" s="33" customFormat="1" x14ac:dyDescent="0.25">
      <c r="A176" s="1210"/>
      <c r="B176" s="1038"/>
      <c r="C176" s="1038"/>
      <c r="D176" s="1038"/>
      <c r="E176" s="1038"/>
      <c r="F176" s="1038"/>
      <c r="G176" s="1038"/>
      <c r="H176" s="1038"/>
    </row>
    <row r="177" spans="1:8" s="33" customFormat="1" x14ac:dyDescent="0.25">
      <c r="A177" s="1210"/>
      <c r="B177" s="1038"/>
      <c r="C177" s="1038"/>
      <c r="D177" s="1038"/>
      <c r="E177" s="1038"/>
      <c r="F177" s="1038"/>
      <c r="G177" s="1038"/>
      <c r="H177" s="1038"/>
    </row>
    <row r="178" spans="1:8" s="33" customFormat="1" x14ac:dyDescent="0.25">
      <c r="A178" s="1210"/>
      <c r="B178" s="1038"/>
      <c r="C178" s="1038"/>
      <c r="D178" s="1038"/>
      <c r="E178" s="1038"/>
      <c r="F178" s="1038"/>
      <c r="G178" s="1038"/>
      <c r="H178" s="1038"/>
    </row>
    <row r="179" spans="1:8" s="33" customFormat="1" x14ac:dyDescent="0.25">
      <c r="A179" s="1210"/>
      <c r="B179" s="1038"/>
      <c r="C179" s="1038"/>
      <c r="D179" s="1038"/>
      <c r="E179" s="1038"/>
      <c r="F179" s="1038"/>
      <c r="G179" s="1038"/>
      <c r="H179" s="1038"/>
    </row>
    <row r="180" spans="1:8" s="33" customFormat="1" x14ac:dyDescent="0.25">
      <c r="A180" s="1210"/>
      <c r="B180" s="1038"/>
      <c r="C180" s="1038"/>
      <c r="D180" s="1038"/>
      <c r="E180" s="1038"/>
      <c r="F180" s="1038"/>
      <c r="G180" s="1038"/>
      <c r="H180" s="1038"/>
    </row>
    <row r="181" spans="1:8" s="33" customFormat="1" x14ac:dyDescent="0.25">
      <c r="A181" s="1210"/>
      <c r="B181" s="1038"/>
      <c r="C181" s="1038"/>
      <c r="D181" s="1038"/>
      <c r="E181" s="1038"/>
      <c r="F181" s="1038"/>
      <c r="G181" s="1038"/>
      <c r="H181" s="1038"/>
    </row>
    <row r="182" spans="1:8" s="33" customFormat="1" x14ac:dyDescent="0.25">
      <c r="A182" s="1210"/>
      <c r="B182" s="1038"/>
      <c r="C182" s="1038"/>
      <c r="D182" s="1038"/>
      <c r="E182" s="1038"/>
      <c r="F182" s="1038"/>
      <c r="G182" s="1038"/>
      <c r="H182" s="1038"/>
    </row>
    <row r="183" spans="1:8" s="33" customFormat="1" x14ac:dyDescent="0.25">
      <c r="A183" s="1210"/>
      <c r="B183" s="1038"/>
      <c r="C183" s="1038"/>
      <c r="D183" s="1038"/>
      <c r="E183" s="1038"/>
      <c r="F183" s="1038"/>
      <c r="G183" s="1038"/>
      <c r="H183" s="1038"/>
    </row>
    <row r="184" spans="1:8" s="33" customFormat="1" x14ac:dyDescent="0.25">
      <c r="A184" s="1210"/>
      <c r="B184" s="1038"/>
      <c r="C184" s="1038"/>
      <c r="D184" s="1038"/>
      <c r="E184" s="1038"/>
      <c r="F184" s="1038"/>
      <c r="G184" s="1038"/>
      <c r="H184" s="1038"/>
    </row>
    <row r="185" spans="1:8" s="33" customFormat="1" x14ac:dyDescent="0.25">
      <c r="A185" s="1210"/>
      <c r="B185" s="1038"/>
      <c r="C185" s="1038"/>
      <c r="D185" s="1038"/>
      <c r="E185" s="1038"/>
      <c r="F185" s="1038"/>
      <c r="G185" s="1038"/>
      <c r="H185" s="1038"/>
    </row>
    <row r="186" spans="1:8" s="33" customFormat="1" x14ac:dyDescent="0.25">
      <c r="A186" s="1210"/>
      <c r="B186" s="1038"/>
      <c r="C186" s="1038"/>
      <c r="D186" s="1038"/>
      <c r="E186" s="1038"/>
      <c r="F186" s="1038"/>
      <c r="G186" s="1038"/>
      <c r="H186" s="1038"/>
    </row>
    <row r="187" spans="1:8" s="33" customFormat="1" x14ac:dyDescent="0.25">
      <c r="A187" s="1210"/>
      <c r="B187" s="1038"/>
      <c r="C187" s="1038"/>
      <c r="D187" s="1038"/>
      <c r="E187" s="1038"/>
      <c r="F187" s="1038"/>
      <c r="G187" s="1038"/>
      <c r="H187" s="1038"/>
    </row>
    <row r="188" spans="1:8" s="33" customFormat="1" x14ac:dyDescent="0.25">
      <c r="A188" s="1210"/>
      <c r="B188" s="1038"/>
      <c r="C188" s="1210"/>
      <c r="D188" s="1038"/>
      <c r="E188" s="1038"/>
      <c r="F188" s="1038"/>
      <c r="G188" s="1038"/>
      <c r="H188" s="1038"/>
    </row>
    <row r="189" spans="1:8" s="33" customFormat="1" x14ac:dyDescent="0.25">
      <c r="A189" s="1210"/>
      <c r="B189" s="1038"/>
      <c r="C189" s="1210"/>
      <c r="D189" s="1038"/>
      <c r="E189" s="1038"/>
      <c r="F189" s="1038"/>
      <c r="G189" s="1038"/>
      <c r="H189" s="1038"/>
    </row>
    <row r="190" spans="1:8" s="33" customFormat="1" x14ac:dyDescent="0.25">
      <c r="A190" s="1210"/>
      <c r="B190" s="1038"/>
      <c r="C190" s="1210"/>
      <c r="D190" s="1038"/>
      <c r="E190" s="1038"/>
      <c r="F190" s="1038"/>
      <c r="G190" s="1038"/>
      <c r="H190" s="1038"/>
    </row>
    <row r="191" spans="1:8" s="33" customFormat="1" x14ac:dyDescent="0.25">
      <c r="A191" s="1210"/>
      <c r="B191" s="1038"/>
      <c r="C191" s="1210"/>
      <c r="D191" s="1038"/>
      <c r="E191" s="1038"/>
      <c r="F191" s="1038"/>
      <c r="G191" s="1038"/>
      <c r="H191" s="1038"/>
    </row>
    <row r="192" spans="1:8" s="33" customFormat="1" x14ac:dyDescent="0.25">
      <c r="A192" s="1210"/>
      <c r="B192" s="1038"/>
      <c r="C192" s="1210"/>
      <c r="D192" s="1038"/>
      <c r="E192" s="1038"/>
      <c r="F192" s="1038"/>
      <c r="G192" s="1038"/>
      <c r="H192" s="1038"/>
    </row>
    <row r="193" spans="1:8" s="33" customFormat="1" x14ac:dyDescent="0.25">
      <c r="A193" s="1210"/>
      <c r="B193" s="1038"/>
      <c r="C193" s="1210"/>
      <c r="D193" s="1038"/>
      <c r="E193" s="1038"/>
      <c r="F193" s="1038"/>
      <c r="G193" s="1038"/>
      <c r="H193" s="1038"/>
    </row>
    <row r="194" spans="1:8" s="33" customFormat="1" x14ac:dyDescent="0.25">
      <c r="A194" s="1210"/>
      <c r="B194" s="1038"/>
      <c r="C194" s="1210"/>
      <c r="D194" s="1038"/>
      <c r="E194" s="1038"/>
      <c r="F194" s="1038"/>
      <c r="G194" s="1038"/>
      <c r="H194" s="1038"/>
    </row>
    <row r="195" spans="1:8" s="33" customFormat="1" x14ac:dyDescent="0.25">
      <c r="A195" s="1210"/>
      <c r="B195" s="1038"/>
      <c r="C195" s="1210"/>
      <c r="D195" s="1038"/>
      <c r="E195" s="1038"/>
      <c r="F195" s="1038"/>
      <c r="G195" s="1038"/>
      <c r="H195" s="1038"/>
    </row>
    <row r="196" spans="1:8" s="33" customFormat="1" x14ac:dyDescent="0.25">
      <c r="A196" s="1210"/>
      <c r="B196" s="1038"/>
      <c r="C196" s="1210"/>
      <c r="D196" s="1038"/>
      <c r="E196" s="1038"/>
      <c r="F196" s="1038"/>
      <c r="G196" s="1038"/>
      <c r="H196" s="1038"/>
    </row>
    <row r="197" spans="1:8" s="33" customFormat="1" x14ac:dyDescent="0.25">
      <c r="A197" s="1210"/>
      <c r="B197" s="1038"/>
      <c r="C197" s="1210"/>
      <c r="D197" s="1038"/>
      <c r="E197" s="1038"/>
      <c r="F197" s="1038"/>
      <c r="G197" s="1038"/>
      <c r="H197" s="1038"/>
    </row>
    <row r="198" spans="1:8" s="33" customFormat="1" x14ac:dyDescent="0.25">
      <c r="A198" s="1210"/>
      <c r="B198" s="1038"/>
      <c r="C198" s="1210"/>
      <c r="D198" s="1038"/>
      <c r="E198" s="1038"/>
      <c r="F198" s="1038"/>
      <c r="G198" s="1038"/>
      <c r="H198" s="1038"/>
    </row>
    <row r="199" spans="1:8" s="33" customFormat="1" x14ac:dyDescent="0.25">
      <c r="A199" s="1210"/>
      <c r="B199" s="1038"/>
      <c r="C199" s="1210"/>
      <c r="D199" s="1038"/>
      <c r="E199" s="1038"/>
      <c r="F199" s="1038"/>
      <c r="G199" s="1038"/>
      <c r="H199" s="1038"/>
    </row>
    <row r="200" spans="1:8" s="33" customFormat="1" x14ac:dyDescent="0.25">
      <c r="A200" s="1210"/>
      <c r="B200" s="1038"/>
      <c r="C200" s="1210"/>
      <c r="D200" s="1038"/>
      <c r="E200" s="1038"/>
      <c r="F200" s="1038"/>
      <c r="G200" s="1038"/>
      <c r="H200" s="1038"/>
    </row>
    <row r="201" spans="1:8" s="33" customFormat="1" x14ac:dyDescent="0.25">
      <c r="A201" s="1210"/>
      <c r="B201" s="1038"/>
      <c r="C201" s="1210"/>
      <c r="D201" s="1038"/>
      <c r="E201" s="1038"/>
      <c r="F201" s="1038"/>
      <c r="G201" s="1038"/>
      <c r="H201" s="1038"/>
    </row>
    <row r="202" spans="1:8" s="33" customFormat="1" x14ac:dyDescent="0.25">
      <c r="A202" s="1210"/>
      <c r="B202" s="1038"/>
      <c r="C202" s="1210"/>
      <c r="D202" s="1038"/>
      <c r="E202" s="1038"/>
      <c r="F202" s="1038"/>
      <c r="G202" s="1038"/>
      <c r="H202" s="1038"/>
    </row>
    <row r="203" spans="1:8" s="33" customFormat="1" x14ac:dyDescent="0.25">
      <c r="A203" s="1210"/>
      <c r="B203" s="1038"/>
      <c r="C203" s="1210"/>
      <c r="D203" s="1038"/>
      <c r="E203" s="1038"/>
      <c r="F203" s="1038"/>
      <c r="G203" s="1038"/>
      <c r="H203" s="1038"/>
    </row>
    <row r="204" spans="1:8" s="33" customFormat="1" x14ac:dyDescent="0.25">
      <c r="A204" s="1210"/>
      <c r="B204" s="1038"/>
      <c r="C204" s="1210"/>
      <c r="D204" s="1038"/>
      <c r="E204" s="1038"/>
      <c r="F204" s="1038"/>
      <c r="G204" s="1038"/>
      <c r="H204" s="1038"/>
    </row>
    <row r="205" spans="1:8" s="33" customFormat="1" x14ac:dyDescent="0.25">
      <c r="A205" s="1210"/>
      <c r="B205" s="1038"/>
      <c r="C205" s="1210"/>
      <c r="D205" s="1038"/>
      <c r="E205" s="1038"/>
      <c r="F205" s="1038"/>
      <c r="G205" s="1038"/>
      <c r="H205" s="1038"/>
    </row>
    <row r="206" spans="1:8" s="33" customFormat="1" x14ac:dyDescent="0.25">
      <c r="A206" s="1210"/>
      <c r="B206" s="1038"/>
      <c r="C206" s="1210"/>
      <c r="D206" s="1038"/>
      <c r="E206" s="1038"/>
      <c r="F206" s="1038"/>
      <c r="G206" s="1038"/>
      <c r="H206" s="1038"/>
    </row>
    <row r="207" spans="1:8" s="33" customFormat="1" x14ac:dyDescent="0.25">
      <c r="A207" s="1210"/>
      <c r="B207" s="1038"/>
      <c r="C207" s="1210"/>
      <c r="D207" s="1038"/>
      <c r="E207" s="1038"/>
      <c r="F207" s="1038"/>
      <c r="G207" s="1038"/>
      <c r="H207" s="1038"/>
    </row>
    <row r="208" spans="1:8" s="33" customFormat="1" x14ac:dyDescent="0.25">
      <c r="A208" s="1210"/>
      <c r="B208" s="1038"/>
      <c r="C208" s="1210"/>
      <c r="D208" s="1038"/>
      <c r="E208" s="1038"/>
      <c r="F208" s="1038"/>
      <c r="G208" s="1038"/>
      <c r="H208" s="1038"/>
    </row>
    <row r="209" spans="1:8" s="33" customFormat="1" x14ac:dyDescent="0.25">
      <c r="A209" s="1210"/>
      <c r="B209" s="1038"/>
      <c r="C209" s="1210"/>
      <c r="D209" s="1038"/>
      <c r="E209" s="1038"/>
      <c r="F209" s="1038"/>
      <c r="G209" s="1038"/>
      <c r="H209" s="1038"/>
    </row>
    <row r="210" spans="1:8" s="33" customFormat="1" x14ac:dyDescent="0.25">
      <c r="A210" s="1210"/>
      <c r="B210" s="1038"/>
      <c r="C210" s="1210"/>
      <c r="D210" s="1038"/>
      <c r="E210" s="1038"/>
      <c r="F210" s="1038"/>
      <c r="G210" s="1038"/>
      <c r="H210" s="1038"/>
    </row>
    <row r="211" spans="1:8" s="33" customFormat="1" x14ac:dyDescent="0.25">
      <c r="A211" s="1210"/>
      <c r="B211" s="1038"/>
      <c r="C211" s="1210"/>
      <c r="D211" s="1038"/>
      <c r="E211" s="1038"/>
      <c r="F211" s="1038"/>
      <c r="G211" s="1038"/>
      <c r="H211" s="1038"/>
    </row>
    <row r="212" spans="1:8" s="33" customFormat="1" x14ac:dyDescent="0.25">
      <c r="A212" s="1210"/>
      <c r="B212" s="1038"/>
      <c r="C212" s="1210"/>
      <c r="D212" s="1038"/>
      <c r="E212" s="1038"/>
      <c r="F212" s="1038"/>
      <c r="G212" s="1038"/>
      <c r="H212" s="1038"/>
    </row>
    <row r="213" spans="1:8" s="33" customFormat="1" x14ac:dyDescent="0.25">
      <c r="A213" s="1210"/>
      <c r="B213" s="1038"/>
      <c r="C213" s="1210"/>
      <c r="D213" s="1038"/>
      <c r="E213" s="1038"/>
      <c r="F213" s="1038"/>
      <c r="G213" s="1038"/>
      <c r="H213" s="1038"/>
    </row>
    <row r="214" spans="1:8" s="33" customFormat="1" x14ac:dyDescent="0.25">
      <c r="A214" s="1210"/>
      <c r="B214" s="1038"/>
      <c r="C214" s="1210"/>
      <c r="D214" s="1038"/>
      <c r="E214" s="1038"/>
      <c r="F214" s="1038"/>
      <c r="G214" s="1038"/>
      <c r="H214" s="1038"/>
    </row>
    <row r="215" spans="1:8" s="33" customFormat="1" x14ac:dyDescent="0.25">
      <c r="A215" s="1210"/>
      <c r="B215" s="1038"/>
      <c r="C215" s="1210"/>
      <c r="D215" s="1038"/>
      <c r="E215" s="1038"/>
      <c r="F215" s="1038"/>
      <c r="G215" s="1038"/>
      <c r="H215" s="1038"/>
    </row>
    <row r="216" spans="1:8" s="33" customFormat="1" x14ac:dyDescent="0.25">
      <c r="A216" s="1210"/>
      <c r="B216" s="1038"/>
      <c r="C216" s="1210"/>
      <c r="D216" s="1038"/>
      <c r="E216" s="1038"/>
      <c r="F216" s="1038"/>
      <c r="G216" s="1038"/>
      <c r="H216" s="1038"/>
    </row>
    <row r="217" spans="1:8" s="33" customFormat="1" x14ac:dyDescent="0.25">
      <c r="A217" s="1210"/>
      <c r="B217" s="1038"/>
      <c r="C217" s="1210"/>
      <c r="D217" s="1038"/>
      <c r="E217" s="1038"/>
      <c r="F217" s="1038"/>
      <c r="G217" s="1038"/>
      <c r="H217" s="1038"/>
    </row>
    <row r="218" spans="1:8" s="33" customFormat="1" x14ac:dyDescent="0.25">
      <c r="A218" s="1210"/>
      <c r="B218" s="1038"/>
      <c r="C218" s="1210"/>
      <c r="D218" s="1038"/>
      <c r="E218" s="1038"/>
      <c r="F218" s="1038"/>
      <c r="G218" s="1038"/>
      <c r="H218" s="1038"/>
    </row>
    <row r="219" spans="1:8" s="33" customFormat="1" x14ac:dyDescent="0.25">
      <c r="A219" s="1210"/>
      <c r="B219" s="1038"/>
      <c r="C219" s="1210"/>
      <c r="D219" s="1038"/>
      <c r="E219" s="1038"/>
      <c r="F219" s="1038"/>
      <c r="G219" s="1038"/>
      <c r="H219" s="1038"/>
    </row>
    <row r="220" spans="1:8" s="33" customFormat="1" x14ac:dyDescent="0.25">
      <c r="A220" s="1210"/>
      <c r="B220" s="1038"/>
      <c r="C220" s="1210"/>
      <c r="D220" s="1038"/>
      <c r="E220" s="1038"/>
      <c r="F220" s="1038"/>
      <c r="G220" s="1038"/>
      <c r="H220" s="1038"/>
    </row>
    <row r="221" spans="1:8" s="33" customFormat="1" x14ac:dyDescent="0.25">
      <c r="A221" s="1210"/>
      <c r="B221" s="1038"/>
      <c r="C221" s="1210"/>
      <c r="D221" s="1038"/>
      <c r="E221" s="1038"/>
      <c r="F221" s="1038"/>
      <c r="G221" s="1038"/>
      <c r="H221" s="1038"/>
    </row>
    <row r="222" spans="1:8" s="33" customFormat="1" x14ac:dyDescent="0.25">
      <c r="A222" s="1210"/>
      <c r="B222" s="1038"/>
      <c r="C222" s="1210"/>
      <c r="D222" s="1038"/>
      <c r="E222" s="1038"/>
      <c r="F222" s="1038"/>
      <c r="G222" s="1038"/>
      <c r="H222" s="1038"/>
    </row>
    <row r="223" spans="1:8" s="33" customFormat="1" x14ac:dyDescent="0.25">
      <c r="A223" s="1210"/>
      <c r="B223" s="1038"/>
      <c r="C223" s="1210"/>
      <c r="D223" s="1038"/>
      <c r="E223" s="1038"/>
      <c r="F223" s="1038"/>
      <c r="G223" s="1038"/>
      <c r="H223" s="1038"/>
    </row>
  </sheetData>
  <mergeCells count="53">
    <mergeCell ref="G156:G161"/>
    <mergeCell ref="C131:D131"/>
    <mergeCell ref="E144:G144"/>
    <mergeCell ref="D100:D101"/>
    <mergeCell ref="E88:G88"/>
    <mergeCell ref="E141:G143"/>
    <mergeCell ref="E152:G152"/>
    <mergeCell ref="E145:G145"/>
    <mergeCell ref="E146:G146"/>
    <mergeCell ref="F92:G92"/>
    <mergeCell ref="F93:G93"/>
    <mergeCell ref="F103:G103"/>
    <mergeCell ref="F148:G151"/>
    <mergeCell ref="B2:G2"/>
    <mergeCell ref="B3:D3"/>
    <mergeCell ref="D4:E4"/>
    <mergeCell ref="E54:G54"/>
    <mergeCell ref="E50:G50"/>
    <mergeCell ref="E47:G47"/>
    <mergeCell ref="D32:D33"/>
    <mergeCell ref="E45:G45"/>
    <mergeCell ref="E36:G36"/>
    <mergeCell ref="E43:G43"/>
    <mergeCell ref="E42:G42"/>
    <mergeCell ref="E41:G41"/>
    <mergeCell ref="E49:G49"/>
    <mergeCell ref="E46:G46"/>
    <mergeCell ref="E24:G24"/>
    <mergeCell ref="E25:G25"/>
    <mergeCell ref="E26:G26"/>
    <mergeCell ref="E28:G28"/>
    <mergeCell ref="E35:G35"/>
    <mergeCell ref="E29:G29"/>
    <mergeCell ref="E44:G44"/>
    <mergeCell ref="E37:G37"/>
    <mergeCell ref="E30:G30"/>
    <mergeCell ref="E31:G31"/>
    <mergeCell ref="E34:G34"/>
    <mergeCell ref="E33:G33"/>
    <mergeCell ref="E40:G40"/>
    <mergeCell ref="E38:G38"/>
    <mergeCell ref="E39:G39"/>
    <mergeCell ref="E48:G48"/>
    <mergeCell ref="E87:G87"/>
    <mergeCell ref="F59:F68"/>
    <mergeCell ref="E56:G56"/>
    <mergeCell ref="E89:G89"/>
    <mergeCell ref="E53:G53"/>
    <mergeCell ref="E52:G52"/>
    <mergeCell ref="E51:G51"/>
    <mergeCell ref="E55:G55"/>
    <mergeCell ref="E85:G85"/>
    <mergeCell ref="E86:G86"/>
  </mergeCells>
  <phoneticPr fontId="3" type="noConversion"/>
  <conditionalFormatting sqref="H16:H17">
    <cfRule type="expression" dxfId="3" priority="10">
      <formula>$H$17 &gt; 0.3</formula>
    </cfRule>
  </conditionalFormatting>
  <dataValidations disablePrompts="1" xWindow="543" yWindow="734" count="17">
    <dataValidation allowBlank="1" showInputMessage="1" showErrorMessage="1" prompt="Tax covers all fuel and utilities.  Result may be negative (credit) for biomass derived feed." sqref="E159" xr:uid="{00000000-0002-0000-0300-000000000000}"/>
    <dataValidation allowBlank="1" showInputMessage="1" showErrorMessage="1" prompt="Enter specific year replacement costs on Replacement Costs sheet" sqref="C152" xr:uid="{AA614832-658A-49E1-8A22-CF2A221743F5}"/>
    <dataValidation allowBlank="1" showInputMessage="1" showErrorMessage="1" prompt="View or change values for the original design estimate on the &quot;Capital Cost&quot; sheet only. Plant scaling values will use the original design estimate as the basis for scaling" sqref="C88" xr:uid="{00000000-0002-0000-0300-000002000000}"/>
    <dataValidation allowBlank="1" showInputMessage="1" showErrorMessage="1" prompt="If the field is blue (linked), enter values on the &quot;Carbon Sequestration&quot; sheet only. If gold (unlinked) enter values here. Click the button to link or unlink the field." sqref="C89:C90" xr:uid="{00000000-0002-0000-0300-000003000000}"/>
    <dataValidation type="list" allowBlank="1" showInputMessage="1" showErrorMessage="1" sqref="B130" xr:uid="{00000000-0002-0000-0300-000004000000}">
      <formula1>Other_Materials_List</formula1>
    </dataValidation>
    <dataValidation type="list" allowBlank="1" showInputMessage="1" showErrorMessage="1" sqref="C42" xr:uid="{00000000-0002-0000-0300-000005000000}">
      <formula1>"Straight Line, MACRS"</formula1>
    </dataValidation>
    <dataValidation type="whole" operator="greaterThanOrEqual" showInputMessage="1" showErrorMessage="1" error="This cell cannot be left blank" sqref="C31" xr:uid="{00000000-0002-0000-0300-000006000000}">
      <formula1>2005</formula1>
    </dataValidation>
    <dataValidation type="decimal" showInputMessage="1" showErrorMessage="1" error="This cell cannot be left blank" sqref="C25" xr:uid="{00000000-0002-0000-0300-000007000000}">
      <formula1>0.01</formula1>
      <formula2>1</formula2>
    </dataValidation>
    <dataValidation type="list" allowBlank="1" showInputMessage="1" showErrorMessage="1" sqref="C41" xr:uid="{00000000-0002-0000-0300-000008000000}">
      <formula1>"3,5,7,10,15,20"</formula1>
    </dataValidation>
    <dataValidation type="list" showInputMessage="1" showErrorMessage="1" error="This cell cannot be blank.  Enter a whole number between 1 and 4 years" prompt="Enter a whole number between 1 and 4 years" sqref="C33" xr:uid="{00000000-0002-0000-0300-000009000000}">
      <formula1>"1,2,3,4"</formula1>
    </dataValidation>
    <dataValidation type="decimal" operator="greaterThan" showInputMessage="1" showErrorMessage="1" error="A value greater than zero is required" prompt="Required input" sqref="C27" xr:uid="{00000000-0002-0000-0300-00000A000000}">
      <formula1>0</formula1>
    </dataValidation>
    <dataValidation type="list" allowBlank="1" showInputMessage="1" showErrorMessage="1" sqref="B59" xr:uid="{00000000-0002-0000-0300-00000B000000}">
      <formula1>INDIRECT(Price_Table_List)</formula1>
    </dataValidation>
    <dataValidation type="list" allowBlank="1" showInputMessage="1" showErrorMessage="1" sqref="B61" xr:uid="{00000000-0002-0000-0300-00000C000000}">
      <formula1>"feedstock, utility, byproduct"</formula1>
    </dataValidation>
    <dataValidation type="list" allowBlank="1" showInputMessage="1" showErrorMessage="1" sqref="B63" xr:uid="{00000000-0002-0000-0300-00000D000000}">
      <formula1>INDIRECT(Energy_Feed_List)</formula1>
    </dataValidation>
    <dataValidation type="whole" showInputMessage="1" showErrorMessage="1" error="Enter years between 1992 and 2016." prompt="Enter a number between 1992 and 2021." sqref="C32" xr:uid="{00000000-0002-0000-0300-00000E000000}">
      <formula1>1992</formula1>
      <formula2>2021</formula2>
    </dataValidation>
    <dataValidation type="whole" showInputMessage="1" showErrorMessage="1" error="This cell cannot be left blank.  Enter a value between 1992 and 2016" prompt="The reference year must be between 1992 and 2021." sqref="C30" xr:uid="{00000000-0002-0000-0300-00000F000000}">
      <formula1>1992</formula1>
      <formula2>2021</formula2>
    </dataValidation>
    <dataValidation type="whole" allowBlank="1" showInputMessage="1" showErrorMessage="1" error="Debt period may not exceed analysis period" sqref="C45" xr:uid="{7024E34C-72B1-4178-9412-6390C22C190A}">
      <formula1>0</formula1>
      <formula2>C40</formula2>
    </dataValidation>
  </dataValidations>
  <hyperlinks>
    <hyperlink ref="B14" location="Input_Sheet_Template!B21" display="Technical Operating Parameters and Specifications" xr:uid="{00000000-0004-0000-0300-000000000000}"/>
    <hyperlink ref="B15" location="Input_Sheet_Template!B26" display="Financial Input Values" xr:uid="{00000000-0004-0000-0300-000001000000}"/>
    <hyperlink ref="B16" location="Input_Sheet_Template!B53" display="Energy Feedstocks, Utilities and Byproducts" xr:uid="{00000000-0004-0000-0300-000002000000}"/>
    <hyperlink ref="B17" location="direct_cap" display="Capital Cost" xr:uid="{00000000-0004-0000-0300-000003000000}"/>
    <hyperlink ref="B18" location="FTEs" display="Fixed Operating Costs" xr:uid="{00000000-0004-0000-0300-000004000000}"/>
    <hyperlink ref="B20" location="var_misc" display="Variable Operating Costs - Other Variable Operating Costs" xr:uid="{00000000-0004-0000-0300-000005000000}"/>
    <hyperlink ref="B19" location="Input_Sheet_Template!B122" display="Variable Operating Costs - Other Materials and Byproducts" xr:uid="{00000000-0004-0000-0300-000006000000}"/>
  </hyperlinks>
  <printOptions horizontalCentered="1"/>
  <pageMargins left="0.75" right="0.75" top="1" bottom="0.75" header="0.5" footer="0.4"/>
  <pageSetup scale="64" orientation="landscape" r:id="rId1"/>
  <headerFooter alignWithMargins="0">
    <oddHeader>&amp;R&amp;D&amp;LCentral Biomass Gasification - Current Timeframe</oddHeader>
    <oddFooter>&amp;CPage 4 of 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25" r:id="rId4" name="Check Box 201">
              <controlPr defaultSize="0" autoFill="0" autoLine="0" autoPict="0" macro="[0]!CheckBox201_Click" altText="H2A default">
                <anchor moveWithCells="1">
                  <from>
                    <xdr:col>3</xdr:col>
                    <xdr:colOff>152400</xdr:colOff>
                    <xdr:row>29</xdr:row>
                    <xdr:rowOff>0</xdr:rowOff>
                  </from>
                  <to>
                    <xdr:col>3</xdr:col>
                    <xdr:colOff>1066800</xdr:colOff>
                    <xdr:row>30</xdr:row>
                    <xdr:rowOff>0</xdr:rowOff>
                  </to>
                </anchor>
              </controlPr>
            </control>
          </mc:Choice>
        </mc:AlternateContent>
        <mc:AlternateContent xmlns:mc="http://schemas.openxmlformats.org/markup-compatibility/2006">
          <mc:Choice Requires="x14">
            <control shapeId="1226" r:id="rId5" name="Check Box 202">
              <controlPr defaultSize="0" autoFill="0" autoLine="0" autoPict="0" macro="[0]!CheckBox202_Click" altText="H2A default">
                <anchor moveWithCells="1">
                  <from>
                    <xdr:col>3</xdr:col>
                    <xdr:colOff>152400</xdr:colOff>
                    <xdr:row>40</xdr:row>
                    <xdr:rowOff>213360</xdr:rowOff>
                  </from>
                  <to>
                    <xdr:col>3</xdr:col>
                    <xdr:colOff>1066800</xdr:colOff>
                    <xdr:row>41</xdr:row>
                    <xdr:rowOff>213360</xdr:rowOff>
                  </to>
                </anchor>
              </controlPr>
            </control>
          </mc:Choice>
        </mc:AlternateContent>
        <mc:AlternateContent xmlns:mc="http://schemas.openxmlformats.org/markup-compatibility/2006">
          <mc:Choice Requires="x14">
            <control shapeId="1231" r:id="rId6" name="Check Box 203">
              <controlPr defaultSize="0" autoFill="0" autoLine="0" autoPict="0" macro="[0]!CheckBox203_Click" altText="H2A default">
                <anchor moveWithCells="1">
                  <from>
                    <xdr:col>3</xdr:col>
                    <xdr:colOff>152400</xdr:colOff>
                    <xdr:row>42</xdr:row>
                    <xdr:rowOff>0</xdr:rowOff>
                  </from>
                  <to>
                    <xdr:col>3</xdr:col>
                    <xdr:colOff>1066800</xdr:colOff>
                    <xdr:row>43</xdr:row>
                    <xdr:rowOff>0</xdr:rowOff>
                  </to>
                </anchor>
              </controlPr>
            </control>
          </mc:Choice>
        </mc:AlternateContent>
        <mc:AlternateContent xmlns:mc="http://schemas.openxmlformats.org/markup-compatibility/2006">
          <mc:Choice Requires="x14">
            <control shapeId="1233" r:id="rId7" name="Check Box 204">
              <controlPr defaultSize="0" autoFill="0" autoLine="0" autoPict="0" macro="[0]!CheckBox204_Click" altText="H2A default">
                <anchor moveWithCells="1">
                  <from>
                    <xdr:col>3</xdr:col>
                    <xdr:colOff>152400</xdr:colOff>
                    <xdr:row>47</xdr:row>
                    <xdr:rowOff>213360</xdr:rowOff>
                  </from>
                  <to>
                    <xdr:col>3</xdr:col>
                    <xdr:colOff>1066800</xdr:colOff>
                    <xdr:row>49</xdr:row>
                    <xdr:rowOff>0</xdr:rowOff>
                  </to>
                </anchor>
              </controlPr>
            </control>
          </mc:Choice>
        </mc:AlternateContent>
        <mc:AlternateContent xmlns:mc="http://schemas.openxmlformats.org/markup-compatibility/2006">
          <mc:Choice Requires="x14">
            <control shapeId="1234" r:id="rId8" name="Check Box 205">
              <controlPr defaultSize="0" autoFill="0" autoLine="0" autoPict="0" macro="[0]!CheckBox205_Click" altText="H2A default">
                <anchor moveWithCells="1">
                  <from>
                    <xdr:col>3</xdr:col>
                    <xdr:colOff>152400</xdr:colOff>
                    <xdr:row>49</xdr:row>
                    <xdr:rowOff>0</xdr:rowOff>
                  </from>
                  <to>
                    <xdr:col>3</xdr:col>
                    <xdr:colOff>1066800</xdr:colOff>
                    <xdr:row>50</xdr:row>
                    <xdr:rowOff>0</xdr:rowOff>
                  </to>
                </anchor>
              </controlPr>
            </control>
          </mc:Choice>
        </mc:AlternateContent>
        <mc:AlternateContent xmlns:mc="http://schemas.openxmlformats.org/markup-compatibility/2006">
          <mc:Choice Requires="x14">
            <control shapeId="1235" r:id="rId9" name="Check Box 206">
              <controlPr defaultSize="0" autoFill="0" autoLine="0" autoPict="0" macro="[0]!CheckBox206_Click" altText="H2A default">
                <anchor moveWithCells="1">
                  <from>
                    <xdr:col>3</xdr:col>
                    <xdr:colOff>152400</xdr:colOff>
                    <xdr:row>50</xdr:row>
                    <xdr:rowOff>0</xdr:rowOff>
                  </from>
                  <to>
                    <xdr:col>3</xdr:col>
                    <xdr:colOff>1066800</xdr:colOff>
                    <xdr:row>51</xdr:row>
                    <xdr:rowOff>0</xdr:rowOff>
                  </to>
                </anchor>
              </controlPr>
            </control>
          </mc:Choice>
        </mc:AlternateContent>
        <mc:AlternateContent xmlns:mc="http://schemas.openxmlformats.org/markup-compatibility/2006">
          <mc:Choice Requires="x14">
            <control shapeId="1236" r:id="rId10" name="Check Box 207">
              <controlPr defaultSize="0" autoFill="0" autoLine="0" autoPict="0" macro="[0]!CheckBox207_Click" altText="H2A default">
                <anchor moveWithCells="1">
                  <from>
                    <xdr:col>3</xdr:col>
                    <xdr:colOff>152400</xdr:colOff>
                    <xdr:row>51</xdr:row>
                    <xdr:rowOff>0</xdr:rowOff>
                  </from>
                  <to>
                    <xdr:col>3</xdr:col>
                    <xdr:colOff>1066800</xdr:colOff>
                    <xdr:row>52</xdr:row>
                    <xdr:rowOff>0</xdr:rowOff>
                  </to>
                </anchor>
              </controlPr>
            </control>
          </mc:Choice>
        </mc:AlternateContent>
        <mc:AlternateContent xmlns:mc="http://schemas.openxmlformats.org/markup-compatibility/2006">
          <mc:Choice Requires="x14">
            <control shapeId="1237" r:id="rId11" name="Check Box 208">
              <controlPr defaultSize="0" autoFill="0" autoLine="0" autoPict="0" macro="[0]!CheckBox208_Click" altText="H2A default">
                <anchor moveWithCells="1">
                  <from>
                    <xdr:col>3</xdr:col>
                    <xdr:colOff>152400</xdr:colOff>
                    <xdr:row>52</xdr:row>
                    <xdr:rowOff>0</xdr:rowOff>
                  </from>
                  <to>
                    <xdr:col>3</xdr:col>
                    <xdr:colOff>1066800</xdr:colOff>
                    <xdr:row>53</xdr:row>
                    <xdr:rowOff>0</xdr:rowOff>
                  </to>
                </anchor>
              </controlPr>
            </control>
          </mc:Choice>
        </mc:AlternateContent>
        <mc:AlternateContent xmlns:mc="http://schemas.openxmlformats.org/markup-compatibility/2006">
          <mc:Choice Requires="x14">
            <control shapeId="1238" r:id="rId12" name="Check Box 209">
              <controlPr defaultSize="0" autoFill="0" autoLine="0" autoPict="0" macro="[0]!CheckBox209_Click" altText="H2A default">
                <anchor moveWithCells="1">
                  <from>
                    <xdr:col>3</xdr:col>
                    <xdr:colOff>152400</xdr:colOff>
                    <xdr:row>53</xdr:row>
                    <xdr:rowOff>0</xdr:rowOff>
                  </from>
                  <to>
                    <xdr:col>3</xdr:col>
                    <xdr:colOff>1066800</xdr:colOff>
                    <xdr:row>54</xdr:row>
                    <xdr:rowOff>0</xdr:rowOff>
                  </to>
                </anchor>
              </controlPr>
            </control>
          </mc:Choice>
        </mc:AlternateContent>
        <mc:AlternateContent xmlns:mc="http://schemas.openxmlformats.org/markup-compatibility/2006">
          <mc:Choice Requires="x14">
            <control shapeId="1239" r:id="rId13" name="Check Box 210">
              <controlPr defaultSize="0" autoFill="0" autoLine="0" autoPict="0" macro="[0]!CheckBox210_Click" altText="H2A default">
                <anchor moveWithCells="1">
                  <from>
                    <xdr:col>3</xdr:col>
                    <xdr:colOff>152400</xdr:colOff>
                    <xdr:row>54</xdr:row>
                    <xdr:rowOff>190500</xdr:rowOff>
                  </from>
                  <to>
                    <xdr:col>3</xdr:col>
                    <xdr:colOff>1066800</xdr:colOff>
                    <xdr:row>55</xdr:row>
                    <xdr:rowOff>190500</xdr:rowOff>
                  </to>
                </anchor>
              </controlPr>
            </control>
          </mc:Choice>
        </mc:AlternateContent>
        <mc:AlternateContent xmlns:mc="http://schemas.openxmlformats.org/markup-compatibility/2006">
          <mc:Choice Requires="x14">
            <control shapeId="1242" r:id="rId14" name="Check Box 211">
              <controlPr defaultSize="0" autoFill="0" autoLine="0" autoPict="0" macro="[0]!CheckBox211_Click" altText="H2A default">
                <anchor moveWithCells="1">
                  <from>
                    <xdr:col>3</xdr:col>
                    <xdr:colOff>152400</xdr:colOff>
                    <xdr:row>113</xdr:row>
                    <xdr:rowOff>0</xdr:rowOff>
                  </from>
                  <to>
                    <xdr:col>3</xdr:col>
                    <xdr:colOff>1066800</xdr:colOff>
                    <xdr:row>114</xdr:row>
                    <xdr:rowOff>0</xdr:rowOff>
                  </to>
                </anchor>
              </controlPr>
            </control>
          </mc:Choice>
        </mc:AlternateContent>
        <mc:AlternateContent xmlns:mc="http://schemas.openxmlformats.org/markup-compatibility/2006">
          <mc:Choice Requires="x14">
            <control shapeId="1243" r:id="rId15" name="Check Box 212">
              <controlPr defaultSize="0" autoFill="0" autoLine="0" autoPict="0" macro="[0]!CheckBox212_Click" altText="H2A default">
                <anchor moveWithCells="1">
                  <from>
                    <xdr:col>3</xdr:col>
                    <xdr:colOff>152400</xdr:colOff>
                    <xdr:row>116</xdr:row>
                    <xdr:rowOff>22860</xdr:rowOff>
                  </from>
                  <to>
                    <xdr:col>3</xdr:col>
                    <xdr:colOff>1066800</xdr:colOff>
                    <xdr:row>116</xdr:row>
                    <xdr:rowOff>228600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EAA83B17-A414-4DDC-8FFF-337C73061990}">
            <xm:f>$C$30=Lists!$P$4</xm:f>
            <x14:dxf>
              <font>
                <b val="0"/>
                <i val="0"/>
                <color auto="1"/>
              </font>
              <numFmt numFmtId="0" formatCode="General"/>
            </x14:dxf>
          </x14:cfRule>
          <xm:sqref>D30</xm:sqref>
        </x14:conditionalFormatting>
      </x14:conditionalFormattings>
    </ext>
    <ext xmlns:x14="http://schemas.microsoft.com/office/spreadsheetml/2009/9/main" uri="{CCE6A557-97BC-4b89-ADB6-D9C93CAAB3DF}">
      <x14:dataValidations xmlns:xm="http://schemas.microsoft.com/office/excel/2006/main" disablePrompts="1" xWindow="543" yWindow="734" count="1">
        <x14:dataValidation type="decimal" errorStyle="warning" showInputMessage="1" showErrorMessage="1" error="Capacity is outside the recommended values in this case study.  Please see the Plant Scaling tab for more information." prompt="Required input" xr:uid="{00000000-0002-0000-0300-000010000000}">
          <x14:formula1>
            <xm:f>'Plant Scaling'!C7</xm:f>
          </x14:formula1>
          <x14:formula2>
            <xm:f>'Plant Scaling'!C8</xm:f>
          </x14:formula2>
          <xm:sqref>C26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indexed="50"/>
    <pageSetUpPr fitToPage="1"/>
  </sheetPr>
  <dimension ref="A1:L58"/>
  <sheetViews>
    <sheetView zoomScale="85" zoomScaleNormal="85" workbookViewId="0">
      <selection activeCell="D25" sqref="D25"/>
    </sheetView>
  </sheetViews>
  <sheetFormatPr defaultColWidth="9.33203125" defaultRowHeight="13.2" x14ac:dyDescent="0.25"/>
  <cols>
    <col min="1" max="1" width="16.33203125" style="208" customWidth="1"/>
    <col min="2" max="2" width="17.44140625" style="208" customWidth="1"/>
    <col min="3" max="5" width="19.5546875" style="208" customWidth="1"/>
    <col min="6" max="6" width="19.44140625" style="208" customWidth="1"/>
    <col min="7" max="7" width="21.6640625" style="208" customWidth="1"/>
    <col min="8" max="8" width="23.33203125" style="208" customWidth="1"/>
    <col min="9" max="10" width="19.33203125" style="208" customWidth="1"/>
    <col min="11" max="11" width="47.33203125" style="208" customWidth="1"/>
    <col min="12" max="12" width="30.33203125" style="208" customWidth="1"/>
    <col min="13" max="13" width="40.33203125" style="208" customWidth="1"/>
    <col min="14" max="14" width="20" style="208" customWidth="1"/>
    <col min="15" max="16384" width="9.33203125" style="208"/>
  </cols>
  <sheetData>
    <row r="1" spans="1:12" x14ac:dyDescent="0.25">
      <c r="B1" s="36"/>
      <c r="C1" s="36"/>
      <c r="D1" s="36"/>
      <c r="E1" s="36"/>
      <c r="F1" s="36"/>
      <c r="G1" s="36"/>
    </row>
    <row r="2" spans="1:12" ht="21" x14ac:dyDescent="0.5">
      <c r="A2" s="693" t="s">
        <v>1009</v>
      </c>
      <c r="B2" s="36"/>
      <c r="C2" s="36"/>
      <c r="D2" s="36"/>
      <c r="E2" s="36"/>
      <c r="F2" s="36"/>
      <c r="G2" s="36"/>
    </row>
    <row r="3" spans="1:12" x14ac:dyDescent="0.25">
      <c r="B3" s="39"/>
      <c r="C3" s="39"/>
      <c r="D3" s="39"/>
      <c r="E3" s="39"/>
      <c r="F3" s="39"/>
      <c r="G3" s="42"/>
      <c r="H3" s="209"/>
      <c r="I3" s="209"/>
      <c r="J3" s="209"/>
    </row>
    <row r="4" spans="1:12" x14ac:dyDescent="0.25">
      <c r="B4" s="39"/>
      <c r="C4" s="39"/>
      <c r="D4" s="39"/>
      <c r="E4" s="39"/>
      <c r="F4" s="39"/>
      <c r="G4" s="42"/>
      <c r="H4" s="209"/>
      <c r="I4" s="209"/>
      <c r="J4" s="209"/>
    </row>
    <row r="5" spans="1:12" customFormat="1" ht="15.6" x14ac:dyDescent="0.3">
      <c r="C5" s="695" t="s">
        <v>232</v>
      </c>
      <c r="D5" s="695"/>
      <c r="E5" s="695"/>
    </row>
    <row r="6" spans="1:12" customFormat="1" x14ac:dyDescent="0.25"/>
    <row r="7" spans="1:12" customFormat="1" x14ac:dyDescent="0.25"/>
    <row r="8" spans="1:12" customFormat="1" x14ac:dyDescent="0.25"/>
    <row r="9" spans="1:12" customFormat="1" x14ac:dyDescent="0.25">
      <c r="A9" s="694" t="str">
        <f>"NOTE: Enter costs in year "&amp;TEXT(BasisYear,"0")&amp;" $ - Do not inflate"</f>
        <v>NOTE: Enter costs in year 2005 $ - Do not inflate</v>
      </c>
    </row>
    <row r="10" spans="1:12" customFormat="1" x14ac:dyDescent="0.25">
      <c r="A10" s="694" t="s">
        <v>1010</v>
      </c>
    </row>
    <row r="11" spans="1:12" customFormat="1" x14ac:dyDescent="0.25"/>
    <row r="12" spans="1:12" ht="13.8" thickBot="1" x14ac:dyDescent="0.3">
      <c r="A12" s="210"/>
      <c r="B12" s="210"/>
      <c r="C12" s="210"/>
      <c r="D12" s="210"/>
      <c r="E12" s="210"/>
      <c r="F12" s="210"/>
      <c r="G12" s="210"/>
      <c r="H12" s="211"/>
      <c r="I12" s="211"/>
      <c r="J12" s="211"/>
    </row>
    <row r="13" spans="1:12" ht="14.4" thickTop="1" thickBot="1" x14ac:dyDescent="0.3">
      <c r="A13" s="318" t="s">
        <v>1011</v>
      </c>
      <c r="B13" s="319"/>
      <c r="C13" s="320"/>
      <c r="D13" s="320"/>
      <c r="E13" s="320"/>
      <c r="F13" s="321"/>
      <c r="G13" s="322"/>
    </row>
    <row r="14" spans="1:12" ht="14.4" thickTop="1" thickBot="1" x14ac:dyDescent="0.3">
      <c r="A14" s="323"/>
      <c r="B14" s="324"/>
      <c r="C14" s="325" t="s">
        <v>1012</v>
      </c>
      <c r="D14" s="325"/>
      <c r="E14" s="325"/>
      <c r="F14" s="325" t="s">
        <v>1013</v>
      </c>
      <c r="G14" s="326" t="s">
        <v>1014</v>
      </c>
    </row>
    <row r="15" spans="1:12" s="207" customFormat="1" ht="93.6" thickTop="1" thickBot="1" x14ac:dyDescent="0.3">
      <c r="A15" s="327" t="s">
        <v>182</v>
      </c>
      <c r="B15" s="456">
        <f>replace_factor</f>
        <v>0</v>
      </c>
      <c r="C15" s="328"/>
      <c r="D15" s="328"/>
      <c r="E15" s="328"/>
      <c r="F15" s="329"/>
      <c r="G15" s="330" t="s">
        <v>1015</v>
      </c>
      <c r="I15" s="219"/>
      <c r="J15" s="208"/>
      <c r="K15" s="212"/>
    </row>
    <row r="16" spans="1:12" ht="54" thickTop="1" thickBot="1" x14ac:dyDescent="0.3">
      <c r="A16" s="331" t="s">
        <v>1016</v>
      </c>
      <c r="B16" s="332" t="s">
        <v>39</v>
      </c>
      <c r="C16" s="333" t="s">
        <v>1017</v>
      </c>
      <c r="D16" s="333" t="s">
        <v>1018</v>
      </c>
      <c r="E16" s="333" t="s">
        <v>1199</v>
      </c>
      <c r="F16" s="333" t="s">
        <v>1018</v>
      </c>
      <c r="G16" s="333" t="s">
        <v>1019</v>
      </c>
      <c r="H16" s="333" t="s">
        <v>1057</v>
      </c>
      <c r="I16" s="333" t="s">
        <v>1058</v>
      </c>
      <c r="J16" s="333" t="s">
        <v>1059</v>
      </c>
      <c r="K16" s="334" t="s">
        <v>1060</v>
      </c>
      <c r="L16" s="335" t="s">
        <v>1061</v>
      </c>
    </row>
    <row r="17" spans="1:12" ht="14.4" thickTop="1" thickBot="1" x14ac:dyDescent="0.3">
      <c r="A17" s="336"/>
      <c r="B17" s="337"/>
      <c r="C17" s="337"/>
      <c r="D17" s="337" t="str">
        <f>"Year "&amp;TEXT(BasisYear,"0")&amp;" $"</f>
        <v>Year 2005 $</v>
      </c>
      <c r="E17" s="337" t="str">
        <f>"Year "&amp;TEXT(ref_year,"0")&amp;" $"</f>
        <v>Year 2016 $</v>
      </c>
      <c r="F17" s="337" t="str">
        <f>"Year "&amp;TEXT(ref_year,"0")&amp;" $"</f>
        <v>Year 2016 $</v>
      </c>
      <c r="G17" s="337" t="str">
        <f>"Year "&amp;TEXT(ref_year,"0")&amp;" $"</f>
        <v>Year 2016 $</v>
      </c>
      <c r="H17" s="337" t="s">
        <v>1062</v>
      </c>
      <c r="I17" s="337"/>
      <c r="J17" s="337"/>
      <c r="K17" s="338"/>
      <c r="L17" s="339"/>
    </row>
    <row r="18" spans="1:12" ht="27" thickTop="1" x14ac:dyDescent="0.25">
      <c r="A18" s="90">
        <f>IF(C18&lt;&gt;"",'Cash Flow Analysis'!A65,"")</f>
        <v>2014</v>
      </c>
      <c r="B18" s="307">
        <f>construct+1</f>
        <v>2</v>
      </c>
      <c r="C18" s="307">
        <v>1</v>
      </c>
      <c r="D18" s="1468"/>
      <c r="E18" s="213">
        <f t="shared" ref="E18:E57" ca="1" si="0">direct_cap*D18</f>
        <v>0</v>
      </c>
      <c r="F18" s="213">
        <f t="shared" ref="F18:F57" ca="1" si="1">(D18)*CPIinflator*CEPCIinflator+E18</f>
        <v>0</v>
      </c>
      <c r="G18" s="213">
        <f ca="1">IF(C18&gt;anal_period,0,IF(replace_factor&lt;&gt;"",replace_factor*depr_cap,0))</f>
        <v>0</v>
      </c>
      <c r="H18" s="214">
        <f ca="1">(F18+G18)*((1+inflation_rate)^(startup_year-ref_year))</f>
        <v>0</v>
      </c>
      <c r="I18" s="340"/>
      <c r="J18" s="341"/>
      <c r="K18" s="1470" t="s">
        <v>1636</v>
      </c>
      <c r="L18" s="342"/>
    </row>
    <row r="19" spans="1:12" x14ac:dyDescent="0.25">
      <c r="A19" s="92">
        <f>IF(C19&lt;&gt;"",'Cash Flow Analysis'!A66,"")</f>
        <v>2015</v>
      </c>
      <c r="B19" s="308">
        <f t="shared" ref="B19:B57" si="2">IF(B18&lt;anal_period+construct,B18+1,"")</f>
        <v>3</v>
      </c>
      <c r="C19" s="308">
        <f t="shared" ref="C19:C57" si="3">IF(B19="","",C18+1)</f>
        <v>2</v>
      </c>
      <c r="D19" s="1469"/>
      <c r="E19" s="215">
        <f t="shared" ca="1" si="0"/>
        <v>0</v>
      </c>
      <c r="F19" s="215">
        <f t="shared" ca="1" si="1"/>
        <v>0</v>
      </c>
      <c r="G19" s="215">
        <f t="shared" ref="G19:G57" ca="1" si="4">IF(C19&gt;anal_period,0,IF(replace_factor&lt;&gt;"",replace_factor*depr_cap,0))</f>
        <v>0</v>
      </c>
      <c r="H19" s="216">
        <f t="shared" ref="H19:H57" ca="1" si="5">(F19+G19)*((1+inflation_rate)^(startup_year-ref_year))</f>
        <v>0</v>
      </c>
      <c r="I19" s="343"/>
      <c r="J19" s="344"/>
      <c r="K19" s="749"/>
      <c r="L19" s="346"/>
    </row>
    <row r="20" spans="1:12" x14ac:dyDescent="0.25">
      <c r="A20" s="92">
        <f>IF(C20&lt;&gt;"",'Cash Flow Analysis'!A67,"")</f>
        <v>2016</v>
      </c>
      <c r="B20" s="308">
        <f t="shared" si="2"/>
        <v>4</v>
      </c>
      <c r="C20" s="308">
        <f t="shared" si="3"/>
        <v>3</v>
      </c>
      <c r="D20" s="1469"/>
      <c r="E20" s="215">
        <f t="shared" ca="1" si="0"/>
        <v>0</v>
      </c>
      <c r="F20" s="215">
        <f t="shared" ca="1" si="1"/>
        <v>0</v>
      </c>
      <c r="G20" s="215">
        <f t="shared" ca="1" si="4"/>
        <v>0</v>
      </c>
      <c r="H20" s="216">
        <f t="shared" ca="1" si="5"/>
        <v>0</v>
      </c>
      <c r="I20" s="343"/>
      <c r="J20" s="344"/>
      <c r="K20" s="749"/>
      <c r="L20" s="346"/>
    </row>
    <row r="21" spans="1:12" x14ac:dyDescent="0.25">
      <c r="A21" s="92">
        <f>IF(C21&lt;&gt;"",'Cash Flow Analysis'!A68,"")</f>
        <v>2017</v>
      </c>
      <c r="B21" s="308">
        <f t="shared" si="2"/>
        <v>5</v>
      </c>
      <c r="C21" s="308">
        <f t="shared" si="3"/>
        <v>4</v>
      </c>
      <c r="D21" s="1469"/>
      <c r="E21" s="215">
        <f t="shared" ca="1" si="0"/>
        <v>0</v>
      </c>
      <c r="F21" s="215">
        <f t="shared" ca="1" si="1"/>
        <v>0</v>
      </c>
      <c r="G21" s="215">
        <f t="shared" ca="1" si="4"/>
        <v>0</v>
      </c>
      <c r="H21" s="216">
        <f t="shared" ca="1" si="5"/>
        <v>0</v>
      </c>
      <c r="I21" s="343"/>
      <c r="J21" s="344"/>
      <c r="K21" s="749"/>
      <c r="L21" s="346"/>
    </row>
    <row r="22" spans="1:12" x14ac:dyDescent="0.25">
      <c r="A22" s="92">
        <f>IF(C22&lt;&gt;"",'Cash Flow Analysis'!A69,"")</f>
        <v>2018</v>
      </c>
      <c r="B22" s="308">
        <f t="shared" si="2"/>
        <v>6</v>
      </c>
      <c r="C22" s="308">
        <f t="shared" si="3"/>
        <v>5</v>
      </c>
      <c r="D22" s="1469"/>
      <c r="E22" s="215">
        <f t="shared" ca="1" si="0"/>
        <v>0</v>
      </c>
      <c r="F22" s="215">
        <f t="shared" ca="1" si="1"/>
        <v>0</v>
      </c>
      <c r="G22" s="215">
        <f t="shared" ca="1" si="4"/>
        <v>0</v>
      </c>
      <c r="H22" s="216">
        <f t="shared" ca="1" si="5"/>
        <v>0</v>
      </c>
      <c r="I22" s="343"/>
      <c r="J22" s="344"/>
      <c r="K22" s="749"/>
      <c r="L22" s="750"/>
    </row>
    <row r="23" spans="1:12" x14ac:dyDescent="0.25">
      <c r="A23" s="92">
        <f>IF(C23&lt;&gt;"",'Cash Flow Analysis'!A70,"")</f>
        <v>2019</v>
      </c>
      <c r="B23" s="308">
        <f t="shared" si="2"/>
        <v>7</v>
      </c>
      <c r="C23" s="308">
        <f t="shared" si="3"/>
        <v>6</v>
      </c>
      <c r="D23" s="1469">
        <v>0.15</v>
      </c>
      <c r="E23" s="215">
        <f t="shared" ca="1" si="0"/>
        <v>185653.98114133836</v>
      </c>
      <c r="F23" s="215">
        <f t="shared" ca="1" si="1"/>
        <v>185654.17517563899</v>
      </c>
      <c r="G23" s="215">
        <f t="shared" ca="1" si="4"/>
        <v>0</v>
      </c>
      <c r="H23" s="216">
        <f t="shared" ca="1" si="5"/>
        <v>182192.5173460638</v>
      </c>
      <c r="I23" s="343"/>
      <c r="J23" s="344"/>
      <c r="K23" s="749" t="s">
        <v>1637</v>
      </c>
      <c r="L23" s="346"/>
    </row>
    <row r="24" spans="1:12" x14ac:dyDescent="0.25">
      <c r="A24" s="92">
        <f>IF(C24&lt;&gt;"",'Cash Flow Analysis'!A71,"")</f>
        <v>2020</v>
      </c>
      <c r="B24" s="308">
        <f t="shared" si="2"/>
        <v>8</v>
      </c>
      <c r="C24" s="308">
        <f t="shared" si="3"/>
        <v>7</v>
      </c>
      <c r="D24" s="1469"/>
      <c r="E24" s="215">
        <f t="shared" ca="1" si="0"/>
        <v>0</v>
      </c>
      <c r="F24" s="215">
        <f t="shared" ca="1" si="1"/>
        <v>0</v>
      </c>
      <c r="G24" s="215">
        <f t="shared" ca="1" si="4"/>
        <v>0</v>
      </c>
      <c r="H24" s="216">
        <f t="shared" ca="1" si="5"/>
        <v>0</v>
      </c>
      <c r="I24" s="343"/>
      <c r="J24" s="344"/>
      <c r="K24" s="749"/>
      <c r="L24" s="346"/>
    </row>
    <row r="25" spans="1:12" x14ac:dyDescent="0.25">
      <c r="A25" s="92">
        <f>IF(C25&lt;&gt;"",'Cash Flow Analysis'!A72,"")</f>
        <v>2021</v>
      </c>
      <c r="B25" s="308">
        <f t="shared" si="2"/>
        <v>9</v>
      </c>
      <c r="C25" s="308">
        <f t="shared" si="3"/>
        <v>8</v>
      </c>
      <c r="D25" s="1469"/>
      <c r="E25" s="215">
        <f t="shared" ca="1" si="0"/>
        <v>0</v>
      </c>
      <c r="F25" s="215">
        <f t="shared" ca="1" si="1"/>
        <v>0</v>
      </c>
      <c r="G25" s="215">
        <f t="shared" ca="1" si="4"/>
        <v>0</v>
      </c>
      <c r="H25" s="216">
        <f t="shared" ca="1" si="5"/>
        <v>0</v>
      </c>
      <c r="I25" s="343"/>
      <c r="J25" s="344"/>
      <c r="K25" s="749"/>
      <c r="L25" s="346"/>
    </row>
    <row r="26" spans="1:12" x14ac:dyDescent="0.25">
      <c r="A26" s="92">
        <f>IF(C26&lt;&gt;"",'Cash Flow Analysis'!A73,"")</f>
        <v>2022</v>
      </c>
      <c r="B26" s="308">
        <f t="shared" si="2"/>
        <v>10</v>
      </c>
      <c r="C26" s="308">
        <f t="shared" si="3"/>
        <v>9</v>
      </c>
      <c r="D26" s="1469"/>
      <c r="E26" s="215">
        <f t="shared" ca="1" si="0"/>
        <v>0</v>
      </c>
      <c r="F26" s="215">
        <f t="shared" ca="1" si="1"/>
        <v>0</v>
      </c>
      <c r="G26" s="215">
        <f t="shared" ca="1" si="4"/>
        <v>0</v>
      </c>
      <c r="H26" s="216">
        <f t="shared" ca="1" si="5"/>
        <v>0</v>
      </c>
      <c r="I26" s="343"/>
      <c r="J26" s="344"/>
      <c r="K26" s="749"/>
      <c r="L26" s="346"/>
    </row>
    <row r="27" spans="1:12" x14ac:dyDescent="0.25">
      <c r="A27" s="92">
        <f>IF(C27&lt;&gt;"",'Cash Flow Analysis'!A74,"")</f>
        <v>2023</v>
      </c>
      <c r="B27" s="308">
        <f t="shared" si="2"/>
        <v>11</v>
      </c>
      <c r="C27" s="308">
        <f t="shared" si="3"/>
        <v>10</v>
      </c>
      <c r="D27" s="1469"/>
      <c r="E27" s="215">
        <f t="shared" ca="1" si="0"/>
        <v>0</v>
      </c>
      <c r="F27" s="215">
        <f t="shared" ca="1" si="1"/>
        <v>0</v>
      </c>
      <c r="G27" s="215">
        <f t="shared" ca="1" si="4"/>
        <v>0</v>
      </c>
      <c r="H27" s="216">
        <f t="shared" ca="1" si="5"/>
        <v>0</v>
      </c>
      <c r="I27" s="343"/>
      <c r="J27" s="344"/>
      <c r="K27" s="749"/>
      <c r="L27" s="346"/>
    </row>
    <row r="28" spans="1:12" x14ac:dyDescent="0.25">
      <c r="A28" s="92">
        <f>IF(C28&lt;&gt;"",'Cash Flow Analysis'!A75,"")</f>
        <v>2024</v>
      </c>
      <c r="B28" s="308">
        <f t="shared" si="2"/>
        <v>12</v>
      </c>
      <c r="C28" s="308">
        <f t="shared" si="3"/>
        <v>11</v>
      </c>
      <c r="D28" s="1469">
        <v>0.5</v>
      </c>
      <c r="E28" s="215">
        <f t="shared" ca="1" si="0"/>
        <v>618846.60380446119</v>
      </c>
      <c r="F28" s="215">
        <f t="shared" ca="1" si="1"/>
        <v>618847.25058546325</v>
      </c>
      <c r="G28" s="215">
        <f t="shared" ca="1" si="4"/>
        <v>0</v>
      </c>
      <c r="H28" s="216">
        <f t="shared" ca="1" si="5"/>
        <v>607308.39115354593</v>
      </c>
      <c r="I28" s="343"/>
      <c r="J28" s="344"/>
      <c r="K28" s="749" t="s">
        <v>1638</v>
      </c>
      <c r="L28" s="346"/>
    </row>
    <row r="29" spans="1:12" x14ac:dyDescent="0.25">
      <c r="A29" s="92">
        <f>IF(C29&lt;&gt;"",'Cash Flow Analysis'!A76,"")</f>
        <v>2025</v>
      </c>
      <c r="B29" s="308">
        <f t="shared" si="2"/>
        <v>13</v>
      </c>
      <c r="C29" s="308">
        <f t="shared" si="3"/>
        <v>12</v>
      </c>
      <c r="D29" s="1469"/>
      <c r="E29" s="215">
        <f t="shared" ca="1" si="0"/>
        <v>0</v>
      </c>
      <c r="F29" s="215">
        <f t="shared" ca="1" si="1"/>
        <v>0</v>
      </c>
      <c r="G29" s="215">
        <f t="shared" ca="1" si="4"/>
        <v>0</v>
      </c>
      <c r="H29" s="216">
        <f t="shared" ca="1" si="5"/>
        <v>0</v>
      </c>
      <c r="I29" s="343"/>
      <c r="J29" s="344"/>
      <c r="K29" s="749"/>
      <c r="L29" s="346"/>
    </row>
    <row r="30" spans="1:12" x14ac:dyDescent="0.25">
      <c r="A30" s="92">
        <f>IF(C30&lt;&gt;"",'Cash Flow Analysis'!A77,"")</f>
        <v>2026</v>
      </c>
      <c r="B30" s="308">
        <f t="shared" si="2"/>
        <v>14</v>
      </c>
      <c r="C30" s="308">
        <f t="shared" si="3"/>
        <v>13</v>
      </c>
      <c r="D30" s="1469"/>
      <c r="E30" s="215">
        <f t="shared" ca="1" si="0"/>
        <v>0</v>
      </c>
      <c r="F30" s="215">
        <f t="shared" ca="1" si="1"/>
        <v>0</v>
      </c>
      <c r="G30" s="215">
        <f t="shared" ca="1" si="4"/>
        <v>0</v>
      </c>
      <c r="H30" s="216">
        <f t="shared" ca="1" si="5"/>
        <v>0</v>
      </c>
      <c r="I30" s="343"/>
      <c r="J30" s="344"/>
      <c r="K30" s="749"/>
      <c r="L30" s="346"/>
    </row>
    <row r="31" spans="1:12" x14ac:dyDescent="0.25">
      <c r="A31" s="92">
        <f>IF(C31&lt;&gt;"",'Cash Flow Analysis'!A78,"")</f>
        <v>2027</v>
      </c>
      <c r="B31" s="308">
        <f t="shared" si="2"/>
        <v>15</v>
      </c>
      <c r="C31" s="308">
        <f t="shared" si="3"/>
        <v>14</v>
      </c>
      <c r="D31" s="1469"/>
      <c r="E31" s="215">
        <f t="shared" ca="1" si="0"/>
        <v>0</v>
      </c>
      <c r="F31" s="215">
        <f t="shared" ca="1" si="1"/>
        <v>0</v>
      </c>
      <c r="G31" s="215">
        <f t="shared" ca="1" si="4"/>
        <v>0</v>
      </c>
      <c r="H31" s="216">
        <f t="shared" ca="1" si="5"/>
        <v>0</v>
      </c>
      <c r="I31" s="343"/>
      <c r="J31" s="344"/>
      <c r="K31" s="749"/>
      <c r="L31" s="346"/>
    </row>
    <row r="32" spans="1:12" x14ac:dyDescent="0.25">
      <c r="A32" s="92">
        <f>IF(C32&lt;&gt;"",'Cash Flow Analysis'!A79,"")</f>
        <v>2028</v>
      </c>
      <c r="B32" s="308">
        <f t="shared" si="2"/>
        <v>16</v>
      </c>
      <c r="C32" s="308">
        <f t="shared" si="3"/>
        <v>15</v>
      </c>
      <c r="D32" s="1469"/>
      <c r="E32" s="215">
        <f t="shared" ca="1" si="0"/>
        <v>0</v>
      </c>
      <c r="F32" s="215">
        <f t="shared" ca="1" si="1"/>
        <v>0</v>
      </c>
      <c r="G32" s="215">
        <f t="shared" ca="1" si="4"/>
        <v>0</v>
      </c>
      <c r="H32" s="216">
        <f t="shared" ca="1" si="5"/>
        <v>0</v>
      </c>
      <c r="I32" s="343"/>
      <c r="J32" s="344"/>
      <c r="K32" s="749"/>
      <c r="L32" s="346"/>
    </row>
    <row r="33" spans="1:12" x14ac:dyDescent="0.25">
      <c r="A33" s="92">
        <f>IF(C33&lt;&gt;"",'Cash Flow Analysis'!A80,"")</f>
        <v>2029</v>
      </c>
      <c r="B33" s="308">
        <f t="shared" si="2"/>
        <v>17</v>
      </c>
      <c r="C33" s="308">
        <f t="shared" si="3"/>
        <v>16</v>
      </c>
      <c r="D33" s="1469">
        <v>0.15</v>
      </c>
      <c r="E33" s="215">
        <f t="shared" ca="1" si="0"/>
        <v>185653.98114133836</v>
      </c>
      <c r="F33" s="215">
        <f t="shared" ca="1" si="1"/>
        <v>185654.17517563899</v>
      </c>
      <c r="G33" s="215">
        <f t="shared" ca="1" si="4"/>
        <v>0</v>
      </c>
      <c r="H33" s="216">
        <f t="shared" ca="1" si="5"/>
        <v>182192.5173460638</v>
      </c>
      <c r="I33" s="343"/>
      <c r="J33" s="344"/>
      <c r="K33" s="749" t="s">
        <v>1637</v>
      </c>
      <c r="L33" s="346"/>
    </row>
    <row r="34" spans="1:12" x14ac:dyDescent="0.25">
      <c r="A34" s="92">
        <f>IF(C34&lt;&gt;"",'Cash Flow Analysis'!A81,"")</f>
        <v>2030</v>
      </c>
      <c r="B34" s="308">
        <f t="shared" si="2"/>
        <v>18</v>
      </c>
      <c r="C34" s="308">
        <f t="shared" si="3"/>
        <v>17</v>
      </c>
      <c r="D34" s="1469"/>
      <c r="E34" s="215">
        <f t="shared" ca="1" si="0"/>
        <v>0</v>
      </c>
      <c r="F34" s="215">
        <f t="shared" ca="1" si="1"/>
        <v>0</v>
      </c>
      <c r="G34" s="215">
        <f t="shared" ca="1" si="4"/>
        <v>0</v>
      </c>
      <c r="H34" s="216">
        <f t="shared" ca="1" si="5"/>
        <v>0</v>
      </c>
      <c r="I34" s="343"/>
      <c r="J34" s="344"/>
      <c r="K34" s="749"/>
      <c r="L34" s="346"/>
    </row>
    <row r="35" spans="1:12" x14ac:dyDescent="0.25">
      <c r="A35" s="92">
        <f>IF(C35&lt;&gt;"",'Cash Flow Analysis'!A82,"")</f>
        <v>2031</v>
      </c>
      <c r="B35" s="308">
        <f t="shared" si="2"/>
        <v>19</v>
      </c>
      <c r="C35" s="308">
        <f t="shared" si="3"/>
        <v>18</v>
      </c>
      <c r="D35" s="1469"/>
      <c r="E35" s="215">
        <f t="shared" ca="1" si="0"/>
        <v>0</v>
      </c>
      <c r="F35" s="215">
        <f t="shared" ca="1" si="1"/>
        <v>0</v>
      </c>
      <c r="G35" s="215">
        <f t="shared" ca="1" si="4"/>
        <v>0</v>
      </c>
      <c r="H35" s="216">
        <f t="shared" ca="1" si="5"/>
        <v>0</v>
      </c>
      <c r="I35" s="343"/>
      <c r="J35" s="344"/>
      <c r="K35" s="345"/>
      <c r="L35" s="346"/>
    </row>
    <row r="36" spans="1:12" x14ac:dyDescent="0.25">
      <c r="A36" s="92">
        <f>IF(C36&lt;&gt;"",'Cash Flow Analysis'!A83,"")</f>
        <v>2032</v>
      </c>
      <c r="B36" s="308">
        <f t="shared" si="2"/>
        <v>20</v>
      </c>
      <c r="C36" s="308">
        <f t="shared" si="3"/>
        <v>19</v>
      </c>
      <c r="D36" s="1469"/>
      <c r="E36" s="215">
        <f t="shared" ca="1" si="0"/>
        <v>0</v>
      </c>
      <c r="F36" s="215">
        <f t="shared" ca="1" si="1"/>
        <v>0</v>
      </c>
      <c r="G36" s="215">
        <f t="shared" ca="1" si="4"/>
        <v>0</v>
      </c>
      <c r="H36" s="216">
        <f t="shared" ca="1" si="5"/>
        <v>0</v>
      </c>
      <c r="I36" s="343"/>
      <c r="J36" s="344"/>
      <c r="K36" s="345"/>
      <c r="L36" s="346"/>
    </row>
    <row r="37" spans="1:12" x14ac:dyDescent="0.25">
      <c r="A37" s="92">
        <f>IF(C37&lt;&gt;"",'Cash Flow Analysis'!A84,"")</f>
        <v>2033</v>
      </c>
      <c r="B37" s="308">
        <f t="shared" si="2"/>
        <v>21</v>
      </c>
      <c r="C37" s="308">
        <f t="shared" si="3"/>
        <v>20</v>
      </c>
      <c r="D37" s="1469"/>
      <c r="E37" s="215">
        <f t="shared" ca="1" si="0"/>
        <v>0</v>
      </c>
      <c r="F37" s="215">
        <f t="shared" ca="1" si="1"/>
        <v>0</v>
      </c>
      <c r="G37" s="215">
        <f t="shared" ca="1" si="4"/>
        <v>0</v>
      </c>
      <c r="H37" s="216">
        <f t="shared" ca="1" si="5"/>
        <v>0</v>
      </c>
      <c r="I37" s="343"/>
      <c r="J37" s="344"/>
      <c r="K37" s="345"/>
      <c r="L37" s="346"/>
    </row>
    <row r="38" spans="1:12" x14ac:dyDescent="0.25">
      <c r="A38" s="92" t="str">
        <f>IF(C38&lt;&gt;"",'Cash Flow Analysis'!A85,"")</f>
        <v/>
      </c>
      <c r="B38" s="308" t="str">
        <f t="shared" si="2"/>
        <v/>
      </c>
      <c r="C38" s="308" t="str">
        <f t="shared" si="3"/>
        <v/>
      </c>
      <c r="D38" s="438"/>
      <c r="E38" s="215">
        <f t="shared" ca="1" si="0"/>
        <v>0</v>
      </c>
      <c r="F38" s="215">
        <f t="shared" ca="1" si="1"/>
        <v>0</v>
      </c>
      <c r="G38" s="215">
        <f t="shared" si="4"/>
        <v>0</v>
      </c>
      <c r="H38" s="216">
        <f t="shared" ca="1" si="5"/>
        <v>0</v>
      </c>
      <c r="I38" s="343"/>
      <c r="J38" s="344"/>
      <c r="K38" s="345"/>
      <c r="L38" s="346"/>
    </row>
    <row r="39" spans="1:12" x14ac:dyDescent="0.25">
      <c r="A39" s="92" t="str">
        <f>IF(C39&lt;&gt;"",'Cash Flow Analysis'!A86,"")</f>
        <v/>
      </c>
      <c r="B39" s="308" t="str">
        <f t="shared" si="2"/>
        <v/>
      </c>
      <c r="C39" s="308" t="str">
        <f t="shared" si="3"/>
        <v/>
      </c>
      <c r="D39" s="438"/>
      <c r="E39" s="215">
        <f t="shared" ca="1" si="0"/>
        <v>0</v>
      </c>
      <c r="F39" s="215">
        <f t="shared" ca="1" si="1"/>
        <v>0</v>
      </c>
      <c r="G39" s="215">
        <f t="shared" si="4"/>
        <v>0</v>
      </c>
      <c r="H39" s="216">
        <f t="shared" ca="1" si="5"/>
        <v>0</v>
      </c>
      <c r="I39" s="343"/>
      <c r="J39" s="344"/>
      <c r="K39" s="345"/>
      <c r="L39" s="346"/>
    </row>
    <row r="40" spans="1:12" x14ac:dyDescent="0.25">
      <c r="A40" s="92" t="str">
        <f>IF(C40&lt;&gt;"",'Cash Flow Analysis'!A87,"")</f>
        <v/>
      </c>
      <c r="B40" s="308" t="str">
        <f t="shared" si="2"/>
        <v/>
      </c>
      <c r="C40" s="308" t="str">
        <f t="shared" si="3"/>
        <v/>
      </c>
      <c r="D40" s="438"/>
      <c r="E40" s="215">
        <f t="shared" ca="1" si="0"/>
        <v>0</v>
      </c>
      <c r="F40" s="215">
        <f t="shared" ca="1" si="1"/>
        <v>0</v>
      </c>
      <c r="G40" s="215">
        <f t="shared" si="4"/>
        <v>0</v>
      </c>
      <c r="H40" s="216">
        <f t="shared" ca="1" si="5"/>
        <v>0</v>
      </c>
      <c r="I40" s="343"/>
      <c r="J40" s="344"/>
      <c r="K40" s="345"/>
      <c r="L40" s="346"/>
    </row>
    <row r="41" spans="1:12" x14ac:dyDescent="0.25">
      <c r="A41" s="92" t="str">
        <f>IF(C41&lt;&gt;"",'Cash Flow Analysis'!A88,"")</f>
        <v/>
      </c>
      <c r="B41" s="308" t="str">
        <f t="shared" si="2"/>
        <v/>
      </c>
      <c r="C41" s="308" t="str">
        <f t="shared" si="3"/>
        <v/>
      </c>
      <c r="D41" s="438"/>
      <c r="E41" s="215">
        <f t="shared" ca="1" si="0"/>
        <v>0</v>
      </c>
      <c r="F41" s="215">
        <f t="shared" ca="1" si="1"/>
        <v>0</v>
      </c>
      <c r="G41" s="215">
        <f t="shared" si="4"/>
        <v>0</v>
      </c>
      <c r="H41" s="216">
        <f t="shared" ca="1" si="5"/>
        <v>0</v>
      </c>
      <c r="I41" s="343"/>
      <c r="J41" s="344"/>
      <c r="K41" s="345"/>
      <c r="L41" s="346"/>
    </row>
    <row r="42" spans="1:12" x14ac:dyDescent="0.25">
      <c r="A42" s="92" t="str">
        <f>IF(C42&lt;&gt;"",'Cash Flow Analysis'!A89,"")</f>
        <v/>
      </c>
      <c r="B42" s="308" t="str">
        <f t="shared" si="2"/>
        <v/>
      </c>
      <c r="C42" s="308" t="str">
        <f t="shared" si="3"/>
        <v/>
      </c>
      <c r="D42" s="438"/>
      <c r="E42" s="215">
        <f t="shared" ca="1" si="0"/>
        <v>0</v>
      </c>
      <c r="F42" s="215">
        <f t="shared" ca="1" si="1"/>
        <v>0</v>
      </c>
      <c r="G42" s="215">
        <f t="shared" si="4"/>
        <v>0</v>
      </c>
      <c r="H42" s="216">
        <f t="shared" ca="1" si="5"/>
        <v>0</v>
      </c>
      <c r="I42" s="343"/>
      <c r="J42" s="344"/>
      <c r="K42" s="345"/>
      <c r="L42" s="346"/>
    </row>
    <row r="43" spans="1:12" x14ac:dyDescent="0.25">
      <c r="A43" s="92" t="str">
        <f>IF(C43&lt;&gt;"",'Cash Flow Analysis'!A90,"")</f>
        <v/>
      </c>
      <c r="B43" s="308" t="str">
        <f t="shared" si="2"/>
        <v/>
      </c>
      <c r="C43" s="308" t="str">
        <f t="shared" si="3"/>
        <v/>
      </c>
      <c r="D43" s="438"/>
      <c r="E43" s="215">
        <f t="shared" ca="1" si="0"/>
        <v>0</v>
      </c>
      <c r="F43" s="215">
        <f t="shared" ca="1" si="1"/>
        <v>0</v>
      </c>
      <c r="G43" s="215">
        <f t="shared" si="4"/>
        <v>0</v>
      </c>
      <c r="H43" s="216">
        <f t="shared" ca="1" si="5"/>
        <v>0</v>
      </c>
      <c r="I43" s="343"/>
      <c r="J43" s="344"/>
      <c r="K43" s="345"/>
      <c r="L43" s="346"/>
    </row>
    <row r="44" spans="1:12" x14ac:dyDescent="0.25">
      <c r="A44" s="92" t="str">
        <f>IF(C44&lt;&gt;"",'Cash Flow Analysis'!A91,"")</f>
        <v/>
      </c>
      <c r="B44" s="308" t="str">
        <f t="shared" si="2"/>
        <v/>
      </c>
      <c r="C44" s="308" t="str">
        <f t="shared" si="3"/>
        <v/>
      </c>
      <c r="D44" s="438"/>
      <c r="E44" s="215">
        <f t="shared" ca="1" si="0"/>
        <v>0</v>
      </c>
      <c r="F44" s="215">
        <f t="shared" ca="1" si="1"/>
        <v>0</v>
      </c>
      <c r="G44" s="215">
        <f t="shared" si="4"/>
        <v>0</v>
      </c>
      <c r="H44" s="216">
        <f t="shared" ca="1" si="5"/>
        <v>0</v>
      </c>
      <c r="I44" s="343"/>
      <c r="J44" s="344"/>
      <c r="K44" s="345"/>
      <c r="L44" s="346"/>
    </row>
    <row r="45" spans="1:12" x14ac:dyDescent="0.25">
      <c r="A45" s="92" t="str">
        <f>IF(C45&lt;&gt;"",'Cash Flow Analysis'!A92,"")</f>
        <v/>
      </c>
      <c r="B45" s="308" t="str">
        <f t="shared" si="2"/>
        <v/>
      </c>
      <c r="C45" s="308" t="str">
        <f t="shared" si="3"/>
        <v/>
      </c>
      <c r="D45" s="438"/>
      <c r="E45" s="215">
        <f t="shared" ca="1" si="0"/>
        <v>0</v>
      </c>
      <c r="F45" s="215">
        <f t="shared" ca="1" si="1"/>
        <v>0</v>
      </c>
      <c r="G45" s="215">
        <f t="shared" si="4"/>
        <v>0</v>
      </c>
      <c r="H45" s="216">
        <f t="shared" ca="1" si="5"/>
        <v>0</v>
      </c>
      <c r="I45" s="343"/>
      <c r="J45" s="344"/>
      <c r="K45" s="345"/>
      <c r="L45" s="346"/>
    </row>
    <row r="46" spans="1:12" x14ac:dyDescent="0.25">
      <c r="A46" s="92" t="str">
        <f>IF(C46&lt;&gt;"",'Cash Flow Analysis'!A93,"")</f>
        <v/>
      </c>
      <c r="B46" s="308" t="str">
        <f t="shared" si="2"/>
        <v/>
      </c>
      <c r="C46" s="308" t="str">
        <f t="shared" si="3"/>
        <v/>
      </c>
      <c r="D46" s="438"/>
      <c r="E46" s="215">
        <f t="shared" ca="1" si="0"/>
        <v>0</v>
      </c>
      <c r="F46" s="215">
        <f t="shared" ca="1" si="1"/>
        <v>0</v>
      </c>
      <c r="G46" s="215">
        <f t="shared" si="4"/>
        <v>0</v>
      </c>
      <c r="H46" s="216">
        <f t="shared" ca="1" si="5"/>
        <v>0</v>
      </c>
      <c r="I46" s="343"/>
      <c r="J46" s="344"/>
      <c r="K46" s="345"/>
      <c r="L46" s="346"/>
    </row>
    <row r="47" spans="1:12" x14ac:dyDescent="0.25">
      <c r="A47" s="92" t="str">
        <f>IF(C47&lt;&gt;"",'Cash Flow Analysis'!A94,"")</f>
        <v/>
      </c>
      <c r="B47" s="308" t="str">
        <f t="shared" si="2"/>
        <v/>
      </c>
      <c r="C47" s="308" t="str">
        <f t="shared" si="3"/>
        <v/>
      </c>
      <c r="D47" s="438"/>
      <c r="E47" s="215">
        <f t="shared" ca="1" si="0"/>
        <v>0</v>
      </c>
      <c r="F47" s="215">
        <f t="shared" ca="1" si="1"/>
        <v>0</v>
      </c>
      <c r="G47" s="215">
        <f t="shared" si="4"/>
        <v>0</v>
      </c>
      <c r="H47" s="216">
        <f t="shared" ca="1" si="5"/>
        <v>0</v>
      </c>
      <c r="I47" s="343"/>
      <c r="J47" s="344"/>
      <c r="K47" s="345"/>
      <c r="L47" s="346"/>
    </row>
    <row r="48" spans="1:12" x14ac:dyDescent="0.25">
      <c r="A48" s="92" t="str">
        <f>IF(C48&lt;&gt;"",'Cash Flow Analysis'!A95,"")</f>
        <v/>
      </c>
      <c r="B48" s="308" t="str">
        <f t="shared" si="2"/>
        <v/>
      </c>
      <c r="C48" s="308" t="str">
        <f t="shared" si="3"/>
        <v/>
      </c>
      <c r="D48" s="438"/>
      <c r="E48" s="215">
        <f t="shared" ca="1" si="0"/>
        <v>0</v>
      </c>
      <c r="F48" s="215">
        <f t="shared" ca="1" si="1"/>
        <v>0</v>
      </c>
      <c r="G48" s="215">
        <f t="shared" si="4"/>
        <v>0</v>
      </c>
      <c r="H48" s="216">
        <f t="shared" ca="1" si="5"/>
        <v>0</v>
      </c>
      <c r="I48" s="343"/>
      <c r="J48" s="344"/>
      <c r="K48" s="345"/>
      <c r="L48" s="346"/>
    </row>
    <row r="49" spans="1:12" x14ac:dyDescent="0.25">
      <c r="A49" s="92" t="str">
        <f>IF(C49&lt;&gt;"",'Cash Flow Analysis'!A96,"")</f>
        <v/>
      </c>
      <c r="B49" s="308" t="str">
        <f t="shared" si="2"/>
        <v/>
      </c>
      <c r="C49" s="308" t="str">
        <f t="shared" si="3"/>
        <v/>
      </c>
      <c r="D49" s="438"/>
      <c r="E49" s="215">
        <f t="shared" ca="1" si="0"/>
        <v>0</v>
      </c>
      <c r="F49" s="215">
        <f t="shared" ca="1" si="1"/>
        <v>0</v>
      </c>
      <c r="G49" s="215">
        <f t="shared" si="4"/>
        <v>0</v>
      </c>
      <c r="H49" s="216">
        <f t="shared" ca="1" si="5"/>
        <v>0</v>
      </c>
      <c r="I49" s="343"/>
      <c r="J49" s="344"/>
      <c r="K49" s="345"/>
      <c r="L49" s="346"/>
    </row>
    <row r="50" spans="1:12" x14ac:dyDescent="0.25">
      <c r="A50" s="92" t="str">
        <f>IF(C50&lt;&gt;"",'Cash Flow Analysis'!A97,"")</f>
        <v/>
      </c>
      <c r="B50" s="308" t="str">
        <f t="shared" si="2"/>
        <v/>
      </c>
      <c r="C50" s="308" t="str">
        <f t="shared" si="3"/>
        <v/>
      </c>
      <c r="D50" s="438"/>
      <c r="E50" s="215">
        <f t="shared" ca="1" si="0"/>
        <v>0</v>
      </c>
      <c r="F50" s="215">
        <f t="shared" ca="1" si="1"/>
        <v>0</v>
      </c>
      <c r="G50" s="215">
        <f t="shared" si="4"/>
        <v>0</v>
      </c>
      <c r="H50" s="216">
        <f t="shared" ca="1" si="5"/>
        <v>0</v>
      </c>
      <c r="I50" s="343"/>
      <c r="J50" s="344"/>
      <c r="K50" s="345"/>
      <c r="L50" s="346"/>
    </row>
    <row r="51" spans="1:12" x14ac:dyDescent="0.25">
      <c r="A51" s="92" t="str">
        <f>IF(C51&lt;&gt;"",'Cash Flow Analysis'!A98,"")</f>
        <v/>
      </c>
      <c r="B51" s="308" t="str">
        <f t="shared" si="2"/>
        <v/>
      </c>
      <c r="C51" s="308" t="str">
        <f t="shared" si="3"/>
        <v/>
      </c>
      <c r="D51" s="438"/>
      <c r="E51" s="215">
        <f t="shared" ca="1" si="0"/>
        <v>0</v>
      </c>
      <c r="F51" s="215">
        <f t="shared" ca="1" si="1"/>
        <v>0</v>
      </c>
      <c r="G51" s="215">
        <f t="shared" si="4"/>
        <v>0</v>
      </c>
      <c r="H51" s="216">
        <f t="shared" ca="1" si="5"/>
        <v>0</v>
      </c>
      <c r="I51" s="343"/>
      <c r="J51" s="344"/>
      <c r="K51" s="345"/>
      <c r="L51" s="346"/>
    </row>
    <row r="52" spans="1:12" x14ac:dyDescent="0.25">
      <c r="A52" s="92" t="str">
        <f>IF(C52&lt;&gt;"",'Cash Flow Analysis'!A99,"")</f>
        <v/>
      </c>
      <c r="B52" s="308" t="str">
        <f t="shared" si="2"/>
        <v/>
      </c>
      <c r="C52" s="308" t="str">
        <f t="shared" si="3"/>
        <v/>
      </c>
      <c r="D52" s="438"/>
      <c r="E52" s="215">
        <f t="shared" ca="1" si="0"/>
        <v>0</v>
      </c>
      <c r="F52" s="215">
        <f t="shared" ca="1" si="1"/>
        <v>0</v>
      </c>
      <c r="G52" s="215">
        <f t="shared" si="4"/>
        <v>0</v>
      </c>
      <c r="H52" s="216">
        <f t="shared" ca="1" si="5"/>
        <v>0</v>
      </c>
      <c r="I52" s="343"/>
      <c r="J52" s="344"/>
      <c r="K52" s="345"/>
      <c r="L52" s="346"/>
    </row>
    <row r="53" spans="1:12" x14ac:dyDescent="0.25">
      <c r="A53" s="92" t="str">
        <f>IF(C53&lt;&gt;"",'Cash Flow Analysis'!A100,"")</f>
        <v/>
      </c>
      <c r="B53" s="308" t="str">
        <f t="shared" si="2"/>
        <v/>
      </c>
      <c r="C53" s="308" t="str">
        <f t="shared" si="3"/>
        <v/>
      </c>
      <c r="D53" s="438"/>
      <c r="E53" s="215">
        <f t="shared" ca="1" si="0"/>
        <v>0</v>
      </c>
      <c r="F53" s="215">
        <f t="shared" ca="1" si="1"/>
        <v>0</v>
      </c>
      <c r="G53" s="215">
        <f t="shared" si="4"/>
        <v>0</v>
      </c>
      <c r="H53" s="216">
        <f t="shared" ca="1" si="5"/>
        <v>0</v>
      </c>
      <c r="I53" s="343"/>
      <c r="J53" s="344"/>
      <c r="K53" s="345"/>
      <c r="L53" s="346"/>
    </row>
    <row r="54" spans="1:12" x14ac:dyDescent="0.25">
      <c r="A54" s="92" t="str">
        <f>IF(C54&lt;&gt;"",'Cash Flow Analysis'!A101,"")</f>
        <v/>
      </c>
      <c r="B54" s="308" t="str">
        <f t="shared" si="2"/>
        <v/>
      </c>
      <c r="C54" s="308" t="str">
        <f t="shared" si="3"/>
        <v/>
      </c>
      <c r="D54" s="438"/>
      <c r="E54" s="215">
        <f t="shared" ca="1" si="0"/>
        <v>0</v>
      </c>
      <c r="F54" s="215">
        <f t="shared" ca="1" si="1"/>
        <v>0</v>
      </c>
      <c r="G54" s="215">
        <f t="shared" si="4"/>
        <v>0</v>
      </c>
      <c r="H54" s="216">
        <f t="shared" ca="1" si="5"/>
        <v>0</v>
      </c>
      <c r="I54" s="343"/>
      <c r="J54" s="344"/>
      <c r="K54" s="345"/>
      <c r="L54" s="346"/>
    </row>
    <row r="55" spans="1:12" x14ac:dyDescent="0.25">
      <c r="A55" s="92" t="str">
        <f>IF(C55&lt;&gt;"",'Cash Flow Analysis'!A102,"")</f>
        <v/>
      </c>
      <c r="B55" s="308" t="str">
        <f t="shared" si="2"/>
        <v/>
      </c>
      <c r="C55" s="308" t="str">
        <f t="shared" si="3"/>
        <v/>
      </c>
      <c r="D55" s="438"/>
      <c r="E55" s="215">
        <f t="shared" ca="1" si="0"/>
        <v>0</v>
      </c>
      <c r="F55" s="215">
        <f t="shared" ca="1" si="1"/>
        <v>0</v>
      </c>
      <c r="G55" s="215">
        <f t="shared" si="4"/>
        <v>0</v>
      </c>
      <c r="H55" s="216">
        <f t="shared" ca="1" si="5"/>
        <v>0</v>
      </c>
      <c r="I55" s="343"/>
      <c r="J55" s="344"/>
      <c r="K55" s="345"/>
      <c r="L55" s="346"/>
    </row>
    <row r="56" spans="1:12" x14ac:dyDescent="0.25">
      <c r="A56" s="92" t="str">
        <f>IF(C56&lt;&gt;"",'Cash Flow Analysis'!A103,"")</f>
        <v/>
      </c>
      <c r="B56" s="308" t="str">
        <f t="shared" si="2"/>
        <v/>
      </c>
      <c r="C56" s="308" t="str">
        <f t="shared" si="3"/>
        <v/>
      </c>
      <c r="D56" s="438"/>
      <c r="E56" s="215">
        <f t="shared" ca="1" si="0"/>
        <v>0</v>
      </c>
      <c r="F56" s="215">
        <f t="shared" ca="1" si="1"/>
        <v>0</v>
      </c>
      <c r="G56" s="215">
        <f t="shared" si="4"/>
        <v>0</v>
      </c>
      <c r="H56" s="216">
        <f t="shared" ca="1" si="5"/>
        <v>0</v>
      </c>
      <c r="I56" s="343"/>
      <c r="J56" s="344"/>
      <c r="K56" s="345"/>
      <c r="L56" s="346"/>
    </row>
    <row r="57" spans="1:12" ht="13.8" thickBot="1" x14ac:dyDescent="0.3">
      <c r="A57" s="94" t="str">
        <f>IF(C57&lt;&gt;"",'Cash Flow Analysis'!A104,"")</f>
        <v/>
      </c>
      <c r="B57" s="309" t="str">
        <f t="shared" si="2"/>
        <v/>
      </c>
      <c r="C57" s="309" t="str">
        <f t="shared" si="3"/>
        <v/>
      </c>
      <c r="D57" s="439"/>
      <c r="E57" s="217">
        <f t="shared" ca="1" si="0"/>
        <v>0</v>
      </c>
      <c r="F57" s="217">
        <f t="shared" ca="1" si="1"/>
        <v>0</v>
      </c>
      <c r="G57" s="217">
        <f t="shared" si="4"/>
        <v>0</v>
      </c>
      <c r="H57" s="218">
        <f t="shared" ca="1" si="5"/>
        <v>0</v>
      </c>
      <c r="I57" s="347"/>
      <c r="J57" s="348"/>
      <c r="K57" s="349"/>
      <c r="L57" s="350"/>
    </row>
    <row r="58" spans="1:12" ht="13.8" thickTop="1" x14ac:dyDescent="0.25"/>
  </sheetData>
  <phoneticPr fontId="0" type="noConversion"/>
  <pageMargins left="0.75" right="0.75" top="1" bottom="1" header="0.5" footer="0.5"/>
  <pageSetup scale="55" orientation="landscape" r:id="rId1"/>
  <headerFooter alignWithMargins="0">
    <oddHeader>&amp;LCentral Biomass Gasification - Current Timeframe&amp;R&amp;D</oddHeader>
    <oddFooter>&amp;CPage 6 of 7</oddFooter>
  </headerFooter>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indexed="50"/>
    <pageSetUpPr fitToPage="1"/>
  </sheetPr>
  <dimension ref="A1:H61"/>
  <sheetViews>
    <sheetView zoomScale="85" zoomScaleNormal="85" workbookViewId="0">
      <selection activeCell="E33" sqref="E33"/>
    </sheetView>
  </sheetViews>
  <sheetFormatPr defaultRowHeight="13.2" x14ac:dyDescent="0.25"/>
  <cols>
    <col min="2" max="2" width="38.33203125" customWidth="1"/>
    <col min="3" max="3" width="19.6640625" customWidth="1"/>
    <col min="4" max="5" width="18.6640625" customWidth="1"/>
    <col min="6" max="6" width="22.5546875" customWidth="1"/>
    <col min="7" max="7" width="17.33203125" customWidth="1"/>
    <col min="8" max="8" width="27.33203125" customWidth="1"/>
  </cols>
  <sheetData>
    <row r="1" spans="1:8" x14ac:dyDescent="0.25">
      <c r="A1" s="299"/>
      <c r="B1" s="299"/>
      <c r="C1" s="299"/>
      <c r="D1" s="299"/>
      <c r="E1" s="299"/>
      <c r="F1" s="299"/>
      <c r="G1" s="299"/>
      <c r="H1" s="299"/>
    </row>
    <row r="2" spans="1:8" ht="22.5" customHeight="1" x14ac:dyDescent="0.5">
      <c r="A2" s="299"/>
      <c r="B2" s="310" t="s">
        <v>82</v>
      </c>
      <c r="C2" s="299"/>
      <c r="D2" s="299"/>
      <c r="E2" s="299"/>
      <c r="F2" s="1530"/>
      <c r="G2" s="1530"/>
      <c r="H2" s="1530"/>
    </row>
    <row r="3" spans="1:8" x14ac:dyDescent="0.25">
      <c r="A3" s="299"/>
      <c r="B3" s="299"/>
      <c r="C3" s="299"/>
      <c r="D3" s="299"/>
      <c r="E3" s="299"/>
      <c r="F3" s="1530"/>
      <c r="G3" s="1530"/>
      <c r="H3" s="1530"/>
    </row>
    <row r="4" spans="1:8" ht="15.6" x14ac:dyDescent="0.3">
      <c r="A4" s="299"/>
      <c r="B4" s="299"/>
      <c r="C4" s="1259" t="s">
        <v>232</v>
      </c>
      <c r="D4" s="299"/>
      <c r="E4" s="299"/>
      <c r="F4" s="1530"/>
      <c r="G4" s="1530"/>
      <c r="H4" s="1530"/>
    </row>
    <row r="5" spans="1:8" ht="15.6" x14ac:dyDescent="0.3">
      <c r="A5" s="299"/>
      <c r="B5" s="299"/>
      <c r="C5" s="1259"/>
      <c r="D5" s="299"/>
      <c r="E5" s="299"/>
      <c r="F5" s="299"/>
      <c r="G5" s="299"/>
      <c r="H5" s="299"/>
    </row>
    <row r="6" spans="1:8" ht="16.2" thickBot="1" x14ac:dyDescent="0.35">
      <c r="A6" s="299"/>
      <c r="B6" s="299"/>
      <c r="C6" s="1259"/>
      <c r="D6" s="299"/>
      <c r="E6" s="299"/>
      <c r="F6" s="299"/>
      <c r="G6" s="299"/>
      <c r="H6" s="299"/>
    </row>
    <row r="7" spans="1:8" ht="27" thickBot="1" x14ac:dyDescent="0.3">
      <c r="A7" s="299"/>
      <c r="B7" s="818" t="s">
        <v>815</v>
      </c>
      <c r="C7" s="1377">
        <v>1500</v>
      </c>
      <c r="D7" s="1531" t="s">
        <v>816</v>
      </c>
      <c r="E7" s="1532"/>
      <c r="F7" s="1532"/>
      <c r="G7" s="1532"/>
      <c r="H7" s="1533"/>
    </row>
    <row r="8" spans="1:8" ht="13.8" thickBot="1" x14ac:dyDescent="0.3">
      <c r="A8" s="299"/>
      <c r="B8" s="299"/>
      <c r="C8" s="299"/>
      <c r="D8" s="1529" t="s">
        <v>1012</v>
      </c>
      <c r="E8" s="1527"/>
      <c r="F8" s="1527"/>
      <c r="G8" s="1527"/>
      <c r="H8" s="1527"/>
    </row>
    <row r="9" spans="1:8" x14ac:dyDescent="0.25">
      <c r="A9" s="299"/>
      <c r="B9" s="1" t="s">
        <v>829</v>
      </c>
      <c r="C9" s="1260">
        <f>BasisYear</f>
        <v>2005</v>
      </c>
      <c r="D9" s="1534"/>
      <c r="E9" s="1535"/>
      <c r="F9" s="1535"/>
      <c r="G9" s="1535"/>
      <c r="H9" s="1536"/>
    </row>
    <row r="10" spans="1:8" x14ac:dyDescent="0.25">
      <c r="A10" s="299"/>
      <c r="B10" s="1" t="s">
        <v>762</v>
      </c>
      <c r="C10" s="1378">
        <v>2010</v>
      </c>
      <c r="D10" s="1523"/>
      <c r="E10" s="1524"/>
      <c r="F10" s="1524"/>
      <c r="G10" s="1524"/>
      <c r="H10" s="1525"/>
    </row>
    <row r="11" spans="1:8" x14ac:dyDescent="0.25">
      <c r="A11" s="299"/>
      <c r="B11" s="1" t="str">
        <f>"CEPCI Inflator ("&amp;BasisYear&amp;" to "&amp;CurrentYear&amp;")"</f>
        <v>CEPCI Inflator (2005 to 2010)</v>
      </c>
      <c r="C11" s="1261">
        <f>VLOOKUP(CurrentYear,Tbl_PlantCostIndexes,2,FALSE)/VLOOKUP(BasisYear,Tbl_PlantCostIndexes,2,FALSE)</f>
        <v>1.176420333190944</v>
      </c>
      <c r="D11" s="1523" t="s">
        <v>808</v>
      </c>
      <c r="E11" s="1524"/>
      <c r="F11" s="1524"/>
      <c r="G11" s="1524"/>
      <c r="H11" s="1525"/>
    </row>
    <row r="12" spans="1:8" ht="13.8" thickBot="1" x14ac:dyDescent="0.3">
      <c r="A12" s="299"/>
      <c r="B12" s="1" t="str">
        <f>"Consumer Price Inflator ("&amp;CurrentYear&amp;" to "&amp;ref_year&amp;")"</f>
        <v>Consumer Price Inflator (2010 to 2016)</v>
      </c>
      <c r="C12" s="1262">
        <f>VLOOKUP(ref_year,DeflatorTable,2,FALSE)/VLOOKUP(CurrentYear,DeflatorTable,2,FALSE)</f>
        <v>1.0995746738559611</v>
      </c>
      <c r="D12" s="1526" t="s">
        <v>809</v>
      </c>
      <c r="E12" s="1527"/>
      <c r="F12" s="1527"/>
      <c r="G12" s="1527"/>
      <c r="H12" s="1528"/>
    </row>
    <row r="13" spans="1:8" ht="13.8" thickBot="1" x14ac:dyDescent="0.3">
      <c r="A13" s="299"/>
      <c r="B13" s="299"/>
      <c r="C13" s="299"/>
      <c r="D13" s="299"/>
      <c r="E13" s="299"/>
      <c r="F13" s="299"/>
      <c r="G13" s="299"/>
      <c r="H13" s="299"/>
    </row>
    <row r="14" spans="1:8" ht="16.8" thickTop="1" thickBot="1" x14ac:dyDescent="0.35">
      <c r="A14" s="299"/>
      <c r="B14" s="1263" t="str">
        <f xml:space="preserve"> "CAPITAL INVESTMENT (Inputs REQUIRED in Basis Year, (" &amp; BasisYear &amp; ") $)"</f>
        <v>CAPITAL INVESTMENT (Inputs REQUIRED in Basis Year, (2005) $)</v>
      </c>
      <c r="C14" s="1264"/>
      <c r="D14" s="1264"/>
      <c r="E14" s="1264"/>
      <c r="F14" s="1264"/>
      <c r="G14" s="1264"/>
      <c r="H14" s="1265"/>
    </row>
    <row r="15" spans="1:8" ht="41.4" thickTop="1" thickBot="1" x14ac:dyDescent="0.35">
      <c r="A15" s="299"/>
      <c r="B15" s="1266" t="s">
        <v>656</v>
      </c>
      <c r="C15" s="1267" t="str">
        <f>"Baseline Uninstalled Costs $"&amp;BasisYear&amp;" Dollars"</f>
        <v>Baseline Uninstalled Costs $2005 Dollars</v>
      </c>
      <c r="D15" s="1267" t="str">
        <f>"Baseline Uninstalled Costs $"&amp;ref_year&amp;" Dollars"</f>
        <v>Baseline Uninstalled Costs $2016 Dollars</v>
      </c>
      <c r="E15" s="1267" t="s">
        <v>657</v>
      </c>
      <c r="F15" s="1268" t="s">
        <v>1042</v>
      </c>
      <c r="G15" s="1267" t="s">
        <v>1012</v>
      </c>
      <c r="H15" s="1269" t="s">
        <v>659</v>
      </c>
    </row>
    <row r="16" spans="1:8" x14ac:dyDescent="0.25">
      <c r="A16" s="299"/>
      <c r="B16" s="1375" t="s">
        <v>1613</v>
      </c>
      <c r="C16" s="1456">
        <v>4098.5118954802192</v>
      </c>
      <c r="D16" s="1270">
        <f>C16*CEPCIinflator*CPIinflator</f>
        <v>5301.6792616973626</v>
      </c>
      <c r="E16" s="1376">
        <v>1.1000000000000001</v>
      </c>
      <c r="F16" s="1270">
        <f>D16*E16</f>
        <v>5831.8471878670989</v>
      </c>
      <c r="G16" s="1271"/>
      <c r="H16" s="1520" t="s">
        <v>1626</v>
      </c>
    </row>
    <row r="17" spans="1:8" x14ac:dyDescent="0.25">
      <c r="A17" s="299"/>
      <c r="B17" s="1036" t="s">
        <v>3263</v>
      </c>
      <c r="C17" s="1457">
        <v>10427.599278507874</v>
      </c>
      <c r="D17" s="1270">
        <f t="shared" ref="D17:D37" si="0">C17*CEPCIinflator*CPIinflator</f>
        <v>13488.746221554646</v>
      </c>
      <c r="E17" s="1037">
        <v>1.1000000000000001</v>
      </c>
      <c r="F17" s="1270">
        <f t="shared" ref="F17:F37" si="1">D17*E17</f>
        <v>14837.620843710112</v>
      </c>
      <c r="G17" s="1169"/>
      <c r="H17" s="1521"/>
    </row>
    <row r="18" spans="1:8" x14ac:dyDescent="0.25">
      <c r="A18" s="299"/>
      <c r="B18" s="1036" t="s">
        <v>3264</v>
      </c>
      <c r="C18" s="1457">
        <v>27801.763888608082</v>
      </c>
      <c r="D18" s="1270">
        <f t="shared" si="0"/>
        <v>35963.305415652532</v>
      </c>
      <c r="E18" s="1037">
        <v>1.1000000000000001</v>
      </c>
      <c r="F18" s="1270">
        <f t="shared" si="1"/>
        <v>39559.63595721779</v>
      </c>
      <c r="G18" s="1169"/>
      <c r="H18" s="1521"/>
    </row>
    <row r="19" spans="1:8" x14ac:dyDescent="0.25">
      <c r="A19" s="299"/>
      <c r="B19" s="1036" t="s">
        <v>1614</v>
      </c>
      <c r="C19" s="1457">
        <v>5561.9444280144908</v>
      </c>
      <c r="D19" s="1270">
        <f t="shared" si="0"/>
        <v>7194.7199814733203</v>
      </c>
      <c r="E19" s="1037">
        <v>1.1000000000000001</v>
      </c>
      <c r="F19" s="1270">
        <f t="shared" si="1"/>
        <v>7914.191979620653</v>
      </c>
      <c r="G19" s="1169"/>
      <c r="H19" s="1521"/>
    </row>
    <row r="20" spans="1:8" x14ac:dyDescent="0.25">
      <c r="A20" s="299"/>
      <c r="B20" s="1036" t="s">
        <v>3265</v>
      </c>
      <c r="C20" s="1457">
        <v>6107.3292357905921</v>
      </c>
      <c r="D20" s="1270">
        <f t="shared" si="0"/>
        <v>7900.2090464727444</v>
      </c>
      <c r="E20" s="1037">
        <v>1.1000000000000001</v>
      </c>
      <c r="F20" s="1270">
        <f t="shared" si="1"/>
        <v>8690.2299511200199</v>
      </c>
      <c r="G20" s="1169"/>
      <c r="H20" s="1521"/>
    </row>
    <row r="21" spans="1:8" x14ac:dyDescent="0.25">
      <c r="A21" s="299"/>
      <c r="B21" s="1036" t="s">
        <v>1615</v>
      </c>
      <c r="C21" s="1457">
        <v>2960</v>
      </c>
      <c r="D21" s="1270">
        <f t="shared" si="0"/>
        <v>3828.9435323904218</v>
      </c>
      <c r="E21" s="1037">
        <v>1.1000000000000001</v>
      </c>
      <c r="F21" s="1270">
        <f t="shared" si="1"/>
        <v>4211.8378856294639</v>
      </c>
      <c r="G21" s="1169"/>
      <c r="H21" s="1521"/>
    </row>
    <row r="22" spans="1:8" x14ac:dyDescent="0.25">
      <c r="A22" s="299"/>
      <c r="B22" s="1036" t="s">
        <v>1616</v>
      </c>
      <c r="C22" s="1457">
        <v>183195.57460971581</v>
      </c>
      <c r="D22" s="1270">
        <f t="shared" si="0"/>
        <v>236974.8346501413</v>
      </c>
      <c r="E22" s="1037">
        <v>1.1000000000000001</v>
      </c>
      <c r="F22" s="1270">
        <f t="shared" si="1"/>
        <v>260672.31811515545</v>
      </c>
      <c r="G22" s="1169"/>
      <c r="H22" s="1521"/>
    </row>
    <row r="23" spans="1:8" x14ac:dyDescent="0.25">
      <c r="A23" s="299"/>
      <c r="B23" s="1036" t="s">
        <v>3266</v>
      </c>
      <c r="C23" s="1457">
        <v>152088.35292160136</v>
      </c>
      <c r="D23" s="1270">
        <f t="shared" si="0"/>
        <v>196735.71461860722</v>
      </c>
      <c r="E23" s="1037">
        <v>1.1000000000000001</v>
      </c>
      <c r="F23" s="1270">
        <f t="shared" si="1"/>
        <v>216409.28608046795</v>
      </c>
      <c r="G23" s="1169"/>
      <c r="H23" s="1521"/>
    </row>
    <row r="24" spans="1:8" x14ac:dyDescent="0.25">
      <c r="A24" s="299"/>
      <c r="B24" s="1036" t="s">
        <v>3267</v>
      </c>
      <c r="C24" s="1457">
        <v>3144.0440778847938</v>
      </c>
      <c r="D24" s="1270">
        <f t="shared" si="0"/>
        <v>4067.0159586376312</v>
      </c>
      <c r="E24" s="1037">
        <v>1.1000000000000001</v>
      </c>
      <c r="F24" s="1270">
        <f t="shared" si="1"/>
        <v>4473.7175545013943</v>
      </c>
      <c r="G24" s="1169"/>
      <c r="H24" s="1521"/>
    </row>
    <row r="25" spans="1:8" x14ac:dyDescent="0.25">
      <c r="A25" s="299"/>
      <c r="B25" s="1036" t="s">
        <v>1617</v>
      </c>
      <c r="C25" s="1457">
        <v>3552</v>
      </c>
      <c r="D25" s="1270">
        <f t="shared" si="0"/>
        <v>4594.7322388685061</v>
      </c>
      <c r="E25" s="1037">
        <v>1.1000000000000001</v>
      </c>
      <c r="F25" s="1270">
        <f t="shared" si="1"/>
        <v>5054.2054627553571</v>
      </c>
      <c r="G25" s="1169"/>
      <c r="H25" s="1521"/>
    </row>
    <row r="26" spans="1:8" x14ac:dyDescent="0.25">
      <c r="A26" s="299"/>
      <c r="B26" s="1036" t="s">
        <v>1618</v>
      </c>
      <c r="C26" s="1457">
        <v>30265.394616766298</v>
      </c>
      <c r="D26" s="1270">
        <f t="shared" si="0"/>
        <v>39150.164517942976</v>
      </c>
      <c r="E26" s="1037">
        <v>1.1000000000000001</v>
      </c>
      <c r="F26" s="1270">
        <f t="shared" si="1"/>
        <v>43065.180969737274</v>
      </c>
      <c r="G26" s="1169"/>
      <c r="H26" s="1521"/>
    </row>
    <row r="27" spans="1:8" x14ac:dyDescent="0.25">
      <c r="A27" s="299"/>
      <c r="B27" s="1036" t="s">
        <v>1619</v>
      </c>
      <c r="C27" s="1457">
        <v>31919.561858421512</v>
      </c>
      <c r="D27" s="1270">
        <f t="shared" si="0"/>
        <v>41289.93241031724</v>
      </c>
      <c r="E27" s="1037">
        <v>1.1000000000000001</v>
      </c>
      <c r="F27" s="1270">
        <f t="shared" si="1"/>
        <v>45418.925651348967</v>
      </c>
      <c r="G27" s="1169"/>
      <c r="H27" s="1521"/>
    </row>
    <row r="28" spans="1:8" x14ac:dyDescent="0.25">
      <c r="A28" s="299"/>
      <c r="B28" s="1036" t="s">
        <v>1620</v>
      </c>
      <c r="C28" s="1457">
        <v>666.98964072942601</v>
      </c>
      <c r="D28" s="1270">
        <f t="shared" si="0"/>
        <v>862.79245643322531</v>
      </c>
      <c r="E28" s="1037">
        <v>1.1000000000000001</v>
      </c>
      <c r="F28" s="1270">
        <f t="shared" si="1"/>
        <v>949.07170207654792</v>
      </c>
      <c r="G28" s="1169"/>
      <c r="H28" s="1522"/>
    </row>
    <row r="29" spans="1:8" x14ac:dyDescent="0.25">
      <c r="A29" s="299"/>
      <c r="B29" s="1036" t="s">
        <v>1621</v>
      </c>
      <c r="C29" s="1457">
        <v>60326.41335068248</v>
      </c>
      <c r="D29" s="1270">
        <f t="shared" si="0"/>
        <v>78035.956159259076</v>
      </c>
      <c r="E29" s="1272">
        <v>1.1000000000000001</v>
      </c>
      <c r="F29" s="1270">
        <f t="shared" si="1"/>
        <v>85839.551775184984</v>
      </c>
      <c r="G29" s="1169"/>
      <c r="H29" s="1178"/>
    </row>
    <row r="30" spans="1:8" x14ac:dyDescent="0.25">
      <c r="A30" s="299"/>
      <c r="B30" s="1036" t="s">
        <v>1622</v>
      </c>
      <c r="C30" s="1457">
        <v>31644.687190314704</v>
      </c>
      <c r="D30" s="1270">
        <f t="shared" si="0"/>
        <v>40934.364983741048</v>
      </c>
      <c r="E30" s="1272">
        <v>1.1000000000000001</v>
      </c>
      <c r="F30" s="1270">
        <f t="shared" si="1"/>
        <v>45027.801482115159</v>
      </c>
      <c r="G30" s="1169"/>
      <c r="H30" s="1178"/>
    </row>
    <row r="31" spans="1:8" x14ac:dyDescent="0.25">
      <c r="A31" s="299"/>
      <c r="B31" s="1036" t="s">
        <v>1623</v>
      </c>
      <c r="C31" s="1457">
        <v>17908</v>
      </c>
      <c r="D31" s="1270">
        <f t="shared" si="0"/>
        <v>23165.108370962051</v>
      </c>
      <c r="E31" s="1037">
        <v>1.1000000000000001</v>
      </c>
      <c r="F31" s="1270">
        <f t="shared" si="1"/>
        <v>25481.619208058259</v>
      </c>
      <c r="G31" s="1169"/>
      <c r="H31" s="1178"/>
    </row>
    <row r="32" spans="1:8" x14ac:dyDescent="0.25">
      <c r="A32" s="299"/>
      <c r="B32" s="1036" t="s">
        <v>1624</v>
      </c>
      <c r="C32" s="1457">
        <v>32505.521199999999</v>
      </c>
      <c r="D32" s="1270">
        <f t="shared" si="0"/>
        <v>42047.907150580992</v>
      </c>
      <c r="E32" s="1037">
        <v>1.1000000000000001</v>
      </c>
      <c r="F32" s="1270">
        <f t="shared" si="1"/>
        <v>46252.697865639093</v>
      </c>
      <c r="G32" s="1169"/>
      <c r="H32" s="1178"/>
    </row>
    <row r="33" spans="1:8" x14ac:dyDescent="0.25">
      <c r="A33" s="299"/>
      <c r="B33" s="1036" t="s">
        <v>1625</v>
      </c>
      <c r="C33" s="1457">
        <v>186578.47144658293</v>
      </c>
      <c r="D33" s="1270">
        <f t="shared" si="0"/>
        <v>241350.82146239348</v>
      </c>
      <c r="E33" s="1037">
        <v>1.1000000000000001</v>
      </c>
      <c r="F33" s="1270">
        <f t="shared" si="1"/>
        <v>265485.90360863286</v>
      </c>
      <c r="G33" s="1169"/>
      <c r="H33" s="1178"/>
    </row>
    <row r="34" spans="1:8" x14ac:dyDescent="0.25">
      <c r="A34" s="299"/>
      <c r="B34" s="1036" t="s">
        <v>1284</v>
      </c>
      <c r="C34" s="1457">
        <v>79075.215963910072</v>
      </c>
      <c r="D34" s="1270">
        <f t="shared" si="0"/>
        <v>102288.6948437126</v>
      </c>
      <c r="E34" s="1037">
        <v>1.1000000000000001</v>
      </c>
      <c r="F34" s="1270">
        <f t="shared" si="1"/>
        <v>112517.56432808387</v>
      </c>
      <c r="G34" s="1169"/>
      <c r="H34" s="1178"/>
    </row>
    <row r="35" spans="1:8" x14ac:dyDescent="0.25">
      <c r="A35" s="299"/>
      <c r="B35" s="1036"/>
      <c r="C35" s="1457"/>
      <c r="D35" s="1270">
        <f t="shared" si="0"/>
        <v>0</v>
      </c>
      <c r="E35" s="1037"/>
      <c r="F35" s="1270">
        <f t="shared" si="1"/>
        <v>0</v>
      </c>
      <c r="G35" s="1169"/>
      <c r="H35" s="1178"/>
    </row>
    <row r="36" spans="1:8" x14ac:dyDescent="0.25">
      <c r="A36" s="299"/>
      <c r="B36" s="1036"/>
      <c r="C36" s="1457"/>
      <c r="D36" s="1270">
        <f t="shared" si="0"/>
        <v>0</v>
      </c>
      <c r="E36" s="1453"/>
      <c r="F36" s="1270">
        <f t="shared" si="1"/>
        <v>0</v>
      </c>
      <c r="G36" s="1454"/>
      <c r="H36" s="1455"/>
    </row>
    <row r="37" spans="1:8" ht="13.8" thickBot="1" x14ac:dyDescent="0.3">
      <c r="A37" s="299"/>
      <c r="B37" s="1273"/>
      <c r="C37" s="1170"/>
      <c r="D37" s="1270">
        <f t="shared" si="0"/>
        <v>0</v>
      </c>
      <c r="E37" s="1274"/>
      <c r="F37" s="1270">
        <f t="shared" si="1"/>
        <v>0</v>
      </c>
      <c r="G37" s="1275"/>
      <c r="H37" s="1276"/>
    </row>
    <row r="38" spans="1:8" ht="13.8" thickBot="1" x14ac:dyDescent="0.3">
      <c r="A38" s="299"/>
      <c r="B38" s="1277"/>
      <c r="C38" s="1278">
        <f>SUM(C16:C37)</f>
        <v>869827.37560301065</v>
      </c>
      <c r="D38" s="1279">
        <f>SUM(D16:D37)</f>
        <v>1125175.6432808384</v>
      </c>
      <c r="E38" s="1280"/>
      <c r="F38" s="1279">
        <f>SUM(F16:F37)</f>
        <v>1237693.2076089224</v>
      </c>
      <c r="G38" s="1281"/>
      <c r="H38" s="1282"/>
    </row>
    <row r="39" spans="1:8" ht="13.8" thickTop="1" x14ac:dyDescent="0.25">
      <c r="A39" s="299"/>
      <c r="B39" s="299"/>
      <c r="C39" s="1283"/>
      <c r="D39" s="1283"/>
      <c r="E39" s="299"/>
      <c r="F39" s="299"/>
      <c r="G39" s="299"/>
      <c r="H39" s="299"/>
    </row>
    <row r="40" spans="1:8" x14ac:dyDescent="0.25">
      <c r="A40" s="299"/>
      <c r="B40" s="299"/>
      <c r="C40" s="1284"/>
      <c r="D40" s="299"/>
      <c r="E40" s="299"/>
      <c r="F40" s="299"/>
      <c r="G40" s="299"/>
      <c r="H40" s="299"/>
    </row>
    <row r="41" spans="1:8" x14ac:dyDescent="0.25">
      <c r="A41" s="299"/>
      <c r="B41" s="299"/>
      <c r="C41" s="299"/>
      <c r="D41" s="299"/>
      <c r="E41" s="299"/>
      <c r="F41" s="299"/>
      <c r="G41" s="299"/>
      <c r="H41" s="299"/>
    </row>
    <row r="42" spans="1:8" x14ac:dyDescent="0.25">
      <c r="A42" s="299"/>
      <c r="B42" s="299"/>
      <c r="C42" s="299"/>
      <c r="D42" s="299"/>
      <c r="E42" s="299"/>
      <c r="F42" s="299"/>
      <c r="G42" s="299"/>
      <c r="H42" s="299"/>
    </row>
    <row r="43" spans="1:8" x14ac:dyDescent="0.25">
      <c r="A43" s="299"/>
      <c r="B43" s="299"/>
      <c r="C43" s="299"/>
      <c r="D43" s="299"/>
      <c r="E43" s="299"/>
      <c r="F43" s="299"/>
      <c r="G43" s="299"/>
      <c r="H43" s="299"/>
    </row>
    <row r="44" spans="1:8" x14ac:dyDescent="0.25">
      <c r="A44" s="299"/>
      <c r="B44" s="299"/>
      <c r="C44" s="299"/>
      <c r="D44" s="299"/>
      <c r="E44" s="299"/>
      <c r="F44" s="299"/>
      <c r="G44" s="299"/>
      <c r="H44" s="299"/>
    </row>
    <row r="45" spans="1:8" x14ac:dyDescent="0.25">
      <c r="A45" s="299"/>
      <c r="B45" s="299"/>
      <c r="C45" s="299"/>
      <c r="D45" s="299"/>
      <c r="E45" s="299"/>
      <c r="F45" s="299"/>
      <c r="G45" s="299"/>
      <c r="H45" s="299"/>
    </row>
    <row r="46" spans="1:8" x14ac:dyDescent="0.25">
      <c r="A46" s="299"/>
      <c r="B46" s="299"/>
      <c r="C46" s="299"/>
      <c r="D46" s="299"/>
      <c r="E46" s="299"/>
      <c r="F46" s="299"/>
      <c r="G46" s="299"/>
      <c r="H46" s="299"/>
    </row>
    <row r="47" spans="1:8" x14ac:dyDescent="0.25">
      <c r="A47" s="299"/>
      <c r="B47" s="299"/>
      <c r="C47" s="299"/>
      <c r="D47" s="299"/>
      <c r="E47" s="299"/>
      <c r="F47" s="299"/>
      <c r="G47" s="299"/>
      <c r="H47" s="299"/>
    </row>
    <row r="48" spans="1:8" x14ac:dyDescent="0.25">
      <c r="A48" s="299"/>
      <c r="B48" s="299"/>
      <c r="C48" s="299"/>
      <c r="D48" s="299"/>
      <c r="E48" s="299"/>
      <c r="F48" s="299"/>
      <c r="G48" s="299"/>
      <c r="H48" s="299"/>
    </row>
    <row r="49" spans="1:8" x14ac:dyDescent="0.25">
      <c r="A49" s="299"/>
      <c r="B49" s="299"/>
      <c r="C49" s="299"/>
      <c r="D49" s="299"/>
      <c r="E49" s="299"/>
      <c r="F49" s="299"/>
      <c r="G49" s="299"/>
      <c r="H49" s="299"/>
    </row>
    <row r="50" spans="1:8" x14ac:dyDescent="0.25">
      <c r="A50" s="299"/>
      <c r="B50" s="299"/>
      <c r="C50" s="299"/>
      <c r="D50" s="299"/>
      <c r="E50" s="299"/>
      <c r="F50" s="299"/>
      <c r="G50" s="299"/>
      <c r="H50" s="299"/>
    </row>
    <row r="58" spans="1:8" x14ac:dyDescent="0.25">
      <c r="B58" t="s">
        <v>1627</v>
      </c>
      <c r="C58">
        <f ca="1">design_cap/115</f>
        <v>13.043478260869565</v>
      </c>
    </row>
    <row r="59" spans="1:8" x14ac:dyDescent="0.25">
      <c r="B59" t="s">
        <v>1628</v>
      </c>
      <c r="C59">
        <v>6.6440000000000001</v>
      </c>
    </row>
    <row r="60" spans="1:8" x14ac:dyDescent="0.25">
      <c r="B60" t="s">
        <v>1629</v>
      </c>
      <c r="C60">
        <f ca="1">2*20212*C58^0.4569*0.96^C59+2*1813*C58*0.92^C59+2*14000*C58^0.4*0.96^C59+2*12000*C58^0.4*0.96^C59</f>
        <v>237584.45007230857</v>
      </c>
    </row>
    <row r="61" spans="1:8" x14ac:dyDescent="0.25">
      <c r="B61" s="299" t="s">
        <v>1630</v>
      </c>
      <c r="C61">
        <f ca="1">C58*623</f>
        <v>8126.086956521739</v>
      </c>
    </row>
  </sheetData>
  <mergeCells count="8">
    <mergeCell ref="H16:H28"/>
    <mergeCell ref="D11:H11"/>
    <mergeCell ref="D12:H12"/>
    <mergeCell ref="D8:H8"/>
    <mergeCell ref="F2:H4"/>
    <mergeCell ref="D7:H7"/>
    <mergeCell ref="D9:H9"/>
    <mergeCell ref="D10:H10"/>
  </mergeCells>
  <phoneticPr fontId="3" type="noConversion"/>
  <dataValidations count="1">
    <dataValidation type="whole" allowBlank="1" showInputMessage="1" showErrorMessage="1" sqref="C10" xr:uid="{00000000-0002-0000-0500-000000000000}">
      <formula1>1992</formula1>
      <formula2>2025</formula2>
    </dataValidation>
  </dataValidations>
  <pageMargins left="0.75" right="0.75" top="1" bottom="1" header="0.5" footer="0.5"/>
  <pageSetup scale="66" orientation="landscape" r:id="rId1"/>
  <headerFooter alignWithMargins="0">
    <oddHeader>&amp;LCentral Biomass Gasification - Current Timeframe&amp;R&amp;D</oddHeader>
    <oddFooter>&amp;CPage 5 of 7</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tabColor indexed="50"/>
    <pageSetUpPr fitToPage="1"/>
  </sheetPr>
  <dimension ref="B1:K46"/>
  <sheetViews>
    <sheetView workbookViewId="0">
      <selection activeCell="H37" sqref="H37"/>
    </sheetView>
  </sheetViews>
  <sheetFormatPr defaultColWidth="9.33203125" defaultRowHeight="13.2" x14ac:dyDescent="0.25"/>
  <cols>
    <col min="1" max="1" width="9.33203125" style="208"/>
    <col min="2" max="2" width="50.6640625" style="208" customWidth="1"/>
    <col min="3" max="3" width="19.6640625" style="208" customWidth="1"/>
    <col min="4" max="4" width="17" style="208" customWidth="1"/>
    <col min="5" max="7" width="18.6640625" style="208" customWidth="1"/>
    <col min="8" max="8" width="16.44140625" style="208" customWidth="1"/>
    <col min="9" max="9" width="38" style="208" customWidth="1"/>
    <col min="10" max="10" width="120.109375" style="208" customWidth="1"/>
    <col min="11" max="11" width="27.33203125" style="208" customWidth="1"/>
    <col min="12" max="16384" width="9.33203125" style="208"/>
  </cols>
  <sheetData>
    <row r="1" spans="2:11" ht="13.8" thickBot="1" x14ac:dyDescent="0.3">
      <c r="B1" s="208" t="s">
        <v>320</v>
      </c>
    </row>
    <row r="2" spans="2:11" ht="18.600000000000001" thickTop="1" thickBot="1" x14ac:dyDescent="0.35">
      <c r="B2" s="662" t="s">
        <v>836</v>
      </c>
      <c r="C2" s="663"/>
      <c r="D2" s="663"/>
      <c r="E2" s="663"/>
      <c r="F2" s="663"/>
      <c r="G2" s="663"/>
      <c r="H2" s="663"/>
      <c r="I2" s="663"/>
      <c r="J2" s="663"/>
      <c r="K2" s="664"/>
    </row>
    <row r="3" spans="2:11" ht="24" customHeight="1" thickBot="1" x14ac:dyDescent="0.3">
      <c r="B3" s="665" t="s">
        <v>662</v>
      </c>
      <c r="C3" s="666">
        <f>Baseline_Design_Capacity</f>
        <v>1500</v>
      </c>
      <c r="D3" s="1539" t="s">
        <v>817</v>
      </c>
      <c r="E3" s="1539"/>
      <c r="F3" s="1539"/>
      <c r="G3" s="667"/>
      <c r="H3" s="667"/>
      <c r="I3" s="667"/>
      <c r="J3" s="667"/>
      <c r="K3" s="668"/>
    </row>
    <row r="4" spans="2:11" ht="29.25" customHeight="1" thickBot="1" x14ac:dyDescent="0.3">
      <c r="B4" s="665" t="s">
        <v>660</v>
      </c>
      <c r="C4" s="669">
        <f ca="1">design_cap/Baseline_Design_Capacity</f>
        <v>1</v>
      </c>
      <c r="D4" s="1540" t="s">
        <v>666</v>
      </c>
      <c r="E4" s="1540"/>
      <c r="F4" s="1540"/>
      <c r="G4" s="667"/>
      <c r="H4" s="667"/>
      <c r="I4" s="667"/>
      <c r="J4" s="667"/>
      <c r="K4" s="668"/>
    </row>
    <row r="5" spans="2:11" ht="29.25" customHeight="1" thickBot="1" x14ac:dyDescent="0.3">
      <c r="B5" s="665" t="s">
        <v>833</v>
      </c>
      <c r="C5" s="669">
        <f ca="1">$G$35/Det_direct_cap</f>
        <v>1</v>
      </c>
      <c r="D5" s="1540" t="s">
        <v>835</v>
      </c>
      <c r="E5" s="1540"/>
      <c r="F5" s="1540"/>
      <c r="G5" s="667"/>
      <c r="H5" s="667"/>
      <c r="I5" s="667"/>
      <c r="J5" s="667"/>
      <c r="K5" s="668"/>
    </row>
    <row r="6" spans="2:11" ht="29.25" customHeight="1" thickBot="1" x14ac:dyDescent="0.3">
      <c r="B6" s="665" t="s">
        <v>1046</v>
      </c>
      <c r="C6" s="671">
        <v>0.6</v>
      </c>
      <c r="D6" s="1540" t="s">
        <v>832</v>
      </c>
      <c r="E6" s="1540"/>
      <c r="F6" s="1540"/>
      <c r="G6" s="667"/>
      <c r="H6" s="667"/>
      <c r="I6" s="667"/>
      <c r="J6" s="667"/>
      <c r="K6" s="668"/>
    </row>
    <row r="7" spans="2:11" ht="41.25" customHeight="1" thickBot="1" x14ac:dyDescent="0.3">
      <c r="B7" s="665" t="s">
        <v>933</v>
      </c>
      <c r="C7" s="672">
        <v>500</v>
      </c>
      <c r="D7" s="1541" t="s">
        <v>909</v>
      </c>
      <c r="E7" s="1542"/>
      <c r="F7" s="1542"/>
      <c r="G7" s="667"/>
      <c r="H7" s="667"/>
      <c r="I7" s="667"/>
      <c r="J7" s="667"/>
      <c r="K7" s="668"/>
    </row>
    <row r="8" spans="2:11" ht="42.75" customHeight="1" thickBot="1" x14ac:dyDescent="0.3">
      <c r="B8" s="665" t="s">
        <v>934</v>
      </c>
      <c r="C8" s="672">
        <v>6000</v>
      </c>
      <c r="D8" s="1537" t="s">
        <v>908</v>
      </c>
      <c r="E8" s="1538"/>
      <c r="F8" s="1538"/>
      <c r="G8" s="667"/>
      <c r="H8" s="667"/>
      <c r="I8" s="667"/>
      <c r="J8" s="667"/>
      <c r="K8" s="668"/>
    </row>
    <row r="9" spans="2:11" ht="15" customHeight="1" x14ac:dyDescent="0.25">
      <c r="B9" s="665"/>
      <c r="C9" s="673"/>
      <c r="D9" s="670"/>
      <c r="E9" s="670"/>
      <c r="F9" s="670"/>
      <c r="G9" s="667"/>
      <c r="H9" s="667"/>
      <c r="I9" s="667"/>
      <c r="J9" s="667"/>
      <c r="K9" s="668"/>
    </row>
    <row r="10" spans="2:11" x14ac:dyDescent="0.25">
      <c r="B10" s="674"/>
      <c r="C10" s="667"/>
      <c r="D10" s="667"/>
      <c r="E10" s="667"/>
      <c r="F10" s="667"/>
      <c r="G10" s="667"/>
      <c r="H10" s="667"/>
      <c r="I10" s="667"/>
      <c r="J10" s="667"/>
      <c r="K10" s="668"/>
    </row>
    <row r="11" spans="2:11" ht="16.2" thickBot="1" x14ac:dyDescent="0.35">
      <c r="B11" s="440" t="str">
        <f xml:space="preserve"> "CAPITAL INVESTMENT (Inputs REQUIRED in Reference Year, (" &amp; ref_year &amp; ") $)"</f>
        <v>CAPITAL INVESTMENT (Inputs REQUIRED in Reference Year, (2016) $)</v>
      </c>
      <c r="C11" s="441"/>
      <c r="D11" s="441"/>
      <c r="E11" s="441"/>
      <c r="F11" s="441"/>
      <c r="G11" s="442"/>
      <c r="H11" s="442"/>
      <c r="I11" s="442"/>
      <c r="J11" s="443"/>
      <c r="K11" s="675"/>
    </row>
    <row r="12" spans="2:11" ht="28.2" thickTop="1" thickBot="1" x14ac:dyDescent="0.35">
      <c r="B12" s="445" t="s">
        <v>656</v>
      </c>
      <c r="C12" s="446" t="s">
        <v>664</v>
      </c>
      <c r="D12" s="446" t="s">
        <v>658</v>
      </c>
      <c r="E12" s="446" t="s">
        <v>665</v>
      </c>
      <c r="F12" s="446" t="s">
        <v>657</v>
      </c>
      <c r="G12" s="446" t="s">
        <v>834</v>
      </c>
      <c r="H12" s="446" t="s">
        <v>1045</v>
      </c>
      <c r="I12" s="446" t="s">
        <v>1012</v>
      </c>
      <c r="J12" s="450" t="s">
        <v>659</v>
      </c>
    </row>
    <row r="13" spans="2:11" x14ac:dyDescent="0.25">
      <c r="B13" s="657" t="str">
        <f>'Capital Costs'!B16</f>
        <v>Water Feed System</v>
      </c>
      <c r="C13" s="648">
        <f>'Capital Costs'!D16</f>
        <v>5301.6792616973626</v>
      </c>
      <c r="D13" s="1379"/>
      <c r="E13" s="648">
        <f ca="1">IF($D13="",$C13*Scale_Ratio^Scaling_Factor_Exponent,$C13*Scale_Ratio^$D13)</f>
        <v>5301.6792616973626</v>
      </c>
      <c r="F13" s="659">
        <f>'Capital Costs'!E16</f>
        <v>1.1000000000000001</v>
      </c>
      <c r="G13" s="649">
        <f ca="1">$E13*$F13</f>
        <v>5831.8471878670989</v>
      </c>
      <c r="H13" s="648">
        <f>C13*F13</f>
        <v>5831.8471878670989</v>
      </c>
      <c r="I13" s="1172" t="s">
        <v>1267</v>
      </c>
      <c r="J13" s="819" t="s">
        <v>1268</v>
      </c>
    </row>
    <row r="14" spans="2:11" x14ac:dyDescent="0.25">
      <c r="B14" s="658" t="str">
        <f>'Capital Costs'!B17</f>
        <v>Primary Feed System</v>
      </c>
      <c r="C14" s="650">
        <f>'Capital Costs'!D17</f>
        <v>13488.746221554646</v>
      </c>
      <c r="D14" s="1380"/>
      <c r="E14" s="650">
        <f t="shared" ref="E14:E34" ca="1" si="0">IF($D14="",$C14*Scale_Ratio^Scaling_Factor_Exponent,$C14*Scale_Ratio^$D14)</f>
        <v>13488.746221554646</v>
      </c>
      <c r="F14" s="660">
        <f>'Capital Costs'!E17</f>
        <v>1.1000000000000001</v>
      </c>
      <c r="G14" s="651">
        <f t="shared" ref="G14:G34" ca="1" si="1">$E14*$F14</f>
        <v>14837.620843710112</v>
      </c>
      <c r="H14" s="650">
        <f t="shared" ref="H14:H34" si="2">C14*F14</f>
        <v>14837.620843710112</v>
      </c>
      <c r="I14" s="652"/>
      <c r="J14" s="819" t="s">
        <v>1268</v>
      </c>
    </row>
    <row r="15" spans="2:11" x14ac:dyDescent="0.25">
      <c r="B15" s="658" t="str">
        <f>'Capital Costs'!B18</f>
        <v>Boiler</v>
      </c>
      <c r="C15" s="650">
        <f>'Capital Costs'!D18</f>
        <v>35963.305415652532</v>
      </c>
      <c r="D15" s="1380"/>
      <c r="E15" s="650">
        <f t="shared" ca="1" si="0"/>
        <v>35963.305415652532</v>
      </c>
      <c r="F15" s="660">
        <f>'Capital Costs'!E18</f>
        <v>1.1000000000000001</v>
      </c>
      <c r="G15" s="651">
        <f t="shared" ca="1" si="1"/>
        <v>39559.63595721779</v>
      </c>
      <c r="H15" s="650">
        <f t="shared" si="2"/>
        <v>39559.63595721779</v>
      </c>
      <c r="I15" s="652"/>
      <c r="J15" s="819" t="s">
        <v>1268</v>
      </c>
    </row>
    <row r="16" spans="2:11" x14ac:dyDescent="0.25">
      <c r="B16" s="658" t="str">
        <f>'Capital Costs'!B19</f>
        <v>Superheater</v>
      </c>
      <c r="C16" s="650">
        <f>'Capital Costs'!D19</f>
        <v>7194.7199814733203</v>
      </c>
      <c r="D16" s="1380"/>
      <c r="E16" s="650">
        <f t="shared" ca="1" si="0"/>
        <v>7194.7199814733203</v>
      </c>
      <c r="F16" s="660">
        <f>'Capital Costs'!E19</f>
        <v>1.1000000000000001</v>
      </c>
      <c r="G16" s="651">
        <f t="shared" ca="1" si="1"/>
        <v>7914.191979620653</v>
      </c>
      <c r="H16" s="650">
        <f t="shared" si="2"/>
        <v>7914.191979620653</v>
      </c>
      <c r="I16" s="652"/>
      <c r="J16" s="819" t="s">
        <v>1268</v>
      </c>
    </row>
    <row r="17" spans="2:10" x14ac:dyDescent="0.25">
      <c r="B17" s="658" t="str">
        <f>'Capital Costs'!B20</f>
        <v>HDS &amp; Absorbent Bed</v>
      </c>
      <c r="C17" s="650">
        <f>'Capital Costs'!D20</f>
        <v>7900.2090464727444</v>
      </c>
      <c r="D17" s="1380"/>
      <c r="E17" s="650">
        <f t="shared" ca="1" si="0"/>
        <v>7900.2090464727444</v>
      </c>
      <c r="F17" s="660">
        <f>'Capital Costs'!E20</f>
        <v>1.1000000000000001</v>
      </c>
      <c r="G17" s="651">
        <f t="shared" ca="1" si="1"/>
        <v>8690.2299511200199</v>
      </c>
      <c r="H17" s="650">
        <f t="shared" si="2"/>
        <v>8690.2299511200199</v>
      </c>
      <c r="I17" s="652"/>
      <c r="J17" s="819" t="s">
        <v>1268</v>
      </c>
    </row>
    <row r="18" spans="2:10" x14ac:dyDescent="0.25">
      <c r="B18" s="658" t="str">
        <f>'Capital Costs'!B21</f>
        <v>Burner</v>
      </c>
      <c r="C18" s="650">
        <f>'Capital Costs'!D21</f>
        <v>3828.9435323904218</v>
      </c>
      <c r="D18" s="1380"/>
      <c r="E18" s="650">
        <f t="shared" ca="1" si="0"/>
        <v>3828.9435323904218</v>
      </c>
      <c r="F18" s="660">
        <f>'Capital Costs'!E21</f>
        <v>1.1000000000000001</v>
      </c>
      <c r="G18" s="651">
        <f t="shared" ca="1" si="1"/>
        <v>4211.8378856294639</v>
      </c>
      <c r="H18" s="650">
        <f t="shared" si="2"/>
        <v>4211.8378856294639</v>
      </c>
      <c r="I18" s="652"/>
      <c r="J18" s="819" t="s">
        <v>1268</v>
      </c>
    </row>
    <row r="19" spans="2:10" x14ac:dyDescent="0.25">
      <c r="B19" s="658" t="str">
        <f>'Capital Costs'!B22</f>
        <v>Reformer</v>
      </c>
      <c r="C19" s="650">
        <f>'Capital Costs'!D22</f>
        <v>236974.8346501413</v>
      </c>
      <c r="D19" s="1380"/>
      <c r="E19" s="650">
        <f t="shared" ca="1" si="0"/>
        <v>236974.8346501413</v>
      </c>
      <c r="F19" s="660">
        <f>'Capital Costs'!E22</f>
        <v>1.1000000000000001</v>
      </c>
      <c r="G19" s="651">
        <f t="shared" ca="1" si="1"/>
        <v>260672.31811515545</v>
      </c>
      <c r="H19" s="650">
        <f t="shared" si="2"/>
        <v>260672.31811515545</v>
      </c>
      <c r="I19" s="652"/>
      <c r="J19" s="819" t="s">
        <v>1268</v>
      </c>
    </row>
    <row r="20" spans="2:10" x14ac:dyDescent="0.25">
      <c r="B20" s="658" t="str">
        <f>'Capital Costs'!B23</f>
        <v>Water Gas Shift</v>
      </c>
      <c r="C20" s="650">
        <f>'Capital Costs'!D23</f>
        <v>196735.71461860722</v>
      </c>
      <c r="D20" s="1380"/>
      <c r="E20" s="650">
        <f t="shared" ca="1" si="0"/>
        <v>196735.71461860722</v>
      </c>
      <c r="F20" s="660">
        <f>'Capital Costs'!E23</f>
        <v>1.1000000000000001</v>
      </c>
      <c r="G20" s="651">
        <f t="shared" ca="1" si="1"/>
        <v>216409.28608046795</v>
      </c>
      <c r="H20" s="650">
        <f t="shared" si="2"/>
        <v>216409.28608046795</v>
      </c>
      <c r="I20" s="652"/>
      <c r="J20" s="819" t="s">
        <v>1268</v>
      </c>
    </row>
    <row r="21" spans="2:10" x14ac:dyDescent="0.25">
      <c r="B21" s="658" t="str">
        <f>'Capital Costs'!B24</f>
        <v>HDS Preheater</v>
      </c>
      <c r="C21" s="650">
        <f>'Capital Costs'!D24</f>
        <v>4067.0159586376312</v>
      </c>
      <c r="D21" s="1380"/>
      <c r="E21" s="650">
        <f t="shared" ca="1" si="0"/>
        <v>4067.0159586376312</v>
      </c>
      <c r="F21" s="660">
        <f>'Capital Costs'!E24</f>
        <v>1.1000000000000001</v>
      </c>
      <c r="G21" s="651">
        <f t="shared" ca="1" si="1"/>
        <v>4473.7175545013943</v>
      </c>
      <c r="H21" s="650">
        <f t="shared" si="2"/>
        <v>4473.7175545013943</v>
      </c>
      <c r="I21" s="652"/>
      <c r="J21" s="819" t="s">
        <v>1268</v>
      </c>
    </row>
    <row r="22" spans="2:10" x14ac:dyDescent="0.25">
      <c r="B22" s="658" t="str">
        <f>'Capital Costs'!B25</f>
        <v>Primary Air Feed System</v>
      </c>
      <c r="C22" s="650">
        <f>'Capital Costs'!D25</f>
        <v>4594.7322388685061</v>
      </c>
      <c r="D22" s="1380"/>
      <c r="E22" s="650">
        <f t="shared" ca="1" si="0"/>
        <v>4594.7322388685061</v>
      </c>
      <c r="F22" s="660">
        <f>'Capital Costs'!E25</f>
        <v>1.1000000000000001</v>
      </c>
      <c r="G22" s="651">
        <f t="shared" ca="1" si="1"/>
        <v>5054.2054627553571</v>
      </c>
      <c r="H22" s="650">
        <f t="shared" si="2"/>
        <v>5054.2054627553571</v>
      </c>
      <c r="I22" s="652"/>
      <c r="J22" s="819" t="s">
        <v>1268</v>
      </c>
    </row>
    <row r="23" spans="2:10" x14ac:dyDescent="0.25">
      <c r="B23" s="658" t="str">
        <f>'Capital Costs'!B26</f>
        <v>Reformate Cooler</v>
      </c>
      <c r="C23" s="650">
        <f>'Capital Costs'!D26</f>
        <v>39150.164517942976</v>
      </c>
      <c r="D23" s="1380"/>
      <c r="E23" s="650">
        <f t="shared" ca="1" si="0"/>
        <v>39150.164517942976</v>
      </c>
      <c r="F23" s="660">
        <f>'Capital Costs'!E26</f>
        <v>1.1000000000000001</v>
      </c>
      <c r="G23" s="651">
        <f t="shared" ca="1" si="1"/>
        <v>43065.180969737274</v>
      </c>
      <c r="H23" s="650">
        <f t="shared" si="2"/>
        <v>43065.180969737274</v>
      </c>
      <c r="I23" s="652"/>
      <c r="J23" s="453"/>
    </row>
    <row r="24" spans="2:10" x14ac:dyDescent="0.25">
      <c r="B24" s="658" t="str">
        <f>'Capital Costs'!B27</f>
        <v>Condenser</v>
      </c>
      <c r="C24" s="650">
        <f>'Capital Costs'!D27</f>
        <v>41289.93241031724</v>
      </c>
      <c r="D24" s="1380"/>
      <c r="E24" s="650">
        <f t="shared" ca="1" si="0"/>
        <v>41289.93241031724</v>
      </c>
      <c r="F24" s="660">
        <f>'Capital Costs'!E27</f>
        <v>1.1000000000000001</v>
      </c>
      <c r="G24" s="651">
        <f t="shared" ca="1" si="1"/>
        <v>45418.925651348967</v>
      </c>
      <c r="H24" s="650">
        <f t="shared" ref="H24:H33" si="3">C24*F24</f>
        <v>45418.925651348967</v>
      </c>
      <c r="I24" s="652"/>
      <c r="J24" s="453"/>
    </row>
    <row r="25" spans="2:10" x14ac:dyDescent="0.25">
      <c r="B25" s="658" t="str">
        <f>'Capital Costs'!B28</f>
        <v>Air Feed System for Condenser</v>
      </c>
      <c r="C25" s="650">
        <f>'Capital Costs'!D28</f>
        <v>862.79245643322531</v>
      </c>
      <c r="D25" s="1380"/>
      <c r="E25" s="650">
        <f t="shared" ca="1" si="0"/>
        <v>862.79245643322531</v>
      </c>
      <c r="F25" s="660">
        <f>'Capital Costs'!E28</f>
        <v>1.1000000000000001</v>
      </c>
      <c r="G25" s="651">
        <f t="shared" ca="1" si="1"/>
        <v>949.07170207654792</v>
      </c>
      <c r="H25" s="650">
        <f t="shared" si="3"/>
        <v>949.07170207654792</v>
      </c>
      <c r="I25" s="652"/>
      <c r="J25" s="453"/>
    </row>
    <row r="26" spans="2:10" x14ac:dyDescent="0.25">
      <c r="B26" s="658" t="str">
        <f>'Capital Costs'!B29</f>
        <v>Pressure Swing Adsorption Unit</v>
      </c>
      <c r="C26" s="650">
        <f>'Capital Costs'!D29</f>
        <v>78035.956159259076</v>
      </c>
      <c r="D26" s="1380"/>
      <c r="E26" s="650">
        <f t="shared" ca="1" si="0"/>
        <v>78035.956159259076</v>
      </c>
      <c r="F26" s="660">
        <f>'Capital Costs'!E29</f>
        <v>1.1000000000000001</v>
      </c>
      <c r="G26" s="651">
        <f t="shared" ca="1" si="1"/>
        <v>85839.551775184984</v>
      </c>
      <c r="H26" s="650">
        <f t="shared" si="3"/>
        <v>85839.551775184984</v>
      </c>
      <c r="I26" s="652"/>
      <c r="J26" s="453"/>
    </row>
    <row r="27" spans="2:10" x14ac:dyDescent="0.25">
      <c r="B27" s="658" t="str">
        <f>'Capital Costs'!B30</f>
        <v>Water Purification</v>
      </c>
      <c r="C27" s="650">
        <f>'Capital Costs'!D30</f>
        <v>40934.364983741048</v>
      </c>
      <c r="D27" s="1380"/>
      <c r="E27" s="650">
        <f t="shared" ca="1" si="0"/>
        <v>40934.364983741048</v>
      </c>
      <c r="F27" s="660">
        <f>'Capital Costs'!E30</f>
        <v>1.1000000000000001</v>
      </c>
      <c r="G27" s="651">
        <f t="shared" ca="1" si="1"/>
        <v>45027.801482115159</v>
      </c>
      <c r="H27" s="650">
        <f t="shared" si="3"/>
        <v>45027.801482115159</v>
      </c>
      <c r="I27" s="652"/>
      <c r="J27" s="453"/>
    </row>
    <row r="28" spans="2:10" x14ac:dyDescent="0.25">
      <c r="B28" s="658" t="str">
        <f>'Capital Costs'!B31</f>
        <v>Structural Supports</v>
      </c>
      <c r="C28" s="650">
        <f>'Capital Costs'!D31</f>
        <v>23165.108370962051</v>
      </c>
      <c r="D28" s="1380"/>
      <c r="E28" s="650">
        <f t="shared" ca="1" si="0"/>
        <v>23165.108370962051</v>
      </c>
      <c r="F28" s="660">
        <f>'Capital Costs'!E31</f>
        <v>1.1000000000000001</v>
      </c>
      <c r="G28" s="651">
        <f t="shared" ca="1" si="1"/>
        <v>25481.619208058259</v>
      </c>
      <c r="H28" s="650">
        <f t="shared" si="3"/>
        <v>25481.619208058259</v>
      </c>
      <c r="I28" s="652"/>
      <c r="J28" s="453"/>
    </row>
    <row r="29" spans="2:10" x14ac:dyDescent="0.25">
      <c r="B29" s="658" t="str">
        <f>'Capital Costs'!B32</f>
        <v>Controls System</v>
      </c>
      <c r="C29" s="650">
        <f>'Capital Costs'!D32</f>
        <v>42047.907150580992</v>
      </c>
      <c r="D29" s="1380"/>
      <c r="E29" s="650">
        <f t="shared" ca="1" si="0"/>
        <v>42047.907150580992</v>
      </c>
      <c r="F29" s="660">
        <f>'Capital Costs'!E32</f>
        <v>1.1000000000000001</v>
      </c>
      <c r="G29" s="651">
        <f t="shared" ca="1" si="1"/>
        <v>46252.697865639093</v>
      </c>
      <c r="H29" s="650">
        <f t="shared" si="3"/>
        <v>46252.697865639093</v>
      </c>
      <c r="I29" s="652"/>
      <c r="J29" s="453"/>
    </row>
    <row r="30" spans="2:10" x14ac:dyDescent="0.25">
      <c r="B30" s="658" t="str">
        <f>'Capital Costs'!B33</f>
        <v>System Assembly</v>
      </c>
      <c r="C30" s="650">
        <f>'Capital Costs'!D33</f>
        <v>241350.82146239348</v>
      </c>
      <c r="D30" s="1380"/>
      <c r="E30" s="650">
        <f t="shared" ca="1" si="0"/>
        <v>241350.82146239348</v>
      </c>
      <c r="F30" s="660">
        <f>'Capital Costs'!E33</f>
        <v>1.1000000000000001</v>
      </c>
      <c r="G30" s="651">
        <f t="shared" ca="1" si="1"/>
        <v>265485.90360863286</v>
      </c>
      <c r="H30" s="650">
        <f t="shared" si="3"/>
        <v>265485.90360863286</v>
      </c>
      <c r="I30" s="652"/>
      <c r="J30" s="453"/>
    </row>
    <row r="31" spans="2:10" x14ac:dyDescent="0.25">
      <c r="B31" s="658" t="str">
        <f>'Capital Costs'!B34</f>
        <v>Miscellaneous</v>
      </c>
      <c r="C31" s="650">
        <f>'Capital Costs'!D34</f>
        <v>102288.6948437126</v>
      </c>
      <c r="D31" s="1380"/>
      <c r="E31" s="650">
        <f t="shared" ca="1" si="0"/>
        <v>102288.6948437126</v>
      </c>
      <c r="F31" s="660">
        <f>'Capital Costs'!E34</f>
        <v>1.1000000000000001</v>
      </c>
      <c r="G31" s="651">
        <f t="shared" ca="1" si="1"/>
        <v>112517.56432808387</v>
      </c>
      <c r="H31" s="650">
        <f t="shared" si="3"/>
        <v>112517.56432808387</v>
      </c>
      <c r="I31" s="652"/>
      <c r="J31" s="453"/>
    </row>
    <row r="32" spans="2:10" x14ac:dyDescent="0.25">
      <c r="B32" s="658">
        <f>'Capital Costs'!B35</f>
        <v>0</v>
      </c>
      <c r="C32" s="650">
        <f>'Capital Costs'!D35</f>
        <v>0</v>
      </c>
      <c r="D32" s="1380"/>
      <c r="E32" s="650">
        <f t="shared" ca="1" si="0"/>
        <v>0</v>
      </c>
      <c r="F32" s="660">
        <f>'Capital Costs'!E35</f>
        <v>0</v>
      </c>
      <c r="G32" s="651">
        <f t="shared" ca="1" si="1"/>
        <v>0</v>
      </c>
      <c r="H32" s="650">
        <f t="shared" si="3"/>
        <v>0</v>
      </c>
      <c r="I32" s="652"/>
      <c r="J32" s="453"/>
    </row>
    <row r="33" spans="2:10" x14ac:dyDescent="0.25">
      <c r="B33" s="658">
        <f>'Capital Costs'!B36</f>
        <v>0</v>
      </c>
      <c r="C33" s="650">
        <f>'Capital Costs'!D36</f>
        <v>0</v>
      </c>
      <c r="D33" s="1380"/>
      <c r="E33" s="650">
        <f t="shared" ca="1" si="0"/>
        <v>0</v>
      </c>
      <c r="F33" s="660">
        <f>'Capital Costs'!E36</f>
        <v>0</v>
      </c>
      <c r="G33" s="651">
        <f t="shared" ca="1" si="1"/>
        <v>0</v>
      </c>
      <c r="H33" s="650">
        <f t="shared" si="3"/>
        <v>0</v>
      </c>
      <c r="I33" s="652"/>
      <c r="J33" s="453"/>
    </row>
    <row r="34" spans="2:10" ht="13.8" thickBot="1" x14ac:dyDescent="0.3">
      <c r="B34" s="658"/>
      <c r="C34" s="650"/>
      <c r="D34" s="653"/>
      <c r="E34" s="654">
        <f t="shared" ca="1" si="0"/>
        <v>0</v>
      </c>
      <c r="F34" s="660"/>
      <c r="G34" s="655">
        <f t="shared" ca="1" si="1"/>
        <v>0</v>
      </c>
      <c r="H34" s="654">
        <f t="shared" si="2"/>
        <v>0</v>
      </c>
      <c r="I34" s="656"/>
      <c r="J34" s="454"/>
    </row>
    <row r="35" spans="2:10" ht="13.8" thickBot="1" x14ac:dyDescent="0.3">
      <c r="B35" s="447" t="s">
        <v>661</v>
      </c>
      <c r="C35" s="448">
        <f>SUM(C13:C34)</f>
        <v>1125175.6432808384</v>
      </c>
      <c r="D35" s="451"/>
      <c r="E35" s="448">
        <f ca="1">SUM(E13:E34)</f>
        <v>1125175.6432808384</v>
      </c>
      <c r="F35" s="449"/>
      <c r="G35" s="647">
        <f ca="1">SUM(G13:G34)</f>
        <v>1237693.2076089224</v>
      </c>
      <c r="H35" s="661">
        <f>SUM(H13:H34)</f>
        <v>1237693.2076089224</v>
      </c>
      <c r="I35" s="329"/>
      <c r="J35" s="452"/>
    </row>
    <row r="36" spans="2:10" ht="13.8" thickTop="1" x14ac:dyDescent="0.25"/>
    <row r="46" spans="2:10" x14ac:dyDescent="0.25">
      <c r="C46" s="1173"/>
    </row>
  </sheetData>
  <mergeCells count="6">
    <mergeCell ref="D8:F8"/>
    <mergeCell ref="D3:F3"/>
    <mergeCell ref="D5:F5"/>
    <mergeCell ref="D4:F4"/>
    <mergeCell ref="D7:F7"/>
    <mergeCell ref="D6:F6"/>
  </mergeCells>
  <phoneticPr fontId="3" type="noConversion"/>
  <hyperlinks>
    <hyperlink ref="D8" r:id="rId1" xr:uid="{00000000-0004-0000-0600-000000000000}"/>
    <hyperlink ref="D7" r:id="rId2" xr:uid="{00000000-0004-0000-0600-000001000000}"/>
    <hyperlink ref="J22" r:id="rId3" xr:uid="{A10C4E6A-AF87-4F4F-85AB-65B20144CFAC}"/>
    <hyperlink ref="J13:J21" r:id="rId4" display="https://netl.doe.gov/projects/files/QualityGuidelinesforEnergySystemStudiesCapitalCostScalingMethodologyRevision4Report_110719.pdf" xr:uid="{6AAA5A20-7E54-4195-9A34-2EEACF49803C}"/>
  </hyperlinks>
  <pageMargins left="0.75" right="0.75" top="1" bottom="1" header="0.5" footer="0.5"/>
  <pageSetup scale="68" fitToWidth="2" orientation="landscape" r:id="rId5"/>
  <headerFooter alignWithMargins="0">
    <oddHeader>&amp;L&amp;F</oddHeader>
  </headerFooter>
  <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indexed="50"/>
  </sheetPr>
  <dimension ref="A1:BE293"/>
  <sheetViews>
    <sheetView zoomScale="85" zoomScaleNormal="85" workbookViewId="0">
      <selection activeCell="M46" sqref="M46"/>
    </sheetView>
  </sheetViews>
  <sheetFormatPr defaultColWidth="9.33203125" defaultRowHeight="13.2" x14ac:dyDescent="0.25"/>
  <cols>
    <col min="1" max="1" width="7.5546875" style="29" customWidth="1"/>
    <col min="2" max="2" width="72.33203125" style="29" customWidth="1"/>
    <col min="3" max="3" width="15.6640625" style="29" customWidth="1"/>
    <col min="4" max="4" width="19.44140625" style="29" customWidth="1"/>
    <col min="5" max="5" width="14.33203125" style="29" customWidth="1"/>
    <col min="6" max="6" width="25.6640625" style="29" customWidth="1"/>
    <col min="7" max="7" width="16.109375" style="29" bestFit="1" customWidth="1"/>
    <col min="8" max="8" width="17" style="29" customWidth="1"/>
    <col min="9" max="9" width="17.33203125" style="29" customWidth="1"/>
    <col min="10" max="10" width="19.5546875" style="29" customWidth="1"/>
    <col min="11" max="11" width="16.33203125" style="29" customWidth="1"/>
    <col min="12" max="12" width="14.6640625" style="29" bestFit="1" customWidth="1"/>
    <col min="13" max="25" width="9" style="29" bestFit="1" customWidth="1"/>
    <col min="26" max="26" width="0.88671875" style="29" customWidth="1"/>
    <col min="27" max="27" width="10.109375" style="29" bestFit="1" customWidth="1"/>
    <col min="28" max="28" width="11.5546875" style="29" bestFit="1" customWidth="1"/>
    <col min="29" max="16384" width="9.33203125" style="29"/>
  </cols>
  <sheetData>
    <row r="1" spans="1:57" x14ac:dyDescent="0.25">
      <c r="A1" s="1288"/>
      <c r="B1" s="1288"/>
      <c r="C1" s="1288"/>
      <c r="D1" s="1288"/>
      <c r="E1" s="1288"/>
      <c r="F1" s="1288"/>
      <c r="G1" s="1288"/>
      <c r="H1" s="1288"/>
      <c r="I1" s="1288"/>
      <c r="J1" s="1288"/>
      <c r="K1" s="1288"/>
      <c r="L1" s="1288"/>
      <c r="M1" s="1288"/>
      <c r="N1" s="1288"/>
      <c r="O1" s="1288"/>
      <c r="P1" s="1288"/>
      <c r="Q1" s="1288"/>
      <c r="R1" s="1288"/>
      <c r="S1" s="1288"/>
      <c r="T1" s="1288"/>
      <c r="U1" s="1288"/>
      <c r="V1" s="1288"/>
      <c r="W1" s="1288"/>
      <c r="X1" s="1288"/>
      <c r="Y1" s="1288"/>
      <c r="Z1" s="1288"/>
      <c r="AA1" s="1288"/>
      <c r="AB1" s="1288"/>
      <c r="AC1" s="1288"/>
      <c r="AD1" s="1038"/>
      <c r="AE1" s="1038"/>
      <c r="AF1" s="1038"/>
      <c r="AG1" s="1038"/>
      <c r="AH1" s="1038"/>
      <c r="AI1" s="1038"/>
      <c r="AJ1" s="1038"/>
      <c r="AK1" s="1038"/>
      <c r="AL1" s="1038"/>
      <c r="AM1" s="1038"/>
      <c r="AN1" s="1038"/>
      <c r="AO1" s="1038"/>
      <c r="AP1" s="1038"/>
      <c r="AQ1" s="1038"/>
      <c r="AR1" s="1038"/>
      <c r="AS1" s="1038"/>
      <c r="AT1" s="1038"/>
      <c r="AU1" s="1038"/>
      <c r="AV1" s="1038"/>
      <c r="AW1" s="1038"/>
      <c r="AX1" s="1038"/>
      <c r="AY1" s="1038"/>
      <c r="AZ1" s="1038"/>
      <c r="BA1" s="1038"/>
      <c r="BB1" s="1038"/>
      <c r="BC1" s="1038"/>
      <c r="BD1" s="1038"/>
      <c r="BE1" s="1038"/>
    </row>
    <row r="2" spans="1:57" ht="42" x14ac:dyDescent="0.25">
      <c r="A2" s="1288"/>
      <c r="B2" s="1381" t="s">
        <v>3268</v>
      </c>
      <c r="C2" s="1288"/>
      <c r="D2" s="1288"/>
      <c r="E2" s="1288"/>
      <c r="F2" s="1288"/>
      <c r="G2" s="1288"/>
      <c r="H2" s="1288"/>
      <c r="I2" s="1288"/>
      <c r="J2" s="1288"/>
      <c r="K2" s="1288"/>
      <c r="L2" s="1288"/>
      <c r="M2" s="1288"/>
      <c r="N2" s="1288"/>
      <c r="O2" s="1288"/>
      <c r="P2" s="1288"/>
      <c r="Q2" s="1288"/>
      <c r="R2" s="1288"/>
      <c r="S2" s="1288"/>
      <c r="T2" s="1288"/>
      <c r="U2" s="1288"/>
      <c r="V2" s="1288"/>
      <c r="W2" s="1288"/>
      <c r="X2" s="1288"/>
      <c r="Y2" s="1288"/>
      <c r="Z2" s="1288"/>
      <c r="AA2" s="1288"/>
      <c r="AB2" s="1288"/>
      <c r="AC2" s="1288"/>
      <c r="AD2" s="1038"/>
      <c r="AE2" s="1038"/>
      <c r="AF2" s="1038"/>
      <c r="AG2" s="1038"/>
      <c r="AH2" s="1038"/>
      <c r="AI2" s="1038"/>
      <c r="AJ2" s="1038"/>
      <c r="AK2" s="1038"/>
      <c r="AL2" s="1038"/>
      <c r="AM2" s="1038"/>
      <c r="AN2" s="1038"/>
      <c r="AO2" s="1038"/>
      <c r="AP2" s="1038"/>
      <c r="AQ2" s="1038"/>
      <c r="AR2" s="1038"/>
      <c r="AS2" s="1038"/>
      <c r="AT2" s="1038"/>
      <c r="AU2" s="1038"/>
      <c r="AV2" s="1038"/>
      <c r="AW2" s="1038"/>
      <c r="AX2" s="1038"/>
      <c r="AY2" s="1038"/>
      <c r="AZ2" s="1038"/>
      <c r="BA2" s="1038"/>
      <c r="BB2" s="1038"/>
      <c r="BC2" s="1038"/>
      <c r="BD2" s="1038"/>
      <c r="BE2" s="1038"/>
    </row>
    <row r="3" spans="1:57" x14ac:dyDescent="0.25">
      <c r="A3" s="1288"/>
      <c r="B3" s="1288"/>
      <c r="C3" s="1288"/>
      <c r="D3" s="1288"/>
      <c r="E3" s="1288"/>
      <c r="F3" s="1288"/>
      <c r="G3" s="1288"/>
      <c r="H3" s="1288"/>
      <c r="I3" s="1288"/>
      <c r="J3" s="1288"/>
      <c r="K3" s="1288"/>
      <c r="L3" s="1288"/>
      <c r="M3" s="1288"/>
      <c r="N3" s="1288"/>
      <c r="O3" s="1288"/>
      <c r="P3" s="1288"/>
      <c r="Q3" s="1288"/>
      <c r="R3" s="1288"/>
      <c r="S3" s="1288"/>
      <c r="T3" s="1288"/>
      <c r="U3" s="1288"/>
      <c r="V3" s="1288"/>
      <c r="W3" s="1288"/>
      <c r="X3" s="1288"/>
      <c r="Y3" s="1288"/>
      <c r="Z3" s="1288"/>
      <c r="AA3" s="1288"/>
      <c r="AB3" s="1288"/>
      <c r="AC3" s="1288"/>
      <c r="AD3" s="1038"/>
      <c r="AE3" s="1038"/>
      <c r="AF3" s="1038"/>
      <c r="AG3" s="1038"/>
      <c r="AH3" s="1038"/>
      <c r="AI3" s="1038"/>
      <c r="AJ3" s="1038"/>
      <c r="AK3" s="1038"/>
      <c r="AL3" s="1038"/>
      <c r="AM3" s="1038"/>
      <c r="AN3" s="1038"/>
      <c r="AO3" s="1038"/>
      <c r="AP3" s="1038"/>
      <c r="AQ3" s="1038"/>
      <c r="AR3" s="1038"/>
      <c r="AS3" s="1038"/>
      <c r="AT3" s="1038"/>
      <c r="AU3" s="1038"/>
      <c r="AV3" s="1038"/>
      <c r="AW3" s="1038"/>
      <c r="AX3" s="1038"/>
      <c r="AY3" s="1038"/>
      <c r="AZ3" s="1038"/>
      <c r="BA3" s="1038"/>
      <c r="BB3" s="1038"/>
      <c r="BC3" s="1038"/>
      <c r="BD3" s="1038"/>
      <c r="BE3" s="1038"/>
    </row>
    <row r="4" spans="1:57" ht="13.8" x14ac:dyDescent="0.25">
      <c r="A4" s="1288"/>
      <c r="B4" s="1543" t="s">
        <v>387</v>
      </c>
      <c r="C4" s="1543"/>
      <c r="D4" s="1543"/>
      <c r="E4" s="1543"/>
      <c r="F4" s="1543"/>
      <c r="G4" s="1543"/>
      <c r="H4" s="1543"/>
      <c r="I4" s="1543"/>
      <c r="J4" s="1543"/>
      <c r="K4" s="1288"/>
      <c r="L4" s="1288"/>
      <c r="M4" s="1288"/>
      <c r="N4" s="1288"/>
      <c r="O4" s="1288"/>
      <c r="P4" s="1288"/>
      <c r="Q4" s="1288"/>
      <c r="R4" s="1288"/>
      <c r="S4" s="1288"/>
      <c r="T4" s="1288"/>
      <c r="U4" s="1288"/>
      <c r="V4" s="1288"/>
      <c r="W4" s="1288"/>
      <c r="X4" s="1288"/>
      <c r="Y4" s="1288"/>
      <c r="Z4" s="1288"/>
      <c r="AA4" s="1288"/>
      <c r="AB4" s="1288"/>
      <c r="AC4" s="1288"/>
      <c r="AD4" s="1038"/>
      <c r="AE4" s="1038"/>
      <c r="AF4" s="1038"/>
      <c r="AG4" s="1038"/>
      <c r="AH4" s="1038"/>
      <c r="AI4" s="1038"/>
      <c r="AJ4" s="1038"/>
      <c r="AK4" s="1038"/>
      <c r="AL4" s="1038"/>
      <c r="AM4" s="1038"/>
      <c r="AN4" s="1038"/>
      <c r="AO4" s="1038"/>
      <c r="AP4" s="1038"/>
      <c r="AQ4" s="1038"/>
      <c r="AR4" s="1038"/>
      <c r="AS4" s="1038"/>
      <c r="AT4" s="1038"/>
      <c r="AU4" s="1038"/>
      <c r="AV4" s="1038"/>
      <c r="AW4" s="1038"/>
      <c r="AX4" s="1038"/>
      <c r="AY4" s="1038"/>
      <c r="AZ4" s="1038"/>
      <c r="BA4" s="1038"/>
      <c r="BB4" s="1038"/>
      <c r="BC4" s="1038"/>
      <c r="BD4" s="1038"/>
      <c r="BE4" s="1038"/>
    </row>
    <row r="5" spans="1:57" ht="44.4" customHeight="1" x14ac:dyDescent="0.25">
      <c r="A5" s="1288"/>
      <c r="B5" s="1544" t="s">
        <v>1330</v>
      </c>
      <c r="C5" s="1545"/>
      <c r="D5" s="1545"/>
      <c r="E5" s="1545"/>
      <c r="F5" s="1545"/>
      <c r="G5" s="1545"/>
      <c r="H5" s="1545"/>
      <c r="I5" s="1545"/>
      <c r="J5" s="1546"/>
      <c r="K5" s="1288"/>
      <c r="L5" s="1288"/>
      <c r="M5" s="1288"/>
      <c r="N5" s="1288"/>
      <c r="O5" s="1288"/>
      <c r="P5" s="1288"/>
      <c r="Q5" s="1288"/>
      <c r="R5" s="1288"/>
      <c r="S5" s="1288"/>
      <c r="T5" s="1288"/>
      <c r="U5" s="1288"/>
      <c r="V5" s="1288"/>
      <c r="W5" s="1288"/>
      <c r="X5" s="1288"/>
      <c r="Y5" s="1288"/>
      <c r="Z5" s="1288"/>
      <c r="AA5" s="1288"/>
      <c r="AB5" s="1288"/>
      <c r="AC5" s="1288"/>
      <c r="AD5" s="1038"/>
      <c r="AE5" s="1038"/>
      <c r="AF5" s="1038"/>
      <c r="AG5" s="1038"/>
      <c r="AH5" s="1038"/>
      <c r="AI5" s="1038"/>
      <c r="AJ5" s="1038"/>
      <c r="AK5" s="1038"/>
      <c r="AL5" s="1038"/>
      <c r="AM5" s="1038"/>
      <c r="AN5" s="1038"/>
      <c r="AO5" s="1038"/>
      <c r="AP5" s="1038"/>
      <c r="AQ5" s="1038"/>
      <c r="AR5" s="1038"/>
      <c r="AS5" s="1038"/>
      <c r="AT5" s="1038"/>
      <c r="AU5" s="1038"/>
      <c r="AV5" s="1038"/>
      <c r="AW5" s="1038"/>
      <c r="AX5" s="1038"/>
      <c r="AY5" s="1038"/>
      <c r="AZ5" s="1038"/>
      <c r="BA5" s="1038"/>
      <c r="BB5" s="1038"/>
      <c r="BC5" s="1038"/>
      <c r="BD5" s="1038"/>
      <c r="BE5" s="1038"/>
    </row>
    <row r="6" spans="1:57" x14ac:dyDescent="0.25">
      <c r="A6" s="1288"/>
      <c r="B6" s="1382"/>
      <c r="C6" s="1382"/>
      <c r="D6" s="1382"/>
      <c r="E6" s="1382"/>
      <c r="F6" s="1382"/>
      <c r="G6" s="1382"/>
      <c r="H6" s="1382"/>
      <c r="I6" s="1382"/>
      <c r="J6" s="1382"/>
      <c r="K6" s="1288"/>
      <c r="L6" s="1288"/>
      <c r="M6" s="1288"/>
      <c r="N6" s="1288"/>
      <c r="O6" s="1288"/>
      <c r="P6" s="1288"/>
      <c r="Q6" s="1288"/>
      <c r="R6" s="1288"/>
      <c r="S6" s="1288"/>
      <c r="T6" s="1288"/>
      <c r="U6" s="1288"/>
      <c r="V6" s="1288"/>
      <c r="W6" s="1288"/>
      <c r="X6" s="1288"/>
      <c r="Y6" s="1288"/>
      <c r="Z6" s="1288"/>
      <c r="AA6" s="1288"/>
      <c r="AB6" s="1288"/>
      <c r="AC6" s="1288"/>
      <c r="AD6" s="1038"/>
      <c r="AE6" s="1038"/>
      <c r="AF6" s="1038"/>
      <c r="AG6" s="1038"/>
      <c r="AH6" s="1038"/>
      <c r="AI6" s="1038"/>
      <c r="AJ6" s="1038"/>
      <c r="AK6" s="1038"/>
      <c r="AL6" s="1038"/>
      <c r="AM6" s="1038"/>
      <c r="AN6" s="1038"/>
      <c r="AO6" s="1038"/>
      <c r="AP6" s="1038"/>
      <c r="AQ6" s="1038"/>
      <c r="AR6" s="1038"/>
      <c r="AS6" s="1038"/>
      <c r="AT6" s="1038"/>
      <c r="AU6" s="1038"/>
      <c r="AV6" s="1038"/>
      <c r="AW6" s="1038"/>
      <c r="AX6" s="1038"/>
      <c r="AY6" s="1038"/>
      <c r="AZ6" s="1038"/>
      <c r="BA6" s="1038"/>
      <c r="BB6" s="1038"/>
      <c r="BC6" s="1038"/>
      <c r="BD6" s="1038"/>
      <c r="BE6" s="1038"/>
    </row>
    <row r="7" spans="1:57" ht="21" x14ac:dyDescent="0.25">
      <c r="A7" s="1288"/>
      <c r="B7" s="1383" t="s">
        <v>1049</v>
      </c>
      <c r="C7" s="1382"/>
      <c r="D7" s="1382"/>
      <c r="E7" s="1382"/>
      <c r="F7" s="1382"/>
      <c r="G7" s="1382"/>
      <c r="H7" s="1382"/>
      <c r="I7" s="1382"/>
      <c r="J7" s="1382"/>
      <c r="K7" s="1288"/>
      <c r="L7" s="1288"/>
      <c r="M7" s="1288"/>
      <c r="N7" s="1288"/>
      <c r="O7" s="1288"/>
      <c r="P7" s="1288"/>
      <c r="Q7" s="1288"/>
      <c r="R7" s="1288"/>
      <c r="S7" s="1288"/>
      <c r="T7" s="1288"/>
      <c r="U7" s="1288"/>
      <c r="V7" s="1288"/>
      <c r="W7" s="1288"/>
      <c r="X7" s="1288"/>
      <c r="Y7" s="1288"/>
      <c r="Z7" s="1288"/>
      <c r="AA7" s="1288"/>
      <c r="AB7" s="1288"/>
      <c r="AC7" s="1288"/>
      <c r="AD7" s="1038"/>
      <c r="AE7" s="1038"/>
      <c r="AF7" s="1038"/>
      <c r="AG7" s="1038"/>
      <c r="AH7" s="1038"/>
      <c r="AI7" s="1038"/>
      <c r="AJ7" s="1038"/>
      <c r="AK7" s="1038"/>
      <c r="AL7" s="1038"/>
      <c r="AM7" s="1038"/>
      <c r="AN7" s="1038"/>
      <c r="AO7" s="1038"/>
      <c r="AP7" s="1038"/>
      <c r="AQ7" s="1038"/>
      <c r="AR7" s="1038"/>
      <c r="AS7" s="1038"/>
      <c r="AT7" s="1038"/>
      <c r="AU7" s="1038"/>
      <c r="AV7" s="1038"/>
      <c r="AW7" s="1038"/>
      <c r="AX7" s="1038"/>
      <c r="AY7" s="1038"/>
      <c r="AZ7" s="1038"/>
      <c r="BA7" s="1038"/>
      <c r="BB7" s="1038"/>
      <c r="BC7" s="1038"/>
      <c r="BD7" s="1038"/>
      <c r="BE7" s="1038"/>
    </row>
    <row r="8" spans="1:57" ht="15.6" x14ac:dyDescent="0.25">
      <c r="A8" s="1288"/>
      <c r="B8" s="1384" t="s">
        <v>232</v>
      </c>
      <c r="C8" s="1382"/>
      <c r="D8" s="1382"/>
      <c r="E8" s="1382"/>
      <c r="F8" s="1382"/>
      <c r="G8" s="1382"/>
      <c r="H8" s="1382"/>
      <c r="I8" s="1382"/>
      <c r="J8" s="1382"/>
      <c r="K8" s="1288"/>
      <c r="L8" s="1288"/>
      <c r="M8" s="1288"/>
      <c r="N8" s="1288"/>
      <c r="O8" s="1288"/>
      <c r="P8" s="1288"/>
      <c r="Q8" s="1288"/>
      <c r="R8" s="1288"/>
      <c r="S8" s="1288"/>
      <c r="T8" s="1288"/>
      <c r="U8" s="1288"/>
      <c r="V8" s="1288"/>
      <c r="W8" s="1288"/>
      <c r="X8" s="1288"/>
      <c r="Y8" s="1288"/>
      <c r="Z8" s="1288"/>
      <c r="AA8" s="1288"/>
      <c r="AB8" s="1288"/>
      <c r="AC8" s="1288"/>
      <c r="AD8" s="1038"/>
      <c r="AE8" s="1038"/>
      <c r="AF8" s="1038"/>
      <c r="AG8" s="1038"/>
      <c r="AH8" s="1038"/>
      <c r="AI8" s="1038"/>
      <c r="AJ8" s="1038"/>
      <c r="AK8" s="1038"/>
      <c r="AL8" s="1038"/>
      <c r="AM8" s="1038"/>
      <c r="AN8" s="1038"/>
      <c r="AO8" s="1038"/>
      <c r="AP8" s="1038"/>
      <c r="AQ8" s="1038"/>
      <c r="AR8" s="1038"/>
      <c r="AS8" s="1038"/>
      <c r="AT8" s="1038"/>
      <c r="AU8" s="1038"/>
      <c r="AV8" s="1038"/>
      <c r="AW8" s="1038"/>
      <c r="AX8" s="1038"/>
      <c r="AY8" s="1038"/>
      <c r="AZ8" s="1038"/>
      <c r="BA8" s="1038"/>
      <c r="BB8" s="1038"/>
      <c r="BC8" s="1038"/>
      <c r="BD8" s="1038"/>
      <c r="BE8" s="1038"/>
    </row>
    <row r="9" spans="1:57" x14ac:dyDescent="0.25">
      <c r="A9" s="1288"/>
      <c r="B9" s="1382"/>
      <c r="C9" s="1382"/>
      <c r="D9" s="1382"/>
      <c r="E9" s="1382"/>
      <c r="F9" s="1382"/>
      <c r="G9" s="1382"/>
      <c r="H9" s="1382"/>
      <c r="I9" s="1382"/>
      <c r="J9" s="1382"/>
      <c r="K9" s="1288"/>
      <c r="L9" s="1288"/>
      <c r="M9" s="1288"/>
      <c r="N9" s="1288"/>
      <c r="O9" s="1288"/>
      <c r="P9" s="1288"/>
      <c r="Q9" s="1288"/>
      <c r="R9" s="1288"/>
      <c r="S9" s="1288"/>
      <c r="T9" s="1288"/>
      <c r="U9" s="1288"/>
      <c r="V9" s="1288"/>
      <c r="W9" s="1288"/>
      <c r="X9" s="1288"/>
      <c r="Y9" s="1288"/>
      <c r="Z9" s="1288"/>
      <c r="AA9" s="1288"/>
      <c r="AB9" s="1288"/>
      <c r="AC9" s="1288"/>
      <c r="AD9" s="1038"/>
      <c r="AE9" s="1038"/>
      <c r="AF9" s="1038"/>
      <c r="AG9" s="1038"/>
      <c r="AH9" s="1038"/>
      <c r="AI9" s="1038"/>
      <c r="AJ9" s="1038"/>
      <c r="AK9" s="1038"/>
      <c r="AL9" s="1038"/>
      <c r="AM9" s="1038"/>
      <c r="AN9" s="1038"/>
      <c r="AO9" s="1038"/>
      <c r="AP9" s="1038"/>
      <c r="AQ9" s="1038"/>
      <c r="AR9" s="1038"/>
      <c r="AS9" s="1038"/>
      <c r="AT9" s="1038"/>
      <c r="AU9" s="1038"/>
      <c r="AV9" s="1038"/>
      <c r="AW9" s="1038"/>
      <c r="AX9" s="1038"/>
      <c r="AY9" s="1038"/>
      <c r="AZ9" s="1038"/>
      <c r="BA9" s="1038"/>
      <c r="BB9" s="1038"/>
      <c r="BC9" s="1038"/>
      <c r="BD9" s="1038"/>
      <c r="BE9" s="1038"/>
    </row>
    <row r="10" spans="1:57" x14ac:dyDescent="0.25">
      <c r="A10" s="1288"/>
      <c r="B10" s="1382"/>
      <c r="C10" s="1382"/>
      <c r="D10" s="1382"/>
      <c r="E10" s="1382"/>
      <c r="F10" s="1382"/>
      <c r="G10" s="1382"/>
      <c r="H10" s="1382"/>
      <c r="I10" s="1382"/>
      <c r="J10" s="1382"/>
      <c r="K10" s="1288"/>
      <c r="L10" s="1288"/>
      <c r="M10" s="1288"/>
      <c r="N10" s="1288"/>
      <c r="O10" s="1288"/>
      <c r="P10" s="1288"/>
      <c r="Q10" s="1288"/>
      <c r="R10" s="1288"/>
      <c r="S10" s="1288"/>
      <c r="T10" s="1288"/>
      <c r="U10" s="1288"/>
      <c r="V10" s="1288"/>
      <c r="W10" s="1288"/>
      <c r="X10" s="1288"/>
      <c r="Y10" s="1288"/>
      <c r="Z10" s="1288"/>
      <c r="AA10" s="1288"/>
      <c r="AB10" s="1288"/>
      <c r="AC10" s="1288"/>
      <c r="AD10" s="1038"/>
      <c r="AE10" s="1038"/>
      <c r="AF10" s="1038"/>
      <c r="AG10" s="1038"/>
      <c r="AH10" s="1038"/>
      <c r="AI10" s="1038"/>
      <c r="AJ10" s="1038"/>
      <c r="AK10" s="1038"/>
      <c r="AL10" s="1038"/>
      <c r="AM10" s="1038"/>
      <c r="AN10" s="1038"/>
      <c r="AO10" s="1038"/>
      <c r="AP10" s="1038"/>
      <c r="AQ10" s="1038"/>
      <c r="AR10" s="1038"/>
      <c r="AS10" s="1038"/>
      <c r="AT10" s="1038"/>
      <c r="AU10" s="1038"/>
      <c r="AV10" s="1038"/>
      <c r="AW10" s="1038"/>
      <c r="AX10" s="1038"/>
      <c r="AY10" s="1038"/>
      <c r="AZ10" s="1038"/>
      <c r="BA10" s="1038"/>
      <c r="BB10" s="1038"/>
      <c r="BC10" s="1038"/>
      <c r="BD10" s="1038"/>
      <c r="BE10" s="1038"/>
    </row>
    <row r="11" spans="1:57" ht="15.6" x14ac:dyDescent="0.25">
      <c r="A11" s="1288"/>
      <c r="B11" s="1384" t="s">
        <v>233</v>
      </c>
      <c r="C11" s="1382"/>
      <c r="D11" s="1382"/>
      <c r="E11" s="1382"/>
      <c r="F11" s="1382"/>
      <c r="G11" s="1382"/>
      <c r="H11" s="1382"/>
      <c r="I11" s="1382"/>
      <c r="J11" s="1382"/>
      <c r="K11" s="1288"/>
      <c r="L11" s="1288"/>
      <c r="M11" s="1288"/>
      <c r="N11" s="1288"/>
      <c r="O11" s="1288"/>
      <c r="P11" s="1288"/>
      <c r="Q11" s="1288"/>
      <c r="R11" s="1288"/>
      <c r="S11" s="1288"/>
      <c r="T11" s="1288"/>
      <c r="U11" s="1288"/>
      <c r="V11" s="1288"/>
      <c r="W11" s="1288"/>
      <c r="X11" s="1288"/>
      <c r="Y11" s="1288"/>
      <c r="Z11" s="1288"/>
      <c r="AA11" s="1288"/>
      <c r="AB11" s="1288"/>
      <c r="AC11" s="1288"/>
      <c r="AD11" s="1038"/>
      <c r="AE11" s="1038"/>
      <c r="AF11" s="1038"/>
      <c r="AG11" s="1038"/>
      <c r="AH11" s="1038"/>
      <c r="AI11" s="1038"/>
      <c r="AJ11" s="1038"/>
      <c r="AK11" s="1038"/>
      <c r="AL11" s="1038"/>
      <c r="AM11" s="1038"/>
      <c r="AN11" s="1038"/>
      <c r="AO11" s="1038"/>
      <c r="AP11" s="1038"/>
      <c r="AQ11" s="1038"/>
      <c r="AR11" s="1038"/>
      <c r="AS11" s="1038"/>
      <c r="AT11" s="1038"/>
      <c r="AU11" s="1038"/>
      <c r="AV11" s="1038"/>
      <c r="AW11" s="1038"/>
      <c r="AX11" s="1038"/>
      <c r="AY11" s="1038"/>
      <c r="AZ11" s="1038"/>
      <c r="BA11" s="1038"/>
      <c r="BB11" s="1038"/>
      <c r="BC11" s="1038"/>
      <c r="BD11" s="1038"/>
      <c r="BE11" s="1038"/>
    </row>
    <row r="12" spans="1:57" x14ac:dyDescent="0.25">
      <c r="A12" s="1288"/>
      <c r="B12" s="1382"/>
      <c r="C12" s="1382"/>
      <c r="D12" s="1382"/>
      <c r="E12" s="1382"/>
      <c r="F12" s="1382"/>
      <c r="G12" s="1382"/>
      <c r="H12" s="1382"/>
      <c r="I12" s="1382"/>
      <c r="J12" s="1382"/>
      <c r="K12" s="1288"/>
      <c r="L12" s="1288"/>
      <c r="M12" s="1288"/>
      <c r="N12" s="1288"/>
      <c r="O12" s="1288"/>
      <c r="P12" s="1288"/>
      <c r="Q12" s="1288"/>
      <c r="R12" s="1288"/>
      <c r="S12" s="1288"/>
      <c r="T12" s="1288"/>
      <c r="U12" s="1288"/>
      <c r="V12" s="1288"/>
      <c r="W12" s="1288"/>
      <c r="X12" s="1288"/>
      <c r="Y12" s="1288"/>
      <c r="Z12" s="1288"/>
      <c r="AA12" s="1288"/>
      <c r="AB12" s="1288"/>
      <c r="AC12" s="1288"/>
      <c r="AD12" s="1038"/>
      <c r="AE12" s="1038"/>
      <c r="AF12" s="1038"/>
      <c r="AG12" s="1038"/>
      <c r="AH12" s="1038"/>
      <c r="AI12" s="1038"/>
      <c r="AJ12" s="1038"/>
      <c r="AK12" s="1038"/>
      <c r="AL12" s="1038"/>
      <c r="AM12" s="1038"/>
      <c r="AN12" s="1038"/>
      <c r="AO12" s="1038"/>
      <c r="AP12" s="1038"/>
      <c r="AQ12" s="1038"/>
      <c r="AR12" s="1038"/>
      <c r="AS12" s="1038"/>
      <c r="AT12" s="1038"/>
      <c r="AU12" s="1038"/>
      <c r="AV12" s="1038"/>
      <c r="AW12" s="1038"/>
      <c r="AX12" s="1038"/>
      <c r="AY12" s="1038"/>
      <c r="AZ12" s="1038"/>
      <c r="BA12" s="1038"/>
      <c r="BB12" s="1038"/>
      <c r="BC12" s="1038"/>
      <c r="BD12" s="1038"/>
      <c r="BE12" s="1038"/>
    </row>
    <row r="13" spans="1:57" x14ac:dyDescent="0.25">
      <c r="A13" s="1288"/>
      <c r="B13" s="1382"/>
      <c r="C13" s="1382"/>
      <c r="D13" s="1382"/>
      <c r="E13" s="1382"/>
      <c r="F13" s="1382"/>
      <c r="G13" s="1382"/>
      <c r="H13" s="1382"/>
      <c r="I13" s="1382"/>
      <c r="J13" s="1382"/>
      <c r="K13" s="1288"/>
      <c r="L13" s="1288"/>
      <c r="M13" s="1288"/>
      <c r="N13" s="1288"/>
      <c r="O13" s="1288"/>
      <c r="P13" s="1288"/>
      <c r="Q13" s="1288"/>
      <c r="R13" s="1288"/>
      <c r="S13" s="1288"/>
      <c r="T13" s="1288"/>
      <c r="U13" s="1288"/>
      <c r="V13" s="1288"/>
      <c r="W13" s="1288"/>
      <c r="X13" s="1288"/>
      <c r="Y13" s="1288"/>
      <c r="Z13" s="1288"/>
      <c r="AA13" s="1288"/>
      <c r="AB13" s="1288"/>
      <c r="AC13" s="1288"/>
      <c r="AD13" s="1038"/>
      <c r="AE13" s="1038"/>
      <c r="AF13" s="1038"/>
      <c r="AG13" s="1038"/>
      <c r="AH13" s="1038"/>
      <c r="AI13" s="1038"/>
      <c r="AJ13" s="1038"/>
      <c r="AK13" s="1038"/>
      <c r="AL13" s="1038"/>
      <c r="AM13" s="1038"/>
      <c r="AN13" s="1038"/>
      <c r="AO13" s="1038"/>
      <c r="AP13" s="1038"/>
      <c r="AQ13" s="1038"/>
      <c r="AR13" s="1038"/>
      <c r="AS13" s="1038"/>
      <c r="AT13" s="1038"/>
      <c r="AU13" s="1038"/>
      <c r="AV13" s="1038"/>
      <c r="AW13" s="1038"/>
      <c r="AX13" s="1038"/>
      <c r="AY13" s="1038"/>
      <c r="AZ13" s="1038"/>
      <c r="BA13" s="1038"/>
      <c r="BB13" s="1038"/>
      <c r="BC13" s="1038"/>
      <c r="BD13" s="1038"/>
      <c r="BE13" s="1038"/>
    </row>
    <row r="14" spans="1:57" x14ac:dyDescent="0.25">
      <c r="A14" s="1288"/>
      <c r="B14" s="1382"/>
      <c r="C14" s="1382"/>
      <c r="D14" s="1382"/>
      <c r="E14" s="1382"/>
      <c r="F14" s="1382"/>
      <c r="G14" s="1382"/>
      <c r="H14" s="1382"/>
      <c r="I14" s="1382"/>
      <c r="J14" s="1382"/>
      <c r="K14" s="1288"/>
      <c r="L14" s="1288"/>
      <c r="M14" s="1288"/>
      <c r="N14" s="1288"/>
      <c r="O14" s="1288"/>
      <c r="P14" s="1288"/>
      <c r="Q14" s="1288"/>
      <c r="R14" s="1288"/>
      <c r="S14" s="1288"/>
      <c r="T14" s="1288"/>
      <c r="U14" s="1288"/>
      <c r="V14" s="1288"/>
      <c r="W14" s="1288"/>
      <c r="X14" s="1288"/>
      <c r="Y14" s="1288"/>
      <c r="Z14" s="1288"/>
      <c r="AA14" s="1288"/>
      <c r="AB14" s="1288"/>
      <c r="AC14" s="1288"/>
      <c r="AD14" s="1038"/>
      <c r="AE14" s="1038"/>
      <c r="AF14" s="1038"/>
      <c r="AG14" s="1038"/>
      <c r="AH14" s="1038"/>
      <c r="AI14" s="1038"/>
      <c r="AJ14" s="1038"/>
      <c r="AK14" s="1038"/>
      <c r="AL14" s="1038"/>
      <c r="AM14" s="1038"/>
      <c r="AN14" s="1038"/>
      <c r="AO14" s="1038"/>
      <c r="AP14" s="1038"/>
      <c r="AQ14" s="1038"/>
      <c r="AR14" s="1038"/>
      <c r="AS14" s="1038"/>
      <c r="AT14" s="1038"/>
      <c r="AU14" s="1038"/>
      <c r="AV14" s="1038"/>
      <c r="AW14" s="1038"/>
      <c r="AX14" s="1038"/>
      <c r="AY14" s="1038"/>
      <c r="AZ14" s="1038"/>
      <c r="BA14" s="1038"/>
      <c r="BB14" s="1038"/>
      <c r="BC14" s="1038"/>
      <c r="BD14" s="1038"/>
      <c r="BE14" s="1038"/>
    </row>
    <row r="15" spans="1:57" ht="13.8" x14ac:dyDescent="0.25">
      <c r="A15" s="1288"/>
      <c r="B15" s="1385" t="s">
        <v>408</v>
      </c>
      <c r="C15" s="1382"/>
      <c r="D15" s="1382"/>
      <c r="E15" s="1382"/>
      <c r="F15" s="1382"/>
      <c r="G15" s="1382"/>
      <c r="H15" s="1382"/>
      <c r="I15" s="1382"/>
      <c r="J15" s="1382"/>
      <c r="K15" s="1288"/>
      <c r="L15" s="1288"/>
      <c r="M15" s="1288"/>
      <c r="N15" s="1288"/>
      <c r="O15" s="1288"/>
      <c r="P15" s="1288"/>
      <c r="Q15" s="1288"/>
      <c r="R15" s="1288"/>
      <c r="S15" s="1288"/>
      <c r="T15" s="1288"/>
      <c r="U15" s="1288"/>
      <c r="V15" s="1288"/>
      <c r="W15" s="1288"/>
      <c r="X15" s="1288"/>
      <c r="Y15" s="1288"/>
      <c r="Z15" s="1288"/>
      <c r="AA15" s="1288"/>
      <c r="AB15" s="1288"/>
      <c r="AC15" s="1288"/>
      <c r="AD15" s="1038"/>
      <c r="AE15" s="1038"/>
      <c r="AF15" s="1038"/>
      <c r="AG15" s="1038"/>
      <c r="AH15" s="1038"/>
      <c r="AI15" s="1038"/>
      <c r="AJ15" s="1038"/>
      <c r="AK15" s="1038"/>
      <c r="AL15" s="1038"/>
      <c r="AM15" s="1038"/>
      <c r="AN15" s="1038"/>
      <c r="AO15" s="1038"/>
      <c r="AP15" s="1038"/>
      <c r="AQ15" s="1038"/>
      <c r="AR15" s="1038"/>
      <c r="AS15" s="1038"/>
      <c r="AT15" s="1038"/>
      <c r="AU15" s="1038"/>
      <c r="AV15" s="1038"/>
      <c r="AW15" s="1038"/>
      <c r="AX15" s="1038"/>
      <c r="AY15" s="1038"/>
      <c r="AZ15" s="1038"/>
      <c r="BA15" s="1038"/>
      <c r="BB15" s="1038"/>
      <c r="BC15" s="1038"/>
      <c r="BD15" s="1038"/>
      <c r="BE15" s="1038"/>
    </row>
    <row r="16" spans="1:57" ht="13.8" x14ac:dyDescent="0.25">
      <c r="A16" s="1288"/>
      <c r="B16" s="1385" t="s">
        <v>419</v>
      </c>
      <c r="C16" s="1382"/>
      <c r="D16" s="1382"/>
      <c r="E16" s="1382"/>
      <c r="F16" s="1382"/>
      <c r="G16" s="1382"/>
      <c r="H16" s="1382"/>
      <c r="I16" s="1382"/>
      <c r="J16" s="1382"/>
      <c r="K16" s="1288"/>
      <c r="L16" s="1288"/>
      <c r="M16" s="1288"/>
      <c r="N16" s="1288"/>
      <c r="O16" s="1288"/>
      <c r="P16" s="1288"/>
      <c r="Q16" s="1288"/>
      <c r="R16" s="1288"/>
      <c r="S16" s="1288"/>
      <c r="T16" s="1288"/>
      <c r="U16" s="1288"/>
      <c r="V16" s="1288"/>
      <c r="W16" s="1288"/>
      <c r="X16" s="1288"/>
      <c r="Y16" s="1288"/>
      <c r="Z16" s="1288"/>
      <c r="AA16" s="1288"/>
      <c r="AB16" s="1288"/>
      <c r="AC16" s="1288"/>
      <c r="AD16" s="1038"/>
      <c r="AE16" s="1038"/>
      <c r="AF16" s="1038"/>
      <c r="AG16" s="1038"/>
      <c r="AH16" s="1038"/>
      <c r="AI16" s="1038"/>
      <c r="AJ16" s="1038"/>
      <c r="AK16" s="1038"/>
      <c r="AL16" s="1038"/>
      <c r="AM16" s="1038"/>
      <c r="AN16" s="1038"/>
      <c r="AO16" s="1038"/>
      <c r="AP16" s="1038"/>
      <c r="AQ16" s="1038"/>
      <c r="AR16" s="1038"/>
      <c r="AS16" s="1038"/>
      <c r="AT16" s="1038"/>
      <c r="AU16" s="1038"/>
      <c r="AV16" s="1038"/>
      <c r="AW16" s="1038"/>
      <c r="AX16" s="1038"/>
      <c r="AY16" s="1038"/>
      <c r="AZ16" s="1038"/>
      <c r="BA16" s="1038"/>
      <c r="BB16" s="1038"/>
      <c r="BC16" s="1038"/>
      <c r="BD16" s="1038"/>
      <c r="BE16" s="1038"/>
    </row>
    <row r="17" spans="1:57" ht="13.8" x14ac:dyDescent="0.25">
      <c r="A17" s="1288"/>
      <c r="B17" s="1385" t="s">
        <v>423</v>
      </c>
      <c r="C17" s="1382"/>
      <c r="D17" s="1382"/>
      <c r="E17" s="1382"/>
      <c r="F17" s="1382"/>
      <c r="G17" s="1382"/>
      <c r="H17" s="1382"/>
      <c r="I17" s="1382"/>
      <c r="J17" s="1382"/>
      <c r="K17" s="1288"/>
      <c r="L17" s="1288"/>
      <c r="M17" s="1288"/>
      <c r="N17" s="1288"/>
      <c r="O17" s="1288"/>
      <c r="P17" s="1288"/>
      <c r="Q17" s="1288"/>
      <c r="R17" s="1288"/>
      <c r="S17" s="1288"/>
      <c r="T17" s="1288"/>
      <c r="U17" s="1288"/>
      <c r="V17" s="1288"/>
      <c r="W17" s="1288"/>
      <c r="X17" s="1288"/>
      <c r="Y17" s="1288"/>
      <c r="Z17" s="1288"/>
      <c r="AA17" s="1288"/>
      <c r="AB17" s="1288"/>
      <c r="AC17" s="1288"/>
      <c r="AD17" s="1038"/>
      <c r="AE17" s="1038"/>
      <c r="AF17" s="1038"/>
      <c r="AG17" s="1038"/>
      <c r="AH17" s="1038"/>
      <c r="AI17" s="1038"/>
      <c r="AJ17" s="1038"/>
      <c r="AK17" s="1038"/>
      <c r="AL17" s="1038"/>
      <c r="AM17" s="1038"/>
      <c r="AN17" s="1038"/>
      <c r="AO17" s="1038"/>
      <c r="AP17" s="1038"/>
      <c r="AQ17" s="1038"/>
      <c r="AR17" s="1038"/>
      <c r="AS17" s="1038"/>
      <c r="AT17" s="1038"/>
      <c r="AU17" s="1038"/>
      <c r="AV17" s="1038"/>
      <c r="AW17" s="1038"/>
      <c r="AX17" s="1038"/>
      <c r="AY17" s="1038"/>
      <c r="AZ17" s="1038"/>
      <c r="BA17" s="1038"/>
      <c r="BB17" s="1038"/>
      <c r="BC17" s="1038"/>
      <c r="BD17" s="1038"/>
      <c r="BE17" s="1038"/>
    </row>
    <row r="18" spans="1:57" ht="15.6" x14ac:dyDescent="0.25">
      <c r="A18" s="1288"/>
      <c r="B18" s="1295"/>
      <c r="C18" s="1288"/>
      <c r="D18" s="1382"/>
      <c r="E18" s="1288"/>
      <c r="F18" s="1288"/>
      <c r="G18" s="1288"/>
      <c r="H18" s="1288"/>
      <c r="I18" s="1288"/>
      <c r="J18" s="1288"/>
      <c r="K18" s="1288"/>
      <c r="L18" s="1288"/>
      <c r="M18" s="1288"/>
      <c r="N18" s="1288"/>
      <c r="O18" s="1288"/>
      <c r="P18" s="1288"/>
      <c r="Q18" s="1288"/>
      <c r="R18" s="1288"/>
      <c r="S18" s="1288"/>
      <c r="T18" s="1288"/>
      <c r="U18" s="1288"/>
      <c r="V18" s="1288"/>
      <c r="W18" s="1288"/>
      <c r="X18" s="1288"/>
      <c r="Y18" s="1288"/>
      <c r="Z18" s="1288"/>
      <c r="AA18" s="1288"/>
      <c r="AB18" s="1288"/>
      <c r="AC18" s="1288"/>
      <c r="AD18" s="1038"/>
      <c r="AE18" s="1038"/>
      <c r="AF18" s="1038"/>
      <c r="AG18" s="1038"/>
      <c r="AH18" s="1038"/>
      <c r="AI18" s="1038"/>
      <c r="AJ18" s="1038"/>
      <c r="AK18" s="1038"/>
      <c r="AL18" s="1038"/>
      <c r="AM18" s="1038"/>
      <c r="AN18" s="1038"/>
      <c r="AO18" s="1038"/>
      <c r="AP18" s="1038"/>
      <c r="AQ18" s="1038"/>
      <c r="AR18" s="1038"/>
      <c r="AS18" s="1038"/>
      <c r="AT18" s="1038"/>
      <c r="AU18" s="1038"/>
      <c r="AV18" s="1038"/>
      <c r="AW18" s="1038"/>
      <c r="AX18" s="1038"/>
      <c r="AY18" s="1038"/>
      <c r="AZ18" s="1038"/>
      <c r="BA18" s="1038"/>
      <c r="BB18" s="1038"/>
      <c r="BC18" s="1038"/>
      <c r="BD18" s="1038"/>
      <c r="BE18" s="1038"/>
    </row>
    <row r="19" spans="1:57" ht="13.8" thickBot="1" x14ac:dyDescent="0.3">
      <c r="A19" s="1288"/>
      <c r="B19" s="1288"/>
      <c r="C19" s="1288"/>
      <c r="D19" s="1288"/>
      <c r="E19" s="1288"/>
      <c r="F19" s="1288"/>
      <c r="G19" s="1288"/>
      <c r="H19" s="1288"/>
      <c r="I19" s="1288"/>
      <c r="J19" s="1288"/>
      <c r="K19" s="1288"/>
      <c r="L19" s="1288"/>
      <c r="M19" s="1288"/>
      <c r="N19" s="1288"/>
      <c r="O19" s="1288"/>
      <c r="P19" s="1288"/>
      <c r="Q19" s="1288"/>
      <c r="R19" s="1288"/>
      <c r="S19" s="1288"/>
      <c r="T19" s="1288"/>
      <c r="U19" s="1288"/>
      <c r="V19" s="1288"/>
      <c r="W19" s="1288"/>
      <c r="X19" s="1288"/>
      <c r="Y19" s="1288"/>
      <c r="Z19" s="1288"/>
      <c r="AA19" s="1288"/>
      <c r="AB19" s="1288"/>
      <c r="AC19" s="1288"/>
      <c r="AD19" s="1038"/>
      <c r="AE19" s="1038"/>
      <c r="AF19" s="1038"/>
      <c r="AG19" s="1038"/>
      <c r="AH19" s="1038"/>
      <c r="AI19" s="1038"/>
      <c r="AJ19" s="1038"/>
      <c r="AK19" s="1038"/>
      <c r="AL19" s="1038"/>
      <c r="AM19" s="1038"/>
      <c r="AN19" s="1038"/>
      <c r="AO19" s="1038"/>
      <c r="AP19" s="1038"/>
      <c r="AQ19" s="1038"/>
      <c r="AR19" s="1038"/>
      <c r="AS19" s="1038"/>
      <c r="AT19" s="1038"/>
      <c r="AU19" s="1038"/>
      <c r="AV19" s="1038"/>
      <c r="AW19" s="1038"/>
      <c r="AX19" s="1038"/>
      <c r="AY19" s="1038"/>
      <c r="AZ19" s="1038"/>
      <c r="BA19" s="1038"/>
      <c r="BB19" s="1038"/>
      <c r="BC19" s="1038"/>
      <c r="BD19" s="1038"/>
      <c r="BE19" s="1038"/>
    </row>
    <row r="20" spans="1:57" ht="44.25" customHeight="1" thickTop="1" x14ac:dyDescent="0.25">
      <c r="A20" s="1288"/>
      <c r="B20" s="1386" t="s">
        <v>407</v>
      </c>
      <c r="C20" s="1387"/>
      <c r="D20" s="1387"/>
      <c r="E20" s="1387"/>
      <c r="F20" s="1388"/>
      <c r="G20" s="1288"/>
      <c r="H20" s="1553" t="s">
        <v>1333</v>
      </c>
      <c r="I20" s="1554"/>
      <c r="J20" s="1554"/>
      <c r="K20" s="1555"/>
      <c r="L20" s="1288"/>
      <c r="M20" s="1288"/>
      <c r="N20" s="1288"/>
      <c r="O20" s="1288"/>
      <c r="P20" s="1288"/>
      <c r="Q20" s="1288"/>
      <c r="R20" s="1288"/>
      <c r="S20" s="1288"/>
      <c r="T20" s="1288"/>
      <c r="U20" s="1288"/>
      <c r="V20" s="1288"/>
      <c r="W20" s="1288"/>
      <c r="X20" s="1288"/>
      <c r="Y20" s="1288"/>
      <c r="Z20" s="1288"/>
      <c r="AA20" s="1288"/>
      <c r="AB20" s="1288"/>
      <c r="AC20" s="1288"/>
      <c r="AD20" s="1038"/>
      <c r="AE20" s="1038"/>
      <c r="AF20" s="1038"/>
      <c r="AG20" s="1038"/>
      <c r="AH20" s="1038"/>
      <c r="AI20" s="1038"/>
      <c r="AJ20" s="1038"/>
      <c r="AK20" s="1038"/>
      <c r="AL20" s="1038"/>
      <c r="AM20" s="1038"/>
      <c r="AN20" s="1038"/>
      <c r="AO20" s="1038"/>
      <c r="AP20" s="1038"/>
      <c r="AQ20" s="1038"/>
      <c r="AR20" s="1038"/>
      <c r="AS20" s="1038"/>
      <c r="AT20" s="1038"/>
      <c r="AU20" s="1038"/>
      <c r="AV20" s="1038"/>
      <c r="AW20" s="1038"/>
      <c r="AX20" s="1038"/>
      <c r="AY20" s="1038"/>
      <c r="AZ20" s="1038"/>
      <c r="BA20" s="1038"/>
      <c r="BB20" s="1038"/>
      <c r="BC20" s="1038"/>
      <c r="BD20" s="1038"/>
      <c r="BE20" s="1038"/>
    </row>
    <row r="21" spans="1:57" ht="13.8" x14ac:dyDescent="0.25">
      <c r="A21" s="1288"/>
      <c r="B21" s="1299" t="s">
        <v>1326</v>
      </c>
      <c r="C21" s="480">
        <f ca="1">Feed_CO2_MTpY</f>
        <v>4400</v>
      </c>
      <c r="D21" s="1556" t="s">
        <v>409</v>
      </c>
      <c r="E21" s="1556"/>
      <c r="F21" s="1557"/>
      <c r="G21" s="1288"/>
      <c r="H21" s="1547" t="s">
        <v>82</v>
      </c>
      <c r="I21" s="1548"/>
      <c r="J21" s="1048"/>
      <c r="K21" s="1049"/>
      <c r="L21" s="1288"/>
      <c r="M21" s="1288"/>
      <c r="N21" s="1288"/>
      <c r="O21" s="1288"/>
      <c r="P21" s="1288"/>
      <c r="Q21" s="1288"/>
      <c r="R21" s="1288"/>
      <c r="S21" s="1288"/>
      <c r="T21" s="1288"/>
      <c r="U21" s="1288"/>
      <c r="V21" s="1288"/>
      <c r="W21" s="1288"/>
      <c r="X21" s="1288"/>
      <c r="Y21" s="1288"/>
      <c r="Z21" s="1288"/>
      <c r="AA21" s="1288"/>
      <c r="AB21" s="1288"/>
      <c r="AC21" s="1288"/>
      <c r="AD21" s="1038"/>
      <c r="AE21" s="1038"/>
      <c r="AF21" s="1038"/>
      <c r="AG21" s="1038"/>
      <c r="AH21" s="1038"/>
      <c r="AI21" s="1038"/>
      <c r="AJ21" s="1038"/>
      <c r="AK21" s="1038"/>
      <c r="AL21" s="1038"/>
      <c r="AM21" s="1038"/>
      <c r="AN21" s="1038"/>
      <c r="AO21" s="1038"/>
      <c r="AP21" s="1038"/>
      <c r="AQ21" s="1038"/>
      <c r="AR21" s="1038"/>
      <c r="AS21" s="1038"/>
      <c r="AT21" s="1038"/>
      <c r="AU21" s="1038"/>
      <c r="AV21" s="1038"/>
      <c r="AW21" s="1038"/>
      <c r="AX21" s="1038"/>
      <c r="AY21" s="1038"/>
      <c r="AZ21" s="1038"/>
      <c r="BA21" s="1038"/>
      <c r="BB21" s="1038"/>
      <c r="BC21" s="1038"/>
      <c r="BD21" s="1038"/>
      <c r="BE21" s="1038"/>
    </row>
    <row r="22" spans="1:57" ht="14.25" customHeight="1" x14ac:dyDescent="0.25">
      <c r="A22" s="1288"/>
      <c r="B22" s="1299" t="s">
        <v>1327</v>
      </c>
      <c r="C22" s="481">
        <f ca="1">Feed_CO2_kgpkgH2</f>
        <v>9.2563183954344801</v>
      </c>
      <c r="D22" s="1389"/>
      <c r="E22" s="1389"/>
      <c r="F22" s="1390"/>
      <c r="G22" s="1288"/>
      <c r="H22" s="1549" t="s">
        <v>1299</v>
      </c>
      <c r="I22" s="1550"/>
      <c r="J22" s="1051" t="e">
        <f>IF(CO2_Capture_Efficiency,SUM(D36,D37,D38),0)</f>
        <v>#REF!</v>
      </c>
      <c r="K22" s="1049"/>
      <c r="L22" s="1288"/>
      <c r="M22" s="1288"/>
      <c r="N22" s="1288"/>
      <c r="O22" s="1288"/>
      <c r="P22" s="1288"/>
      <c r="Q22" s="1288"/>
      <c r="R22" s="1288"/>
      <c r="S22" s="1288"/>
      <c r="T22" s="1288"/>
      <c r="U22" s="1288"/>
      <c r="V22" s="1288"/>
      <c r="W22" s="1288"/>
      <c r="X22" s="1288"/>
      <c r="Y22" s="1288"/>
      <c r="Z22" s="1288"/>
      <c r="AA22" s="1288"/>
      <c r="AB22" s="1288"/>
      <c r="AC22" s="1288"/>
      <c r="AD22" s="1038"/>
      <c r="AE22" s="1038"/>
      <c r="AF22" s="1038"/>
      <c r="AG22" s="1038"/>
      <c r="AH22" s="1038"/>
      <c r="AI22" s="1038"/>
      <c r="AJ22" s="1038"/>
      <c r="AK22" s="1038"/>
      <c r="AL22" s="1038"/>
      <c r="AM22" s="1038"/>
      <c r="AN22" s="1038"/>
      <c r="AO22" s="1038"/>
      <c r="AP22" s="1038"/>
      <c r="AQ22" s="1038"/>
      <c r="AR22" s="1038"/>
      <c r="AS22" s="1038"/>
      <c r="AT22" s="1038"/>
      <c r="AU22" s="1038"/>
      <c r="AV22" s="1038"/>
      <c r="AW22" s="1038"/>
      <c r="AX22" s="1038"/>
      <c r="AY22" s="1038"/>
      <c r="AZ22" s="1038"/>
      <c r="BA22" s="1038"/>
      <c r="BB22" s="1038"/>
      <c r="BC22" s="1038"/>
      <c r="BD22" s="1038"/>
      <c r="BE22" s="1038"/>
    </row>
    <row r="23" spans="1:57" ht="14.25" customHeight="1" x14ac:dyDescent="0.25">
      <c r="A23" s="1288"/>
      <c r="B23" s="1299" t="s">
        <v>1324</v>
      </c>
      <c r="C23" s="1434" t="e">
        <f ca="1">Feed_CO2_MTpY/365*CO2_Capture_Efficiency</f>
        <v>#REF!</v>
      </c>
      <c r="D23" s="1389"/>
      <c r="E23" s="1389"/>
      <c r="F23" s="1390"/>
      <c r="G23" s="1288"/>
      <c r="H23" s="1549" t="s">
        <v>1300</v>
      </c>
      <c r="I23" s="1550"/>
      <c r="J23" s="1051" t="e">
        <f>IF(CO2_Capture_Efficiency,D42,0)</f>
        <v>#REF!</v>
      </c>
      <c r="K23" s="1049"/>
      <c r="L23" s="1288"/>
      <c r="M23" s="1288"/>
      <c r="N23" s="1288"/>
      <c r="O23" s="1288"/>
      <c r="P23" s="1288"/>
      <c r="Q23" s="1288"/>
      <c r="R23" s="1288"/>
      <c r="S23" s="1288"/>
      <c r="T23" s="1288"/>
      <c r="U23" s="1288"/>
      <c r="V23" s="1288"/>
      <c r="W23" s="1288"/>
      <c r="X23" s="1288"/>
      <c r="Y23" s="1288"/>
      <c r="Z23" s="1288"/>
      <c r="AA23" s="1288"/>
      <c r="AB23" s="1288"/>
      <c r="AC23" s="1288"/>
      <c r="AD23" s="1038"/>
      <c r="AE23" s="1038"/>
      <c r="AF23" s="1038"/>
      <c r="AG23" s="1038"/>
      <c r="AH23" s="1038"/>
      <c r="AI23" s="1038"/>
      <c r="AJ23" s="1038"/>
      <c r="AK23" s="1038"/>
      <c r="AL23" s="1038"/>
      <c r="AM23" s="1038"/>
      <c r="AN23" s="1038"/>
      <c r="AO23" s="1038"/>
      <c r="AP23" s="1038"/>
      <c r="AQ23" s="1038"/>
      <c r="AR23" s="1038"/>
      <c r="AS23" s="1038"/>
      <c r="AT23" s="1038"/>
      <c r="AU23" s="1038"/>
      <c r="AV23" s="1038"/>
      <c r="AW23" s="1038"/>
      <c r="AX23" s="1038"/>
      <c r="AY23" s="1038"/>
      <c r="AZ23" s="1038"/>
      <c r="BA23" s="1038"/>
      <c r="BB23" s="1038"/>
      <c r="BC23" s="1038"/>
      <c r="BD23" s="1038"/>
      <c r="BE23" s="1038"/>
    </row>
    <row r="24" spans="1:57" ht="14.25" customHeight="1" x14ac:dyDescent="0.25">
      <c r="A24" s="1288"/>
      <c r="B24" s="1299" t="s">
        <v>1325</v>
      </c>
      <c r="C24" s="1042" t="e">
        <f ca="1">CO2_flowrate*365/1000000</f>
        <v>#REF!</v>
      </c>
      <c r="D24" s="1391"/>
      <c r="E24" s="1391"/>
      <c r="F24" s="1392"/>
      <c r="G24" s="1288"/>
      <c r="H24" s="1549" t="s">
        <v>1301</v>
      </c>
      <c r="I24" s="1550"/>
      <c r="J24" s="1051" t="e">
        <f>IF(CO2_Capture_Efficiency,SUM(D39,D41),0)</f>
        <v>#REF!</v>
      </c>
      <c r="K24" s="1049"/>
      <c r="L24" s="1288"/>
      <c r="M24" s="1288"/>
      <c r="N24" s="1288"/>
      <c r="O24" s="1288"/>
      <c r="P24" s="1288"/>
      <c r="Q24" s="1288"/>
      <c r="R24" s="1288"/>
      <c r="S24" s="1288"/>
      <c r="T24" s="1288"/>
      <c r="U24" s="1288"/>
      <c r="V24" s="1288"/>
      <c r="W24" s="1288"/>
      <c r="X24" s="1288"/>
      <c r="Y24" s="1288"/>
      <c r="Z24" s="1288"/>
      <c r="AA24" s="1288"/>
      <c r="AB24" s="1288"/>
      <c r="AC24" s="1288"/>
      <c r="AD24" s="1038"/>
      <c r="AE24" s="1038"/>
      <c r="AF24" s="1038"/>
      <c r="AG24" s="1038"/>
      <c r="AH24" s="1038"/>
      <c r="AI24" s="1038"/>
      <c r="AJ24" s="1038"/>
      <c r="AK24" s="1038"/>
      <c r="AL24" s="1038"/>
      <c r="AM24" s="1038"/>
      <c r="AN24" s="1038"/>
      <c r="AO24" s="1038"/>
      <c r="AP24" s="1038"/>
      <c r="AQ24" s="1038"/>
      <c r="AR24" s="1038"/>
      <c r="AS24" s="1038"/>
      <c r="AT24" s="1038"/>
      <c r="AU24" s="1038"/>
      <c r="AV24" s="1038"/>
      <c r="AW24" s="1038"/>
      <c r="AX24" s="1038"/>
      <c r="AY24" s="1038"/>
      <c r="AZ24" s="1038"/>
      <c r="BA24" s="1038"/>
      <c r="BB24" s="1038"/>
      <c r="BC24" s="1038"/>
      <c r="BD24" s="1038"/>
      <c r="BE24" s="1038"/>
    </row>
    <row r="25" spans="1:57" ht="13.8" x14ac:dyDescent="0.25">
      <c r="A25" s="1288"/>
      <c r="B25" s="1300" t="s">
        <v>421</v>
      </c>
      <c r="C25" s="506">
        <f ca="1">HLOOKUP(startup_year,INDIRECT(TMP_PriceTable),MATCH("Industrial Electricity",INDIRECT(Energy_Feed_List),0),FALSE)*VLOOKUP("kWh",CC_feedconversion,2,FALSE)</f>
        <v>6.9980611257164108E-2</v>
      </c>
      <c r="D25" s="1558" t="s">
        <v>422</v>
      </c>
      <c r="E25" s="1558"/>
      <c r="F25" s="1559"/>
      <c r="G25" s="1288"/>
      <c r="H25" s="1560" t="s">
        <v>1302</v>
      </c>
      <c r="I25" s="1561"/>
      <c r="J25" s="1051" t="e">
        <f>+D40</f>
        <v>#REF!</v>
      </c>
      <c r="K25" s="1050"/>
      <c r="L25" s="1288"/>
      <c r="M25" s="1393"/>
      <c r="N25" s="1288"/>
      <c r="O25" s="1288"/>
      <c r="P25" s="1288"/>
      <c r="Q25" s="1288"/>
      <c r="R25" s="1288"/>
      <c r="S25" s="1288"/>
      <c r="T25" s="1288"/>
      <c r="U25" s="1288"/>
      <c r="V25" s="1288"/>
      <c r="W25" s="1288"/>
      <c r="X25" s="1288"/>
      <c r="Y25" s="1288"/>
      <c r="Z25" s="1288"/>
      <c r="AA25" s="1288"/>
      <c r="AB25" s="1288"/>
      <c r="AC25" s="1288"/>
      <c r="AD25" s="1038"/>
      <c r="AE25" s="1038"/>
      <c r="AF25" s="1038"/>
      <c r="AG25" s="1038"/>
      <c r="AH25" s="1038"/>
      <c r="AI25" s="1038"/>
      <c r="AJ25" s="1038"/>
      <c r="AK25" s="1038"/>
      <c r="AL25" s="1038"/>
      <c r="AM25" s="1038"/>
      <c r="AN25" s="1038"/>
      <c r="AO25" s="1038"/>
      <c r="AP25" s="1038"/>
      <c r="AQ25" s="1038"/>
      <c r="AR25" s="1038"/>
      <c r="AS25" s="1038"/>
      <c r="AT25" s="1038"/>
      <c r="AU25" s="1038"/>
      <c r="AV25" s="1038"/>
      <c r="AW25" s="1038"/>
      <c r="AX25" s="1038"/>
      <c r="AY25" s="1038"/>
      <c r="AZ25" s="1038"/>
      <c r="BA25" s="1038"/>
      <c r="BB25" s="1038"/>
      <c r="BC25" s="1038"/>
      <c r="BD25" s="1038"/>
      <c r="BE25" s="1038"/>
    </row>
    <row r="26" spans="1:57" ht="14.4" thickBot="1" x14ac:dyDescent="0.3">
      <c r="A26" s="1288"/>
      <c r="B26" s="1301" t="s">
        <v>1328</v>
      </c>
      <c r="C26" s="1302" t="e">
        <f>IF(CO2_Capture_Efficiency,IF(C21=0,0,C58),0)</f>
        <v>#REF!</v>
      </c>
      <c r="D26" s="1551"/>
      <c r="E26" s="1551"/>
      <c r="F26" s="1552"/>
      <c r="G26" s="1288"/>
      <c r="H26" s="1560" t="s">
        <v>1317</v>
      </c>
      <c r="I26" s="1561"/>
      <c r="J26" s="1051" t="e">
        <f>+D43</f>
        <v>#REF!</v>
      </c>
      <c r="K26" s="1050"/>
      <c r="L26" s="1288"/>
      <c r="M26" s="1288"/>
      <c r="N26" s="1288"/>
      <c r="O26" s="1288"/>
      <c r="P26" s="1288"/>
      <c r="Q26" s="1288"/>
      <c r="R26" s="1288"/>
      <c r="S26" s="1288"/>
      <c r="T26" s="1288"/>
      <c r="U26" s="1288"/>
      <c r="V26" s="1288"/>
      <c r="W26" s="1288"/>
      <c r="X26" s="1288"/>
      <c r="Y26" s="1288"/>
      <c r="Z26" s="1288"/>
      <c r="AA26" s="1288"/>
      <c r="AB26" s="1288"/>
      <c r="AC26" s="1288"/>
      <c r="AD26" s="1038"/>
      <c r="AE26" s="1038"/>
      <c r="AF26" s="1038"/>
      <c r="AG26" s="1038"/>
      <c r="AH26" s="1038"/>
      <c r="AI26" s="1038"/>
      <c r="AJ26" s="1038"/>
      <c r="AK26" s="1038"/>
      <c r="AL26" s="1038"/>
      <c r="AM26" s="1038"/>
      <c r="AN26" s="1038"/>
      <c r="AO26" s="1038"/>
      <c r="AP26" s="1038"/>
      <c r="AQ26" s="1038"/>
      <c r="AR26" s="1038"/>
      <c r="AS26" s="1038"/>
      <c r="AT26" s="1038"/>
      <c r="AU26" s="1038"/>
      <c r="AV26" s="1038"/>
      <c r="AW26" s="1038"/>
      <c r="AX26" s="1038"/>
      <c r="AY26" s="1038"/>
      <c r="AZ26" s="1038"/>
      <c r="BA26" s="1038"/>
      <c r="BB26" s="1038"/>
      <c r="BC26" s="1038"/>
      <c r="BD26" s="1038"/>
      <c r="BE26" s="1038"/>
    </row>
    <row r="27" spans="1:57" ht="18.75" customHeight="1" thickBot="1" x14ac:dyDescent="0.3">
      <c r="A27" s="1288"/>
      <c r="B27" s="1288"/>
      <c r="C27" s="1288"/>
      <c r="D27" s="1288"/>
      <c r="E27" s="1288"/>
      <c r="F27" s="1288"/>
      <c r="G27" s="1288"/>
      <c r="H27" s="1567" t="s">
        <v>1318</v>
      </c>
      <c r="I27" s="1568"/>
      <c r="J27" s="1394" t="e">
        <f>+D44</f>
        <v>#REF!</v>
      </c>
      <c r="K27" s="1323"/>
      <c r="L27" s="1288"/>
      <c r="M27" s="1288"/>
      <c r="N27" s="1288"/>
      <c r="O27" s="1288"/>
      <c r="P27" s="1288"/>
      <c r="Q27" s="1288"/>
      <c r="R27" s="1288"/>
      <c r="S27" s="1288"/>
      <c r="T27" s="1288"/>
      <c r="U27" s="1288"/>
      <c r="V27" s="1288"/>
      <c r="W27" s="1288"/>
      <c r="X27" s="1288"/>
      <c r="Y27" s="1288"/>
      <c r="Z27" s="1288"/>
      <c r="AA27" s="1288"/>
      <c r="AB27" s="1288"/>
      <c r="AC27" s="1288"/>
      <c r="AD27" s="1038"/>
      <c r="AE27" s="1038"/>
      <c r="AF27" s="1038"/>
      <c r="AG27" s="1038"/>
      <c r="AH27" s="1038"/>
      <c r="AI27" s="1038"/>
      <c r="AJ27" s="1038"/>
      <c r="AK27" s="1038"/>
      <c r="AL27" s="1038"/>
      <c r="AM27" s="1038"/>
      <c r="AN27" s="1038"/>
      <c r="AO27" s="1038"/>
      <c r="AP27" s="1038"/>
      <c r="AQ27" s="1038"/>
      <c r="AR27" s="1038"/>
      <c r="AS27" s="1038"/>
      <c r="AT27" s="1038"/>
      <c r="AU27" s="1038"/>
      <c r="AV27" s="1038"/>
      <c r="AW27" s="1038"/>
      <c r="AX27" s="1038"/>
      <c r="AY27" s="1038"/>
      <c r="AZ27" s="1038"/>
      <c r="BA27" s="1038"/>
      <c r="BB27" s="1038"/>
      <c r="BC27" s="1038"/>
      <c r="BD27" s="1038"/>
      <c r="BE27" s="1038"/>
    </row>
    <row r="28" spans="1:57" ht="18.600000000000001" thickTop="1" thickBot="1" x14ac:dyDescent="0.3">
      <c r="A28" s="1288"/>
      <c r="B28" s="1395" t="s">
        <v>408</v>
      </c>
      <c r="C28" s="1396"/>
      <c r="D28" s="1397"/>
      <c r="E28" s="1397"/>
      <c r="F28" s="1398"/>
      <c r="G28" s="1288"/>
      <c r="H28" s="1572" t="s">
        <v>1303</v>
      </c>
      <c r="I28" s="1573"/>
      <c r="J28" s="1324" t="e">
        <f>IF(CO2_Capture_Efficiency,SUM(J22:J27),0)</f>
        <v>#REF!</v>
      </c>
      <c r="K28" s="1322" t="str">
        <f>"Total ("&amp;ref_year&amp;"$)"</f>
        <v>Total (2016$)</v>
      </c>
      <c r="L28" s="1288"/>
      <c r="M28" s="1288"/>
      <c r="N28" s="1288"/>
      <c r="O28" s="1288"/>
      <c r="P28" s="1288"/>
      <c r="Q28" s="1288"/>
      <c r="R28" s="1288"/>
      <c r="S28" s="1288"/>
      <c r="T28" s="1288"/>
      <c r="U28" s="1288"/>
      <c r="V28" s="1288"/>
      <c r="W28" s="1288"/>
      <c r="X28" s="1288"/>
      <c r="Y28" s="1288"/>
      <c r="Z28" s="1288"/>
      <c r="AA28" s="1288"/>
      <c r="AB28" s="1288"/>
      <c r="AC28" s="1288"/>
      <c r="AD28" s="1038"/>
      <c r="AE28" s="1038"/>
      <c r="AF28" s="1038"/>
      <c r="AG28" s="1038"/>
      <c r="AH28" s="1038"/>
      <c r="AI28" s="1038"/>
      <c r="AJ28" s="1038"/>
      <c r="AK28" s="1038"/>
      <c r="AL28" s="1038"/>
      <c r="AM28" s="1038"/>
      <c r="AN28" s="1038"/>
      <c r="AO28" s="1038"/>
      <c r="AP28" s="1038"/>
      <c r="AQ28" s="1038"/>
      <c r="AR28" s="1038"/>
      <c r="AS28" s="1038"/>
      <c r="AT28" s="1038"/>
      <c r="AU28" s="1038"/>
      <c r="AV28" s="1038"/>
      <c r="AW28" s="1038"/>
      <c r="AX28" s="1038"/>
      <c r="AY28" s="1038"/>
      <c r="AZ28" s="1038"/>
      <c r="BA28" s="1038"/>
      <c r="BB28" s="1038"/>
      <c r="BC28" s="1038"/>
      <c r="BD28" s="1038"/>
      <c r="BE28" s="1038"/>
    </row>
    <row r="29" spans="1:57" ht="14.4" thickBot="1" x14ac:dyDescent="0.3">
      <c r="A29" s="1288"/>
      <c r="B29" s="1294" t="s">
        <v>1187</v>
      </c>
      <c r="C29" s="1399"/>
      <c r="D29" s="1399"/>
      <c r="E29" s="1399"/>
      <c r="F29" s="1400"/>
      <c r="G29" s="1288"/>
      <c r="H29" s="1288"/>
      <c r="I29" s="1288"/>
      <c r="J29" s="1288"/>
      <c r="K29" s="1288"/>
      <c r="L29" s="1288"/>
      <c r="M29" s="1288"/>
      <c r="N29" s="1288"/>
      <c r="O29" s="1288"/>
      <c r="P29" s="1288"/>
      <c r="Q29" s="1288"/>
      <c r="R29" s="1288"/>
      <c r="S29" s="1288"/>
      <c r="T29" s="1288"/>
      <c r="U29" s="1288"/>
      <c r="V29" s="1288"/>
      <c r="W29" s="1288"/>
      <c r="X29" s="1288"/>
      <c r="Y29" s="1288"/>
      <c r="Z29" s="1288"/>
      <c r="AA29" s="1288"/>
      <c r="AB29" s="1288"/>
      <c r="AC29" s="1288"/>
      <c r="AD29" s="1038"/>
      <c r="AE29" s="1038"/>
      <c r="AF29" s="1038"/>
      <c r="AG29" s="1038"/>
      <c r="AH29" s="1038"/>
      <c r="AI29" s="1038"/>
      <c r="AJ29" s="1038"/>
      <c r="AK29" s="1038"/>
      <c r="AL29" s="1038"/>
      <c r="AM29" s="1038"/>
      <c r="AN29" s="1038"/>
      <c r="AO29" s="1038"/>
      <c r="AP29" s="1038"/>
      <c r="AQ29" s="1038"/>
      <c r="AR29" s="1038"/>
      <c r="AS29" s="1038"/>
      <c r="AT29" s="1038"/>
      <c r="AU29" s="1038"/>
      <c r="AV29" s="1038"/>
      <c r="AW29" s="1038"/>
      <c r="AX29" s="1038"/>
      <c r="AY29" s="1038"/>
      <c r="AZ29" s="1038"/>
      <c r="BA29" s="1038"/>
      <c r="BB29" s="1038"/>
      <c r="BC29" s="1038"/>
      <c r="BD29" s="1038"/>
      <c r="BE29" s="1038"/>
    </row>
    <row r="30" spans="1:57" ht="14.4" customHeight="1" x14ac:dyDescent="0.25">
      <c r="A30" s="1288"/>
      <c r="B30" s="1292" t="s">
        <v>981</v>
      </c>
      <c r="C30" s="1684" t="e">
        <f>+ProcessFlow!#REF!</f>
        <v>#REF!</v>
      </c>
      <c r="D30" s="1401"/>
      <c r="E30" s="1562" t="s">
        <v>1194</v>
      </c>
      <c r="F30" s="1563"/>
      <c r="G30" s="1288"/>
      <c r="H30" s="1569" t="s">
        <v>806</v>
      </c>
      <c r="I30" s="1570"/>
      <c r="J30" s="1570"/>
      <c r="K30" s="1317"/>
      <c r="L30" s="1288"/>
      <c r="M30" s="1288"/>
      <c r="N30" s="1288"/>
      <c r="O30" s="1288"/>
      <c r="P30" s="1288"/>
      <c r="Q30" s="1288"/>
      <c r="R30" s="1288"/>
      <c r="S30" s="1288"/>
      <c r="T30" s="1288"/>
      <c r="U30" s="1288"/>
      <c r="V30" s="1288"/>
      <c r="W30" s="1288"/>
      <c r="X30" s="1288"/>
      <c r="Y30" s="1288"/>
      <c r="Z30" s="1288"/>
      <c r="AA30" s="1288"/>
      <c r="AB30" s="1288"/>
      <c r="AC30" s="1288"/>
      <c r="AD30" s="1038"/>
      <c r="AE30" s="1038"/>
      <c r="AF30" s="1038"/>
      <c r="AG30" s="1038"/>
      <c r="AH30" s="1038"/>
      <c r="AI30" s="1038"/>
      <c r="AJ30" s="1038"/>
      <c r="AK30" s="1038"/>
      <c r="AL30" s="1038"/>
      <c r="AM30" s="1038"/>
      <c r="AN30" s="1038"/>
      <c r="AO30" s="1038"/>
      <c r="AP30" s="1038"/>
      <c r="AQ30" s="1038"/>
      <c r="AR30" s="1038"/>
      <c r="AS30" s="1038"/>
      <c r="AT30" s="1038"/>
      <c r="AU30" s="1038"/>
      <c r="AV30" s="1038"/>
      <c r="AW30" s="1038"/>
      <c r="AX30" s="1038"/>
      <c r="AY30" s="1038"/>
      <c r="AZ30" s="1038"/>
      <c r="BA30" s="1038"/>
      <c r="BB30" s="1038"/>
      <c r="BC30" s="1038"/>
      <c r="BD30" s="1038"/>
      <c r="BE30" s="1038"/>
    </row>
    <row r="31" spans="1:57" ht="13.8" x14ac:dyDescent="0.25">
      <c r="A31" s="1288"/>
      <c r="B31" s="1292" t="s">
        <v>1323</v>
      </c>
      <c r="C31" s="1683">
        <v>100</v>
      </c>
      <c r="D31" s="1401"/>
      <c r="E31" s="1328"/>
      <c r="F31" s="1329"/>
      <c r="G31" s="1288"/>
      <c r="H31" s="1571" t="s">
        <v>1319</v>
      </c>
      <c r="I31" s="1550"/>
      <c r="J31" s="1051" t="e">
        <f>IF(CO2_Capture_Efficiency,CO2_flowrate_GTpY*1000000*C57*feedstockIndustrial_Electricity_Price,0)</f>
        <v>#REF!</v>
      </c>
      <c r="K31" s="1318"/>
      <c r="L31" s="1288"/>
      <c r="M31" s="1288"/>
      <c r="N31" s="1288"/>
      <c r="O31" s="1288"/>
      <c r="P31" s="1288"/>
      <c r="Q31" s="1288"/>
      <c r="R31" s="1288"/>
      <c r="S31" s="1288"/>
      <c r="T31" s="1288"/>
      <c r="U31" s="1288"/>
      <c r="V31" s="1288"/>
      <c r="W31" s="1288"/>
      <c r="X31" s="1288"/>
      <c r="Y31" s="1288"/>
      <c r="Z31" s="1288"/>
      <c r="AA31" s="1288"/>
      <c r="AB31" s="1288"/>
      <c r="AC31" s="1288"/>
      <c r="AD31" s="1038"/>
      <c r="AE31" s="1038"/>
      <c r="AF31" s="1038"/>
      <c r="AG31" s="1038"/>
      <c r="AH31" s="1038"/>
      <c r="AI31" s="1038"/>
      <c r="AJ31" s="1038"/>
      <c r="AK31" s="1038"/>
      <c r="AL31" s="1038"/>
      <c r="AM31" s="1038"/>
      <c r="AN31" s="1038"/>
      <c r="AO31" s="1038"/>
      <c r="AP31" s="1038"/>
      <c r="AQ31" s="1038"/>
      <c r="AR31" s="1038"/>
      <c r="AS31" s="1038"/>
      <c r="AT31" s="1038"/>
      <c r="AU31" s="1038"/>
      <c r="AV31" s="1038"/>
      <c r="AW31" s="1038"/>
      <c r="AX31" s="1038"/>
      <c r="AY31" s="1038"/>
      <c r="AZ31" s="1038"/>
      <c r="BA31" s="1038"/>
      <c r="BB31" s="1038"/>
      <c r="BC31" s="1038"/>
      <c r="BD31" s="1038"/>
      <c r="BE31" s="1038"/>
    </row>
    <row r="32" spans="1:57" ht="14.4" thickBot="1" x14ac:dyDescent="0.3">
      <c r="A32" s="1288"/>
      <c r="B32" s="1292" t="s">
        <v>1329</v>
      </c>
      <c r="C32" s="1685">
        <v>0</v>
      </c>
      <c r="D32" s="1401"/>
      <c r="E32" s="1330"/>
      <c r="F32" s="1331"/>
      <c r="G32" s="1288"/>
      <c r="H32" s="1319"/>
      <c r="I32" s="1320"/>
      <c r="J32" s="1327" t="e">
        <f>IF(CO2_Capture_Efficiency,SUM(J31:J31),0)</f>
        <v>#REF!</v>
      </c>
      <c r="K32" s="1321" t="str">
        <f>"Total ("&amp;ref_year&amp;"$)"</f>
        <v>Total (2016$)</v>
      </c>
      <c r="L32" s="1288"/>
      <c r="M32" s="1288"/>
      <c r="N32" s="1288"/>
      <c r="O32" s="1288"/>
      <c r="P32" s="1288"/>
      <c r="Q32" s="1288"/>
      <c r="R32" s="1288"/>
      <c r="S32" s="1288"/>
      <c r="T32" s="1288"/>
      <c r="U32" s="1288"/>
      <c r="V32" s="1288"/>
      <c r="W32" s="1288"/>
      <c r="X32" s="1288"/>
      <c r="Y32" s="1288"/>
      <c r="Z32" s="1288"/>
      <c r="AA32" s="1288"/>
      <c r="AB32" s="1288"/>
      <c r="AC32" s="1288"/>
      <c r="AD32" s="1038"/>
      <c r="AE32" s="1038"/>
      <c r="AF32" s="1038"/>
      <c r="AG32" s="1038"/>
      <c r="AH32" s="1038"/>
      <c r="AI32" s="1038"/>
      <c r="AJ32" s="1038"/>
      <c r="AK32" s="1038"/>
      <c r="AL32" s="1038"/>
      <c r="AM32" s="1038"/>
      <c r="AN32" s="1038"/>
      <c r="AO32" s="1038"/>
      <c r="AP32" s="1038"/>
      <c r="AQ32" s="1038"/>
      <c r="AR32" s="1038"/>
      <c r="AS32" s="1038"/>
      <c r="AT32" s="1038"/>
      <c r="AU32" s="1038"/>
      <c r="AV32" s="1038"/>
      <c r="AW32" s="1038"/>
      <c r="AX32" s="1038"/>
      <c r="AY32" s="1038"/>
      <c r="AZ32" s="1038"/>
      <c r="BA32" s="1038"/>
      <c r="BB32" s="1038"/>
      <c r="BC32" s="1038"/>
      <c r="BD32" s="1038"/>
      <c r="BE32" s="1038"/>
    </row>
    <row r="33" spans="1:57" ht="13.95" customHeight="1" thickBot="1" x14ac:dyDescent="0.3">
      <c r="A33" s="1288"/>
      <c r="B33" s="1293" t="s">
        <v>0</v>
      </c>
      <c r="C33" s="1686">
        <f ca="1">+'Cash Flow Analysis'!E22</f>
        <v>0.10185220882315059</v>
      </c>
      <c r="D33" s="1402"/>
      <c r="E33" s="1565"/>
      <c r="F33" s="1566"/>
      <c r="G33" s="1288"/>
      <c r="H33" s="1288"/>
      <c r="I33" s="1288"/>
      <c r="J33" s="1288"/>
      <c r="K33" s="1288"/>
      <c r="L33" s="1288"/>
      <c r="M33" s="1288"/>
      <c r="N33" s="1288"/>
      <c r="O33" s="1288"/>
      <c r="P33" s="1288"/>
      <c r="Q33" s="1288"/>
      <c r="R33" s="1288"/>
      <c r="S33" s="1288"/>
      <c r="T33" s="1288"/>
      <c r="U33" s="1288"/>
      <c r="V33" s="1288"/>
      <c r="W33" s="1288"/>
      <c r="X33" s="1288"/>
      <c r="Y33" s="1288"/>
      <c r="Z33" s="1288"/>
      <c r="AA33" s="1288"/>
      <c r="AB33" s="1288"/>
      <c r="AC33" s="1288"/>
      <c r="AD33" s="1038"/>
      <c r="AE33" s="1038"/>
      <c r="AF33" s="1038"/>
      <c r="AG33" s="1038"/>
      <c r="AH33" s="1038"/>
      <c r="AI33" s="1038"/>
      <c r="AJ33" s="1038"/>
      <c r="AK33" s="1038"/>
      <c r="AL33" s="1038"/>
      <c r="AM33" s="1038"/>
      <c r="AN33" s="1038"/>
      <c r="AO33" s="1038"/>
      <c r="AP33" s="1038"/>
      <c r="AQ33" s="1038"/>
      <c r="AR33" s="1038"/>
      <c r="AS33" s="1038"/>
      <c r="AT33" s="1038"/>
      <c r="AU33" s="1038"/>
      <c r="AV33" s="1038"/>
      <c r="AW33" s="1038"/>
      <c r="AX33" s="1038"/>
      <c r="AY33" s="1038"/>
      <c r="AZ33" s="1038"/>
      <c r="BA33" s="1038"/>
      <c r="BB33" s="1038"/>
      <c r="BC33" s="1038"/>
      <c r="BD33" s="1038"/>
      <c r="BE33" s="1038"/>
    </row>
    <row r="34" spans="1:57" ht="13.95" customHeight="1" thickTop="1" thickBot="1" x14ac:dyDescent="0.3">
      <c r="A34" s="1288"/>
      <c r="B34" s="1288"/>
      <c r="C34" s="1687"/>
      <c r="D34" s="1288"/>
      <c r="E34" s="1288"/>
      <c r="F34" s="1288"/>
      <c r="G34" s="1288"/>
      <c r="H34" s="1569" t="s">
        <v>807</v>
      </c>
      <c r="I34" s="1570"/>
      <c r="J34" s="1570"/>
      <c r="K34" s="1317"/>
      <c r="L34" s="1288"/>
      <c r="M34" s="1288"/>
      <c r="N34" s="1288"/>
      <c r="O34" s="1288"/>
      <c r="P34" s="1288"/>
      <c r="Q34" s="1288"/>
      <c r="R34" s="1288"/>
      <c r="S34" s="1288"/>
      <c r="T34" s="1288"/>
      <c r="U34" s="1288"/>
      <c r="V34" s="1288"/>
      <c r="W34" s="1288"/>
      <c r="X34" s="1288"/>
      <c r="Y34" s="1288"/>
      <c r="Z34" s="1288"/>
      <c r="AA34" s="1288"/>
      <c r="AB34" s="1288"/>
      <c r="AC34" s="1288"/>
      <c r="AD34" s="1038"/>
      <c r="AE34" s="1038"/>
      <c r="AF34" s="1038"/>
      <c r="AG34" s="1038"/>
      <c r="AH34" s="1038"/>
      <c r="AI34" s="1038"/>
      <c r="AJ34" s="1038"/>
      <c r="AK34" s="1038"/>
      <c r="AL34" s="1038"/>
      <c r="AM34" s="1038"/>
      <c r="AN34" s="1038"/>
      <c r="AO34" s="1038"/>
      <c r="AP34" s="1038"/>
      <c r="AQ34" s="1038"/>
      <c r="AR34" s="1038"/>
      <c r="AS34" s="1038"/>
      <c r="AT34" s="1038"/>
      <c r="AU34" s="1038"/>
      <c r="AV34" s="1038"/>
      <c r="AW34" s="1038"/>
      <c r="AX34" s="1038"/>
      <c r="AY34" s="1038"/>
      <c r="AZ34" s="1038"/>
      <c r="BA34" s="1038"/>
      <c r="BB34" s="1038"/>
      <c r="BC34" s="1038"/>
      <c r="BD34" s="1038"/>
      <c r="BE34" s="1038"/>
    </row>
    <row r="35" spans="1:57" ht="13.95" customHeight="1" thickBot="1" x14ac:dyDescent="0.35">
      <c r="A35" s="1288"/>
      <c r="B35" s="1332" t="s">
        <v>1281</v>
      </c>
      <c r="C35" s="1688" t="str">
        <f>"Cost in $"&amp;2011&amp;" Dollars"</f>
        <v>Cost in $2011 Dollars</v>
      </c>
      <c r="D35" s="1333" t="str">
        <f>"Cost in $"&amp;ref_year&amp;" Dollars"</f>
        <v>Cost in $2016 Dollars</v>
      </c>
      <c r="E35" s="1399"/>
      <c r="F35" s="1403"/>
      <c r="G35" s="1288"/>
      <c r="H35" s="1571" t="s">
        <v>1336</v>
      </c>
      <c r="I35" s="1550"/>
      <c r="J35" s="1051" t="e">
        <f ca="1">-Feed_CO2_MTpY*CO2_Capture_Efficiency*CO2_credit</f>
        <v>#REF!</v>
      </c>
      <c r="K35" s="1318"/>
      <c r="L35" s="1288"/>
      <c r="M35" s="1288"/>
      <c r="N35" s="1288"/>
      <c r="O35" s="1288"/>
      <c r="P35" s="1288"/>
      <c r="Q35" s="1288"/>
      <c r="R35" s="1288"/>
      <c r="S35" s="1288"/>
      <c r="T35" s="1288"/>
      <c r="U35" s="1288"/>
      <c r="V35" s="1288"/>
      <c r="W35" s="1288"/>
      <c r="X35" s="1288"/>
      <c r="Y35" s="1288"/>
      <c r="Z35" s="1288"/>
      <c r="AA35" s="1288"/>
      <c r="AB35" s="1288"/>
      <c r="AC35" s="1288"/>
      <c r="AD35" s="1038"/>
      <c r="AE35" s="1038"/>
      <c r="AF35" s="1038"/>
      <c r="AG35" s="1038"/>
      <c r="AH35" s="1038"/>
      <c r="AI35" s="1038"/>
      <c r="AJ35" s="1038"/>
      <c r="AK35" s="1038"/>
      <c r="AL35" s="1038"/>
      <c r="AM35" s="1038"/>
      <c r="AN35" s="1038"/>
      <c r="AO35" s="1038"/>
      <c r="AP35" s="1038"/>
      <c r="AQ35" s="1038"/>
      <c r="AR35" s="1038"/>
      <c r="AS35" s="1038"/>
      <c r="AT35" s="1038"/>
      <c r="AU35" s="1038"/>
      <c r="AV35" s="1038"/>
      <c r="AW35" s="1038"/>
      <c r="AX35" s="1038"/>
      <c r="AY35" s="1038"/>
      <c r="AZ35" s="1038"/>
      <c r="BA35" s="1038"/>
      <c r="BB35" s="1038"/>
      <c r="BC35" s="1038"/>
      <c r="BD35" s="1038"/>
      <c r="BE35" s="1038"/>
    </row>
    <row r="36" spans="1:57" ht="13.95" customHeight="1" x14ac:dyDescent="0.25">
      <c r="A36" s="1288"/>
      <c r="B36" s="1334" t="s">
        <v>1279</v>
      </c>
      <c r="C36" s="1689" t="e">
        <f>IF(CO2_Capture_Efficiency&gt;0,AB73*C54,0)</f>
        <v>#REF!</v>
      </c>
      <c r="D36" s="1335" t="e">
        <f t="shared" ref="D36:D45" si="0">+C36*$C$51*$C$52</f>
        <v>#REF!</v>
      </c>
      <c r="E36" s="1562"/>
      <c r="F36" s="1564"/>
      <c r="G36" s="1288"/>
      <c r="H36" s="1571" t="s">
        <v>1337</v>
      </c>
      <c r="I36" s="1550"/>
      <c r="J36" s="1051" t="e">
        <f>IF(CO2_Capture_Efficiency,C64*$C$51*$C$52,0)</f>
        <v>#REF!</v>
      </c>
      <c r="K36" s="1318"/>
      <c r="L36" s="1288"/>
      <c r="M36" s="1288"/>
      <c r="N36" s="1288"/>
      <c r="O36" s="1288"/>
      <c r="P36" s="1288"/>
      <c r="Q36" s="1288"/>
      <c r="R36" s="1288"/>
      <c r="S36" s="1288"/>
      <c r="T36" s="1288"/>
      <c r="U36" s="1288"/>
      <c r="V36" s="1288"/>
      <c r="W36" s="1288"/>
      <c r="X36" s="1288"/>
      <c r="Y36" s="1288"/>
      <c r="Z36" s="1288"/>
      <c r="AA36" s="1288"/>
      <c r="AB36" s="1288"/>
      <c r="AC36" s="1288"/>
      <c r="AD36" s="1038"/>
      <c r="AE36" s="1038"/>
      <c r="AF36" s="1038"/>
      <c r="AG36" s="1038"/>
      <c r="AH36" s="1038"/>
      <c r="AI36" s="1038"/>
      <c r="AJ36" s="1038"/>
      <c r="AK36" s="1038"/>
      <c r="AL36" s="1038"/>
      <c r="AM36" s="1038"/>
      <c r="AN36" s="1038"/>
      <c r="AO36" s="1038"/>
      <c r="AP36" s="1038"/>
      <c r="AQ36" s="1038"/>
      <c r="AR36" s="1038"/>
      <c r="AS36" s="1038"/>
      <c r="AT36" s="1038"/>
      <c r="AU36" s="1038"/>
      <c r="AV36" s="1038"/>
      <c r="AW36" s="1038"/>
      <c r="AX36" s="1038"/>
      <c r="AY36" s="1038"/>
      <c r="AZ36" s="1038"/>
      <c r="BA36" s="1038"/>
      <c r="BB36" s="1038"/>
      <c r="BC36" s="1038"/>
      <c r="BD36" s="1038"/>
      <c r="BE36" s="1038"/>
    </row>
    <row r="37" spans="1:57" ht="13.95" customHeight="1" x14ac:dyDescent="0.25">
      <c r="A37" s="1288"/>
      <c r="B37" s="1296" t="s">
        <v>1285</v>
      </c>
      <c r="C37" s="1690" t="e">
        <f>IF(CO2_Capture_Efficiency&gt;0,AB97*C54,0)</f>
        <v>#REF!</v>
      </c>
      <c r="D37" s="1312" t="e">
        <f t="shared" si="0"/>
        <v>#REF!</v>
      </c>
      <c r="E37" s="1562"/>
      <c r="F37" s="1564"/>
      <c r="G37" s="1288"/>
      <c r="H37" s="1571" t="s">
        <v>1317</v>
      </c>
      <c r="I37" s="1550"/>
      <c r="J37" s="1051" t="e">
        <f>IF(CO2_Capture_Efficiency&gt;0,J26*E270,0)</f>
        <v>#REF!</v>
      </c>
      <c r="K37" s="1318"/>
      <c r="L37" s="1288"/>
      <c r="M37" s="1288"/>
      <c r="N37" s="1288"/>
      <c r="O37" s="1288"/>
      <c r="P37" s="1288"/>
      <c r="Q37" s="1288"/>
      <c r="R37" s="1288"/>
      <c r="S37" s="1288"/>
      <c r="T37" s="1288"/>
      <c r="U37" s="1288"/>
      <c r="V37" s="1288"/>
      <c r="W37" s="1288"/>
      <c r="X37" s="1288"/>
      <c r="Y37" s="1288"/>
      <c r="Z37" s="1288"/>
      <c r="AA37" s="1288"/>
      <c r="AB37" s="1288"/>
      <c r="AC37" s="1288"/>
      <c r="AD37" s="1038"/>
      <c r="AE37" s="1038"/>
      <c r="AF37" s="1038"/>
      <c r="AG37" s="1038"/>
      <c r="AH37" s="1038"/>
      <c r="AI37" s="1038"/>
      <c r="AJ37" s="1038"/>
      <c r="AK37" s="1038"/>
      <c r="AL37" s="1038"/>
      <c r="AM37" s="1038"/>
      <c r="AN37" s="1038"/>
      <c r="AO37" s="1038"/>
      <c r="AP37" s="1038"/>
      <c r="AQ37" s="1038"/>
      <c r="AR37" s="1038"/>
      <c r="AS37" s="1038"/>
      <c r="AT37" s="1038"/>
      <c r="AU37" s="1038"/>
      <c r="AV37" s="1038"/>
      <c r="AW37" s="1038"/>
      <c r="AX37" s="1038"/>
      <c r="AY37" s="1038"/>
      <c r="AZ37" s="1038"/>
      <c r="BA37" s="1038"/>
      <c r="BB37" s="1038"/>
      <c r="BC37" s="1038"/>
      <c r="BD37" s="1038"/>
      <c r="BE37" s="1038"/>
    </row>
    <row r="38" spans="1:57" ht="13.8" x14ac:dyDescent="0.25">
      <c r="A38" s="1288"/>
      <c r="B38" s="1296" t="s">
        <v>1280</v>
      </c>
      <c r="C38" s="1690" t="e">
        <f>IF(CO2_Capture_Efficiency&gt;0,AB121*C54,0)</f>
        <v>#REF!</v>
      </c>
      <c r="D38" s="1312" t="e">
        <f t="shared" si="0"/>
        <v>#REF!</v>
      </c>
      <c r="E38" s="1562"/>
      <c r="F38" s="1564"/>
      <c r="G38" s="1288"/>
      <c r="H38" s="1571" t="s">
        <v>1318</v>
      </c>
      <c r="I38" s="1550"/>
      <c r="J38" s="1051" t="e">
        <f>IF(CO2_Capture_Efficiency&gt;0,F270*J27,0)</f>
        <v>#REF!</v>
      </c>
      <c r="K38" s="1318"/>
      <c r="L38" s="1288"/>
      <c r="M38" s="1288"/>
      <c r="N38" s="1288"/>
      <c r="O38" s="1288"/>
      <c r="P38" s="1288"/>
      <c r="Q38" s="1288"/>
      <c r="R38" s="1288"/>
      <c r="S38" s="1288"/>
      <c r="T38" s="1288"/>
      <c r="U38" s="1288"/>
      <c r="V38" s="1288"/>
      <c r="W38" s="1288"/>
      <c r="X38" s="1288"/>
      <c r="Y38" s="1288"/>
      <c r="Z38" s="1288"/>
      <c r="AA38" s="1288"/>
      <c r="AB38" s="1288"/>
      <c r="AC38" s="1288"/>
      <c r="AD38" s="1038"/>
      <c r="AE38" s="1038"/>
      <c r="AF38" s="1038"/>
      <c r="AG38" s="1038"/>
      <c r="AH38" s="1038"/>
      <c r="AI38" s="1038"/>
      <c r="AJ38" s="1038"/>
      <c r="AK38" s="1038"/>
      <c r="AL38" s="1038"/>
      <c r="AM38" s="1038"/>
      <c r="AN38" s="1038"/>
      <c r="AO38" s="1038"/>
      <c r="AP38" s="1038"/>
      <c r="AQ38" s="1038"/>
      <c r="AR38" s="1038"/>
      <c r="AS38" s="1038"/>
      <c r="AT38" s="1038"/>
      <c r="AU38" s="1038"/>
      <c r="AV38" s="1038"/>
      <c r="AW38" s="1038"/>
      <c r="AX38" s="1038"/>
      <c r="AY38" s="1038"/>
      <c r="AZ38" s="1038"/>
      <c r="BA38" s="1038"/>
      <c r="BB38" s="1038"/>
      <c r="BC38" s="1038"/>
      <c r="BD38" s="1038"/>
      <c r="BE38" s="1038"/>
    </row>
    <row r="39" spans="1:57" ht="14.4" thickBot="1" x14ac:dyDescent="0.3">
      <c r="A39" s="1288"/>
      <c r="B39" s="1296" t="s">
        <v>1284</v>
      </c>
      <c r="C39" s="1690" t="e">
        <f>IF(CO2_Capture_Efficiency&gt;0,AB193*C54*C55,0)</f>
        <v>#REF!</v>
      </c>
      <c r="D39" s="1312" t="e">
        <f t="shared" si="0"/>
        <v>#REF!</v>
      </c>
      <c r="E39" s="1562"/>
      <c r="F39" s="1564"/>
      <c r="G39" s="1288"/>
      <c r="H39" s="1325"/>
      <c r="I39" s="1326"/>
      <c r="J39" s="1327" t="e">
        <f>IF(CO2_Capture_Efficiency&gt;0,SUM(J35:J38),0)</f>
        <v>#REF!</v>
      </c>
      <c r="K39" s="1321" t="str">
        <f>"Total  ("&amp;ref_year&amp;"$)"</f>
        <v>Total  (2016$)</v>
      </c>
      <c r="L39" s="1288"/>
      <c r="M39" s="1288"/>
      <c r="N39" s="1288"/>
      <c r="O39" s="1288"/>
      <c r="P39" s="1288"/>
      <c r="Q39" s="1288"/>
      <c r="R39" s="1288"/>
      <c r="S39" s="1288"/>
      <c r="T39" s="1288"/>
      <c r="U39" s="1288"/>
      <c r="V39" s="1288"/>
      <c r="W39" s="1288"/>
      <c r="X39" s="1288"/>
      <c r="Y39" s="1288"/>
      <c r="Z39" s="1288"/>
      <c r="AA39" s="1288"/>
      <c r="AB39" s="1288"/>
      <c r="AC39" s="1288"/>
      <c r="AD39" s="1038"/>
      <c r="AE39" s="1038"/>
      <c r="AF39" s="1038"/>
      <c r="AG39" s="1038"/>
      <c r="AH39" s="1038"/>
      <c r="AI39" s="1038"/>
      <c r="AJ39" s="1038"/>
      <c r="AK39" s="1038"/>
      <c r="AL39" s="1038"/>
      <c r="AM39" s="1038"/>
      <c r="AN39" s="1038"/>
      <c r="AO39" s="1038"/>
      <c r="AP39" s="1038"/>
      <c r="AQ39" s="1038"/>
      <c r="AR39" s="1038"/>
      <c r="AS39" s="1038"/>
      <c r="AT39" s="1038"/>
      <c r="AU39" s="1038"/>
      <c r="AV39" s="1038"/>
      <c r="AW39" s="1038"/>
      <c r="AX39" s="1038"/>
      <c r="AY39" s="1038"/>
      <c r="AZ39" s="1038"/>
      <c r="BA39" s="1038"/>
      <c r="BB39" s="1038"/>
      <c r="BC39" s="1038"/>
      <c r="BD39" s="1038"/>
      <c r="BE39" s="1038"/>
    </row>
    <row r="40" spans="1:57" ht="13.8" thickBot="1" x14ac:dyDescent="0.3">
      <c r="A40" s="1288"/>
      <c r="B40" s="1296" t="s">
        <v>1282</v>
      </c>
      <c r="C40" s="1690" t="e">
        <f>IF(CO2_Capture_Efficiency&gt;0,1244743.65893146,0)</f>
        <v>#REF!</v>
      </c>
      <c r="D40" s="1312" t="e">
        <f t="shared" si="0"/>
        <v>#REF!</v>
      </c>
      <c r="E40" s="1562"/>
      <c r="F40" s="1564"/>
      <c r="G40" s="1288"/>
      <c r="H40" s="1288"/>
      <c r="I40" s="1288"/>
      <c r="J40" s="1288"/>
      <c r="K40" s="1288"/>
      <c r="L40" s="1288"/>
      <c r="M40" s="1288"/>
      <c r="N40" s="1288"/>
      <c r="O40" s="1288"/>
      <c r="P40" s="1288"/>
      <c r="Q40" s="1288"/>
      <c r="R40" s="1288"/>
      <c r="S40" s="1288"/>
      <c r="T40" s="1288"/>
      <c r="U40" s="1288"/>
      <c r="V40" s="1288"/>
      <c r="W40" s="1288"/>
      <c r="X40" s="1288"/>
      <c r="Y40" s="1288"/>
      <c r="Z40" s="1288"/>
      <c r="AA40" s="1288"/>
      <c r="AB40" s="1288"/>
      <c r="AC40" s="1288"/>
      <c r="AD40" s="1038"/>
      <c r="AE40" s="1038"/>
      <c r="AF40" s="1038"/>
      <c r="AG40" s="1038"/>
      <c r="AH40" s="1038"/>
      <c r="AI40" s="1038"/>
      <c r="AJ40" s="1038"/>
      <c r="AK40" s="1038"/>
      <c r="AL40" s="1038"/>
      <c r="AM40" s="1038"/>
      <c r="AN40" s="1038"/>
      <c r="AO40" s="1038"/>
      <c r="AP40" s="1038"/>
      <c r="AQ40" s="1038"/>
      <c r="AR40" s="1038"/>
      <c r="AS40" s="1038"/>
      <c r="AT40" s="1038"/>
      <c r="AU40" s="1038"/>
      <c r="AV40" s="1038"/>
      <c r="AW40" s="1038"/>
      <c r="AX40" s="1038"/>
      <c r="AY40" s="1038"/>
      <c r="AZ40" s="1038"/>
      <c r="BA40" s="1038"/>
      <c r="BB40" s="1038"/>
      <c r="BC40" s="1038"/>
      <c r="BD40" s="1038"/>
      <c r="BE40" s="1038"/>
    </row>
    <row r="41" spans="1:57" ht="14.4" thickBot="1" x14ac:dyDescent="0.3">
      <c r="A41" s="1288"/>
      <c r="B41" s="1296" t="s">
        <v>1286</v>
      </c>
      <c r="C41" s="1690" t="e">
        <f>IF(CO2_Capture_Efficiency&gt;0,111907.191316147,0)</f>
        <v>#REF!</v>
      </c>
      <c r="D41" s="1312" t="e">
        <f t="shared" si="0"/>
        <v>#REF!</v>
      </c>
      <c r="E41" s="1562"/>
      <c r="F41" s="1564"/>
      <c r="G41" s="1288"/>
      <c r="H41" s="1578" t="s">
        <v>814</v>
      </c>
      <c r="I41" s="1579"/>
      <c r="J41" s="1337" t="e">
        <f>Det_CO2_seq*tax_ins_rate</f>
        <v>#REF!</v>
      </c>
      <c r="K41" s="1338" t="str">
        <f>+K39</f>
        <v>Total  (2016$)</v>
      </c>
      <c r="L41" s="1288"/>
      <c r="M41" s="1288"/>
      <c r="N41" s="1288"/>
      <c r="O41" s="1288"/>
      <c r="P41" s="1288"/>
      <c r="Q41" s="1288"/>
      <c r="R41" s="1288"/>
      <c r="S41" s="1288"/>
      <c r="T41" s="1288"/>
      <c r="U41" s="1288"/>
      <c r="V41" s="1288"/>
      <c r="W41" s="1288"/>
      <c r="X41" s="1288"/>
      <c r="Y41" s="1288"/>
      <c r="Z41" s="1288"/>
      <c r="AA41" s="1288"/>
      <c r="AB41" s="1288"/>
      <c r="AC41" s="1288"/>
      <c r="AD41" s="1038"/>
      <c r="AE41" s="1038"/>
      <c r="AF41" s="1038"/>
      <c r="AG41" s="1038"/>
      <c r="AH41" s="1038"/>
      <c r="AI41" s="1038"/>
      <c r="AJ41" s="1038"/>
      <c r="AK41" s="1038"/>
      <c r="AL41" s="1038"/>
      <c r="AM41" s="1038"/>
      <c r="AN41" s="1038"/>
      <c r="AO41" s="1038"/>
      <c r="AP41" s="1038"/>
      <c r="AQ41" s="1038"/>
      <c r="AR41" s="1038"/>
      <c r="AS41" s="1038"/>
      <c r="AT41" s="1038"/>
      <c r="AU41" s="1038"/>
      <c r="AV41" s="1038"/>
      <c r="AW41" s="1038"/>
      <c r="AX41" s="1038"/>
      <c r="AY41" s="1038"/>
      <c r="AZ41" s="1038"/>
      <c r="BA41" s="1038"/>
      <c r="BB41" s="1038"/>
      <c r="BC41" s="1038"/>
      <c r="BD41" s="1038"/>
      <c r="BE41" s="1038"/>
    </row>
    <row r="42" spans="1:57" ht="13.8" thickBot="1" x14ac:dyDescent="0.3">
      <c r="A42" s="1288"/>
      <c r="B42" s="1296" t="s">
        <v>1287</v>
      </c>
      <c r="C42" s="1690" t="e">
        <f>IF(CO2_Capture_Efficiency&gt;0,AB145*C54*C55,0)</f>
        <v>#REF!</v>
      </c>
      <c r="D42" s="1312" t="e">
        <f t="shared" si="0"/>
        <v>#REF!</v>
      </c>
      <c r="E42" s="1562"/>
      <c r="F42" s="1564"/>
      <c r="G42" s="1288"/>
      <c r="H42" s="1288"/>
      <c r="I42" s="1288"/>
      <c r="J42" s="1288"/>
      <c r="K42" s="1288"/>
      <c r="L42" s="1288"/>
      <c r="M42" s="1288"/>
      <c r="N42" s="1288"/>
      <c r="O42" s="1288"/>
      <c r="P42" s="1288"/>
      <c r="Q42" s="1288"/>
      <c r="R42" s="1288"/>
      <c r="S42" s="1288"/>
      <c r="T42" s="1288"/>
      <c r="U42" s="1288"/>
      <c r="V42" s="1288"/>
      <c r="W42" s="1288"/>
      <c r="X42" s="1288"/>
      <c r="Y42" s="1288"/>
      <c r="Z42" s="1288"/>
      <c r="AA42" s="1288"/>
      <c r="AB42" s="1288"/>
      <c r="AC42" s="1288"/>
      <c r="AD42" s="1038"/>
      <c r="AE42" s="1038"/>
      <c r="AF42" s="1038"/>
      <c r="AG42" s="1038"/>
      <c r="AH42" s="1038"/>
      <c r="AI42" s="1038"/>
      <c r="AJ42" s="1038"/>
      <c r="AK42" s="1038"/>
      <c r="AL42" s="1038"/>
      <c r="AM42" s="1038"/>
      <c r="AN42" s="1038"/>
      <c r="AO42" s="1038"/>
      <c r="AP42" s="1038"/>
      <c r="AQ42" s="1038"/>
      <c r="AR42" s="1038"/>
      <c r="AS42" s="1038"/>
      <c r="AT42" s="1038"/>
      <c r="AU42" s="1038"/>
      <c r="AV42" s="1038"/>
      <c r="AW42" s="1038"/>
      <c r="AX42" s="1038"/>
      <c r="AY42" s="1038"/>
      <c r="AZ42" s="1038"/>
      <c r="BA42" s="1038"/>
      <c r="BB42" s="1038"/>
      <c r="BC42" s="1038"/>
      <c r="BD42" s="1038"/>
      <c r="BE42" s="1038"/>
    </row>
    <row r="43" spans="1:57" ht="14.7" customHeight="1" x14ac:dyDescent="0.25">
      <c r="A43" s="1288"/>
      <c r="B43" s="1296" t="s">
        <v>1312</v>
      </c>
      <c r="C43" s="1690" t="e">
        <f>IF(CO2_Capture_Efficiency&gt;0,C275,0)</f>
        <v>#REF!</v>
      </c>
      <c r="D43" s="1312" t="e">
        <f t="shared" si="0"/>
        <v>#REF!</v>
      </c>
      <c r="E43" s="1562"/>
      <c r="F43" s="1564"/>
      <c r="G43" s="1288"/>
      <c r="H43" s="1574" t="s">
        <v>1338</v>
      </c>
      <c r="I43" s="1575"/>
      <c r="J43" s="1575"/>
      <c r="K43" s="1052" t="e">
        <f>IF(CO2_Capture_Efficiency,ROUND(CO2_eCostpY/(Feed_CO2_MTpY*CO2_Capture_Efficiency),1),0)</f>
        <v>#REF!</v>
      </c>
      <c r="L43" s="1288"/>
      <c r="M43" s="1288"/>
      <c r="N43" s="1288"/>
      <c r="O43" s="1288"/>
      <c r="P43" s="1288"/>
      <c r="Q43" s="1288"/>
      <c r="R43" s="1288"/>
      <c r="S43" s="1288"/>
      <c r="T43" s="1288"/>
      <c r="U43" s="1288"/>
      <c r="V43" s="1288"/>
      <c r="W43" s="1288"/>
      <c r="X43" s="1288"/>
      <c r="Y43" s="1288"/>
      <c r="Z43" s="1288"/>
      <c r="AA43" s="1288"/>
      <c r="AB43" s="1288"/>
      <c r="AC43" s="1288"/>
      <c r="AD43" s="1038"/>
      <c r="AE43" s="1038"/>
      <c r="AF43" s="1038"/>
      <c r="AG43" s="1038"/>
      <c r="AH43" s="1038"/>
      <c r="AI43" s="1038"/>
      <c r="AJ43" s="1038"/>
      <c r="AK43" s="1038"/>
      <c r="AL43" s="1038"/>
      <c r="AM43" s="1038"/>
      <c r="AN43" s="1038"/>
      <c r="AO43" s="1038"/>
      <c r="AP43" s="1038"/>
      <c r="AQ43" s="1038"/>
      <c r="AR43" s="1038"/>
      <c r="AS43" s="1038"/>
      <c r="AT43" s="1038"/>
      <c r="AU43" s="1038"/>
      <c r="AV43" s="1038"/>
      <c r="AW43" s="1038"/>
      <c r="AX43" s="1038"/>
      <c r="AY43" s="1038"/>
      <c r="AZ43" s="1038"/>
      <c r="BA43" s="1038"/>
      <c r="BB43" s="1038"/>
      <c r="BC43" s="1038"/>
      <c r="BD43" s="1038"/>
      <c r="BE43" s="1038"/>
    </row>
    <row r="44" spans="1:57" ht="15" customHeight="1" x14ac:dyDescent="0.25">
      <c r="A44" s="1288"/>
      <c r="B44" s="1296" t="s">
        <v>1313</v>
      </c>
      <c r="C44" s="1690" t="e">
        <f>IF(CO2_Capture_Efficiency&gt;0,D275,0)</f>
        <v>#REF!</v>
      </c>
      <c r="D44" s="1312" t="e">
        <f t="shared" si="0"/>
        <v>#REF!</v>
      </c>
      <c r="E44" s="1562"/>
      <c r="F44" s="1564"/>
      <c r="G44" s="1288"/>
      <c r="H44" s="1549" t="s">
        <v>1339</v>
      </c>
      <c r="I44" s="1550"/>
      <c r="J44" s="1550"/>
      <c r="K44" s="1053" t="e">
        <f>IF(CO2_Capture_Efficiency,ROUND((Det_CO2_OandMcost+ CCS_tax_insurance)/(Feed_CO2_MTpY*CO2_Capture_Efficiency),1),0)</f>
        <v>#REF!</v>
      </c>
      <c r="L44" s="1288"/>
      <c r="M44" s="1288"/>
      <c r="N44" s="1288"/>
      <c r="O44" s="1288"/>
      <c r="P44" s="1288"/>
      <c r="Q44" s="1288"/>
      <c r="R44" s="1288"/>
      <c r="S44" s="1288"/>
      <c r="T44" s="1288"/>
      <c r="U44" s="1288"/>
      <c r="V44" s="1288"/>
      <c r="W44" s="1288"/>
      <c r="X44" s="1288"/>
      <c r="Y44" s="1288"/>
      <c r="Z44" s="1288"/>
      <c r="AA44" s="1288"/>
      <c r="AB44" s="1288"/>
      <c r="AC44" s="1288"/>
      <c r="AD44" s="1038"/>
      <c r="AE44" s="1038"/>
      <c r="AF44" s="1038"/>
      <c r="AG44" s="1038"/>
      <c r="AH44" s="1038"/>
      <c r="AI44" s="1038"/>
      <c r="AJ44" s="1038"/>
      <c r="AK44" s="1038"/>
      <c r="AL44" s="1038"/>
      <c r="AM44" s="1038"/>
      <c r="AN44" s="1038"/>
      <c r="AO44" s="1038"/>
      <c r="AP44" s="1038"/>
      <c r="AQ44" s="1038"/>
      <c r="AR44" s="1038"/>
      <c r="AS44" s="1038"/>
      <c r="AT44" s="1038"/>
      <c r="AU44" s="1038"/>
      <c r="AV44" s="1038"/>
      <c r="AW44" s="1038"/>
      <c r="AX44" s="1038"/>
      <c r="AY44" s="1038"/>
      <c r="AZ44" s="1038"/>
      <c r="BA44" s="1038"/>
      <c r="BB44" s="1038"/>
      <c r="BC44" s="1038"/>
      <c r="BD44" s="1038"/>
      <c r="BE44" s="1038"/>
    </row>
    <row r="45" spans="1:57" ht="15" customHeight="1" thickBot="1" x14ac:dyDescent="0.3">
      <c r="A45" s="1288"/>
      <c r="B45" s="1297" t="s">
        <v>1295</v>
      </c>
      <c r="C45" s="1691" t="e">
        <f>+SUM(C36:C42)*C56</f>
        <v>#REF!</v>
      </c>
      <c r="D45" s="1336" t="e">
        <f t="shared" si="0"/>
        <v>#REF!</v>
      </c>
      <c r="E45" s="1562" t="s">
        <v>1332</v>
      </c>
      <c r="F45" s="1564"/>
      <c r="G45" s="1288"/>
      <c r="H45" s="1576" t="s">
        <v>1340</v>
      </c>
      <c r="I45" s="1577"/>
      <c r="J45" s="1577"/>
      <c r="K45" s="1056" t="e">
        <f>IF(CO2_Capture_Efficiency,ROUND((Det_CO2_seq)*CO2_cap_charge_rate/(Feed_CO2_MTpY*CO2_Capture_Efficiency),1),0)</f>
        <v>#REF!</v>
      </c>
      <c r="L45" s="1288"/>
      <c r="M45" s="1288"/>
      <c r="N45" s="1288"/>
      <c r="O45" s="1288"/>
      <c r="P45" s="1288"/>
      <c r="Q45" s="1288"/>
      <c r="R45" s="1288"/>
      <c r="S45" s="1288"/>
      <c r="T45" s="1288"/>
      <c r="U45" s="1288"/>
      <c r="V45" s="1288"/>
      <c r="W45" s="1288"/>
      <c r="X45" s="1288"/>
      <c r="Y45" s="1288"/>
      <c r="Z45" s="1288"/>
      <c r="AA45" s="1288"/>
      <c r="AB45" s="1288"/>
      <c r="AC45" s="1288"/>
      <c r="AD45" s="1038"/>
      <c r="AE45" s="1038"/>
      <c r="AF45" s="1038"/>
      <c r="AG45" s="1038"/>
      <c r="AH45" s="1038"/>
      <c r="AI45" s="1038"/>
      <c r="AJ45" s="1038"/>
      <c r="AK45" s="1038"/>
      <c r="AL45" s="1038"/>
      <c r="AM45" s="1038"/>
      <c r="AN45" s="1038"/>
      <c r="AO45" s="1038"/>
      <c r="AP45" s="1038"/>
      <c r="AQ45" s="1038"/>
      <c r="AR45" s="1038"/>
      <c r="AS45" s="1038"/>
      <c r="AT45" s="1038"/>
      <c r="AU45" s="1038"/>
      <c r="AV45" s="1038"/>
      <c r="AW45" s="1038"/>
      <c r="AX45" s="1038"/>
      <c r="AY45" s="1038"/>
      <c r="AZ45" s="1038"/>
      <c r="BA45" s="1038"/>
      <c r="BB45" s="1038"/>
      <c r="BC45" s="1038"/>
      <c r="BD45" s="1038"/>
      <c r="BE45" s="1038"/>
    </row>
    <row r="46" spans="1:57" ht="15" customHeight="1" thickTop="1" thickBot="1" x14ac:dyDescent="0.3">
      <c r="A46" s="1314"/>
      <c r="B46" s="1350" t="s">
        <v>57</v>
      </c>
      <c r="C46" s="1692"/>
      <c r="D46" s="1312" t="e">
        <f>+SUM(D36:D45)</f>
        <v>#REF!</v>
      </c>
      <c r="E46" s="1404"/>
      <c r="F46" s="1405"/>
      <c r="G46" s="1288"/>
      <c r="H46" s="1315" t="s">
        <v>1195</v>
      </c>
      <c r="I46" s="1316"/>
      <c r="J46" s="1316"/>
      <c r="K46" s="1055" t="e">
        <f>SUM(K43:K45)</f>
        <v>#REF!</v>
      </c>
      <c r="L46" s="1288"/>
      <c r="M46" s="1288"/>
      <c r="N46" s="1288"/>
      <c r="O46" s="1288"/>
      <c r="P46" s="1288"/>
      <c r="Q46" s="1288"/>
      <c r="R46" s="1288"/>
      <c r="S46" s="1288"/>
      <c r="T46" s="1288"/>
      <c r="U46" s="1288"/>
      <c r="V46" s="1288"/>
      <c r="W46" s="1288"/>
      <c r="X46" s="1288"/>
      <c r="Y46" s="1288"/>
      <c r="Z46" s="1288"/>
      <c r="AA46" s="1288"/>
      <c r="AB46" s="1288"/>
      <c r="AC46" s="1288"/>
      <c r="AD46" s="1038"/>
      <c r="AE46" s="1038"/>
      <c r="AF46" s="1038"/>
      <c r="AG46" s="1038"/>
      <c r="AH46" s="1038"/>
      <c r="AI46" s="1038"/>
      <c r="AJ46" s="1038"/>
      <c r="AK46" s="1038"/>
      <c r="AL46" s="1038"/>
      <c r="AM46" s="1038"/>
      <c r="AN46" s="1038"/>
      <c r="AO46" s="1038"/>
      <c r="AP46" s="1038"/>
      <c r="AQ46" s="1038"/>
      <c r="AR46" s="1038"/>
      <c r="AS46" s="1038"/>
      <c r="AT46" s="1038"/>
      <c r="AU46" s="1038"/>
      <c r="AV46" s="1038"/>
      <c r="AW46" s="1038"/>
      <c r="AX46" s="1038"/>
      <c r="AY46" s="1038"/>
      <c r="AZ46" s="1038"/>
      <c r="BA46" s="1038"/>
      <c r="BB46" s="1038"/>
      <c r="BC46" s="1038"/>
      <c r="BD46" s="1038"/>
      <c r="BE46" s="1038"/>
    </row>
    <row r="47" spans="1:57" ht="15" customHeight="1" thickTop="1" x14ac:dyDescent="0.25">
      <c r="A47" s="1314"/>
      <c r="B47" s="1406" t="s">
        <v>1321</v>
      </c>
      <c r="C47" s="1693"/>
      <c r="D47" s="1312" t="e">
        <f>+D46-D45</f>
        <v>#REF!</v>
      </c>
      <c r="E47" s="1404"/>
      <c r="F47" s="1405"/>
      <c r="G47" s="1288"/>
      <c r="H47" s="1288"/>
      <c r="I47" s="1288"/>
      <c r="J47" s="1288"/>
      <c r="K47" s="1288"/>
      <c r="L47" s="1288"/>
      <c r="M47" s="1288"/>
      <c r="N47" s="1288"/>
      <c r="O47" s="1288"/>
      <c r="P47" s="1288"/>
      <c r="Q47" s="1288"/>
      <c r="R47" s="1288"/>
      <c r="S47" s="1288"/>
      <c r="T47" s="1288"/>
      <c r="U47" s="1288"/>
      <c r="V47" s="1288"/>
      <c r="W47" s="1288"/>
      <c r="X47" s="1288"/>
      <c r="Y47" s="1288"/>
      <c r="Z47" s="1288"/>
      <c r="AA47" s="1288"/>
      <c r="AB47" s="1288"/>
      <c r="AC47" s="1288"/>
      <c r="AD47" s="1038"/>
      <c r="AE47" s="1038"/>
      <c r="AF47" s="1038"/>
      <c r="AG47" s="1038"/>
      <c r="AH47" s="1038"/>
      <c r="AI47" s="1038"/>
      <c r="AJ47" s="1038"/>
      <c r="AK47" s="1038"/>
      <c r="AL47" s="1038"/>
      <c r="AM47" s="1038"/>
      <c r="AN47" s="1038"/>
      <c r="AO47" s="1038"/>
      <c r="AP47" s="1038"/>
      <c r="AQ47" s="1038"/>
      <c r="AR47" s="1038"/>
      <c r="AS47" s="1038"/>
      <c r="AT47" s="1038"/>
      <c r="AU47" s="1038"/>
      <c r="AV47" s="1038"/>
      <c r="AW47" s="1038"/>
      <c r="AX47" s="1038"/>
      <c r="AY47" s="1038"/>
      <c r="AZ47" s="1038"/>
      <c r="BA47" s="1038"/>
      <c r="BB47" s="1038"/>
      <c r="BC47" s="1038"/>
      <c r="BD47" s="1038"/>
      <c r="BE47" s="1038"/>
    </row>
    <row r="48" spans="1:57" ht="15" customHeight="1" thickBot="1" x14ac:dyDescent="0.3">
      <c r="A48" s="1288"/>
      <c r="B48" s="1349" t="s">
        <v>1322</v>
      </c>
      <c r="C48" s="1694"/>
      <c r="D48" s="1313" t="e">
        <f>IF(CO2_Capture_Efficiency,D46-D45-D37,0)</f>
        <v>#REF!</v>
      </c>
      <c r="E48" s="1407"/>
      <c r="F48" s="1408"/>
      <c r="G48" s="1288"/>
      <c r="H48" s="1288"/>
      <c r="I48" s="1288"/>
      <c r="J48" s="1288"/>
      <c r="K48" s="1288"/>
      <c r="L48" s="1288"/>
      <c r="M48" s="1288"/>
      <c r="N48" s="1288"/>
      <c r="O48" s="1288"/>
      <c r="P48" s="1288"/>
      <c r="Q48" s="1288"/>
      <c r="R48" s="1288"/>
      <c r="S48" s="1288"/>
      <c r="T48" s="1288"/>
      <c r="U48" s="1288"/>
      <c r="V48" s="1288"/>
      <c r="W48" s="1288"/>
      <c r="X48" s="1288"/>
      <c r="Y48" s="1288"/>
      <c r="Z48" s="1288"/>
      <c r="AA48" s="1288"/>
      <c r="AB48" s="1288"/>
      <c r="AC48" s="1288"/>
      <c r="AD48" s="1038"/>
      <c r="AE48" s="1038"/>
      <c r="AF48" s="1038"/>
      <c r="AG48" s="1038"/>
      <c r="AH48" s="1038"/>
      <c r="AI48" s="1038"/>
      <c r="AJ48" s="1038"/>
      <c r="AK48" s="1038"/>
      <c r="AL48" s="1038"/>
      <c r="AM48" s="1038"/>
      <c r="AN48" s="1038"/>
      <c r="AO48" s="1038"/>
      <c r="AP48" s="1038"/>
      <c r="AQ48" s="1038"/>
      <c r="AR48" s="1038"/>
      <c r="AS48" s="1038"/>
      <c r="AT48" s="1038"/>
      <c r="AU48" s="1038"/>
      <c r="AV48" s="1038"/>
      <c r="AW48" s="1038"/>
      <c r="AX48" s="1038"/>
      <c r="AY48" s="1038"/>
      <c r="AZ48" s="1038"/>
      <c r="BA48" s="1038"/>
      <c r="BB48" s="1038"/>
      <c r="BC48" s="1038"/>
      <c r="BD48" s="1038"/>
      <c r="BE48" s="1038"/>
    </row>
    <row r="49" spans="1:57" x14ac:dyDescent="0.25">
      <c r="A49" s="1288"/>
      <c r="B49" s="1288"/>
      <c r="C49" s="1687"/>
      <c r="D49" s="1288"/>
      <c r="E49" s="1288"/>
      <c r="F49" s="1288"/>
      <c r="G49" s="1288"/>
      <c r="H49" s="1288"/>
      <c r="I49" s="1288"/>
      <c r="J49" s="1288"/>
      <c r="K49" s="1288"/>
      <c r="L49" s="1288"/>
      <c r="M49" s="1288"/>
      <c r="N49" s="1288"/>
      <c r="O49" s="1288"/>
      <c r="P49" s="1288"/>
      <c r="Q49" s="1288"/>
      <c r="R49" s="1288"/>
      <c r="S49" s="1288"/>
      <c r="T49" s="1288"/>
      <c r="U49" s="1288"/>
      <c r="V49" s="1288"/>
      <c r="W49" s="1288"/>
      <c r="X49" s="1288"/>
      <c r="Y49" s="1288"/>
      <c r="Z49" s="1288"/>
      <c r="AA49" s="1288"/>
      <c r="AB49" s="1288"/>
      <c r="AC49" s="1288"/>
      <c r="AD49" s="1038"/>
      <c r="AE49" s="1038"/>
      <c r="AF49" s="1038"/>
      <c r="AG49" s="1038"/>
      <c r="AH49" s="1038"/>
      <c r="AI49" s="1038"/>
      <c r="AJ49" s="1038"/>
      <c r="AK49" s="1038"/>
      <c r="AL49" s="1038"/>
      <c r="AM49" s="1038"/>
      <c r="AN49" s="1038"/>
      <c r="AO49" s="1038"/>
      <c r="AP49" s="1038"/>
      <c r="AQ49" s="1038"/>
      <c r="AR49" s="1038"/>
      <c r="AS49" s="1038"/>
      <c r="AT49" s="1038"/>
      <c r="AU49" s="1038"/>
      <c r="AV49" s="1038"/>
      <c r="AW49" s="1038"/>
      <c r="AX49" s="1038"/>
      <c r="AY49" s="1038"/>
      <c r="AZ49" s="1038"/>
      <c r="BA49" s="1038"/>
      <c r="BB49" s="1038"/>
      <c r="BC49" s="1038"/>
      <c r="BD49" s="1038"/>
      <c r="BE49" s="1038"/>
    </row>
    <row r="50" spans="1:57" ht="13.8" x14ac:dyDescent="0.3">
      <c r="A50" s="1288"/>
      <c r="B50" s="1298" t="s">
        <v>1320</v>
      </c>
      <c r="C50" s="1695">
        <v>2011</v>
      </c>
      <c r="D50" s="1288"/>
      <c r="E50" s="1288"/>
      <c r="F50" s="1288"/>
      <c r="G50" s="1288"/>
      <c r="H50" s="1288"/>
      <c r="I50" s="1288"/>
      <c r="J50" s="1288"/>
      <c r="K50" s="1288"/>
      <c r="L50" s="1409"/>
      <c r="M50" s="1409"/>
      <c r="N50" s="1288"/>
      <c r="O50" s="1288"/>
      <c r="P50" s="1288"/>
      <c r="Q50" s="1288"/>
      <c r="R50" s="1288"/>
      <c r="S50" s="1288"/>
      <c r="T50" s="1288"/>
      <c r="U50" s="1288"/>
      <c r="V50" s="1288"/>
      <c r="W50" s="1288"/>
      <c r="X50" s="1288"/>
      <c r="Y50" s="1288"/>
      <c r="Z50" s="1288"/>
      <c r="AA50" s="1288"/>
      <c r="AB50" s="1288"/>
      <c r="AC50" s="1288"/>
      <c r="AD50" s="1038"/>
      <c r="AE50" s="1038"/>
      <c r="AF50" s="1038"/>
      <c r="AG50" s="1038"/>
      <c r="AH50" s="1038"/>
      <c r="AI50" s="1038"/>
      <c r="AJ50" s="1038"/>
      <c r="AK50" s="1038"/>
      <c r="AL50" s="1038"/>
      <c r="AM50" s="1038"/>
      <c r="AN50" s="1038"/>
      <c r="AO50" s="1038"/>
      <c r="AP50" s="1038"/>
      <c r="AQ50" s="1038"/>
      <c r="AR50" s="1038"/>
      <c r="AS50" s="1038"/>
      <c r="AT50" s="1038"/>
      <c r="AU50" s="1038"/>
      <c r="AV50" s="1038"/>
      <c r="AW50" s="1038"/>
      <c r="AX50" s="1038"/>
      <c r="AY50" s="1038"/>
      <c r="AZ50" s="1038"/>
      <c r="BA50" s="1038"/>
      <c r="BB50" s="1038"/>
      <c r="BC50" s="1038"/>
      <c r="BD50" s="1038"/>
      <c r="BE50" s="1038"/>
    </row>
    <row r="51" spans="1:57" x14ac:dyDescent="0.25">
      <c r="A51" s="1288"/>
      <c r="B51" s="1298" t="s">
        <v>1297</v>
      </c>
      <c r="C51" s="1696">
        <f>VLOOKUP(C50,Tbl_PlantCostIndexes,2,FALSE)/VLOOKUP(BasisYear,Tbl_PlantCostIndexes,2,FALSE)</f>
        <v>1.2509611277231953</v>
      </c>
      <c r="D51" s="1288"/>
      <c r="E51" s="1288"/>
      <c r="F51" s="1288"/>
      <c r="G51" s="1288"/>
      <c r="H51" s="1288"/>
      <c r="I51" s="1288"/>
      <c r="J51" s="1288"/>
      <c r="K51" s="1288"/>
      <c r="L51" s="1409"/>
      <c r="M51" s="1409"/>
      <c r="N51" s="1288"/>
      <c r="O51" s="1288"/>
      <c r="P51" s="1288"/>
      <c r="Q51" s="1288"/>
      <c r="R51" s="1288"/>
      <c r="S51" s="1288"/>
      <c r="T51" s="1288"/>
      <c r="U51" s="1288"/>
      <c r="V51" s="1288"/>
      <c r="W51" s="1288"/>
      <c r="X51" s="1288"/>
      <c r="Y51" s="1288"/>
      <c r="Z51" s="1288"/>
      <c r="AA51" s="1288"/>
      <c r="AB51" s="1288"/>
      <c r="AC51" s="1288"/>
      <c r="AD51" s="1038"/>
      <c r="AE51" s="1038"/>
      <c r="AF51" s="1038"/>
      <c r="AG51" s="1038"/>
      <c r="AH51" s="1038"/>
      <c r="AI51" s="1038"/>
      <c r="AJ51" s="1038"/>
      <c r="AK51" s="1038"/>
      <c r="AL51" s="1038"/>
      <c r="AM51" s="1038"/>
      <c r="AN51" s="1038"/>
      <c r="AO51" s="1038"/>
      <c r="AP51" s="1038"/>
      <c r="AQ51" s="1038"/>
      <c r="AR51" s="1038"/>
      <c r="AS51" s="1038"/>
      <c r="AT51" s="1038"/>
      <c r="AU51" s="1038"/>
      <c r="AV51" s="1038"/>
      <c r="AW51" s="1038"/>
      <c r="AX51" s="1038"/>
      <c r="AY51" s="1038"/>
      <c r="AZ51" s="1038"/>
      <c r="BA51" s="1038"/>
      <c r="BB51" s="1038"/>
      <c r="BC51" s="1038"/>
      <c r="BD51" s="1038"/>
      <c r="BE51" s="1038"/>
    </row>
    <row r="52" spans="1:57" x14ac:dyDescent="0.25">
      <c r="A52" s="1288"/>
      <c r="B52" s="1298" t="s">
        <v>1298</v>
      </c>
      <c r="C52" s="1696">
        <f>VLOOKUP(ref_year,DeflatorTable,2,FALSE)/VLOOKUP(C50,DeflatorTable,2,FALSE)</f>
        <v>1.0771767810026385</v>
      </c>
      <c r="D52" s="1288"/>
      <c r="E52" s="1288"/>
      <c r="F52" s="1288"/>
      <c r="G52" s="1288"/>
      <c r="H52" s="1288"/>
      <c r="I52" s="1288"/>
      <c r="J52" s="1288"/>
      <c r="K52" s="1288"/>
      <c r="L52" s="1409"/>
      <c r="M52" s="1409"/>
      <c r="N52" s="1288"/>
      <c r="O52" s="1288"/>
      <c r="P52" s="1288"/>
      <c r="Q52" s="1288"/>
      <c r="R52" s="1288"/>
      <c r="S52" s="1288"/>
      <c r="T52" s="1288"/>
      <c r="U52" s="1288"/>
      <c r="V52" s="1288"/>
      <c r="W52" s="1288"/>
      <c r="X52" s="1288"/>
      <c r="Y52" s="1288"/>
      <c r="Z52" s="1288"/>
      <c r="AA52" s="1288"/>
      <c r="AB52" s="1288"/>
      <c r="AC52" s="1288"/>
      <c r="AD52" s="1038"/>
      <c r="AE52" s="1038"/>
      <c r="AF52" s="1038"/>
      <c r="AG52" s="1038"/>
      <c r="AH52" s="1038"/>
      <c r="AI52" s="1038"/>
      <c r="AJ52" s="1038"/>
      <c r="AK52" s="1038"/>
      <c r="AL52" s="1038"/>
      <c r="AM52" s="1038"/>
      <c r="AN52" s="1038"/>
      <c r="AO52" s="1038"/>
      <c r="AP52" s="1038"/>
      <c r="AQ52" s="1038"/>
      <c r="AR52" s="1038"/>
      <c r="AS52" s="1038"/>
      <c r="AT52" s="1038"/>
      <c r="AU52" s="1038"/>
      <c r="AV52" s="1038"/>
      <c r="AW52" s="1038"/>
      <c r="AX52" s="1038"/>
      <c r="AY52" s="1038"/>
      <c r="AZ52" s="1038"/>
      <c r="BA52" s="1038"/>
      <c r="BB52" s="1038"/>
      <c r="BC52" s="1038"/>
      <c r="BD52" s="1038"/>
      <c r="BE52" s="1038"/>
    </row>
    <row r="53" spans="1:57" x14ac:dyDescent="0.25">
      <c r="A53" s="1288"/>
      <c r="B53" s="1288"/>
      <c r="C53" s="1687"/>
      <c r="D53" s="1288"/>
      <c r="E53" s="1288"/>
      <c r="F53" s="1288"/>
      <c r="G53" s="1288"/>
      <c r="H53" s="1288"/>
      <c r="I53" s="1288"/>
      <c r="J53" s="1288"/>
      <c r="K53" s="1288"/>
      <c r="L53" s="1409"/>
      <c r="M53" s="1409"/>
      <c r="N53" s="1288"/>
      <c r="O53" s="1288"/>
      <c r="P53" s="1288"/>
      <c r="Q53" s="1288"/>
      <c r="R53" s="1288"/>
      <c r="S53" s="1288"/>
      <c r="T53" s="1288"/>
      <c r="U53" s="1288"/>
      <c r="V53" s="1288"/>
      <c r="W53" s="1288"/>
      <c r="X53" s="1288"/>
      <c r="Y53" s="1288"/>
      <c r="Z53" s="1288"/>
      <c r="AA53" s="1288"/>
      <c r="AB53" s="1288"/>
      <c r="AC53" s="1288"/>
      <c r="AD53" s="1038"/>
      <c r="AE53" s="1038"/>
      <c r="AF53" s="1038"/>
      <c r="AG53" s="1038"/>
      <c r="AH53" s="1038"/>
      <c r="AI53" s="1038"/>
      <c r="AJ53" s="1038"/>
      <c r="AK53" s="1038"/>
      <c r="AL53" s="1038"/>
      <c r="AM53" s="1038"/>
      <c r="AN53" s="1038"/>
      <c r="AO53" s="1038"/>
      <c r="AP53" s="1038"/>
      <c r="AQ53" s="1038"/>
      <c r="AR53" s="1038"/>
      <c r="AS53" s="1038"/>
      <c r="AT53" s="1038"/>
      <c r="AU53" s="1038"/>
      <c r="AV53" s="1038"/>
      <c r="AW53" s="1038"/>
      <c r="AX53" s="1038"/>
      <c r="AY53" s="1038"/>
      <c r="AZ53" s="1038"/>
      <c r="BA53" s="1038"/>
      <c r="BB53" s="1038"/>
      <c r="BC53" s="1038"/>
      <c r="BD53" s="1038"/>
      <c r="BE53" s="1038"/>
    </row>
    <row r="54" spans="1:57" x14ac:dyDescent="0.25">
      <c r="A54" s="1288"/>
      <c r="B54" s="1290" t="s">
        <v>1277</v>
      </c>
      <c r="C54" s="1697">
        <f>+CO2_PipeLength*1.609344</f>
        <v>160.93440000000001</v>
      </c>
      <c r="D54" s="1288"/>
      <c r="E54" s="1288"/>
      <c r="F54" s="1288"/>
      <c r="G54" s="1288"/>
      <c r="H54" s="1288"/>
      <c r="I54" s="1288"/>
      <c r="J54" s="1288"/>
      <c r="K54" s="1288"/>
      <c r="L54" s="1409"/>
      <c r="M54" s="1409"/>
      <c r="N54" s="1288"/>
      <c r="O54" s="1288"/>
      <c r="P54" s="1288"/>
      <c r="Q54" s="1288"/>
      <c r="R54" s="1288"/>
      <c r="S54" s="1288"/>
      <c r="T54" s="1288"/>
      <c r="U54" s="1288"/>
      <c r="V54" s="1288"/>
      <c r="W54" s="1288"/>
      <c r="X54" s="1288"/>
      <c r="Y54" s="1288"/>
      <c r="Z54" s="1288"/>
      <c r="AA54" s="1288"/>
      <c r="AB54" s="1288"/>
      <c r="AC54" s="1288"/>
      <c r="AD54" s="1038"/>
      <c r="AE54" s="1038"/>
      <c r="AF54" s="1038"/>
      <c r="AG54" s="1038"/>
      <c r="AH54" s="1038"/>
      <c r="AI54" s="1038"/>
      <c r="AJ54" s="1038"/>
      <c r="AK54" s="1038"/>
      <c r="AL54" s="1038"/>
      <c r="AM54" s="1038"/>
      <c r="AN54" s="1038"/>
      <c r="AO54" s="1038"/>
      <c r="AP54" s="1038"/>
      <c r="AQ54" s="1038"/>
      <c r="AR54" s="1038"/>
      <c r="AS54" s="1038"/>
      <c r="AT54" s="1038"/>
      <c r="AU54" s="1038"/>
      <c r="AV54" s="1038"/>
      <c r="AW54" s="1038"/>
      <c r="AX54" s="1038"/>
      <c r="AY54" s="1038"/>
      <c r="AZ54" s="1038"/>
      <c r="BA54" s="1038"/>
      <c r="BB54" s="1038"/>
      <c r="BC54" s="1038"/>
      <c r="BD54" s="1038"/>
      <c r="BE54" s="1038"/>
    </row>
    <row r="55" spans="1:57" x14ac:dyDescent="0.25">
      <c r="A55" s="1288"/>
      <c r="B55" s="1290" t="s">
        <v>1304</v>
      </c>
      <c r="C55" s="1698" t="e">
        <f ca="1">+C21*CO2_Capture_Efficiency/1000000</f>
        <v>#REF!</v>
      </c>
      <c r="D55" s="1288"/>
      <c r="E55" s="1288"/>
      <c r="F55" s="1288"/>
      <c r="G55" s="1288"/>
      <c r="H55" s="1288"/>
      <c r="I55" s="1288"/>
      <c r="J55" s="1288"/>
      <c r="K55" s="1288"/>
      <c r="L55" s="1409"/>
      <c r="M55" s="1409"/>
      <c r="N55" s="1288"/>
      <c r="O55" s="1288"/>
      <c r="P55" s="1288"/>
      <c r="Q55" s="1288"/>
      <c r="R55" s="1288"/>
      <c r="S55" s="1288"/>
      <c r="T55" s="1288"/>
      <c r="U55" s="1288"/>
      <c r="V55" s="1288"/>
      <c r="W55" s="1288"/>
      <c r="X55" s="1288"/>
      <c r="Y55" s="1288"/>
      <c r="Z55" s="1288"/>
      <c r="AA55" s="1288"/>
      <c r="AB55" s="1288"/>
      <c r="AC55" s="1288"/>
      <c r="AD55" s="1038"/>
      <c r="AE55" s="1038"/>
      <c r="AF55" s="1038"/>
      <c r="AG55" s="1038"/>
      <c r="AH55" s="1038"/>
      <c r="AI55" s="1038"/>
      <c r="AJ55" s="1038"/>
      <c r="AK55" s="1038"/>
      <c r="AL55" s="1038"/>
      <c r="AM55" s="1038"/>
      <c r="AN55" s="1038"/>
      <c r="AO55" s="1038"/>
      <c r="AP55" s="1038"/>
      <c r="AQ55" s="1038"/>
      <c r="AR55" s="1038"/>
      <c r="AS55" s="1038"/>
      <c r="AT55" s="1038"/>
      <c r="AU55" s="1038"/>
      <c r="AV55" s="1038"/>
      <c r="AW55" s="1038"/>
      <c r="AX55" s="1038"/>
      <c r="AY55" s="1038"/>
      <c r="AZ55" s="1038"/>
      <c r="BA55" s="1038"/>
      <c r="BB55" s="1038"/>
      <c r="BC55" s="1038"/>
      <c r="BD55" s="1038"/>
      <c r="BE55" s="1038"/>
    </row>
    <row r="56" spans="1:57" x14ac:dyDescent="0.25">
      <c r="A56" s="1288"/>
      <c r="B56" s="1290" t="s">
        <v>1278</v>
      </c>
      <c r="C56" s="1699">
        <v>0.15</v>
      </c>
      <c r="D56" s="1288"/>
      <c r="E56" s="1288"/>
      <c r="F56" s="1288"/>
      <c r="G56" s="1288"/>
      <c r="H56" s="1288"/>
      <c r="I56" s="1288"/>
      <c r="J56" s="1288"/>
      <c r="K56" s="1288"/>
      <c r="L56" s="1409"/>
      <c r="M56" s="1409"/>
      <c r="N56" s="1288"/>
      <c r="O56" s="1288"/>
      <c r="P56" s="1288"/>
      <c r="Q56" s="1288"/>
      <c r="R56" s="1288"/>
      <c r="S56" s="1288"/>
      <c r="T56" s="1288"/>
      <c r="U56" s="1288"/>
      <c r="V56" s="1288"/>
      <c r="W56" s="1288"/>
      <c r="X56" s="1288"/>
      <c r="Y56" s="1288"/>
      <c r="Z56" s="1288"/>
      <c r="AA56" s="1288"/>
      <c r="AB56" s="1288"/>
      <c r="AC56" s="1288"/>
      <c r="AD56" s="1038"/>
      <c r="AE56" s="1038"/>
      <c r="AF56" s="1038"/>
      <c r="AG56" s="1038"/>
      <c r="AH56" s="1038"/>
      <c r="AI56" s="1038"/>
      <c r="AJ56" s="1038"/>
      <c r="AK56" s="1038"/>
      <c r="AL56" s="1038"/>
      <c r="AM56" s="1038"/>
      <c r="AN56" s="1038"/>
      <c r="AO56" s="1038"/>
      <c r="AP56" s="1038"/>
      <c r="AQ56" s="1038"/>
      <c r="AR56" s="1038"/>
      <c r="AS56" s="1038"/>
      <c r="AT56" s="1038"/>
      <c r="AU56" s="1038"/>
      <c r="AV56" s="1038"/>
      <c r="AW56" s="1038"/>
      <c r="AX56" s="1038"/>
      <c r="AY56" s="1038"/>
      <c r="AZ56" s="1038"/>
      <c r="BA56" s="1038"/>
      <c r="BB56" s="1038"/>
      <c r="BC56" s="1038"/>
      <c r="BD56" s="1038"/>
      <c r="BE56" s="1038"/>
    </row>
    <row r="57" spans="1:57" ht="13.8" x14ac:dyDescent="0.25">
      <c r="A57" s="1288"/>
      <c r="B57" s="1290" t="s">
        <v>1305</v>
      </c>
      <c r="C57" s="1700" t="e">
        <f ca="1">+AB169*C54</f>
        <v>#REF!</v>
      </c>
      <c r="D57" s="1288"/>
      <c r="E57" s="1288"/>
      <c r="F57" s="1288"/>
      <c r="G57" s="1288"/>
      <c r="H57" s="1288"/>
      <c r="I57" s="1288"/>
      <c r="J57" s="1288"/>
      <c r="K57" s="1288"/>
      <c r="L57" s="1409"/>
      <c r="M57" s="1409"/>
      <c r="N57" s="1288"/>
      <c r="O57" s="1288"/>
      <c r="P57" s="1288"/>
      <c r="Q57" s="1288"/>
      <c r="R57" s="1288"/>
      <c r="S57" s="1288"/>
      <c r="T57" s="1288"/>
      <c r="U57" s="1288"/>
      <c r="V57" s="1288"/>
      <c r="W57" s="1288"/>
      <c r="X57" s="1288"/>
      <c r="Y57" s="1288"/>
      <c r="Z57" s="1288"/>
      <c r="AA57" s="1288"/>
      <c r="AB57" s="1288"/>
      <c r="AC57" s="1288"/>
      <c r="AD57" s="1038"/>
      <c r="AE57" s="1038"/>
      <c r="AF57" s="1038"/>
      <c r="AG57" s="1038"/>
      <c r="AH57" s="1038"/>
      <c r="AI57" s="1038"/>
      <c r="AJ57" s="1038"/>
      <c r="AK57" s="1038"/>
      <c r="AL57" s="1038"/>
      <c r="AM57" s="1038"/>
      <c r="AN57" s="1038"/>
      <c r="AO57" s="1038"/>
      <c r="AP57" s="1038"/>
      <c r="AQ57" s="1038"/>
      <c r="AR57" s="1038"/>
      <c r="AS57" s="1038"/>
      <c r="AT57" s="1038"/>
      <c r="AU57" s="1038"/>
      <c r="AV57" s="1038"/>
      <c r="AW57" s="1038"/>
      <c r="AX57" s="1038"/>
      <c r="AY57" s="1038"/>
      <c r="AZ57" s="1038"/>
      <c r="BA57" s="1038"/>
      <c r="BB57" s="1038"/>
      <c r="BC57" s="1038"/>
      <c r="BD57" s="1038"/>
      <c r="BE57" s="1038"/>
    </row>
    <row r="58" spans="1:57" x14ac:dyDescent="0.25">
      <c r="A58" s="1288"/>
      <c r="B58" s="1290" t="s">
        <v>1288</v>
      </c>
      <c r="C58" s="1700" t="e">
        <f ca="1">+C57*CO2_flowrate_GTpY*1000000/output_kgyear</f>
        <v>#REF!</v>
      </c>
      <c r="D58" s="1288"/>
      <c r="E58" s="1288"/>
      <c r="F58" s="1288"/>
      <c r="G58" s="1288"/>
      <c r="H58" s="1288"/>
      <c r="I58" s="1288"/>
      <c r="J58" s="1288"/>
      <c r="K58" s="1288"/>
      <c r="L58" s="1409"/>
      <c r="M58" s="1409"/>
      <c r="N58" s="1288"/>
      <c r="O58" s="1288"/>
      <c r="P58" s="1288"/>
      <c r="Q58" s="1288"/>
      <c r="R58" s="1288"/>
      <c r="S58" s="1288"/>
      <c r="T58" s="1288"/>
      <c r="U58" s="1288"/>
      <c r="V58" s="1288"/>
      <c r="W58" s="1288"/>
      <c r="X58" s="1288"/>
      <c r="Y58" s="1288"/>
      <c r="Z58" s="1288"/>
      <c r="AA58" s="1288"/>
      <c r="AB58" s="1288"/>
      <c r="AC58" s="1288"/>
      <c r="AD58" s="1038"/>
      <c r="AE58" s="1038"/>
      <c r="AF58" s="1038"/>
      <c r="AG58" s="1038"/>
      <c r="AH58" s="1038"/>
      <c r="AI58" s="1038"/>
      <c r="AJ58" s="1038"/>
      <c r="AK58" s="1038"/>
      <c r="AL58" s="1038"/>
      <c r="AM58" s="1038"/>
      <c r="AN58" s="1038"/>
      <c r="AO58" s="1038"/>
      <c r="AP58" s="1038"/>
      <c r="AQ58" s="1038"/>
      <c r="AR58" s="1038"/>
      <c r="AS58" s="1038"/>
      <c r="AT58" s="1038"/>
      <c r="AU58" s="1038"/>
      <c r="AV58" s="1038"/>
      <c r="AW58" s="1038"/>
      <c r="AX58" s="1038"/>
      <c r="AY58" s="1038"/>
      <c r="AZ58" s="1038"/>
      <c r="BA58" s="1038"/>
      <c r="BB58" s="1038"/>
      <c r="BC58" s="1038"/>
      <c r="BD58" s="1038"/>
      <c r="BE58" s="1038"/>
    </row>
    <row r="59" spans="1:57" x14ac:dyDescent="0.25">
      <c r="A59" s="1288"/>
      <c r="B59" s="1290" t="s">
        <v>1306</v>
      </c>
      <c r="C59" s="1697" t="e">
        <f ca="1">+C57*CO2_flowrate_GTpY*1000000</f>
        <v>#REF!</v>
      </c>
      <c r="D59" s="1288"/>
      <c r="E59" s="1288"/>
      <c r="F59" s="1288"/>
      <c r="G59" s="1288"/>
      <c r="H59" s="1288"/>
      <c r="I59" s="1288"/>
      <c r="J59" s="1288"/>
      <c r="K59" s="1288"/>
      <c r="L59" s="1409"/>
      <c r="M59" s="1409"/>
      <c r="N59" s="1288"/>
      <c r="O59" s="1288"/>
      <c r="P59" s="1288"/>
      <c r="Q59" s="1288"/>
      <c r="R59" s="1288"/>
      <c r="S59" s="1288"/>
      <c r="T59" s="1288"/>
      <c r="U59" s="1288"/>
      <c r="V59" s="1288"/>
      <c r="W59" s="1288"/>
      <c r="X59" s="1288"/>
      <c r="Y59" s="1288"/>
      <c r="Z59" s="1288"/>
      <c r="AA59" s="1288"/>
      <c r="AB59" s="1288"/>
      <c r="AC59" s="1288"/>
      <c r="AD59" s="1038"/>
      <c r="AE59" s="1038"/>
      <c r="AF59" s="1038"/>
      <c r="AG59" s="1038"/>
      <c r="AH59" s="1038"/>
      <c r="AI59" s="1038"/>
      <c r="AJ59" s="1038"/>
      <c r="AK59" s="1038"/>
      <c r="AL59" s="1038"/>
      <c r="AM59" s="1038"/>
      <c r="AN59" s="1038"/>
      <c r="AO59" s="1038"/>
      <c r="AP59" s="1038"/>
      <c r="AQ59" s="1038"/>
      <c r="AR59" s="1038"/>
      <c r="AS59" s="1038"/>
      <c r="AT59" s="1038"/>
      <c r="AU59" s="1038"/>
      <c r="AV59" s="1038"/>
      <c r="AW59" s="1038"/>
      <c r="AX59" s="1038"/>
      <c r="AY59" s="1038"/>
      <c r="AZ59" s="1038"/>
      <c r="BA59" s="1038"/>
      <c r="BB59" s="1038"/>
      <c r="BC59" s="1038"/>
      <c r="BD59" s="1038"/>
      <c r="BE59" s="1038"/>
    </row>
    <row r="60" spans="1:57" x14ac:dyDescent="0.25">
      <c r="A60" s="1288"/>
      <c r="B60" s="1288"/>
      <c r="C60" s="1687"/>
      <c r="D60" s="1288"/>
      <c r="E60" s="1288"/>
      <c r="F60" s="1288"/>
      <c r="G60" s="1288"/>
      <c r="H60" s="1288"/>
      <c r="I60" s="1288"/>
      <c r="J60" s="1288"/>
      <c r="K60" s="1288"/>
      <c r="L60" s="1409"/>
      <c r="M60" s="1409"/>
      <c r="N60" s="1288"/>
      <c r="O60" s="1288"/>
      <c r="P60" s="1288"/>
      <c r="Q60" s="1288"/>
      <c r="R60" s="1288"/>
      <c r="S60" s="1288"/>
      <c r="T60" s="1288"/>
      <c r="U60" s="1288"/>
      <c r="V60" s="1288"/>
      <c r="W60" s="1288"/>
      <c r="X60" s="1288"/>
      <c r="Y60" s="1288"/>
      <c r="Z60" s="1288"/>
      <c r="AA60" s="1288"/>
      <c r="AB60" s="1288"/>
      <c r="AC60" s="1288"/>
      <c r="AD60" s="1038"/>
      <c r="AE60" s="1038"/>
      <c r="AF60" s="1038"/>
      <c r="AG60" s="1038"/>
      <c r="AH60" s="1038"/>
      <c r="AI60" s="1038"/>
      <c r="AJ60" s="1038"/>
      <c r="AK60" s="1038"/>
      <c r="AL60" s="1038"/>
      <c r="AM60" s="1038"/>
      <c r="AN60" s="1038"/>
      <c r="AO60" s="1038"/>
      <c r="AP60" s="1038"/>
      <c r="AQ60" s="1038"/>
      <c r="AR60" s="1038"/>
      <c r="AS60" s="1038"/>
      <c r="AT60" s="1038"/>
      <c r="AU60" s="1038"/>
      <c r="AV60" s="1038"/>
      <c r="AW60" s="1038"/>
      <c r="AX60" s="1038"/>
      <c r="AY60" s="1038"/>
      <c r="AZ60" s="1038"/>
      <c r="BA60" s="1038"/>
      <c r="BB60" s="1038"/>
      <c r="BC60" s="1038"/>
      <c r="BD60" s="1038"/>
      <c r="BE60" s="1038"/>
    </row>
    <row r="61" spans="1:57" x14ac:dyDescent="0.25">
      <c r="A61" s="1288"/>
      <c r="B61" s="1290" t="s">
        <v>1289</v>
      </c>
      <c r="C61" s="1699">
        <v>0.12</v>
      </c>
      <c r="D61" s="1288"/>
      <c r="E61" s="1288"/>
      <c r="F61" s="1288"/>
      <c r="G61" s="1288"/>
      <c r="H61" s="1288"/>
      <c r="I61" s="1288"/>
      <c r="J61" s="1288"/>
      <c r="K61" s="1288"/>
      <c r="L61" s="1409"/>
      <c r="M61" s="1409"/>
      <c r="N61" s="1288"/>
      <c r="O61" s="1288"/>
      <c r="P61" s="1288"/>
      <c r="Q61" s="1288"/>
      <c r="R61" s="1288"/>
      <c r="S61" s="1288"/>
      <c r="T61" s="1288"/>
      <c r="U61" s="1288"/>
      <c r="V61" s="1288"/>
      <c r="W61" s="1288"/>
      <c r="X61" s="1288"/>
      <c r="Y61" s="1288"/>
      <c r="Z61" s="1288"/>
      <c r="AA61" s="1288"/>
      <c r="AB61" s="1288"/>
      <c r="AC61" s="1288"/>
      <c r="AD61" s="1038"/>
      <c r="AE61" s="1038"/>
      <c r="AF61" s="1038"/>
      <c r="AG61" s="1038"/>
      <c r="AH61" s="1038"/>
      <c r="AI61" s="1038"/>
      <c r="AJ61" s="1038"/>
      <c r="AK61" s="1038"/>
      <c r="AL61" s="1038"/>
      <c r="AM61" s="1038"/>
      <c r="AN61" s="1038"/>
      <c r="AO61" s="1038"/>
      <c r="AP61" s="1038"/>
      <c r="AQ61" s="1038"/>
      <c r="AR61" s="1038"/>
      <c r="AS61" s="1038"/>
      <c r="AT61" s="1038"/>
      <c r="AU61" s="1038"/>
      <c r="AV61" s="1038"/>
      <c r="AW61" s="1038"/>
      <c r="AX61" s="1038"/>
      <c r="AY61" s="1038"/>
      <c r="AZ61" s="1038"/>
      <c r="BA61" s="1038"/>
      <c r="BB61" s="1038"/>
      <c r="BC61" s="1038"/>
      <c r="BD61" s="1038"/>
      <c r="BE61" s="1038"/>
    </row>
    <row r="62" spans="1:57" x14ac:dyDescent="0.25">
      <c r="A62" s="1288"/>
      <c r="B62" s="1290" t="s">
        <v>1290</v>
      </c>
      <c r="C62" s="1699">
        <v>0.38</v>
      </c>
      <c r="D62" s="1288"/>
      <c r="E62" s="1288"/>
      <c r="F62" s="1288"/>
      <c r="G62" s="1288"/>
      <c r="H62" s="1288"/>
      <c r="I62" s="1288"/>
      <c r="J62" s="1288"/>
      <c r="K62" s="1288"/>
      <c r="L62" s="1409"/>
      <c r="M62" s="1409"/>
      <c r="N62" s="1288"/>
      <c r="O62" s="1288"/>
      <c r="P62" s="1288"/>
      <c r="Q62" s="1288"/>
      <c r="R62" s="1288"/>
      <c r="S62" s="1288"/>
      <c r="T62" s="1288"/>
      <c r="U62" s="1288"/>
      <c r="V62" s="1288"/>
      <c r="W62" s="1288"/>
      <c r="X62" s="1288"/>
      <c r="Y62" s="1288"/>
      <c r="Z62" s="1288"/>
      <c r="AA62" s="1288"/>
      <c r="AB62" s="1288"/>
      <c r="AC62" s="1288"/>
      <c r="AD62" s="1038"/>
      <c r="AE62" s="1038"/>
      <c r="AF62" s="1038"/>
      <c r="AG62" s="1038"/>
      <c r="AH62" s="1038"/>
      <c r="AI62" s="1038"/>
      <c r="AJ62" s="1038"/>
      <c r="AK62" s="1038"/>
      <c r="AL62" s="1038"/>
      <c r="AM62" s="1038"/>
      <c r="AN62" s="1038"/>
      <c r="AO62" s="1038"/>
      <c r="AP62" s="1038"/>
      <c r="AQ62" s="1038"/>
      <c r="AR62" s="1038"/>
      <c r="AS62" s="1038"/>
      <c r="AT62" s="1038"/>
      <c r="AU62" s="1038"/>
      <c r="AV62" s="1038"/>
      <c r="AW62" s="1038"/>
      <c r="AX62" s="1038"/>
      <c r="AY62" s="1038"/>
      <c r="AZ62" s="1038"/>
      <c r="BA62" s="1038"/>
      <c r="BB62" s="1038"/>
      <c r="BC62" s="1038"/>
      <c r="BD62" s="1038"/>
      <c r="BE62" s="1038"/>
    </row>
    <row r="63" spans="1:57" x14ac:dyDescent="0.25">
      <c r="A63" s="1288"/>
      <c r="B63" s="1290" t="s">
        <v>1291</v>
      </c>
      <c r="C63" s="1699">
        <v>0.5</v>
      </c>
      <c r="D63" s="1288"/>
      <c r="E63" s="1288"/>
      <c r="F63" s="1288"/>
      <c r="G63" s="1288"/>
      <c r="H63" s="1288"/>
      <c r="I63" s="1288"/>
      <c r="J63" s="1288"/>
      <c r="K63" s="1288"/>
      <c r="L63" s="1409"/>
      <c r="M63" s="1409"/>
      <c r="N63" s="1288"/>
      <c r="O63" s="1288"/>
      <c r="P63" s="1288"/>
      <c r="Q63" s="1288"/>
      <c r="R63" s="1288"/>
      <c r="S63" s="1288"/>
      <c r="T63" s="1288"/>
      <c r="U63" s="1288"/>
      <c r="V63" s="1288"/>
      <c r="W63" s="1288"/>
      <c r="X63" s="1288"/>
      <c r="Y63" s="1288"/>
      <c r="Z63" s="1288"/>
      <c r="AA63" s="1288"/>
      <c r="AB63" s="1288"/>
      <c r="AC63" s="1288"/>
      <c r="AD63" s="1038"/>
      <c r="AE63" s="1038"/>
      <c r="AF63" s="1038"/>
      <c r="AG63" s="1038"/>
      <c r="AH63" s="1038"/>
      <c r="AI63" s="1038"/>
      <c r="AJ63" s="1038"/>
      <c r="AK63" s="1038"/>
      <c r="AL63" s="1038"/>
      <c r="AM63" s="1038"/>
      <c r="AN63" s="1038"/>
      <c r="AO63" s="1038"/>
      <c r="AP63" s="1038"/>
      <c r="AQ63" s="1038"/>
      <c r="AR63" s="1038"/>
      <c r="AS63" s="1038"/>
      <c r="AT63" s="1038"/>
      <c r="AU63" s="1038"/>
      <c r="AV63" s="1038"/>
      <c r="AW63" s="1038"/>
      <c r="AX63" s="1038"/>
      <c r="AY63" s="1038"/>
      <c r="AZ63" s="1038"/>
      <c r="BA63" s="1038"/>
      <c r="BB63" s="1038"/>
      <c r="BC63" s="1038"/>
      <c r="BD63" s="1038"/>
      <c r="BE63" s="1038"/>
    </row>
    <row r="64" spans="1:57" x14ac:dyDescent="0.25">
      <c r="A64" s="1288"/>
      <c r="B64" s="1290" t="s">
        <v>1293</v>
      </c>
      <c r="C64" s="1690" t="e">
        <f ca="1">+AB217*C54</f>
        <v>#REF!</v>
      </c>
      <c r="D64" s="1288"/>
      <c r="E64" s="1288"/>
      <c r="F64" s="1288"/>
      <c r="G64" s="1288"/>
      <c r="H64" s="1288"/>
      <c r="I64" s="1288"/>
      <c r="J64" s="1288"/>
      <c r="K64" s="1288"/>
      <c r="L64" s="1409"/>
      <c r="M64" s="1409"/>
      <c r="N64" s="1288"/>
      <c r="O64" s="1288"/>
      <c r="P64" s="1288"/>
      <c r="Q64" s="1288"/>
      <c r="R64" s="1288"/>
      <c r="S64" s="1288"/>
      <c r="T64" s="1288"/>
      <c r="U64" s="1288"/>
      <c r="V64" s="1288"/>
      <c r="W64" s="1288"/>
      <c r="X64" s="1288"/>
      <c r="Y64" s="1288"/>
      <c r="Z64" s="1288"/>
      <c r="AA64" s="1288"/>
      <c r="AB64" s="1288"/>
      <c r="AC64" s="1288"/>
      <c r="AD64" s="1038"/>
      <c r="AE64" s="1038"/>
      <c r="AF64" s="1038"/>
      <c r="AG64" s="1038"/>
      <c r="AH64" s="1038"/>
      <c r="AI64" s="1038"/>
      <c r="AJ64" s="1038"/>
      <c r="AK64" s="1038"/>
      <c r="AL64" s="1038"/>
      <c r="AM64" s="1038"/>
      <c r="AN64" s="1038"/>
      <c r="AO64" s="1038"/>
      <c r="AP64" s="1038"/>
      <c r="AQ64" s="1038"/>
      <c r="AR64" s="1038"/>
      <c r="AS64" s="1038"/>
      <c r="AT64" s="1038"/>
      <c r="AU64" s="1038"/>
      <c r="AV64" s="1038"/>
      <c r="AW64" s="1038"/>
      <c r="AX64" s="1038"/>
      <c r="AY64" s="1038"/>
      <c r="AZ64" s="1038"/>
      <c r="BA64" s="1038"/>
      <c r="BB64" s="1038"/>
      <c r="BC64" s="1038"/>
      <c r="BD64" s="1038"/>
      <c r="BE64" s="1038"/>
    </row>
    <row r="65" spans="1:57" x14ac:dyDescent="0.25">
      <c r="A65" s="1288"/>
      <c r="B65" s="1290" t="s">
        <v>1296</v>
      </c>
      <c r="C65" s="1697">
        <v>30</v>
      </c>
      <c r="D65" s="1288"/>
      <c r="E65" s="1288"/>
      <c r="F65" s="1288"/>
      <c r="G65" s="1288"/>
      <c r="H65" s="1288"/>
      <c r="I65" s="1288"/>
      <c r="J65" s="1288"/>
      <c r="K65" s="1288"/>
      <c r="L65" s="1409"/>
      <c r="M65" s="1409"/>
      <c r="N65" s="1288"/>
      <c r="O65" s="1288"/>
      <c r="P65" s="1288"/>
      <c r="Q65" s="1288"/>
      <c r="R65" s="1288"/>
      <c r="S65" s="1288"/>
      <c r="T65" s="1288"/>
      <c r="U65" s="1288"/>
      <c r="V65" s="1288"/>
      <c r="W65" s="1288"/>
      <c r="X65" s="1288"/>
      <c r="Y65" s="1288"/>
      <c r="Z65" s="1288"/>
      <c r="AA65" s="1288"/>
      <c r="AB65" s="1288"/>
      <c r="AC65" s="1288"/>
      <c r="AD65" s="1038"/>
      <c r="AE65" s="1038"/>
      <c r="AF65" s="1038"/>
      <c r="AG65" s="1038"/>
      <c r="AH65" s="1038"/>
      <c r="AI65" s="1038"/>
      <c r="AJ65" s="1038"/>
      <c r="AK65" s="1038"/>
      <c r="AL65" s="1038"/>
      <c r="AM65" s="1038"/>
      <c r="AN65" s="1038"/>
      <c r="AO65" s="1038"/>
      <c r="AP65" s="1038"/>
      <c r="AQ65" s="1038"/>
      <c r="AR65" s="1038"/>
      <c r="AS65" s="1038"/>
      <c r="AT65" s="1038"/>
      <c r="AU65" s="1038"/>
      <c r="AV65" s="1038"/>
      <c r="AW65" s="1038"/>
      <c r="AX65" s="1038"/>
      <c r="AY65" s="1038"/>
      <c r="AZ65" s="1038"/>
      <c r="BA65" s="1038"/>
      <c r="BB65" s="1038"/>
      <c r="BC65" s="1038"/>
      <c r="BD65" s="1038"/>
      <c r="BE65" s="1038"/>
    </row>
    <row r="66" spans="1:57" x14ac:dyDescent="0.25">
      <c r="A66" s="1288"/>
      <c r="B66" s="1288"/>
      <c r="C66" s="1687"/>
      <c r="D66" s="1288"/>
      <c r="E66" s="1288"/>
      <c r="F66" s="1288"/>
      <c r="G66" s="1288"/>
      <c r="H66" s="1288"/>
      <c r="I66" s="1288"/>
      <c r="J66" s="1288"/>
      <c r="K66" s="1288"/>
      <c r="L66" s="1409"/>
      <c r="M66" s="1409"/>
      <c r="N66" s="1288"/>
      <c r="O66" s="1288"/>
      <c r="P66" s="1288"/>
      <c r="Q66" s="1288"/>
      <c r="R66" s="1288"/>
      <c r="S66" s="1288"/>
      <c r="T66" s="1288"/>
      <c r="U66" s="1288"/>
      <c r="V66" s="1288"/>
      <c r="W66" s="1288"/>
      <c r="X66" s="1288"/>
      <c r="Y66" s="1288"/>
      <c r="Z66" s="1288"/>
      <c r="AA66" s="1288"/>
      <c r="AB66" s="1288"/>
      <c r="AC66" s="1288"/>
      <c r="AD66" s="1038"/>
      <c r="AE66" s="1038"/>
      <c r="AF66" s="1038"/>
      <c r="AG66" s="1038"/>
      <c r="AH66" s="1038"/>
      <c r="AI66" s="1038"/>
      <c r="AJ66" s="1038"/>
      <c r="AK66" s="1038"/>
      <c r="AL66" s="1038"/>
      <c r="AM66" s="1038"/>
      <c r="AN66" s="1038"/>
      <c r="AO66" s="1038"/>
      <c r="AP66" s="1038"/>
      <c r="AQ66" s="1038"/>
      <c r="AR66" s="1038"/>
      <c r="AS66" s="1038"/>
      <c r="AT66" s="1038"/>
      <c r="AU66" s="1038"/>
      <c r="AV66" s="1038"/>
      <c r="AW66" s="1038"/>
      <c r="AX66" s="1038"/>
      <c r="AY66" s="1038"/>
      <c r="AZ66" s="1038"/>
      <c r="BA66" s="1038"/>
      <c r="BB66" s="1038"/>
      <c r="BC66" s="1038"/>
      <c r="BD66" s="1038"/>
      <c r="BE66" s="1038"/>
    </row>
    <row r="67" spans="1:57" x14ac:dyDescent="0.25">
      <c r="A67" s="1288"/>
      <c r="B67" s="1288"/>
      <c r="C67" s="1687"/>
      <c r="D67" s="1288"/>
      <c r="E67" s="1288"/>
      <c r="F67" s="1288"/>
      <c r="G67" s="1288"/>
      <c r="H67" s="1288"/>
      <c r="I67" s="1288"/>
      <c r="J67" s="1288"/>
      <c r="K67" s="1288"/>
      <c r="L67" s="1409"/>
      <c r="M67" s="1409"/>
      <c r="N67" s="1288"/>
      <c r="O67" s="1288"/>
      <c r="P67" s="1288"/>
      <c r="Q67" s="1288"/>
      <c r="R67" s="1288"/>
      <c r="S67" s="1288"/>
      <c r="T67" s="1288"/>
      <c r="U67" s="1288"/>
      <c r="V67" s="1288"/>
      <c r="W67" s="1288"/>
      <c r="X67" s="1288"/>
      <c r="Y67" s="1288"/>
      <c r="Z67" s="1288"/>
      <c r="AA67" s="1288"/>
      <c r="AB67" s="1288"/>
      <c r="AC67" s="1288"/>
      <c r="AD67" s="1038"/>
      <c r="AE67" s="1038"/>
      <c r="AF67" s="1038"/>
      <c r="AG67" s="1038"/>
      <c r="AH67" s="1038"/>
      <c r="AI67" s="1038"/>
      <c r="AJ67" s="1038"/>
      <c r="AK67" s="1038"/>
      <c r="AL67" s="1038"/>
      <c r="AM67" s="1038"/>
      <c r="AN67" s="1038"/>
      <c r="AO67" s="1038"/>
      <c r="AP67" s="1038"/>
      <c r="AQ67" s="1038"/>
      <c r="AR67" s="1038"/>
      <c r="AS67" s="1038"/>
      <c r="AT67" s="1038"/>
      <c r="AU67" s="1038"/>
      <c r="AV67" s="1038"/>
      <c r="AW67" s="1038"/>
      <c r="AX67" s="1038"/>
      <c r="AY67" s="1038"/>
      <c r="AZ67" s="1038"/>
      <c r="BA67" s="1038"/>
      <c r="BB67" s="1038"/>
      <c r="BC67" s="1038"/>
      <c r="BD67" s="1038"/>
      <c r="BE67" s="1038"/>
    </row>
    <row r="68" spans="1:57" ht="13.8" thickBot="1" x14ac:dyDescent="0.3">
      <c r="A68" s="1288"/>
      <c r="B68" s="1288"/>
      <c r="C68" s="1687"/>
      <c r="D68" s="1288"/>
      <c r="E68" s="1288"/>
      <c r="F68" s="1288"/>
      <c r="G68" s="1288"/>
      <c r="H68" s="1288"/>
      <c r="I68" s="1288"/>
      <c r="J68" s="1288"/>
      <c r="K68" s="1288"/>
      <c r="L68" s="1409"/>
      <c r="M68" s="1409"/>
      <c r="N68" s="1288"/>
      <c r="O68" s="1288"/>
      <c r="P68" s="1288"/>
      <c r="Q68" s="1288"/>
      <c r="R68" s="1288"/>
      <c r="S68" s="1288"/>
      <c r="T68" s="1288"/>
      <c r="U68" s="1288"/>
      <c r="V68" s="1288"/>
      <c r="W68" s="1288"/>
      <c r="X68" s="1288"/>
      <c r="Y68" s="1288"/>
      <c r="Z68" s="1288"/>
      <c r="AA68" s="1288"/>
      <c r="AB68" s="1288"/>
      <c r="AC68" s="1288"/>
      <c r="AD68" s="1038"/>
      <c r="AE68" s="1038"/>
      <c r="AF68" s="1038"/>
      <c r="AG68" s="1038"/>
      <c r="AH68" s="1038"/>
      <c r="AI68" s="1038"/>
      <c r="AJ68" s="1038"/>
      <c r="AK68" s="1038"/>
      <c r="AL68" s="1038"/>
      <c r="AM68" s="1038"/>
      <c r="AN68" s="1038"/>
      <c r="AO68" s="1038"/>
      <c r="AP68" s="1038"/>
      <c r="AQ68" s="1038"/>
      <c r="AR68" s="1038"/>
      <c r="AS68" s="1038"/>
      <c r="AT68" s="1038"/>
      <c r="AU68" s="1038"/>
      <c r="AV68" s="1038"/>
      <c r="AW68" s="1038"/>
      <c r="AX68" s="1038"/>
      <c r="AY68" s="1038"/>
      <c r="AZ68" s="1038"/>
      <c r="BA68" s="1038"/>
      <c r="BB68" s="1038"/>
      <c r="BC68" s="1038"/>
      <c r="BD68" s="1038"/>
      <c r="BE68" s="1038"/>
    </row>
    <row r="69" spans="1:57" ht="13.8" thickBot="1" x14ac:dyDescent="0.3">
      <c r="A69" s="1288"/>
      <c r="B69" s="1580" t="s">
        <v>1331</v>
      </c>
      <c r="C69" s="1701"/>
      <c r="D69" s="1288"/>
      <c r="E69" s="1288"/>
      <c r="F69" s="1288"/>
      <c r="G69" s="1288"/>
      <c r="H69" s="1288"/>
      <c r="I69" s="1288"/>
      <c r="J69" s="1288"/>
      <c r="K69" s="1288"/>
      <c r="L69" s="1409"/>
      <c r="M69" s="1409"/>
      <c r="N69" s="1288"/>
      <c r="O69" s="1288"/>
      <c r="P69" s="1288"/>
      <c r="Q69" s="1288"/>
      <c r="R69" s="1288"/>
      <c r="S69" s="1288"/>
      <c r="T69" s="1288"/>
      <c r="U69" s="1288"/>
      <c r="V69" s="1288"/>
      <c r="W69" s="1288"/>
      <c r="X69" s="1288"/>
      <c r="Y69" s="1288"/>
      <c r="Z69" s="1288"/>
      <c r="AA69" s="1288"/>
      <c r="AB69" s="1288"/>
      <c r="AC69" s="1288"/>
      <c r="AD69" s="1038"/>
      <c r="AE69" s="1038"/>
      <c r="AF69" s="1038"/>
      <c r="AG69" s="1038"/>
      <c r="AH69" s="1038"/>
      <c r="AI69" s="1038"/>
      <c r="AJ69" s="1038"/>
      <c r="AK69" s="1038"/>
      <c r="AL69" s="1038"/>
      <c r="AM69" s="1038"/>
      <c r="AN69" s="1038"/>
      <c r="AO69" s="1038"/>
      <c r="AP69" s="1038"/>
      <c r="AQ69" s="1038"/>
      <c r="AR69" s="1038"/>
      <c r="AS69" s="1038"/>
      <c r="AT69" s="1038"/>
      <c r="AU69" s="1038"/>
      <c r="AV69" s="1038"/>
      <c r="AW69" s="1038"/>
      <c r="AX69" s="1038"/>
      <c r="AY69" s="1038"/>
      <c r="AZ69" s="1038"/>
      <c r="BA69" s="1038"/>
      <c r="BB69" s="1038"/>
      <c r="BC69" s="1038"/>
      <c r="BD69" s="1038"/>
      <c r="BE69" s="1038"/>
    </row>
    <row r="70" spans="1:57" ht="13.8" thickBot="1" x14ac:dyDescent="0.3">
      <c r="A70" s="1288"/>
      <c r="B70" s="1288"/>
      <c r="C70" s="1687"/>
      <c r="D70" s="1288"/>
      <c r="E70" s="1288"/>
      <c r="F70" s="1288"/>
      <c r="G70" s="1288"/>
      <c r="H70" s="1288"/>
      <c r="I70" s="1288"/>
      <c r="J70" s="1288"/>
      <c r="K70" s="1288"/>
      <c r="L70" s="1410"/>
      <c r="M70" s="1288"/>
      <c r="N70" s="1288"/>
      <c r="O70" s="1288"/>
      <c r="P70" s="1288"/>
      <c r="Q70" s="1288"/>
      <c r="R70" s="1288"/>
      <c r="S70" s="1288"/>
      <c r="T70" s="1288"/>
      <c r="U70" s="1288"/>
      <c r="V70" s="1288"/>
      <c r="W70" s="1288"/>
      <c r="X70" s="1288"/>
      <c r="Y70" s="1288"/>
      <c r="Z70" s="1288"/>
      <c r="AA70" s="1288"/>
      <c r="AB70" s="1288"/>
      <c r="AC70" s="1288"/>
      <c r="AD70" s="1038"/>
      <c r="AE70" s="1038"/>
      <c r="AF70" s="1038"/>
      <c r="AG70" s="1038"/>
      <c r="AH70" s="1038"/>
      <c r="AI70" s="1038"/>
      <c r="AJ70" s="1038"/>
      <c r="AK70" s="1038"/>
      <c r="AL70" s="1038"/>
      <c r="AM70" s="1038"/>
      <c r="AN70" s="1038"/>
      <c r="AO70" s="1038"/>
      <c r="AP70" s="1038"/>
      <c r="AQ70" s="1038"/>
      <c r="AR70" s="1038"/>
      <c r="AS70" s="1038"/>
      <c r="AT70" s="1038"/>
      <c r="AU70" s="1038"/>
      <c r="AV70" s="1038"/>
      <c r="AW70" s="1038"/>
      <c r="AX70" s="1038"/>
      <c r="AY70" s="1038"/>
      <c r="AZ70" s="1038"/>
      <c r="BA70" s="1038"/>
      <c r="BB70" s="1038"/>
      <c r="BC70" s="1038"/>
      <c r="BD70" s="1038"/>
      <c r="BE70" s="1038"/>
    </row>
    <row r="71" spans="1:57" ht="13.8" x14ac:dyDescent="0.25">
      <c r="A71" s="1288"/>
      <c r="B71" s="1339" t="s">
        <v>1273</v>
      </c>
      <c r="C71" s="1702" t="s">
        <v>1335</v>
      </c>
      <c r="D71" s="1399"/>
      <c r="E71" s="1399"/>
      <c r="F71" s="1399"/>
      <c r="G71" s="1399"/>
      <c r="H71" s="1399"/>
      <c r="I71" s="1399"/>
      <c r="J71" s="1399"/>
      <c r="K71" s="1399"/>
      <c r="L71" s="1399"/>
      <c r="M71" s="1399"/>
      <c r="N71" s="1399"/>
      <c r="O71" s="1399"/>
      <c r="P71" s="1399"/>
      <c r="Q71" s="1399"/>
      <c r="R71" s="1399"/>
      <c r="S71" s="1399"/>
      <c r="T71" s="1399"/>
      <c r="U71" s="1399"/>
      <c r="V71" s="1399"/>
      <c r="W71" s="1399"/>
      <c r="X71" s="1399"/>
      <c r="Y71" s="1399"/>
      <c r="Z71" s="1399"/>
      <c r="AA71" s="1399"/>
      <c r="AB71" s="1403"/>
      <c r="AC71" s="1288"/>
      <c r="AD71" s="1038"/>
      <c r="AE71" s="1038"/>
      <c r="AF71" s="1038"/>
      <c r="AG71" s="1038"/>
      <c r="AH71" s="1038"/>
      <c r="AI71" s="1038"/>
      <c r="AJ71" s="1038"/>
      <c r="AK71" s="1038"/>
      <c r="AL71" s="1038"/>
      <c r="AM71" s="1038"/>
      <c r="AN71" s="1038"/>
      <c r="AO71" s="1038"/>
      <c r="AP71" s="1038"/>
      <c r="AQ71" s="1038"/>
      <c r="AR71" s="1038"/>
      <c r="AS71" s="1038"/>
      <c r="AT71" s="1038"/>
      <c r="AU71" s="1038"/>
      <c r="AV71" s="1038"/>
      <c r="AW71" s="1038"/>
      <c r="AX71" s="1038"/>
      <c r="AY71" s="1038"/>
      <c r="AZ71" s="1038"/>
      <c r="BA71" s="1038"/>
      <c r="BB71" s="1038"/>
      <c r="BC71" s="1038"/>
      <c r="BD71" s="1038"/>
      <c r="BE71" s="1038"/>
    </row>
    <row r="72" spans="1:57" ht="39.6" x14ac:dyDescent="0.25">
      <c r="A72" s="1288"/>
      <c r="B72" s="1428" t="s">
        <v>1334</v>
      </c>
      <c r="C72" s="1703">
        <v>50</v>
      </c>
      <c r="D72" s="1430">
        <v>57</v>
      </c>
      <c r="E72" s="1430">
        <v>66</v>
      </c>
      <c r="F72" s="1430">
        <v>75</v>
      </c>
      <c r="G72" s="1430">
        <v>86</v>
      </c>
      <c r="H72" s="1430">
        <v>99</v>
      </c>
      <c r="I72" s="1430">
        <v>113</v>
      </c>
      <c r="J72" s="1430">
        <v>130</v>
      </c>
      <c r="K72" s="1430">
        <v>149</v>
      </c>
      <c r="L72" s="1430">
        <v>170</v>
      </c>
      <c r="M72" s="1430">
        <v>195</v>
      </c>
      <c r="N72" s="1430">
        <v>224</v>
      </c>
      <c r="O72" s="1430">
        <v>256</v>
      </c>
      <c r="P72" s="1430">
        <v>294</v>
      </c>
      <c r="Q72" s="1430">
        <v>336</v>
      </c>
      <c r="R72" s="1430">
        <v>386</v>
      </c>
      <c r="S72" s="1430">
        <v>442</v>
      </c>
      <c r="T72" s="1430">
        <v>506</v>
      </c>
      <c r="U72" s="1430">
        <v>580</v>
      </c>
      <c r="V72" s="1430">
        <v>665</v>
      </c>
      <c r="W72" s="1430">
        <v>762</v>
      </c>
      <c r="X72" s="1430">
        <v>873</v>
      </c>
      <c r="Y72" s="1430">
        <v>1000</v>
      </c>
      <c r="Z72" s="1411"/>
      <c r="AA72" s="1290" t="str">
        <f>"Values at "&amp;ROUND(C54,0)&amp;" km distance"</f>
        <v>Values at 161 km distance</v>
      </c>
      <c r="AB72" s="1340" t="e">
        <f ca="1">"Value at "&amp;ROUND($C$55,2)&amp;" million metric tonnes/y"</f>
        <v>#REF!</v>
      </c>
      <c r="AC72" s="1288"/>
      <c r="AD72" s="1038"/>
      <c r="AE72" s="1038"/>
      <c r="AF72" s="1038"/>
      <c r="AG72" s="1038"/>
      <c r="AH72" s="1038"/>
      <c r="AI72" s="1038"/>
      <c r="AJ72" s="1038"/>
      <c r="AK72" s="1038"/>
      <c r="AL72" s="1038"/>
      <c r="AM72" s="1038"/>
      <c r="AN72" s="1038"/>
      <c r="AO72" s="1038"/>
      <c r="AP72" s="1038"/>
      <c r="AQ72" s="1038"/>
      <c r="AR72" s="1038"/>
      <c r="AS72" s="1038"/>
      <c r="AT72" s="1038"/>
      <c r="AU72" s="1038"/>
      <c r="AV72" s="1038"/>
      <c r="AW72" s="1038"/>
      <c r="AX72" s="1038"/>
      <c r="AY72" s="1038"/>
      <c r="AZ72" s="1038"/>
      <c r="BA72" s="1038"/>
      <c r="BB72" s="1038"/>
      <c r="BC72" s="1038"/>
      <c r="BD72" s="1038"/>
      <c r="BE72" s="1038"/>
    </row>
    <row r="73" spans="1:57" x14ac:dyDescent="0.25">
      <c r="A73" s="1288"/>
      <c r="B73" s="1429">
        <v>0.5</v>
      </c>
      <c r="C73" s="1697">
        <v>55128.085986206912</v>
      </c>
      <c r="D73" s="1287">
        <v>54955.168059205505</v>
      </c>
      <c r="E73" s="1287">
        <v>54786.741506931387</v>
      </c>
      <c r="F73" s="1287">
        <v>54658.737327203089</v>
      </c>
      <c r="G73" s="1287">
        <v>54538.671391178847</v>
      </c>
      <c r="H73" s="1287">
        <v>54431.174341019403</v>
      </c>
      <c r="I73" s="1287">
        <v>54343.069202563333</v>
      </c>
      <c r="J73" s="1287">
        <v>54261.59615419984</v>
      </c>
      <c r="K73" s="1287">
        <v>54192.538659199272</v>
      </c>
      <c r="L73" s="1287">
        <v>54134.171178904682</v>
      </c>
      <c r="M73" s="1287">
        <v>54081.077439198358</v>
      </c>
      <c r="N73" s="1287">
        <v>54034.335986206905</v>
      </c>
      <c r="O73" s="1287">
        <v>53995.048989080475</v>
      </c>
      <c r="P73" s="1287">
        <v>53959.503610727967</v>
      </c>
      <c r="Q73" s="1287">
        <v>53929.57066053641</v>
      </c>
      <c r="R73" s="1287">
        <v>53902.429384455972</v>
      </c>
      <c r="S73" s="1287">
        <v>53879.321228314373</v>
      </c>
      <c r="T73" s="1287">
        <v>53859.174987160979</v>
      </c>
      <c r="U73" s="1287">
        <v>53841.423283075725</v>
      </c>
      <c r="V73" s="1287">
        <v>53825.908127767696</v>
      </c>
      <c r="W73" s="1287">
        <v>53812.431477503262</v>
      </c>
      <c r="X73" s="1287">
        <v>53800.684108680609</v>
      </c>
      <c r="Y73" s="1287">
        <v>53790.442308045996</v>
      </c>
      <c r="Z73" s="1411"/>
      <c r="AA73" s="1412">
        <f t="shared" ref="AA73:AA95" ca="1" si="1">FORECAST($C$54,OFFSET(G73:Y73,0,MATCH($C$54,$G$72:$Y$72,1)-1,1,2), OFFSET($G$72:$Y$72,0,MATCH($C$54,$G$72:$Y$72,1)-1,1,2))</f>
        <v>54159.368142207473</v>
      </c>
      <c r="AB73" s="1413" t="e">
        <f ca="1">FORECAST($C$55,OFFSET(AA73:AA95,MATCH($C$55,$B$73:$B$95,1)-1,0,2), OFFSET($B$73:$B$95,MATCH($C$55,$B$73:$B$95,1)-1,0,2))</f>
        <v>#REF!</v>
      </c>
      <c r="AC73" s="1288"/>
      <c r="AD73" s="1038"/>
      <c r="AE73" s="1038"/>
      <c r="AF73" s="1038"/>
      <c r="AG73" s="1038"/>
      <c r="AH73" s="1038"/>
      <c r="AI73" s="1038"/>
      <c r="AJ73" s="1038"/>
      <c r="AK73" s="1038"/>
      <c r="AL73" s="1038"/>
      <c r="AM73" s="1038"/>
      <c r="AN73" s="1038"/>
      <c r="AO73" s="1038"/>
      <c r="AP73" s="1038"/>
      <c r="AQ73" s="1038"/>
      <c r="AR73" s="1038"/>
      <c r="AS73" s="1038"/>
      <c r="AT73" s="1038"/>
      <c r="AU73" s="1038"/>
      <c r="AV73" s="1038"/>
      <c r="AW73" s="1038"/>
      <c r="AX73" s="1038"/>
      <c r="AY73" s="1038"/>
      <c r="AZ73" s="1038"/>
      <c r="BA73" s="1038"/>
      <c r="BB73" s="1038"/>
      <c r="BC73" s="1038"/>
      <c r="BD73" s="1038"/>
      <c r="BE73" s="1038"/>
    </row>
    <row r="74" spans="1:57" x14ac:dyDescent="0.25">
      <c r="A74" s="1288"/>
      <c r="B74" s="1429">
        <v>0.56999999999999995</v>
      </c>
      <c r="C74" s="1697">
        <v>55128.085986206912</v>
      </c>
      <c r="D74" s="1287">
        <v>54955.168059205505</v>
      </c>
      <c r="E74" s="1287">
        <v>54786.741506931387</v>
      </c>
      <c r="F74" s="1287">
        <v>54658.737327203089</v>
      </c>
      <c r="G74" s="1287">
        <v>54538.671391178847</v>
      </c>
      <c r="H74" s="1287">
        <v>54431.174341019403</v>
      </c>
      <c r="I74" s="1287">
        <v>54343.069202563333</v>
      </c>
      <c r="J74" s="1287">
        <v>54261.59615419984</v>
      </c>
      <c r="K74" s="1287">
        <v>54192.538659199272</v>
      </c>
      <c r="L74" s="1287">
        <v>54134.171178904682</v>
      </c>
      <c r="M74" s="1287">
        <v>54081.077439198358</v>
      </c>
      <c r="N74" s="1287">
        <v>54034.335986206905</v>
      </c>
      <c r="O74" s="1287">
        <v>53995.048989080475</v>
      </c>
      <c r="P74" s="1287">
        <v>53959.503610727967</v>
      </c>
      <c r="Q74" s="1287">
        <v>53929.57066053641</v>
      </c>
      <c r="R74" s="1287">
        <v>53902.429384455972</v>
      </c>
      <c r="S74" s="1287">
        <v>53879.321228314373</v>
      </c>
      <c r="T74" s="1287">
        <v>53859.174987160979</v>
      </c>
      <c r="U74" s="1287">
        <v>53841.423283075725</v>
      </c>
      <c r="V74" s="1287">
        <v>53825.908127767696</v>
      </c>
      <c r="W74" s="1287">
        <v>53812.431477503262</v>
      </c>
      <c r="X74" s="1287">
        <v>53800.684108680609</v>
      </c>
      <c r="Y74" s="1287">
        <v>53790.442308045996</v>
      </c>
      <c r="Z74" s="1411"/>
      <c r="AA74" s="1412">
        <f t="shared" ca="1" si="1"/>
        <v>54159.368142207473</v>
      </c>
      <c r="AB74" s="1414"/>
      <c r="AC74" s="1288"/>
      <c r="AD74" s="1038"/>
      <c r="AE74" s="1038"/>
      <c r="AF74" s="1038"/>
      <c r="AG74" s="1038"/>
      <c r="AH74" s="1038"/>
      <c r="AI74" s="1038"/>
      <c r="AJ74" s="1038"/>
      <c r="AK74" s="1038"/>
      <c r="AL74" s="1038"/>
      <c r="AM74" s="1038"/>
      <c r="AN74" s="1038"/>
      <c r="AO74" s="1038"/>
      <c r="AP74" s="1038"/>
      <c r="AQ74" s="1038"/>
      <c r="AR74" s="1038"/>
      <c r="AS74" s="1038"/>
      <c r="AT74" s="1038"/>
      <c r="AU74" s="1038"/>
      <c r="AV74" s="1038"/>
      <c r="AW74" s="1038"/>
      <c r="AX74" s="1038"/>
      <c r="AY74" s="1038"/>
      <c r="AZ74" s="1038"/>
      <c r="BA74" s="1038"/>
      <c r="BB74" s="1038"/>
      <c r="BC74" s="1038"/>
      <c r="BD74" s="1038"/>
      <c r="BE74" s="1038"/>
    </row>
    <row r="75" spans="1:57" x14ac:dyDescent="0.25">
      <c r="A75" s="1288"/>
      <c r="B75" s="1429">
        <v>0.65</v>
      </c>
      <c r="C75" s="1697">
        <v>55128.085986206912</v>
      </c>
      <c r="D75" s="1287">
        <v>54955.168059205505</v>
      </c>
      <c r="E75" s="1287">
        <v>54786.741506931387</v>
      </c>
      <c r="F75" s="1287">
        <v>54658.737327203089</v>
      </c>
      <c r="G75" s="1287">
        <v>54538.671391178847</v>
      </c>
      <c r="H75" s="1287">
        <v>54431.174341019403</v>
      </c>
      <c r="I75" s="1287">
        <v>54343.069202563333</v>
      </c>
      <c r="J75" s="1287">
        <v>54261.59615419984</v>
      </c>
      <c r="K75" s="1287">
        <v>54192.538659199272</v>
      </c>
      <c r="L75" s="1287">
        <v>54134.171178904682</v>
      </c>
      <c r="M75" s="1287">
        <v>54081.077439198358</v>
      </c>
      <c r="N75" s="1287">
        <v>54034.335986206905</v>
      </c>
      <c r="O75" s="1287">
        <v>53995.048989080475</v>
      </c>
      <c r="P75" s="1287">
        <v>53959.503610727967</v>
      </c>
      <c r="Q75" s="1287">
        <v>53929.57066053641</v>
      </c>
      <c r="R75" s="1287">
        <v>53902.429384455972</v>
      </c>
      <c r="S75" s="1287">
        <v>53879.321228314373</v>
      </c>
      <c r="T75" s="1287">
        <v>53859.174987160979</v>
      </c>
      <c r="U75" s="1287">
        <v>53841.423283075725</v>
      </c>
      <c r="V75" s="1287">
        <v>53825.908127767696</v>
      </c>
      <c r="W75" s="1287">
        <v>53812.431477503262</v>
      </c>
      <c r="X75" s="1287">
        <v>53800.684108680609</v>
      </c>
      <c r="Y75" s="1287">
        <v>53790.442308045996</v>
      </c>
      <c r="Z75" s="1411"/>
      <c r="AA75" s="1412">
        <f t="shared" ca="1" si="1"/>
        <v>54159.368142207473</v>
      </c>
      <c r="AB75" s="1414"/>
      <c r="AC75" s="1288"/>
      <c r="AD75" s="1038"/>
      <c r="AE75" s="1038"/>
      <c r="AF75" s="1038"/>
      <c r="AG75" s="1038"/>
      <c r="AH75" s="1038"/>
      <c r="AI75" s="1038"/>
      <c r="AJ75" s="1038"/>
      <c r="AK75" s="1038"/>
      <c r="AL75" s="1038"/>
      <c r="AM75" s="1038"/>
      <c r="AN75" s="1038"/>
      <c r="AO75" s="1038"/>
      <c r="AP75" s="1038"/>
      <c r="AQ75" s="1038"/>
      <c r="AR75" s="1038"/>
      <c r="AS75" s="1038"/>
      <c r="AT75" s="1038"/>
      <c r="AU75" s="1038"/>
      <c r="AV75" s="1038"/>
      <c r="AW75" s="1038"/>
      <c r="AX75" s="1038"/>
      <c r="AY75" s="1038"/>
      <c r="AZ75" s="1038"/>
      <c r="BA75" s="1038"/>
      <c r="BB75" s="1038"/>
      <c r="BC75" s="1038"/>
      <c r="BD75" s="1038"/>
      <c r="BE75" s="1038"/>
    </row>
    <row r="76" spans="1:57" x14ac:dyDescent="0.25">
      <c r="A76" s="1288"/>
      <c r="B76" s="1429">
        <v>0.74</v>
      </c>
      <c r="C76" s="1697">
        <v>55128.085986206912</v>
      </c>
      <c r="D76" s="1287">
        <v>54955.168059205505</v>
      </c>
      <c r="E76" s="1287">
        <v>54786.741506931387</v>
      </c>
      <c r="F76" s="1287">
        <v>54658.737327203089</v>
      </c>
      <c r="G76" s="1287">
        <v>54538.671391178847</v>
      </c>
      <c r="H76" s="1287">
        <v>54431.174341019403</v>
      </c>
      <c r="I76" s="1287">
        <v>54343.069202563333</v>
      </c>
      <c r="J76" s="1287">
        <v>54261.59615419984</v>
      </c>
      <c r="K76" s="1287">
        <v>54192.538659199272</v>
      </c>
      <c r="L76" s="1287">
        <v>54134.171178904682</v>
      </c>
      <c r="M76" s="1287">
        <v>54081.077439198358</v>
      </c>
      <c r="N76" s="1287">
        <v>54034.335986206905</v>
      </c>
      <c r="O76" s="1287">
        <v>53995.048989080475</v>
      </c>
      <c r="P76" s="1287">
        <v>53959.503610727967</v>
      </c>
      <c r="Q76" s="1287">
        <v>53929.57066053641</v>
      </c>
      <c r="R76" s="1287">
        <v>53902.429384455972</v>
      </c>
      <c r="S76" s="1287">
        <v>53879.321228314373</v>
      </c>
      <c r="T76" s="1287">
        <v>53859.174987160979</v>
      </c>
      <c r="U76" s="1287">
        <v>53841.423283075725</v>
      </c>
      <c r="V76" s="1287">
        <v>53825.908127767696</v>
      </c>
      <c r="W76" s="1287">
        <v>53812.431477503262</v>
      </c>
      <c r="X76" s="1287">
        <v>53800.684108680609</v>
      </c>
      <c r="Y76" s="1287">
        <v>53790.442308045996</v>
      </c>
      <c r="Z76" s="1411"/>
      <c r="AA76" s="1412">
        <f t="shared" ca="1" si="1"/>
        <v>54159.368142207473</v>
      </c>
      <c r="AB76" s="1414"/>
      <c r="AC76" s="1288"/>
      <c r="AD76" s="1038"/>
      <c r="AE76" s="1038"/>
      <c r="AF76" s="1038"/>
      <c r="AG76" s="1038"/>
      <c r="AH76" s="1038"/>
      <c r="AI76" s="1038"/>
      <c r="AJ76" s="1038"/>
      <c r="AK76" s="1038"/>
      <c r="AL76" s="1038"/>
      <c r="AM76" s="1038"/>
      <c r="AN76" s="1038"/>
      <c r="AO76" s="1038"/>
      <c r="AP76" s="1038"/>
      <c r="AQ76" s="1038"/>
      <c r="AR76" s="1038"/>
      <c r="AS76" s="1038"/>
      <c r="AT76" s="1038"/>
      <c r="AU76" s="1038"/>
      <c r="AV76" s="1038"/>
      <c r="AW76" s="1038"/>
      <c r="AX76" s="1038"/>
      <c r="AY76" s="1038"/>
      <c r="AZ76" s="1038"/>
      <c r="BA76" s="1038"/>
      <c r="BB76" s="1038"/>
      <c r="BC76" s="1038"/>
      <c r="BD76" s="1038"/>
      <c r="BE76" s="1038"/>
    </row>
    <row r="77" spans="1:57" x14ac:dyDescent="0.25">
      <c r="A77" s="1288"/>
      <c r="B77" s="1429">
        <v>0.85</v>
      </c>
      <c r="C77" s="1697">
        <v>55128.085986206912</v>
      </c>
      <c r="D77" s="1287">
        <v>54955.168059205505</v>
      </c>
      <c r="E77" s="1287">
        <v>68070.515011299212</v>
      </c>
      <c r="F77" s="1287">
        <v>67942.510831570893</v>
      </c>
      <c r="G77" s="1287">
        <v>54538.671391178847</v>
      </c>
      <c r="H77" s="1287">
        <v>54431.174341019403</v>
      </c>
      <c r="I77" s="1287">
        <v>54343.069202563333</v>
      </c>
      <c r="J77" s="1287">
        <v>67545.369658567637</v>
      </c>
      <c r="K77" s="1287">
        <v>54192.538659199272</v>
      </c>
      <c r="L77" s="1287">
        <v>54134.171178904682</v>
      </c>
      <c r="M77" s="1287">
        <v>67364.850943566184</v>
      </c>
      <c r="N77" s="1287">
        <v>54034.335986206905</v>
      </c>
      <c r="O77" s="1287">
        <v>53995.048989080475</v>
      </c>
      <c r="P77" s="1287">
        <v>67243.277115095785</v>
      </c>
      <c r="Q77" s="1287">
        <v>53929.57066053641</v>
      </c>
      <c r="R77" s="1287">
        <v>53902.429384455972</v>
      </c>
      <c r="S77" s="1287">
        <v>67163.094732682192</v>
      </c>
      <c r="T77" s="1287">
        <v>67142.94849152879</v>
      </c>
      <c r="U77" s="1287">
        <v>67125.19678744355</v>
      </c>
      <c r="V77" s="1287">
        <v>53825.908127767696</v>
      </c>
      <c r="W77" s="1287">
        <v>53812.431477503262</v>
      </c>
      <c r="X77" s="1287">
        <v>67084.457613048435</v>
      </c>
      <c r="Y77" s="1287">
        <v>67074.215812413822</v>
      </c>
      <c r="Z77" s="1411"/>
      <c r="AA77" s="1412">
        <f t="shared" ca="1" si="1"/>
        <v>54159.368142207473</v>
      </c>
      <c r="AB77" s="1414"/>
      <c r="AC77" s="1288"/>
      <c r="AD77" s="1038"/>
      <c r="AE77" s="1038"/>
      <c r="AF77" s="1038"/>
      <c r="AG77" s="1038"/>
      <c r="AH77" s="1038"/>
      <c r="AI77" s="1038"/>
      <c r="AJ77" s="1038"/>
      <c r="AK77" s="1038"/>
      <c r="AL77" s="1038"/>
      <c r="AM77" s="1038"/>
      <c r="AN77" s="1038"/>
      <c r="AO77" s="1038"/>
      <c r="AP77" s="1038"/>
      <c r="AQ77" s="1038"/>
      <c r="AR77" s="1038"/>
      <c r="AS77" s="1038"/>
      <c r="AT77" s="1038"/>
      <c r="AU77" s="1038"/>
      <c r="AV77" s="1038"/>
      <c r="AW77" s="1038"/>
      <c r="AX77" s="1038"/>
      <c r="AY77" s="1038"/>
      <c r="AZ77" s="1038"/>
      <c r="BA77" s="1038"/>
      <c r="BB77" s="1038"/>
      <c r="BC77" s="1038"/>
      <c r="BD77" s="1038"/>
      <c r="BE77" s="1038"/>
    </row>
    <row r="78" spans="1:57" x14ac:dyDescent="0.25">
      <c r="A78" s="1288"/>
      <c r="B78" s="1429">
        <v>0.96</v>
      </c>
      <c r="C78" s="1697">
        <v>68411.859490574745</v>
      </c>
      <c r="D78" s="1287">
        <v>68238.941563573317</v>
      </c>
      <c r="E78" s="1287">
        <v>68070.515011299212</v>
      </c>
      <c r="F78" s="1287">
        <v>67942.510831570893</v>
      </c>
      <c r="G78" s="1287">
        <v>54538.671391178847</v>
      </c>
      <c r="H78" s="1287">
        <v>67714.947845387229</v>
      </c>
      <c r="I78" s="1287">
        <v>67626.842706931173</v>
      </c>
      <c r="J78" s="1287">
        <v>67545.369658567637</v>
      </c>
      <c r="K78" s="1287">
        <v>67476.312163567112</v>
      </c>
      <c r="L78" s="1287">
        <v>67417.944683272523</v>
      </c>
      <c r="M78" s="1287">
        <v>67364.850943566184</v>
      </c>
      <c r="N78" s="1287">
        <v>67318.10949057473</v>
      </c>
      <c r="O78" s="1287">
        <v>67278.822493448301</v>
      </c>
      <c r="P78" s="1287">
        <v>67243.277115095785</v>
      </c>
      <c r="Q78" s="1287">
        <v>67213.344164904236</v>
      </c>
      <c r="R78" s="1287">
        <v>67186.202888823798</v>
      </c>
      <c r="S78" s="1287">
        <v>67163.094732682192</v>
      </c>
      <c r="T78" s="1287">
        <v>67142.94849152879</v>
      </c>
      <c r="U78" s="1287">
        <v>67125.19678744355</v>
      </c>
      <c r="V78" s="1287">
        <v>67109.681632135529</v>
      </c>
      <c r="W78" s="1287">
        <v>67096.20498187108</v>
      </c>
      <c r="X78" s="1287">
        <v>67084.457613048435</v>
      </c>
      <c r="Y78" s="1287">
        <v>67074.215812413822</v>
      </c>
      <c r="Z78" s="1411"/>
      <c r="AA78" s="1412">
        <f t="shared" ca="1" si="1"/>
        <v>67443.141646575314</v>
      </c>
      <c r="AB78" s="1414"/>
      <c r="AC78" s="1288"/>
      <c r="AD78" s="1038"/>
      <c r="AE78" s="1038"/>
      <c r="AF78" s="1038"/>
      <c r="AG78" s="1038"/>
      <c r="AH78" s="1038"/>
      <c r="AI78" s="1038"/>
      <c r="AJ78" s="1038"/>
      <c r="AK78" s="1038"/>
      <c r="AL78" s="1038"/>
      <c r="AM78" s="1038"/>
      <c r="AN78" s="1038"/>
      <c r="AO78" s="1038"/>
      <c r="AP78" s="1038"/>
      <c r="AQ78" s="1038"/>
      <c r="AR78" s="1038"/>
      <c r="AS78" s="1038"/>
      <c r="AT78" s="1038"/>
      <c r="AU78" s="1038"/>
      <c r="AV78" s="1038"/>
      <c r="AW78" s="1038"/>
      <c r="AX78" s="1038"/>
      <c r="AY78" s="1038"/>
      <c r="AZ78" s="1038"/>
      <c r="BA78" s="1038"/>
      <c r="BB78" s="1038"/>
      <c r="BC78" s="1038"/>
      <c r="BD78" s="1038"/>
      <c r="BE78" s="1038"/>
    </row>
    <row r="79" spans="1:57" x14ac:dyDescent="0.25">
      <c r="A79" s="1288"/>
      <c r="B79" s="1429">
        <v>1.1000000000000001</v>
      </c>
      <c r="C79" s="1697">
        <v>68411.859490574745</v>
      </c>
      <c r="D79" s="1287">
        <v>68238.941563573317</v>
      </c>
      <c r="E79" s="1287">
        <v>68070.515011299212</v>
      </c>
      <c r="F79" s="1287">
        <v>67942.510831570893</v>
      </c>
      <c r="G79" s="1287">
        <v>67822.444895546665</v>
      </c>
      <c r="H79" s="1287">
        <v>67714.947845387229</v>
      </c>
      <c r="I79" s="1287">
        <v>67626.842706931173</v>
      </c>
      <c r="J79" s="1287">
        <v>67545.369658567637</v>
      </c>
      <c r="K79" s="1287">
        <v>67476.312163567112</v>
      </c>
      <c r="L79" s="1287">
        <v>67417.944683272523</v>
      </c>
      <c r="M79" s="1287">
        <v>67364.850943566184</v>
      </c>
      <c r="N79" s="1287">
        <v>67318.10949057473</v>
      </c>
      <c r="O79" s="1287">
        <v>67278.822493448301</v>
      </c>
      <c r="P79" s="1287">
        <v>67243.277115095785</v>
      </c>
      <c r="Q79" s="1287">
        <v>67213.344164904236</v>
      </c>
      <c r="R79" s="1287">
        <v>67186.202888823798</v>
      </c>
      <c r="S79" s="1287">
        <v>67163.094732682192</v>
      </c>
      <c r="T79" s="1287">
        <v>67142.94849152879</v>
      </c>
      <c r="U79" s="1287">
        <v>67125.19678744355</v>
      </c>
      <c r="V79" s="1287">
        <v>67109.681632135529</v>
      </c>
      <c r="W79" s="1287">
        <v>67096.20498187108</v>
      </c>
      <c r="X79" s="1287">
        <v>67084.457613048435</v>
      </c>
      <c r="Y79" s="1287">
        <v>67074.215812413822</v>
      </c>
      <c r="Z79" s="1411"/>
      <c r="AA79" s="1412">
        <f t="shared" ca="1" si="1"/>
        <v>67443.141646575314</v>
      </c>
      <c r="AB79" s="1414"/>
      <c r="AC79" s="1288"/>
      <c r="AD79" s="1038"/>
      <c r="AE79" s="1038"/>
      <c r="AF79" s="1038"/>
      <c r="AG79" s="1038"/>
      <c r="AH79" s="1038"/>
      <c r="AI79" s="1038"/>
      <c r="AJ79" s="1038"/>
      <c r="AK79" s="1038"/>
      <c r="AL79" s="1038"/>
      <c r="AM79" s="1038"/>
      <c r="AN79" s="1038"/>
      <c r="AO79" s="1038"/>
      <c r="AP79" s="1038"/>
      <c r="AQ79" s="1038"/>
      <c r="AR79" s="1038"/>
      <c r="AS79" s="1038"/>
      <c r="AT79" s="1038"/>
      <c r="AU79" s="1038"/>
      <c r="AV79" s="1038"/>
      <c r="AW79" s="1038"/>
      <c r="AX79" s="1038"/>
      <c r="AY79" s="1038"/>
      <c r="AZ79" s="1038"/>
      <c r="BA79" s="1038"/>
      <c r="BB79" s="1038"/>
      <c r="BC79" s="1038"/>
      <c r="BD79" s="1038"/>
      <c r="BE79" s="1038"/>
    </row>
    <row r="80" spans="1:57" x14ac:dyDescent="0.25">
      <c r="A80" s="1288"/>
      <c r="B80" s="1429">
        <v>1.25</v>
      </c>
      <c r="C80" s="1697">
        <v>68411.859490574745</v>
      </c>
      <c r="D80" s="1287">
        <v>68238.941563573317</v>
      </c>
      <c r="E80" s="1287">
        <v>68070.515011299212</v>
      </c>
      <c r="F80" s="1287">
        <v>67942.510831570893</v>
      </c>
      <c r="G80" s="1287">
        <v>67822.444895546665</v>
      </c>
      <c r="H80" s="1287">
        <v>67714.947845387229</v>
      </c>
      <c r="I80" s="1287">
        <v>67626.842706931173</v>
      </c>
      <c r="J80" s="1287">
        <v>67545.369658567637</v>
      </c>
      <c r="K80" s="1287">
        <v>67476.312163567112</v>
      </c>
      <c r="L80" s="1287">
        <v>67417.944683272523</v>
      </c>
      <c r="M80" s="1287">
        <v>67364.850943566184</v>
      </c>
      <c r="N80" s="1287">
        <v>67318.10949057473</v>
      </c>
      <c r="O80" s="1287">
        <v>67278.822493448301</v>
      </c>
      <c r="P80" s="1287">
        <v>67243.277115095785</v>
      </c>
      <c r="Q80" s="1287">
        <v>67213.344164904236</v>
      </c>
      <c r="R80" s="1287">
        <v>67186.202888823798</v>
      </c>
      <c r="S80" s="1287">
        <v>67163.094732682192</v>
      </c>
      <c r="T80" s="1287">
        <v>67142.94849152879</v>
      </c>
      <c r="U80" s="1287">
        <v>67125.19678744355</v>
      </c>
      <c r="V80" s="1287">
        <v>67109.681632135529</v>
      </c>
      <c r="W80" s="1287">
        <v>67096.20498187108</v>
      </c>
      <c r="X80" s="1287">
        <v>67084.457613048435</v>
      </c>
      <c r="Y80" s="1287">
        <v>67074.215812413822</v>
      </c>
      <c r="Z80" s="1411"/>
      <c r="AA80" s="1412">
        <f t="shared" ca="1" si="1"/>
        <v>67443.141646575314</v>
      </c>
      <c r="AB80" s="1414"/>
      <c r="AC80" s="1288"/>
      <c r="AD80" s="1038"/>
      <c r="AE80" s="1038"/>
      <c r="AF80" s="1038"/>
      <c r="AG80" s="1038"/>
      <c r="AH80" s="1038"/>
      <c r="AI80" s="1038"/>
      <c r="AJ80" s="1038"/>
      <c r="AK80" s="1038"/>
      <c r="AL80" s="1038"/>
      <c r="AM80" s="1038"/>
      <c r="AN80" s="1038"/>
      <c r="AO80" s="1038"/>
      <c r="AP80" s="1038"/>
      <c r="AQ80" s="1038"/>
      <c r="AR80" s="1038"/>
      <c r="AS80" s="1038"/>
      <c r="AT80" s="1038"/>
      <c r="AU80" s="1038"/>
      <c r="AV80" s="1038"/>
      <c r="AW80" s="1038"/>
      <c r="AX80" s="1038"/>
      <c r="AY80" s="1038"/>
      <c r="AZ80" s="1038"/>
      <c r="BA80" s="1038"/>
      <c r="BB80" s="1038"/>
      <c r="BC80" s="1038"/>
      <c r="BD80" s="1038"/>
      <c r="BE80" s="1038"/>
    </row>
    <row r="81" spans="1:57" x14ac:dyDescent="0.25">
      <c r="A81" s="1288"/>
      <c r="B81" s="1429">
        <v>1.43</v>
      </c>
      <c r="C81" s="1697">
        <v>68411.859490574745</v>
      </c>
      <c r="D81" s="1287">
        <v>68238.941563573317</v>
      </c>
      <c r="E81" s="1287">
        <v>68070.515011299212</v>
      </c>
      <c r="F81" s="1287">
        <v>67942.510831570893</v>
      </c>
      <c r="G81" s="1287">
        <v>67822.444895546665</v>
      </c>
      <c r="H81" s="1287">
        <v>67714.947845387229</v>
      </c>
      <c r="I81" s="1287">
        <v>67626.842706931173</v>
      </c>
      <c r="J81" s="1287">
        <v>67545.369658567637</v>
      </c>
      <c r="K81" s="1287">
        <v>67476.312163567112</v>
      </c>
      <c r="L81" s="1287">
        <v>67417.944683272523</v>
      </c>
      <c r="M81" s="1287">
        <v>67364.850943566184</v>
      </c>
      <c r="N81" s="1287">
        <v>67318.10949057473</v>
      </c>
      <c r="O81" s="1287">
        <v>67278.822493448301</v>
      </c>
      <c r="P81" s="1287">
        <v>67243.277115095785</v>
      </c>
      <c r="Q81" s="1287">
        <v>67213.344164904236</v>
      </c>
      <c r="R81" s="1287">
        <v>67186.202888823798</v>
      </c>
      <c r="S81" s="1287">
        <v>67163.094732682192</v>
      </c>
      <c r="T81" s="1287">
        <v>67142.94849152879</v>
      </c>
      <c r="U81" s="1287">
        <v>67125.19678744355</v>
      </c>
      <c r="V81" s="1287">
        <v>67109.681632135529</v>
      </c>
      <c r="W81" s="1287">
        <v>67096.20498187108</v>
      </c>
      <c r="X81" s="1287">
        <v>67084.457613048435</v>
      </c>
      <c r="Y81" s="1287">
        <v>67074.215812413822</v>
      </c>
      <c r="Z81" s="1411"/>
      <c r="AA81" s="1412">
        <f t="shared" ca="1" si="1"/>
        <v>67443.141646575314</v>
      </c>
      <c r="AB81" s="1414"/>
      <c r="AC81" s="1288"/>
      <c r="AD81" s="1038"/>
      <c r="AE81" s="1038"/>
      <c r="AF81" s="1038"/>
      <c r="AG81" s="1038"/>
      <c r="AH81" s="1038"/>
      <c r="AI81" s="1038"/>
      <c r="AJ81" s="1038"/>
      <c r="AK81" s="1038"/>
      <c r="AL81" s="1038"/>
      <c r="AM81" s="1038"/>
      <c r="AN81" s="1038"/>
      <c r="AO81" s="1038"/>
      <c r="AP81" s="1038"/>
      <c r="AQ81" s="1038"/>
      <c r="AR81" s="1038"/>
      <c r="AS81" s="1038"/>
      <c r="AT81" s="1038"/>
      <c r="AU81" s="1038"/>
      <c r="AV81" s="1038"/>
      <c r="AW81" s="1038"/>
      <c r="AX81" s="1038"/>
      <c r="AY81" s="1038"/>
      <c r="AZ81" s="1038"/>
      <c r="BA81" s="1038"/>
      <c r="BB81" s="1038"/>
      <c r="BC81" s="1038"/>
      <c r="BD81" s="1038"/>
      <c r="BE81" s="1038"/>
    </row>
    <row r="82" spans="1:57" x14ac:dyDescent="0.25">
      <c r="A82" s="1288"/>
      <c r="B82" s="1429">
        <v>1.63</v>
      </c>
      <c r="C82" s="1697">
        <v>68411.859490574745</v>
      </c>
      <c r="D82" s="1287">
        <v>68238.941563573317</v>
      </c>
      <c r="E82" s="1287">
        <v>68070.515011299212</v>
      </c>
      <c r="F82" s="1287">
        <v>67942.510831570893</v>
      </c>
      <c r="G82" s="1287">
        <v>67822.444895546665</v>
      </c>
      <c r="H82" s="1287">
        <v>67714.947845387229</v>
      </c>
      <c r="I82" s="1287">
        <v>67626.842706931173</v>
      </c>
      <c r="J82" s="1287">
        <v>67545.369658567637</v>
      </c>
      <c r="K82" s="1287">
        <v>67476.312163567112</v>
      </c>
      <c r="L82" s="1287">
        <v>67417.944683272523</v>
      </c>
      <c r="M82" s="1287">
        <v>67364.850943566184</v>
      </c>
      <c r="N82" s="1287">
        <v>67318.10949057473</v>
      </c>
      <c r="O82" s="1287">
        <v>67278.822493448301</v>
      </c>
      <c r="P82" s="1287">
        <v>67243.277115095785</v>
      </c>
      <c r="Q82" s="1287">
        <v>67213.344164904236</v>
      </c>
      <c r="R82" s="1287">
        <v>67186.202888823798</v>
      </c>
      <c r="S82" s="1287">
        <v>67163.094732682192</v>
      </c>
      <c r="T82" s="1287">
        <v>67142.94849152879</v>
      </c>
      <c r="U82" s="1287">
        <v>67125.19678744355</v>
      </c>
      <c r="V82" s="1287">
        <v>67109.681632135529</v>
      </c>
      <c r="W82" s="1287">
        <v>67096.20498187108</v>
      </c>
      <c r="X82" s="1287">
        <v>67084.457613048435</v>
      </c>
      <c r="Y82" s="1287">
        <v>67074.215812413822</v>
      </c>
      <c r="Z82" s="1411"/>
      <c r="AA82" s="1412">
        <f t="shared" ca="1" si="1"/>
        <v>67443.141646575314</v>
      </c>
      <c r="AB82" s="1414"/>
      <c r="AC82" s="1288"/>
      <c r="AD82" s="1038"/>
      <c r="AE82" s="1038"/>
      <c r="AF82" s="1038"/>
      <c r="AG82" s="1038"/>
      <c r="AH82" s="1038"/>
      <c r="AI82" s="1038"/>
      <c r="AJ82" s="1038"/>
      <c r="AK82" s="1038"/>
      <c r="AL82" s="1038"/>
      <c r="AM82" s="1038"/>
      <c r="AN82" s="1038"/>
      <c r="AO82" s="1038"/>
      <c r="AP82" s="1038"/>
      <c r="AQ82" s="1038"/>
      <c r="AR82" s="1038"/>
      <c r="AS82" s="1038"/>
      <c r="AT82" s="1038"/>
      <c r="AU82" s="1038"/>
      <c r="AV82" s="1038"/>
      <c r="AW82" s="1038"/>
      <c r="AX82" s="1038"/>
      <c r="AY82" s="1038"/>
      <c r="AZ82" s="1038"/>
      <c r="BA82" s="1038"/>
      <c r="BB82" s="1038"/>
      <c r="BC82" s="1038"/>
      <c r="BD82" s="1038"/>
      <c r="BE82" s="1038"/>
    </row>
    <row r="83" spans="1:57" x14ac:dyDescent="0.25">
      <c r="A83" s="1288"/>
      <c r="B83" s="1429">
        <v>1.86</v>
      </c>
      <c r="C83" s="1697">
        <v>68411.859490574745</v>
      </c>
      <c r="D83" s="1287">
        <v>104720.5732012745</v>
      </c>
      <c r="E83" s="1287">
        <v>68070.515011299212</v>
      </c>
      <c r="F83" s="1287">
        <v>67942.510831570893</v>
      </c>
      <c r="G83" s="1287">
        <v>67822.444895546665</v>
      </c>
      <c r="H83" s="1287">
        <v>67714.947845387229</v>
      </c>
      <c r="I83" s="1287">
        <v>104108.47434463236</v>
      </c>
      <c r="J83" s="1287">
        <v>104027.00129626883</v>
      </c>
      <c r="K83" s="1287">
        <v>67476.312163567112</v>
      </c>
      <c r="L83" s="1287">
        <v>103899.57632097369</v>
      </c>
      <c r="M83" s="1287">
        <v>103846.48258126734</v>
      </c>
      <c r="N83" s="1287">
        <v>103799.7411282759</v>
      </c>
      <c r="O83" s="1287">
        <v>103760.45413114945</v>
      </c>
      <c r="P83" s="1287">
        <v>103724.90875279695</v>
      </c>
      <c r="Q83" s="1287">
        <v>103694.97580260543</v>
      </c>
      <c r="R83" s="1287">
        <v>103667.83452652495</v>
      </c>
      <c r="S83" s="1287">
        <v>103644.72637038333</v>
      </c>
      <c r="T83" s="1287">
        <v>103624.58012922997</v>
      </c>
      <c r="U83" s="1287">
        <v>103606.82842514472</v>
      </c>
      <c r="V83" s="1287">
        <v>103591.31326983674</v>
      </c>
      <c r="W83" s="1287">
        <v>103577.83661957226</v>
      </c>
      <c r="X83" s="1287">
        <v>103566.0892507496</v>
      </c>
      <c r="Y83" s="1287">
        <v>103555.84745011499</v>
      </c>
      <c r="Z83" s="1411"/>
      <c r="AA83" s="1412">
        <f t="shared" ca="1" si="1"/>
        <v>88175.826628336363</v>
      </c>
      <c r="AB83" s="1414"/>
      <c r="AC83" s="1288"/>
      <c r="AD83" s="1038"/>
      <c r="AE83" s="1038"/>
      <c r="AF83" s="1038"/>
      <c r="AG83" s="1038"/>
      <c r="AH83" s="1038"/>
      <c r="AI83" s="1038"/>
      <c r="AJ83" s="1038"/>
      <c r="AK83" s="1038"/>
      <c r="AL83" s="1038"/>
      <c r="AM83" s="1038"/>
      <c r="AN83" s="1038"/>
      <c r="AO83" s="1038"/>
      <c r="AP83" s="1038"/>
      <c r="AQ83" s="1038"/>
      <c r="AR83" s="1038"/>
      <c r="AS83" s="1038"/>
      <c r="AT83" s="1038"/>
      <c r="AU83" s="1038"/>
      <c r="AV83" s="1038"/>
      <c r="AW83" s="1038"/>
      <c r="AX83" s="1038"/>
      <c r="AY83" s="1038"/>
      <c r="AZ83" s="1038"/>
      <c r="BA83" s="1038"/>
      <c r="BB83" s="1038"/>
      <c r="BC83" s="1038"/>
      <c r="BD83" s="1038"/>
      <c r="BE83" s="1038"/>
    </row>
    <row r="84" spans="1:57" x14ac:dyDescent="0.25">
      <c r="A84" s="1288"/>
      <c r="B84" s="1429">
        <v>2.12</v>
      </c>
      <c r="C84" s="1697">
        <v>104893.4911282759</v>
      </c>
      <c r="D84" s="1287">
        <v>104720.5732012745</v>
      </c>
      <c r="E84" s="1287">
        <v>104552.14664900038</v>
      </c>
      <c r="F84" s="1287">
        <v>67942.510831570893</v>
      </c>
      <c r="G84" s="1287">
        <v>104304.07653324782</v>
      </c>
      <c r="H84" s="1287">
        <v>104196.57948308837</v>
      </c>
      <c r="I84" s="1287">
        <v>104108.47434463236</v>
      </c>
      <c r="J84" s="1287">
        <v>104027.00129626883</v>
      </c>
      <c r="K84" s="1287">
        <v>103957.94380126824</v>
      </c>
      <c r="L84" s="1287">
        <v>103899.57632097369</v>
      </c>
      <c r="M84" s="1287">
        <v>103846.48258126734</v>
      </c>
      <c r="N84" s="1287">
        <v>103799.7411282759</v>
      </c>
      <c r="O84" s="1287">
        <v>103760.45413114945</v>
      </c>
      <c r="P84" s="1287">
        <v>103724.90875279695</v>
      </c>
      <c r="Q84" s="1287">
        <v>103694.97580260543</v>
      </c>
      <c r="R84" s="1287">
        <v>103667.83452652495</v>
      </c>
      <c r="S84" s="1287">
        <v>103644.72637038333</v>
      </c>
      <c r="T84" s="1287">
        <v>103624.58012922997</v>
      </c>
      <c r="U84" s="1287">
        <v>103606.82842514472</v>
      </c>
      <c r="V84" s="1287">
        <v>103591.31326983674</v>
      </c>
      <c r="W84" s="1287">
        <v>103577.83661957226</v>
      </c>
      <c r="X84" s="1287">
        <v>103566.0892507496</v>
      </c>
      <c r="Y84" s="1287">
        <v>103555.84745011499</v>
      </c>
      <c r="Z84" s="1411"/>
      <c r="AA84" s="1412">
        <f t="shared" ca="1" si="1"/>
        <v>103924.77328427647</v>
      </c>
      <c r="AB84" s="1414"/>
      <c r="AC84" s="1288"/>
      <c r="AD84" s="1038"/>
      <c r="AE84" s="1038"/>
      <c r="AF84" s="1038"/>
      <c r="AG84" s="1038"/>
      <c r="AH84" s="1038"/>
      <c r="AI84" s="1038"/>
      <c r="AJ84" s="1038"/>
      <c r="AK84" s="1038"/>
      <c r="AL84" s="1038"/>
      <c r="AM84" s="1038"/>
      <c r="AN84" s="1038"/>
      <c r="AO84" s="1038"/>
      <c r="AP84" s="1038"/>
      <c r="AQ84" s="1038"/>
      <c r="AR84" s="1038"/>
      <c r="AS84" s="1038"/>
      <c r="AT84" s="1038"/>
      <c r="AU84" s="1038"/>
      <c r="AV84" s="1038"/>
      <c r="AW84" s="1038"/>
      <c r="AX84" s="1038"/>
      <c r="AY84" s="1038"/>
      <c r="AZ84" s="1038"/>
      <c r="BA84" s="1038"/>
      <c r="BB84" s="1038"/>
      <c r="BC84" s="1038"/>
      <c r="BD84" s="1038"/>
      <c r="BE84" s="1038"/>
    </row>
    <row r="85" spans="1:57" x14ac:dyDescent="0.25">
      <c r="A85" s="1288"/>
      <c r="B85" s="1429">
        <v>2.42</v>
      </c>
      <c r="C85" s="1697">
        <v>104893.4911282759</v>
      </c>
      <c r="D85" s="1287">
        <v>104720.5732012745</v>
      </c>
      <c r="E85" s="1287">
        <v>104552.14664900038</v>
      </c>
      <c r="F85" s="1287">
        <v>104424.14246927205</v>
      </c>
      <c r="G85" s="1287">
        <v>104304.07653324782</v>
      </c>
      <c r="H85" s="1287">
        <v>104196.57948308837</v>
      </c>
      <c r="I85" s="1287">
        <v>104108.47434463236</v>
      </c>
      <c r="J85" s="1287">
        <v>104027.00129626883</v>
      </c>
      <c r="K85" s="1287">
        <v>103957.94380126824</v>
      </c>
      <c r="L85" s="1287">
        <v>103899.57632097369</v>
      </c>
      <c r="M85" s="1287">
        <v>103846.48258126734</v>
      </c>
      <c r="N85" s="1287">
        <v>103799.7411282759</v>
      </c>
      <c r="O85" s="1287">
        <v>103760.45413114945</v>
      </c>
      <c r="P85" s="1287">
        <v>103724.90875279695</v>
      </c>
      <c r="Q85" s="1287">
        <v>103694.97580260543</v>
      </c>
      <c r="R85" s="1287">
        <v>103667.83452652495</v>
      </c>
      <c r="S85" s="1287">
        <v>103644.72637038333</v>
      </c>
      <c r="T85" s="1287">
        <v>103624.58012922997</v>
      </c>
      <c r="U85" s="1287">
        <v>103606.82842514472</v>
      </c>
      <c r="V85" s="1287">
        <v>103591.31326983674</v>
      </c>
      <c r="W85" s="1287">
        <v>103577.83661957226</v>
      </c>
      <c r="X85" s="1287">
        <v>103566.0892507496</v>
      </c>
      <c r="Y85" s="1287">
        <v>103555.84745011499</v>
      </c>
      <c r="Z85" s="1411"/>
      <c r="AA85" s="1412">
        <f t="shared" ca="1" si="1"/>
        <v>103924.77328427647</v>
      </c>
      <c r="AB85" s="1414"/>
      <c r="AC85" s="1288"/>
      <c r="AD85" s="1038"/>
      <c r="AE85" s="1038"/>
      <c r="AF85" s="1038"/>
      <c r="AG85" s="1038"/>
      <c r="AH85" s="1038"/>
      <c r="AI85" s="1038"/>
      <c r="AJ85" s="1038"/>
      <c r="AK85" s="1038"/>
      <c r="AL85" s="1038"/>
      <c r="AM85" s="1038"/>
      <c r="AN85" s="1038"/>
      <c r="AO85" s="1038"/>
      <c r="AP85" s="1038"/>
      <c r="AQ85" s="1038"/>
      <c r="AR85" s="1038"/>
      <c r="AS85" s="1038"/>
      <c r="AT85" s="1038"/>
      <c r="AU85" s="1038"/>
      <c r="AV85" s="1038"/>
      <c r="AW85" s="1038"/>
      <c r="AX85" s="1038"/>
      <c r="AY85" s="1038"/>
      <c r="AZ85" s="1038"/>
      <c r="BA85" s="1038"/>
      <c r="BB85" s="1038"/>
      <c r="BC85" s="1038"/>
      <c r="BD85" s="1038"/>
      <c r="BE85" s="1038"/>
    </row>
    <row r="86" spans="1:57" x14ac:dyDescent="0.25">
      <c r="A86" s="1288"/>
      <c r="B86" s="1429">
        <v>2.76</v>
      </c>
      <c r="C86" s="1697">
        <v>104893.4911282759</v>
      </c>
      <c r="D86" s="1287">
        <v>104720.5732012745</v>
      </c>
      <c r="E86" s="1287">
        <v>104552.14664900038</v>
      </c>
      <c r="F86" s="1287">
        <v>104424.14246927205</v>
      </c>
      <c r="G86" s="1287">
        <v>104304.07653324782</v>
      </c>
      <c r="H86" s="1287">
        <v>104196.57948308837</v>
      </c>
      <c r="I86" s="1287">
        <v>104108.47434463236</v>
      </c>
      <c r="J86" s="1287">
        <v>104027.00129626883</v>
      </c>
      <c r="K86" s="1287">
        <v>103957.94380126824</v>
      </c>
      <c r="L86" s="1287">
        <v>103899.57632097369</v>
      </c>
      <c r="M86" s="1287">
        <v>103846.48258126734</v>
      </c>
      <c r="N86" s="1287">
        <v>103799.7411282759</v>
      </c>
      <c r="O86" s="1287">
        <v>103760.45413114945</v>
      </c>
      <c r="P86" s="1287">
        <v>103724.90875279695</v>
      </c>
      <c r="Q86" s="1287">
        <v>103694.97580260543</v>
      </c>
      <c r="R86" s="1287">
        <v>103667.83452652495</v>
      </c>
      <c r="S86" s="1287">
        <v>103644.72637038333</v>
      </c>
      <c r="T86" s="1287">
        <v>103624.58012922997</v>
      </c>
      <c r="U86" s="1287">
        <v>103606.82842514472</v>
      </c>
      <c r="V86" s="1287">
        <v>103591.31326983674</v>
      </c>
      <c r="W86" s="1287">
        <v>103577.83661957226</v>
      </c>
      <c r="X86" s="1287">
        <v>103566.0892507496</v>
      </c>
      <c r="Y86" s="1287">
        <v>103555.84745011499</v>
      </c>
      <c r="Z86" s="1411"/>
      <c r="AA86" s="1412">
        <f t="shared" ca="1" si="1"/>
        <v>103924.77328427647</v>
      </c>
      <c r="AB86" s="1414"/>
      <c r="AC86" s="1288"/>
      <c r="AD86" s="1038"/>
      <c r="AE86" s="1038"/>
      <c r="AF86" s="1038"/>
      <c r="AG86" s="1038"/>
      <c r="AH86" s="1038"/>
      <c r="AI86" s="1038"/>
      <c r="AJ86" s="1038"/>
      <c r="AK86" s="1038"/>
      <c r="AL86" s="1038"/>
      <c r="AM86" s="1038"/>
      <c r="AN86" s="1038"/>
      <c r="AO86" s="1038"/>
      <c r="AP86" s="1038"/>
      <c r="AQ86" s="1038"/>
      <c r="AR86" s="1038"/>
      <c r="AS86" s="1038"/>
      <c r="AT86" s="1038"/>
      <c r="AU86" s="1038"/>
      <c r="AV86" s="1038"/>
      <c r="AW86" s="1038"/>
      <c r="AX86" s="1038"/>
      <c r="AY86" s="1038"/>
      <c r="AZ86" s="1038"/>
      <c r="BA86" s="1038"/>
      <c r="BB86" s="1038"/>
      <c r="BC86" s="1038"/>
      <c r="BD86" s="1288"/>
      <c r="BE86" s="1288"/>
    </row>
    <row r="87" spans="1:57" x14ac:dyDescent="0.25">
      <c r="A87" s="1288"/>
      <c r="B87" s="1429">
        <v>3.15</v>
      </c>
      <c r="C87" s="1697">
        <v>104893.4911282759</v>
      </c>
      <c r="D87" s="1287">
        <v>104720.5732012745</v>
      </c>
      <c r="E87" s="1287">
        <v>104552.14664900038</v>
      </c>
      <c r="F87" s="1287">
        <v>104424.14246927205</v>
      </c>
      <c r="G87" s="1287">
        <v>104304.07653324782</v>
      </c>
      <c r="H87" s="1287">
        <v>104196.57948308837</v>
      </c>
      <c r="I87" s="1287">
        <v>104108.47434463236</v>
      </c>
      <c r="J87" s="1287">
        <v>104027.00129626883</v>
      </c>
      <c r="K87" s="1287">
        <v>103957.94380126824</v>
      </c>
      <c r="L87" s="1287">
        <v>103899.57632097369</v>
      </c>
      <c r="M87" s="1287">
        <v>103846.48258126734</v>
      </c>
      <c r="N87" s="1287">
        <v>103799.7411282759</v>
      </c>
      <c r="O87" s="1287">
        <v>103760.45413114945</v>
      </c>
      <c r="P87" s="1287">
        <v>103724.90875279695</v>
      </c>
      <c r="Q87" s="1287">
        <v>103694.97580260543</v>
      </c>
      <c r="R87" s="1287">
        <v>103667.83452652495</v>
      </c>
      <c r="S87" s="1287">
        <v>103644.72637038333</v>
      </c>
      <c r="T87" s="1287">
        <v>103624.58012922997</v>
      </c>
      <c r="U87" s="1287">
        <v>103606.82842514472</v>
      </c>
      <c r="V87" s="1287">
        <v>103591.31326983674</v>
      </c>
      <c r="W87" s="1287">
        <v>103577.83661957226</v>
      </c>
      <c r="X87" s="1287">
        <v>103566.0892507496</v>
      </c>
      <c r="Y87" s="1287">
        <v>103555.84745011499</v>
      </c>
      <c r="Z87" s="1411"/>
      <c r="AA87" s="1412">
        <f t="shared" ca="1" si="1"/>
        <v>103924.77328427647</v>
      </c>
      <c r="AB87" s="1414"/>
      <c r="AC87" s="1288"/>
      <c r="AD87" s="1038"/>
      <c r="AE87" s="1038"/>
      <c r="AF87" s="1038"/>
      <c r="AG87" s="1038"/>
      <c r="AH87" s="1038"/>
      <c r="AI87" s="1038"/>
      <c r="AJ87" s="1038"/>
      <c r="AK87" s="1038"/>
      <c r="AL87" s="1038"/>
      <c r="AM87" s="1038"/>
      <c r="AN87" s="1038"/>
      <c r="AO87" s="1038"/>
      <c r="AP87" s="1038"/>
      <c r="AQ87" s="1038"/>
      <c r="AR87" s="1038"/>
      <c r="AS87" s="1038"/>
      <c r="AT87" s="1038"/>
      <c r="AU87" s="1038"/>
      <c r="AV87" s="1038"/>
      <c r="AW87" s="1038"/>
      <c r="AX87" s="1038"/>
      <c r="AY87" s="1038"/>
      <c r="AZ87" s="1038"/>
      <c r="BA87" s="1038"/>
      <c r="BB87" s="1038"/>
      <c r="BC87" s="1038"/>
      <c r="BD87" s="1288"/>
      <c r="BE87" s="1288"/>
    </row>
    <row r="88" spans="1:57" x14ac:dyDescent="0.25">
      <c r="A88" s="1288"/>
      <c r="B88" s="1429">
        <v>3.59</v>
      </c>
      <c r="C88" s="1697">
        <v>104893.4911282759</v>
      </c>
      <c r="D88" s="1287">
        <v>104720.5732012745</v>
      </c>
      <c r="E88" s="1287">
        <v>104552.14664900038</v>
      </c>
      <c r="F88" s="1287">
        <v>104424.14246927205</v>
      </c>
      <c r="G88" s="1287">
        <v>104304.07653324782</v>
      </c>
      <c r="H88" s="1287">
        <v>104196.57948308837</v>
      </c>
      <c r="I88" s="1287">
        <v>104108.47434463236</v>
      </c>
      <c r="J88" s="1287">
        <v>104027.00129626883</v>
      </c>
      <c r="K88" s="1287">
        <v>103957.94380126824</v>
      </c>
      <c r="L88" s="1287">
        <v>103899.57632097369</v>
      </c>
      <c r="M88" s="1287">
        <v>103846.48258126734</v>
      </c>
      <c r="N88" s="1287">
        <v>103799.7411282759</v>
      </c>
      <c r="O88" s="1287">
        <v>103760.45413114945</v>
      </c>
      <c r="P88" s="1287">
        <v>103724.90875279695</v>
      </c>
      <c r="Q88" s="1287">
        <v>103694.97580260543</v>
      </c>
      <c r="R88" s="1287">
        <v>103667.83452652495</v>
      </c>
      <c r="S88" s="1287">
        <v>103644.72637038333</v>
      </c>
      <c r="T88" s="1287">
        <v>103624.58012922997</v>
      </c>
      <c r="U88" s="1287">
        <v>103606.82842514472</v>
      </c>
      <c r="V88" s="1287">
        <v>103591.31326983674</v>
      </c>
      <c r="W88" s="1287">
        <v>103577.83661957226</v>
      </c>
      <c r="X88" s="1287">
        <v>103566.0892507496</v>
      </c>
      <c r="Y88" s="1287">
        <v>103555.84745011499</v>
      </c>
      <c r="Z88" s="1411"/>
      <c r="AA88" s="1412">
        <f t="shared" ca="1" si="1"/>
        <v>103924.77328427647</v>
      </c>
      <c r="AB88" s="1414"/>
      <c r="AC88" s="1288"/>
      <c r="AD88" s="1038"/>
      <c r="AE88" s="1038"/>
      <c r="AF88" s="1038"/>
      <c r="AG88" s="1038"/>
      <c r="AH88" s="1038"/>
      <c r="AI88" s="1038"/>
      <c r="AJ88" s="1038"/>
      <c r="AK88" s="1038"/>
      <c r="AL88" s="1038"/>
      <c r="AM88" s="1038"/>
      <c r="AN88" s="1038"/>
      <c r="AO88" s="1038"/>
      <c r="AP88" s="1038"/>
      <c r="AQ88" s="1038"/>
      <c r="AR88" s="1038"/>
      <c r="AS88" s="1038"/>
      <c r="AT88" s="1038"/>
      <c r="AU88" s="1038"/>
      <c r="AV88" s="1038"/>
      <c r="AW88" s="1038"/>
      <c r="AX88" s="1038"/>
      <c r="AY88" s="1038"/>
      <c r="AZ88" s="1038"/>
      <c r="BA88" s="1038"/>
      <c r="BB88" s="1038"/>
      <c r="BC88" s="1038"/>
      <c r="BD88" s="1288"/>
      <c r="BE88" s="1288"/>
    </row>
    <row r="89" spans="1:57" x14ac:dyDescent="0.25">
      <c r="A89" s="1288"/>
      <c r="B89" s="1429">
        <v>4.09</v>
      </c>
      <c r="C89" s="1697">
        <v>104893.4911282759</v>
      </c>
      <c r="D89" s="1287">
        <v>104720.5732012745</v>
      </c>
      <c r="E89" s="1287">
        <v>104552.14664900038</v>
      </c>
      <c r="F89" s="1287">
        <v>104424.14246927205</v>
      </c>
      <c r="G89" s="1287">
        <v>104304.07653324782</v>
      </c>
      <c r="H89" s="1287">
        <v>104196.57948308837</v>
      </c>
      <c r="I89" s="1287">
        <v>104108.47434463236</v>
      </c>
      <c r="J89" s="1287">
        <v>104027.00129626883</v>
      </c>
      <c r="K89" s="1287">
        <v>103957.94380126824</v>
      </c>
      <c r="L89" s="1287">
        <v>103899.57632097369</v>
      </c>
      <c r="M89" s="1287">
        <v>103846.48258126734</v>
      </c>
      <c r="N89" s="1287">
        <v>103799.7411282759</v>
      </c>
      <c r="O89" s="1287">
        <v>103760.45413114945</v>
      </c>
      <c r="P89" s="1287">
        <v>103724.90875279695</v>
      </c>
      <c r="Q89" s="1287">
        <v>103694.97580260543</v>
      </c>
      <c r="R89" s="1287">
        <v>103667.83452652495</v>
      </c>
      <c r="S89" s="1287">
        <v>103644.72637038333</v>
      </c>
      <c r="T89" s="1287">
        <v>103624.58012922997</v>
      </c>
      <c r="U89" s="1287">
        <v>103606.82842514472</v>
      </c>
      <c r="V89" s="1287">
        <v>103591.31326983674</v>
      </c>
      <c r="W89" s="1287">
        <v>103577.83661957226</v>
      </c>
      <c r="X89" s="1287">
        <v>103566.0892507496</v>
      </c>
      <c r="Y89" s="1287">
        <v>103555.84745011499</v>
      </c>
      <c r="Z89" s="1411"/>
      <c r="AA89" s="1412">
        <f t="shared" ca="1" si="1"/>
        <v>103924.77328427647</v>
      </c>
      <c r="AB89" s="1414"/>
      <c r="AC89" s="1288"/>
      <c r="AD89" s="1038"/>
      <c r="AE89" s="1038"/>
      <c r="AF89" s="1038"/>
      <c r="AG89" s="1038"/>
      <c r="AH89" s="1038"/>
      <c r="AI89" s="1038"/>
      <c r="AJ89" s="1038"/>
      <c r="AK89" s="1038"/>
      <c r="AL89" s="1038"/>
      <c r="AM89" s="1038"/>
      <c r="AN89" s="1038"/>
      <c r="AO89" s="1038"/>
      <c r="AP89" s="1038"/>
      <c r="AQ89" s="1038"/>
      <c r="AR89" s="1038"/>
      <c r="AS89" s="1038"/>
      <c r="AT89" s="1038"/>
      <c r="AU89" s="1038"/>
      <c r="AV89" s="1038"/>
      <c r="AW89" s="1038"/>
      <c r="AX89" s="1038"/>
      <c r="AY89" s="1038"/>
      <c r="AZ89" s="1038"/>
      <c r="BA89" s="1038"/>
      <c r="BB89" s="1038"/>
      <c r="BC89" s="1038"/>
      <c r="BD89" s="1288"/>
      <c r="BE89" s="1288"/>
    </row>
    <row r="90" spans="1:57" x14ac:dyDescent="0.25">
      <c r="A90" s="1288"/>
      <c r="B90" s="1429">
        <v>4.67</v>
      </c>
      <c r="C90" s="1697">
        <v>104893.4911282759</v>
      </c>
      <c r="D90" s="1287">
        <v>104720.5732012745</v>
      </c>
      <c r="E90" s="1287">
        <v>104552.14664900038</v>
      </c>
      <c r="F90" s="1287">
        <v>172619.50004573187</v>
      </c>
      <c r="G90" s="1287">
        <v>172485.02619738472</v>
      </c>
      <c r="H90" s="1287">
        <v>104196.57948308837</v>
      </c>
      <c r="I90" s="1287">
        <v>104108.47434463236</v>
      </c>
      <c r="J90" s="1287">
        <v>104027.00129626883</v>
      </c>
      <c r="K90" s="1287">
        <v>172097.35753756762</v>
      </c>
      <c r="L90" s="1287">
        <v>172031.98595963765</v>
      </c>
      <c r="M90" s="1287">
        <v>103846.48258126734</v>
      </c>
      <c r="N90" s="1287">
        <v>171920.17054381614</v>
      </c>
      <c r="O90" s="1287">
        <v>103760.45413114945</v>
      </c>
      <c r="P90" s="1287">
        <v>103724.90875279695</v>
      </c>
      <c r="Q90" s="1287">
        <v>103694.97580260543</v>
      </c>
      <c r="R90" s="1287">
        <v>103667.83452652495</v>
      </c>
      <c r="S90" s="1287">
        <v>171746.55401497649</v>
      </c>
      <c r="T90" s="1287">
        <v>103624.58012922997</v>
      </c>
      <c r="U90" s="1287">
        <v>103606.82842514472</v>
      </c>
      <c r="V90" s="1287">
        <v>103591.31326983674</v>
      </c>
      <c r="W90" s="1287">
        <v>103577.83661957226</v>
      </c>
      <c r="X90" s="1287">
        <v>103566.0892507496</v>
      </c>
      <c r="Y90" s="1287">
        <v>103555.84745011499</v>
      </c>
      <c r="Z90" s="1411"/>
      <c r="AA90" s="1412">
        <f t="shared" ca="1" si="1"/>
        <v>172060.2065585368</v>
      </c>
      <c r="AB90" s="1414"/>
      <c r="AC90" s="1288"/>
      <c r="AD90" s="1038"/>
      <c r="AE90" s="1038"/>
      <c r="AF90" s="1038"/>
      <c r="AG90" s="1038"/>
      <c r="AH90" s="1038"/>
      <c r="AI90" s="1038"/>
      <c r="AJ90" s="1038"/>
      <c r="AK90" s="1038"/>
      <c r="AL90" s="1038"/>
      <c r="AM90" s="1038"/>
      <c r="AN90" s="1038"/>
      <c r="AO90" s="1038"/>
      <c r="AP90" s="1038"/>
      <c r="AQ90" s="1038"/>
      <c r="AR90" s="1038"/>
      <c r="AS90" s="1038"/>
      <c r="AT90" s="1038"/>
      <c r="AU90" s="1038"/>
      <c r="AV90" s="1038"/>
      <c r="AW90" s="1038"/>
      <c r="AX90" s="1038"/>
      <c r="AY90" s="1038"/>
      <c r="AZ90" s="1038"/>
      <c r="BA90" s="1038"/>
      <c r="BB90" s="1038"/>
      <c r="BC90" s="1038"/>
      <c r="BD90" s="1288"/>
      <c r="BE90" s="1288"/>
    </row>
    <row r="91" spans="1:57" x14ac:dyDescent="0.25">
      <c r="A91" s="1288"/>
      <c r="B91" s="1429">
        <v>5.32</v>
      </c>
      <c r="C91" s="1697">
        <v>104893.4911282759</v>
      </c>
      <c r="D91" s="1287">
        <v>172951.50246557462</v>
      </c>
      <c r="E91" s="1287">
        <v>172762.8647270276</v>
      </c>
      <c r="F91" s="1287">
        <v>172619.50004573187</v>
      </c>
      <c r="G91" s="1287">
        <v>172485.02619738472</v>
      </c>
      <c r="H91" s="1287">
        <v>172364.62950120613</v>
      </c>
      <c r="I91" s="1287">
        <v>172265.95174613537</v>
      </c>
      <c r="J91" s="1287">
        <v>172174.70193196827</v>
      </c>
      <c r="K91" s="1287">
        <v>172097.35753756762</v>
      </c>
      <c r="L91" s="1287">
        <v>172031.98595963765</v>
      </c>
      <c r="M91" s="1287">
        <v>171972.52097116658</v>
      </c>
      <c r="N91" s="1287">
        <v>171920.17054381614</v>
      </c>
      <c r="O91" s="1287">
        <v>171876.16910703457</v>
      </c>
      <c r="P91" s="1287">
        <v>171836.35828327975</v>
      </c>
      <c r="Q91" s="1287">
        <v>171802.83337906524</v>
      </c>
      <c r="R91" s="1287">
        <v>171772.43514985513</v>
      </c>
      <c r="S91" s="1287">
        <v>171746.55401497649</v>
      </c>
      <c r="T91" s="1287">
        <v>171723.99022488468</v>
      </c>
      <c r="U91" s="1287">
        <v>171704.1083163092</v>
      </c>
      <c r="V91" s="1287">
        <v>171686.73134236431</v>
      </c>
      <c r="W91" s="1287">
        <v>171671.63749406807</v>
      </c>
      <c r="X91" s="1287">
        <v>171658.48044098669</v>
      </c>
      <c r="Y91" s="1287">
        <v>171647.00962427593</v>
      </c>
      <c r="Z91" s="1411"/>
      <c r="AA91" s="1412">
        <f t="shared" ca="1" si="1"/>
        <v>172060.2065585368</v>
      </c>
      <c r="AB91" s="1414"/>
      <c r="AC91" s="1288"/>
      <c r="AD91" s="1038"/>
      <c r="AE91" s="1038"/>
      <c r="AF91" s="1038"/>
      <c r="AG91" s="1038"/>
      <c r="AH91" s="1038"/>
      <c r="AI91" s="1038"/>
      <c r="AJ91" s="1038"/>
      <c r="AK91" s="1038"/>
      <c r="AL91" s="1038"/>
      <c r="AM91" s="1038"/>
      <c r="AN91" s="1038"/>
      <c r="AO91" s="1038"/>
      <c r="AP91" s="1038"/>
      <c r="AQ91" s="1038"/>
      <c r="AR91" s="1038"/>
      <c r="AS91" s="1038"/>
      <c r="AT91" s="1038"/>
      <c r="AU91" s="1038"/>
      <c r="AV91" s="1038"/>
      <c r="AW91" s="1038"/>
      <c r="AX91" s="1038"/>
      <c r="AY91" s="1038"/>
      <c r="AZ91" s="1038"/>
      <c r="BA91" s="1038"/>
      <c r="BB91" s="1038"/>
      <c r="BC91" s="1038"/>
      <c r="BD91" s="1288"/>
      <c r="BE91" s="1288"/>
    </row>
    <row r="92" spans="1:57" x14ac:dyDescent="0.25">
      <c r="A92" s="1288"/>
      <c r="B92" s="1429">
        <v>6.07</v>
      </c>
      <c r="C92" s="1697">
        <v>173145.17054381617</v>
      </c>
      <c r="D92" s="1287">
        <v>172951.50246557462</v>
      </c>
      <c r="E92" s="1287">
        <v>172762.8647270276</v>
      </c>
      <c r="F92" s="1287">
        <v>172619.50004573187</v>
      </c>
      <c r="G92" s="1287">
        <v>172485.02619738472</v>
      </c>
      <c r="H92" s="1287">
        <v>172364.62950120613</v>
      </c>
      <c r="I92" s="1287">
        <v>172265.95174613537</v>
      </c>
      <c r="J92" s="1287">
        <v>172174.70193196827</v>
      </c>
      <c r="K92" s="1287">
        <v>172097.35753756762</v>
      </c>
      <c r="L92" s="1287">
        <v>172031.98595963765</v>
      </c>
      <c r="M92" s="1287">
        <v>171972.52097116658</v>
      </c>
      <c r="N92" s="1287">
        <v>171920.17054381614</v>
      </c>
      <c r="O92" s="1287">
        <v>171876.16910703457</v>
      </c>
      <c r="P92" s="1287">
        <v>171836.35828327975</v>
      </c>
      <c r="Q92" s="1287">
        <v>171802.83337906524</v>
      </c>
      <c r="R92" s="1287">
        <v>171772.43514985513</v>
      </c>
      <c r="S92" s="1287">
        <v>171746.55401497649</v>
      </c>
      <c r="T92" s="1287">
        <v>171723.99022488468</v>
      </c>
      <c r="U92" s="1287">
        <v>171704.1083163092</v>
      </c>
      <c r="V92" s="1287">
        <v>171686.73134236431</v>
      </c>
      <c r="W92" s="1287">
        <v>171671.63749406807</v>
      </c>
      <c r="X92" s="1287">
        <v>171658.48044098669</v>
      </c>
      <c r="Y92" s="1287">
        <v>171647.00962427593</v>
      </c>
      <c r="Z92" s="1411"/>
      <c r="AA92" s="1412">
        <f t="shared" ca="1" si="1"/>
        <v>172060.2065585368</v>
      </c>
      <c r="AB92" s="1414"/>
      <c r="AC92" s="1288"/>
      <c r="AD92" s="1038"/>
      <c r="AE92" s="1038"/>
      <c r="AF92" s="1038"/>
      <c r="AG92" s="1038"/>
      <c r="AH92" s="1038"/>
      <c r="AI92" s="1038"/>
      <c r="AJ92" s="1038"/>
      <c r="AK92" s="1038"/>
      <c r="AL92" s="1038"/>
      <c r="AM92" s="1038"/>
      <c r="AN92" s="1038"/>
      <c r="AO92" s="1038"/>
      <c r="AP92" s="1038"/>
      <c r="AQ92" s="1038"/>
      <c r="AR92" s="1038"/>
      <c r="AS92" s="1038"/>
      <c r="AT92" s="1038"/>
      <c r="AU92" s="1038"/>
      <c r="AV92" s="1038"/>
      <c r="AW92" s="1038"/>
      <c r="AX92" s="1038"/>
      <c r="AY92" s="1038"/>
      <c r="AZ92" s="1038"/>
      <c r="BA92" s="1038"/>
      <c r="BB92" s="1038"/>
      <c r="BC92" s="1038"/>
      <c r="BD92" s="1288"/>
      <c r="BE92" s="1288"/>
    </row>
    <row r="93" spans="1:57" x14ac:dyDescent="0.25">
      <c r="A93" s="1288"/>
      <c r="B93" s="1429">
        <v>6.92</v>
      </c>
      <c r="C93" s="1697">
        <v>173145.17054381617</v>
      </c>
      <c r="D93" s="1287">
        <v>172951.50246557462</v>
      </c>
      <c r="E93" s="1287">
        <v>172762.8647270276</v>
      </c>
      <c r="F93" s="1287">
        <v>172619.50004573187</v>
      </c>
      <c r="G93" s="1287">
        <v>172485.02619738472</v>
      </c>
      <c r="H93" s="1287">
        <v>172364.62950120613</v>
      </c>
      <c r="I93" s="1287">
        <v>255739.1298403581</v>
      </c>
      <c r="J93" s="1287">
        <v>172174.70193196827</v>
      </c>
      <c r="K93" s="1287">
        <v>172097.35753756762</v>
      </c>
      <c r="L93" s="1287">
        <v>172031.98595963765</v>
      </c>
      <c r="M93" s="1287">
        <v>171972.52097116658</v>
      </c>
      <c r="N93" s="1287">
        <v>255374.82464505752</v>
      </c>
      <c r="O93" s="1287">
        <v>171876.16910703457</v>
      </c>
      <c r="P93" s="1287">
        <v>171836.35828327975</v>
      </c>
      <c r="Q93" s="1287">
        <v>255251.20156076638</v>
      </c>
      <c r="R93" s="1287">
        <v>171772.43514985513</v>
      </c>
      <c r="S93" s="1287">
        <v>171746.55401497649</v>
      </c>
      <c r="T93" s="1287">
        <v>171723.99022488468</v>
      </c>
      <c r="U93" s="1287">
        <v>171704.1083163092</v>
      </c>
      <c r="V93" s="1287">
        <v>171686.73134236431</v>
      </c>
      <c r="W93" s="1287">
        <v>171671.63749406807</v>
      </c>
      <c r="X93" s="1287">
        <v>171658.48044098669</v>
      </c>
      <c r="Y93" s="1287">
        <v>171647.00962427593</v>
      </c>
      <c r="Z93" s="1411"/>
      <c r="AA93" s="1412">
        <f t="shared" ca="1" si="1"/>
        <v>172060.2065585368</v>
      </c>
      <c r="AB93" s="1414"/>
      <c r="AC93" s="1288"/>
      <c r="AD93" s="1038"/>
      <c r="AE93" s="1038"/>
      <c r="AF93" s="1038"/>
      <c r="AG93" s="1038"/>
      <c r="AH93" s="1038"/>
      <c r="AI93" s="1038"/>
      <c r="AJ93" s="1038"/>
      <c r="AK93" s="1038"/>
      <c r="AL93" s="1038"/>
      <c r="AM93" s="1038"/>
      <c r="AN93" s="1038"/>
      <c r="AO93" s="1038"/>
      <c r="AP93" s="1038"/>
      <c r="AQ93" s="1038"/>
      <c r="AR93" s="1038"/>
      <c r="AS93" s="1038"/>
      <c r="AT93" s="1038"/>
      <c r="AU93" s="1038"/>
      <c r="AV93" s="1038"/>
      <c r="AW93" s="1038"/>
      <c r="AX93" s="1038"/>
      <c r="AY93" s="1038"/>
      <c r="AZ93" s="1038"/>
      <c r="BA93" s="1038"/>
      <c r="BB93" s="1038"/>
      <c r="BC93" s="1038"/>
      <c r="BD93" s="1288"/>
      <c r="BE93" s="1288"/>
    </row>
    <row r="94" spans="1:57" x14ac:dyDescent="0.25">
      <c r="A94" s="1288"/>
      <c r="B94" s="1429">
        <v>7.89</v>
      </c>
      <c r="C94" s="1697">
        <v>173145.17054381617</v>
      </c>
      <c r="D94" s="1287">
        <v>172951.50246557462</v>
      </c>
      <c r="E94" s="1287">
        <v>172762.8647270276</v>
      </c>
      <c r="F94" s="1287">
        <v>172619.50004573187</v>
      </c>
      <c r="G94" s="1287">
        <v>255969.94042292444</v>
      </c>
      <c r="H94" s="1287">
        <v>255843.09390373621</v>
      </c>
      <c r="I94" s="1287">
        <v>255739.1298403581</v>
      </c>
      <c r="J94" s="1287">
        <v>255642.99164328922</v>
      </c>
      <c r="K94" s="1287">
        <v>172097.35753756762</v>
      </c>
      <c r="L94" s="1287">
        <v>255492.63017244093</v>
      </c>
      <c r="M94" s="1287">
        <v>255429.97955958743</v>
      </c>
      <c r="N94" s="1287">
        <v>255374.82464505752</v>
      </c>
      <c r="O94" s="1287">
        <v>255328.46598844836</v>
      </c>
      <c r="P94" s="1287">
        <v>171836.35828327975</v>
      </c>
      <c r="Q94" s="1287">
        <v>255251.20156076638</v>
      </c>
      <c r="R94" s="1287">
        <v>255219.17485499143</v>
      </c>
      <c r="S94" s="1287">
        <v>255191.90723074434</v>
      </c>
      <c r="T94" s="1287">
        <v>255168.13466618332</v>
      </c>
      <c r="U94" s="1287">
        <v>171704.1083163092</v>
      </c>
      <c r="V94" s="1287">
        <v>255128.87977209929</v>
      </c>
      <c r="W94" s="1287">
        <v>255112.97732478724</v>
      </c>
      <c r="X94" s="1287">
        <v>255099.11542957652</v>
      </c>
      <c r="Y94" s="1287">
        <v>255087.03010482763</v>
      </c>
      <c r="Z94" s="1411"/>
      <c r="AA94" s="1412">
        <f t="shared" ca="1" si="1"/>
        <v>219491.28809631203</v>
      </c>
      <c r="AB94" s="1414"/>
      <c r="AC94" s="1288"/>
      <c r="AD94" s="1038"/>
      <c r="AE94" s="1038"/>
      <c r="AF94" s="1038"/>
      <c r="AG94" s="1038"/>
      <c r="AH94" s="1038"/>
      <c r="AI94" s="1038"/>
      <c r="AJ94" s="1038"/>
      <c r="AK94" s="1038"/>
      <c r="AL94" s="1038"/>
      <c r="AM94" s="1038"/>
      <c r="AN94" s="1038"/>
      <c r="AO94" s="1038"/>
      <c r="AP94" s="1038"/>
      <c r="AQ94" s="1038"/>
      <c r="AR94" s="1038"/>
      <c r="AS94" s="1038"/>
      <c r="AT94" s="1038"/>
      <c r="AU94" s="1038"/>
      <c r="AV94" s="1038"/>
      <c r="AW94" s="1038"/>
      <c r="AX94" s="1038"/>
      <c r="AY94" s="1038"/>
      <c r="AZ94" s="1038"/>
      <c r="BA94" s="1038"/>
      <c r="BB94" s="1038"/>
      <c r="BC94" s="1038"/>
      <c r="BD94" s="1288"/>
      <c r="BE94" s="1288"/>
    </row>
    <row r="95" spans="1:57" x14ac:dyDescent="0.25">
      <c r="A95" s="1288"/>
      <c r="B95" s="1429">
        <v>9</v>
      </c>
      <c r="C95" s="1697">
        <v>173145.17054381617</v>
      </c>
      <c r="D95" s="1287">
        <v>172951.50246557462</v>
      </c>
      <c r="E95" s="1287">
        <v>256262.66315951239</v>
      </c>
      <c r="F95" s="1287">
        <v>256111.61822743306</v>
      </c>
      <c r="G95" s="1287">
        <v>255969.94042292444</v>
      </c>
      <c r="H95" s="1287">
        <v>255843.09390373621</v>
      </c>
      <c r="I95" s="1287">
        <v>255739.1298403581</v>
      </c>
      <c r="J95" s="1287">
        <v>255642.99164328922</v>
      </c>
      <c r="K95" s="1287">
        <v>255561.50379918856</v>
      </c>
      <c r="L95" s="1287">
        <v>255492.63017244093</v>
      </c>
      <c r="M95" s="1287">
        <v>255429.97955958743</v>
      </c>
      <c r="N95" s="1287">
        <v>255374.82464505752</v>
      </c>
      <c r="O95" s="1287">
        <v>255328.46598844836</v>
      </c>
      <c r="P95" s="1287">
        <v>255286.52244199233</v>
      </c>
      <c r="Q95" s="1287">
        <v>255251.20156076638</v>
      </c>
      <c r="R95" s="1287">
        <v>255219.17485499143</v>
      </c>
      <c r="S95" s="1287">
        <v>255191.90723074434</v>
      </c>
      <c r="T95" s="1287">
        <v>255168.13466618332</v>
      </c>
      <c r="U95" s="1287">
        <v>255147.18765536268</v>
      </c>
      <c r="V95" s="1287">
        <v>255128.87977209929</v>
      </c>
      <c r="W95" s="1287">
        <v>255112.97732478724</v>
      </c>
      <c r="X95" s="1287">
        <v>255099.11542957652</v>
      </c>
      <c r="Y95" s="1287">
        <v>255087.03010482763</v>
      </c>
      <c r="Z95" s="1411"/>
      <c r="AA95" s="1412">
        <f t="shared" ca="1" si="1"/>
        <v>255522.36258913821</v>
      </c>
      <c r="AB95" s="1415"/>
      <c r="AC95" s="1288"/>
      <c r="AD95" s="1038"/>
      <c r="AE95" s="1038"/>
      <c r="AF95" s="1038"/>
      <c r="AG95" s="1038"/>
      <c r="AH95" s="1038"/>
      <c r="AI95" s="1038"/>
      <c r="AJ95" s="1038"/>
      <c r="AK95" s="1038"/>
      <c r="AL95" s="1038"/>
      <c r="AM95" s="1038"/>
      <c r="AN95" s="1038"/>
      <c r="AO95" s="1038"/>
      <c r="AP95" s="1038"/>
      <c r="AQ95" s="1038"/>
      <c r="AR95" s="1038"/>
      <c r="AS95" s="1038"/>
      <c r="AT95" s="1038"/>
      <c r="AU95" s="1038"/>
      <c r="AV95" s="1038"/>
      <c r="AW95" s="1038"/>
      <c r="AX95" s="1038"/>
      <c r="AY95" s="1038"/>
      <c r="AZ95" s="1038"/>
      <c r="BA95" s="1038"/>
      <c r="BB95" s="1038"/>
      <c r="BC95" s="1038"/>
      <c r="BD95" s="1288"/>
      <c r="BE95" s="1288"/>
    </row>
    <row r="96" spans="1:57" x14ac:dyDescent="0.25">
      <c r="A96" s="1288"/>
      <c r="B96" s="1347"/>
      <c r="C96" s="1704"/>
      <c r="D96" s="1409"/>
      <c r="E96" s="1409"/>
      <c r="F96" s="1409"/>
      <c r="G96" s="1409"/>
      <c r="H96" s="1409"/>
      <c r="I96" s="1409"/>
      <c r="J96" s="1409"/>
      <c r="K96" s="1409"/>
      <c r="L96" s="1409"/>
      <c r="M96" s="1409"/>
      <c r="N96" s="1409"/>
      <c r="O96" s="1409"/>
      <c r="P96" s="1409"/>
      <c r="Q96" s="1409"/>
      <c r="R96" s="1409"/>
      <c r="S96" s="1409"/>
      <c r="T96" s="1409"/>
      <c r="U96" s="1409"/>
      <c r="V96" s="1409"/>
      <c r="W96" s="1409"/>
      <c r="X96" s="1409"/>
      <c r="Y96" s="1409"/>
      <c r="Z96" s="1411"/>
      <c r="AA96" s="1416"/>
      <c r="AB96" s="1405"/>
      <c r="AC96" s="1288"/>
      <c r="AD96" s="1038"/>
      <c r="AE96" s="1038"/>
      <c r="AF96" s="1038"/>
      <c r="AG96" s="1038"/>
      <c r="AH96" s="1038"/>
      <c r="AI96" s="1038"/>
      <c r="AJ96" s="1038"/>
      <c r="AK96" s="1038"/>
      <c r="AL96" s="1038"/>
      <c r="AM96" s="1038"/>
      <c r="AN96" s="1038"/>
      <c r="AO96" s="1038"/>
      <c r="AP96" s="1038"/>
      <c r="AQ96" s="1038"/>
      <c r="AR96" s="1038"/>
      <c r="AS96" s="1038"/>
      <c r="AT96" s="1038"/>
      <c r="AU96" s="1038"/>
      <c r="AV96" s="1038"/>
      <c r="AW96" s="1038"/>
      <c r="AX96" s="1038"/>
      <c r="AY96" s="1038"/>
      <c r="AZ96" s="1038"/>
      <c r="BA96" s="1038"/>
      <c r="BB96" s="1038"/>
      <c r="BC96" s="1038"/>
      <c r="BD96" s="1288"/>
      <c r="BE96" s="1288"/>
    </row>
    <row r="97" spans="1:57" x14ac:dyDescent="0.25">
      <c r="A97" s="1288"/>
      <c r="B97" s="1341" t="s">
        <v>1274</v>
      </c>
      <c r="C97" s="1697">
        <v>250926.29779080465</v>
      </c>
      <c r="D97" s="1287">
        <v>250012.30303379725</v>
      </c>
      <c r="E97" s="1287">
        <v>249122.0484003484</v>
      </c>
      <c r="F97" s="1287">
        <v>248445.45487892738</v>
      </c>
      <c r="G97" s="1287">
        <v>247810.82064565635</v>
      </c>
      <c r="H97" s="1287">
        <v>247242.62195195642</v>
      </c>
      <c r="I97" s="1287">
        <v>246776.92336297431</v>
      </c>
      <c r="J97" s="1287">
        <v>246346.28010733871</v>
      </c>
      <c r="K97" s="1287">
        <v>245981.26191947859</v>
      </c>
      <c r="L97" s="1287">
        <v>245672.74809506431</v>
      </c>
      <c r="M97" s="1287">
        <v>245392.10975661658</v>
      </c>
      <c r="N97" s="1287">
        <v>245145.04779080462</v>
      </c>
      <c r="O97" s="1287">
        <v>244937.38794885066</v>
      </c>
      <c r="P97" s="1287">
        <v>244749.50523470176</v>
      </c>
      <c r="Q97" s="1287">
        <v>244591.28821226067</v>
      </c>
      <c r="R97" s="1287">
        <v>244447.82718154968</v>
      </c>
      <c r="S97" s="1287">
        <v>244325.68407051548</v>
      </c>
      <c r="T97" s="1287">
        <v>244219.19679584765</v>
      </c>
      <c r="U97" s="1287">
        <v>244125.36635996838</v>
      </c>
      <c r="V97" s="1287">
        <v>244043.35768191179</v>
      </c>
      <c r="W97" s="1287">
        <v>243972.12395908538</v>
      </c>
      <c r="X97" s="1287">
        <v>243910.03072387999</v>
      </c>
      <c r="Y97" s="1287">
        <v>243855.89549195414</v>
      </c>
      <c r="Z97" s="1411"/>
      <c r="AA97" s="1412">
        <f ca="1">FORECAST($C$54,OFFSET(G97:Y97,0,MATCH($C$54,$G$72:$Y$72,1)-1,1,2), OFFSET($G$72:$Y$72,0,MATCH($C$54,$G$72:$Y$72,1)-1,1,2))</f>
        <v>245805.93204395051</v>
      </c>
      <c r="AB97" s="1413" t="e">
        <f ca="1">FORECAST($C$55,OFFSET(AA97:AA119,MATCH($C$55,$B$73:$B$95,1)-1,0,2), OFFSET($B$73:$B$95,MATCH($C$55,$B$73:$B$95,1)-1,0,2))</f>
        <v>#REF!</v>
      </c>
      <c r="AC97" s="1288"/>
      <c r="AD97" s="1038"/>
      <c r="AE97" s="1038"/>
      <c r="AF97" s="1038"/>
      <c r="AG97" s="1038"/>
      <c r="AH97" s="1038"/>
      <c r="AI97" s="1038"/>
      <c r="AJ97" s="1038"/>
      <c r="AK97" s="1038"/>
      <c r="AL97" s="1038"/>
      <c r="AM97" s="1038"/>
      <c r="AN97" s="1038"/>
      <c r="AO97" s="1038"/>
      <c r="AP97" s="1038"/>
      <c r="AQ97" s="1038"/>
      <c r="AR97" s="1038"/>
      <c r="AS97" s="1038"/>
      <c r="AT97" s="1038"/>
      <c r="AU97" s="1038"/>
      <c r="AV97" s="1038"/>
      <c r="AW97" s="1038"/>
      <c r="AX97" s="1038"/>
      <c r="AY97" s="1038"/>
      <c r="AZ97" s="1038"/>
      <c r="BA97" s="1038"/>
      <c r="BB97" s="1038"/>
      <c r="BC97" s="1038"/>
      <c r="BD97" s="1288"/>
      <c r="BE97" s="1288"/>
    </row>
    <row r="98" spans="1:57" x14ac:dyDescent="0.25">
      <c r="A98" s="1288"/>
      <c r="B98" s="1417"/>
      <c r="C98" s="1697">
        <v>250926.29779080465</v>
      </c>
      <c r="D98" s="1287">
        <v>250012.30303379725</v>
      </c>
      <c r="E98" s="1287">
        <v>249122.0484003484</v>
      </c>
      <c r="F98" s="1287">
        <v>248445.45487892738</v>
      </c>
      <c r="G98" s="1287">
        <v>247810.82064565635</v>
      </c>
      <c r="H98" s="1287">
        <v>247242.62195195642</v>
      </c>
      <c r="I98" s="1287">
        <v>246776.92336297431</v>
      </c>
      <c r="J98" s="1287">
        <v>246346.28010733871</v>
      </c>
      <c r="K98" s="1287">
        <v>245981.26191947859</v>
      </c>
      <c r="L98" s="1287">
        <v>245672.74809506431</v>
      </c>
      <c r="M98" s="1287">
        <v>245392.10975661658</v>
      </c>
      <c r="N98" s="1287">
        <v>245145.04779080462</v>
      </c>
      <c r="O98" s="1287">
        <v>244937.38794885066</v>
      </c>
      <c r="P98" s="1287">
        <v>244749.50523470176</v>
      </c>
      <c r="Q98" s="1287">
        <v>244591.28821226067</v>
      </c>
      <c r="R98" s="1287">
        <v>244447.82718154968</v>
      </c>
      <c r="S98" s="1287">
        <v>244325.68407051548</v>
      </c>
      <c r="T98" s="1287">
        <v>244219.19679584765</v>
      </c>
      <c r="U98" s="1287">
        <v>244125.36635996838</v>
      </c>
      <c r="V98" s="1287">
        <v>244043.35768191179</v>
      </c>
      <c r="W98" s="1287">
        <v>243972.12395908538</v>
      </c>
      <c r="X98" s="1287">
        <v>243910.03072387999</v>
      </c>
      <c r="Y98" s="1287">
        <v>243855.89549195414</v>
      </c>
      <c r="Z98" s="1411"/>
      <c r="AA98" s="1412">
        <f ca="1">FORECAST($C$54,OFFSET(G98:Y98,0,MATCH($C$54,$G$72:$Y$72,1)-1,1,2), OFFSET($G$72:$Y$72,0,MATCH($C$54,$G$72:$Y$72,1)-1,1,2))</f>
        <v>245805.93204395051</v>
      </c>
      <c r="AB98" s="1414"/>
      <c r="AC98" s="1288"/>
      <c r="AD98" s="1038"/>
      <c r="AE98" s="1038"/>
      <c r="AF98" s="1038"/>
      <c r="AG98" s="1038"/>
      <c r="AH98" s="1038"/>
      <c r="AI98" s="1038"/>
      <c r="AJ98" s="1038"/>
      <c r="AK98" s="1038"/>
      <c r="AL98" s="1038"/>
      <c r="AM98" s="1038"/>
      <c r="AN98" s="1038"/>
      <c r="AO98" s="1038"/>
      <c r="AP98" s="1038"/>
      <c r="AQ98" s="1038"/>
      <c r="AR98" s="1038"/>
      <c r="AS98" s="1038"/>
      <c r="AT98" s="1038"/>
      <c r="AU98" s="1038"/>
      <c r="AV98" s="1038"/>
      <c r="AW98" s="1038"/>
      <c r="AX98" s="1038"/>
      <c r="AY98" s="1038"/>
      <c r="AZ98" s="1038"/>
      <c r="BA98" s="1038"/>
      <c r="BB98" s="1038"/>
      <c r="BC98" s="1038"/>
      <c r="BD98" s="1288"/>
      <c r="BE98" s="1288"/>
    </row>
    <row r="99" spans="1:57" x14ac:dyDescent="0.25">
      <c r="A99" s="1288"/>
      <c r="B99" s="1417"/>
      <c r="C99" s="1697">
        <v>250926.29779080465</v>
      </c>
      <c r="D99" s="1287">
        <v>250012.30303379725</v>
      </c>
      <c r="E99" s="1287">
        <v>249122.0484003484</v>
      </c>
      <c r="F99" s="1287">
        <v>248445.45487892738</v>
      </c>
      <c r="G99" s="1287">
        <v>247810.82064565635</v>
      </c>
      <c r="H99" s="1287">
        <v>247242.62195195642</v>
      </c>
      <c r="I99" s="1287">
        <v>246776.92336297431</v>
      </c>
      <c r="J99" s="1287">
        <v>246346.28010733871</v>
      </c>
      <c r="K99" s="1287">
        <v>245981.26191947859</v>
      </c>
      <c r="L99" s="1287">
        <v>245672.74809506431</v>
      </c>
      <c r="M99" s="1287">
        <v>245392.10975661658</v>
      </c>
      <c r="N99" s="1287">
        <v>245145.04779080462</v>
      </c>
      <c r="O99" s="1287">
        <v>244937.38794885066</v>
      </c>
      <c r="P99" s="1287">
        <v>244749.50523470176</v>
      </c>
      <c r="Q99" s="1287">
        <v>244591.28821226067</v>
      </c>
      <c r="R99" s="1287">
        <v>244447.82718154968</v>
      </c>
      <c r="S99" s="1287">
        <v>244325.68407051548</v>
      </c>
      <c r="T99" s="1287">
        <v>244219.19679584765</v>
      </c>
      <c r="U99" s="1287">
        <v>244125.36635996838</v>
      </c>
      <c r="V99" s="1287">
        <v>244043.35768191179</v>
      </c>
      <c r="W99" s="1287">
        <v>243972.12395908538</v>
      </c>
      <c r="X99" s="1287">
        <v>243910.03072387999</v>
      </c>
      <c r="Y99" s="1287">
        <v>243855.89549195414</v>
      </c>
      <c r="Z99" s="1411"/>
      <c r="AA99" s="1412">
        <f ca="1">FORECAST($C$54,OFFSET(G99:Y99,0,MATCH($C$54,$G$72:$Y$72,1)-1,1,2), OFFSET($G$72:$Y$72,0,MATCH($C$54,$G$72:$Y$72,1)-1,1,2))</f>
        <v>245805.93204395051</v>
      </c>
      <c r="AB99" s="1414"/>
      <c r="AC99" s="1288"/>
      <c r="AD99" s="1038"/>
      <c r="AE99" s="1038"/>
      <c r="AF99" s="1038"/>
      <c r="AG99" s="1038"/>
      <c r="AH99" s="1038"/>
      <c r="AI99" s="1038"/>
      <c r="AJ99" s="1038"/>
      <c r="AK99" s="1038"/>
      <c r="AL99" s="1038"/>
      <c r="AM99" s="1038"/>
      <c r="AN99" s="1038"/>
      <c r="AO99" s="1038"/>
      <c r="AP99" s="1038"/>
      <c r="AQ99" s="1038"/>
      <c r="AR99" s="1038"/>
      <c r="AS99" s="1038"/>
      <c r="AT99" s="1038"/>
      <c r="AU99" s="1038"/>
      <c r="AV99" s="1038"/>
      <c r="AW99" s="1038"/>
      <c r="AX99" s="1038"/>
      <c r="AY99" s="1038"/>
      <c r="AZ99" s="1038"/>
      <c r="BA99" s="1038"/>
      <c r="BB99" s="1038"/>
      <c r="BC99" s="1038"/>
      <c r="BD99" s="1288"/>
      <c r="BE99" s="1288"/>
    </row>
    <row r="100" spans="1:57" x14ac:dyDescent="0.25">
      <c r="A100" s="1288"/>
      <c r="B100" s="1417"/>
      <c r="C100" s="1697">
        <v>250926.29779080465</v>
      </c>
      <c r="D100" s="1287">
        <v>250012.30303379725</v>
      </c>
      <c r="E100" s="1287">
        <v>249122.0484003484</v>
      </c>
      <c r="F100" s="1287">
        <v>248445.45487892738</v>
      </c>
      <c r="G100" s="1287">
        <v>247810.82064565635</v>
      </c>
      <c r="H100" s="1287">
        <v>247242.62195195642</v>
      </c>
      <c r="I100" s="1287">
        <v>246776.92336297431</v>
      </c>
      <c r="J100" s="1287">
        <v>246346.28010733871</v>
      </c>
      <c r="K100" s="1287">
        <v>245981.26191947859</v>
      </c>
      <c r="L100" s="1287">
        <v>245672.74809506431</v>
      </c>
      <c r="M100" s="1287">
        <v>245392.10975661658</v>
      </c>
      <c r="N100" s="1287">
        <v>245145.04779080462</v>
      </c>
      <c r="O100" s="1287">
        <v>244937.38794885066</v>
      </c>
      <c r="P100" s="1287">
        <v>244749.50523470176</v>
      </c>
      <c r="Q100" s="1287">
        <v>244591.28821226067</v>
      </c>
      <c r="R100" s="1287">
        <v>244447.82718154968</v>
      </c>
      <c r="S100" s="1287">
        <v>244325.68407051548</v>
      </c>
      <c r="T100" s="1287">
        <v>244219.19679584765</v>
      </c>
      <c r="U100" s="1287">
        <v>244125.36635996838</v>
      </c>
      <c r="V100" s="1287">
        <v>244043.35768191179</v>
      </c>
      <c r="W100" s="1287">
        <v>243972.12395908538</v>
      </c>
      <c r="X100" s="1287">
        <v>243910.03072387999</v>
      </c>
      <c r="Y100" s="1287">
        <v>243855.89549195414</v>
      </c>
      <c r="Z100" s="1411"/>
      <c r="AA100" s="1412">
        <f ca="1">FORECAST($C$54,OFFSET(G100:Y100,0,MATCH($C$54,$G$72:$Y$72,1)-1,1,2), OFFSET($G$72:$Y$72,0,MATCH($C$54,$G$72:$Y$72,1)-1,1,2))</f>
        <v>245805.93204395051</v>
      </c>
      <c r="AB100" s="1414"/>
      <c r="AC100" s="1288"/>
      <c r="AD100" s="1038"/>
      <c r="AE100" s="1038"/>
      <c r="AF100" s="1038"/>
      <c r="AG100" s="1038"/>
      <c r="AH100" s="1038"/>
      <c r="AI100" s="1038"/>
      <c r="AJ100" s="1038"/>
      <c r="AK100" s="1038"/>
      <c r="AL100" s="1038"/>
      <c r="AM100" s="1038"/>
      <c r="AN100" s="1038"/>
      <c r="AO100" s="1038"/>
      <c r="AP100" s="1038"/>
      <c r="AQ100" s="1038"/>
      <c r="AR100" s="1038"/>
      <c r="AS100" s="1038"/>
      <c r="AT100" s="1038"/>
      <c r="AU100" s="1038"/>
      <c r="AV100" s="1038"/>
      <c r="AW100" s="1038"/>
      <c r="AX100" s="1038"/>
      <c r="AY100" s="1038"/>
      <c r="AZ100" s="1038"/>
      <c r="BA100" s="1038"/>
      <c r="BB100" s="1038"/>
      <c r="BC100" s="1038"/>
      <c r="BD100" s="1288"/>
      <c r="BE100" s="1288"/>
    </row>
    <row r="101" spans="1:57" x14ac:dyDescent="0.25">
      <c r="A101" s="1288"/>
      <c r="B101" s="1417"/>
      <c r="C101" s="1697">
        <v>250926.29779080465</v>
      </c>
      <c r="D101" s="1287">
        <v>250012.30303379725</v>
      </c>
      <c r="E101" s="1287">
        <v>266310.46138793457</v>
      </c>
      <c r="F101" s="1287">
        <v>265633.86786651344</v>
      </c>
      <c r="G101" s="1287">
        <v>247810.82064565635</v>
      </c>
      <c r="H101" s="1287">
        <v>247242.62195195642</v>
      </c>
      <c r="I101" s="1287">
        <v>246776.92336297431</v>
      </c>
      <c r="J101" s="1287">
        <v>263534.69309492491</v>
      </c>
      <c r="K101" s="1287">
        <v>245981.26191947859</v>
      </c>
      <c r="L101" s="1287">
        <v>245672.74809506431</v>
      </c>
      <c r="M101" s="1287">
        <v>262580.52274420287</v>
      </c>
      <c r="N101" s="1287">
        <v>245145.04779080462</v>
      </c>
      <c r="O101" s="1287">
        <v>244937.38794885066</v>
      </c>
      <c r="P101" s="1287">
        <v>261937.91822228799</v>
      </c>
      <c r="Q101" s="1287">
        <v>244591.28821226067</v>
      </c>
      <c r="R101" s="1287">
        <v>244447.82718154968</v>
      </c>
      <c r="S101" s="1287">
        <v>261514.09705810167</v>
      </c>
      <c r="T101" s="1287">
        <v>261407.60978343384</v>
      </c>
      <c r="U101" s="1287">
        <v>261313.77934755458</v>
      </c>
      <c r="V101" s="1287">
        <v>244043.35768191179</v>
      </c>
      <c r="W101" s="1287">
        <v>243972.12395908538</v>
      </c>
      <c r="X101" s="1287">
        <v>261098.44371146613</v>
      </c>
      <c r="Y101" s="1287">
        <v>261044.30847954028</v>
      </c>
      <c r="Z101" s="1411"/>
      <c r="AA101" s="1412">
        <f ca="1">FORECAST($C$54,OFFSET(G101:Y101,0,MATCH($C$54,$G$72:$Y$72,1)-1,1,2), OFFSET($G$72:$Y$72,0,MATCH($C$54,$G$72:$Y$72,1)-1,1,2))</f>
        <v>245805.93204395051</v>
      </c>
      <c r="AB101" s="1414"/>
      <c r="AC101" s="1288"/>
      <c r="AD101" s="1038"/>
      <c r="AE101" s="1038"/>
      <c r="AF101" s="1038"/>
      <c r="AG101" s="1038"/>
      <c r="AH101" s="1038"/>
      <c r="AI101" s="1038"/>
      <c r="AJ101" s="1038"/>
      <c r="AK101" s="1038"/>
      <c r="AL101" s="1038"/>
      <c r="AM101" s="1038"/>
      <c r="AN101" s="1038"/>
      <c r="AO101" s="1038"/>
      <c r="AP101" s="1038"/>
      <c r="AQ101" s="1038"/>
      <c r="AR101" s="1038"/>
      <c r="AS101" s="1038"/>
      <c r="AT101" s="1038"/>
      <c r="AU101" s="1038"/>
      <c r="AV101" s="1038"/>
      <c r="AW101" s="1038"/>
      <c r="AX101" s="1038"/>
      <c r="AY101" s="1038"/>
      <c r="AZ101" s="1038"/>
      <c r="BA101" s="1038"/>
      <c r="BB101" s="1038"/>
      <c r="BC101" s="1038"/>
      <c r="BD101" s="1288"/>
      <c r="BE101" s="1288"/>
    </row>
    <row r="102" spans="1:57" x14ac:dyDescent="0.25">
      <c r="A102" s="1288"/>
      <c r="B102" s="1417"/>
      <c r="C102" s="1697">
        <v>268114.71077839093</v>
      </c>
      <c r="D102" s="1287">
        <v>267200.71602138347</v>
      </c>
      <c r="E102" s="1287">
        <v>266310.46138793457</v>
      </c>
      <c r="F102" s="1287">
        <v>265633.86786651344</v>
      </c>
      <c r="G102" s="1287">
        <v>247810.82064565635</v>
      </c>
      <c r="H102" s="1287">
        <v>264431.0349395427</v>
      </c>
      <c r="I102" s="1287">
        <v>263965.3363505606</v>
      </c>
      <c r="J102" s="1287">
        <v>263534.69309492491</v>
      </c>
      <c r="K102" s="1287">
        <v>263169.67490706476</v>
      </c>
      <c r="L102" s="1287">
        <v>262861.16108265053</v>
      </c>
      <c r="M102" s="1287">
        <v>262580.52274420287</v>
      </c>
      <c r="N102" s="1287">
        <v>262333.46077839087</v>
      </c>
      <c r="O102" s="1287">
        <v>262125.80093643686</v>
      </c>
      <c r="P102" s="1287">
        <v>261937.91822228799</v>
      </c>
      <c r="Q102" s="1287">
        <v>261779.70119984687</v>
      </c>
      <c r="R102" s="1287">
        <v>261636.24016913591</v>
      </c>
      <c r="S102" s="1287">
        <v>261514.09705810167</v>
      </c>
      <c r="T102" s="1287">
        <v>261407.60978343384</v>
      </c>
      <c r="U102" s="1287">
        <v>261313.77934755458</v>
      </c>
      <c r="V102" s="1287">
        <v>261231.77066949793</v>
      </c>
      <c r="W102" s="1287">
        <v>261160.53694667161</v>
      </c>
      <c r="X102" s="1287">
        <v>261098.44371146613</v>
      </c>
      <c r="Y102" s="1287">
        <v>261044.30847954028</v>
      </c>
      <c r="Z102" s="1411"/>
      <c r="AA102" s="1412">
        <f t="shared" ref="AA102:AA119" ca="1" si="2">FORECAST($C$54,OFFSET(C102:Y102,0,MATCH($C$54,$G$72:$Y$72,1)-1,1,2), OFFSET($G$72:$Y$72,0,MATCH($C$54,$G$72:$Y$72,1)-1,1,2))</f>
        <v>257256.16757274957</v>
      </c>
      <c r="AB102" s="1414"/>
      <c r="AC102" s="1288"/>
      <c r="AD102" s="1038"/>
      <c r="AE102" s="1038"/>
      <c r="AF102" s="1038"/>
      <c r="AG102" s="1038"/>
      <c r="AH102" s="1038"/>
      <c r="AI102" s="1038"/>
      <c r="AJ102" s="1038"/>
      <c r="AK102" s="1038"/>
      <c r="AL102" s="1038"/>
      <c r="AM102" s="1038"/>
      <c r="AN102" s="1038"/>
      <c r="AO102" s="1038"/>
      <c r="AP102" s="1038"/>
      <c r="AQ102" s="1038"/>
      <c r="AR102" s="1038"/>
      <c r="AS102" s="1038"/>
      <c r="AT102" s="1038"/>
      <c r="AU102" s="1038"/>
      <c r="AV102" s="1038"/>
      <c r="AW102" s="1038"/>
      <c r="AX102" s="1038"/>
      <c r="AY102" s="1038"/>
      <c r="AZ102" s="1038"/>
      <c r="BA102" s="1038"/>
      <c r="BB102" s="1038"/>
      <c r="BC102" s="1038"/>
      <c r="BD102" s="1288"/>
      <c r="BE102" s="1288"/>
    </row>
    <row r="103" spans="1:57" x14ac:dyDescent="0.25">
      <c r="A103" s="1288"/>
      <c r="B103" s="1417"/>
      <c r="C103" s="1697">
        <v>268114.71077839093</v>
      </c>
      <c r="D103" s="1287">
        <v>267200.71602138347</v>
      </c>
      <c r="E103" s="1287">
        <v>266310.46138793457</v>
      </c>
      <c r="F103" s="1287">
        <v>265633.86786651344</v>
      </c>
      <c r="G103" s="1287">
        <v>264999.23363324249</v>
      </c>
      <c r="H103" s="1287">
        <v>264431.0349395427</v>
      </c>
      <c r="I103" s="1287">
        <v>263965.3363505606</v>
      </c>
      <c r="J103" s="1287">
        <v>263534.69309492491</v>
      </c>
      <c r="K103" s="1287">
        <v>263169.67490706476</v>
      </c>
      <c r="L103" s="1287">
        <v>262861.16108265053</v>
      </c>
      <c r="M103" s="1287">
        <v>262580.52274420287</v>
      </c>
      <c r="N103" s="1287">
        <v>262333.46077839087</v>
      </c>
      <c r="O103" s="1287">
        <v>262125.80093643686</v>
      </c>
      <c r="P103" s="1287">
        <v>261937.91822228799</v>
      </c>
      <c r="Q103" s="1287">
        <v>261779.70119984687</v>
      </c>
      <c r="R103" s="1287">
        <v>261636.24016913591</v>
      </c>
      <c r="S103" s="1287">
        <v>261514.09705810167</v>
      </c>
      <c r="T103" s="1287">
        <v>261407.60978343384</v>
      </c>
      <c r="U103" s="1287">
        <v>261313.77934755458</v>
      </c>
      <c r="V103" s="1287">
        <v>261231.77066949793</v>
      </c>
      <c r="W103" s="1287">
        <v>261160.53694667161</v>
      </c>
      <c r="X103" s="1287">
        <v>261098.44371146613</v>
      </c>
      <c r="Y103" s="1287">
        <v>261044.30847954028</v>
      </c>
      <c r="Z103" s="1411"/>
      <c r="AA103" s="1412">
        <f t="shared" ca="1" si="2"/>
        <v>264676.32360990479</v>
      </c>
      <c r="AB103" s="1414"/>
      <c r="AC103" s="1288"/>
      <c r="AD103" s="1038"/>
      <c r="AE103" s="1038"/>
      <c r="AF103" s="1038"/>
      <c r="AG103" s="1038"/>
      <c r="AH103" s="1038"/>
      <c r="AI103" s="1038"/>
      <c r="AJ103" s="1038"/>
      <c r="AK103" s="1038"/>
      <c r="AL103" s="1038"/>
      <c r="AM103" s="1038"/>
      <c r="AN103" s="1038"/>
      <c r="AO103" s="1038"/>
      <c r="AP103" s="1038"/>
      <c r="AQ103" s="1038"/>
      <c r="AR103" s="1038"/>
      <c r="AS103" s="1038"/>
      <c r="AT103" s="1038"/>
      <c r="AU103" s="1038"/>
      <c r="AV103" s="1038"/>
      <c r="AW103" s="1038"/>
      <c r="AX103" s="1038"/>
      <c r="AY103" s="1038"/>
      <c r="AZ103" s="1038"/>
      <c r="BA103" s="1038"/>
      <c r="BB103" s="1038"/>
      <c r="BC103" s="1038"/>
      <c r="BD103" s="1288"/>
      <c r="BE103" s="1288"/>
    </row>
    <row r="104" spans="1:57" x14ac:dyDescent="0.25">
      <c r="A104" s="1288"/>
      <c r="B104" s="1417"/>
      <c r="C104" s="1697">
        <v>268114.71077839093</v>
      </c>
      <c r="D104" s="1287">
        <v>267200.71602138347</v>
      </c>
      <c r="E104" s="1287">
        <v>266310.46138793457</v>
      </c>
      <c r="F104" s="1287">
        <v>265633.86786651344</v>
      </c>
      <c r="G104" s="1287">
        <v>264999.23363324249</v>
      </c>
      <c r="H104" s="1287">
        <v>264431.0349395427</v>
      </c>
      <c r="I104" s="1287">
        <v>263965.3363505606</v>
      </c>
      <c r="J104" s="1287">
        <v>263534.69309492491</v>
      </c>
      <c r="K104" s="1287">
        <v>263169.67490706476</v>
      </c>
      <c r="L104" s="1287">
        <v>262861.16108265053</v>
      </c>
      <c r="M104" s="1287">
        <v>262580.52274420287</v>
      </c>
      <c r="N104" s="1287">
        <v>262333.46077839087</v>
      </c>
      <c r="O104" s="1287">
        <v>262125.80093643686</v>
      </c>
      <c r="P104" s="1287">
        <v>261937.91822228799</v>
      </c>
      <c r="Q104" s="1287">
        <v>261779.70119984687</v>
      </c>
      <c r="R104" s="1287">
        <v>261636.24016913591</v>
      </c>
      <c r="S104" s="1287">
        <v>261514.09705810167</v>
      </c>
      <c r="T104" s="1287">
        <v>261407.60978343384</v>
      </c>
      <c r="U104" s="1287">
        <v>261313.77934755458</v>
      </c>
      <c r="V104" s="1287">
        <v>261231.77066949793</v>
      </c>
      <c r="W104" s="1287">
        <v>261160.53694667161</v>
      </c>
      <c r="X104" s="1287">
        <v>261098.44371146613</v>
      </c>
      <c r="Y104" s="1287">
        <v>261044.30847954028</v>
      </c>
      <c r="Z104" s="1411"/>
      <c r="AA104" s="1412">
        <f t="shared" ca="1" si="2"/>
        <v>264676.32360990479</v>
      </c>
      <c r="AB104" s="1414"/>
      <c r="AC104" s="1288"/>
      <c r="AD104" s="1038"/>
      <c r="AE104" s="1038"/>
      <c r="AF104" s="1038"/>
      <c r="AG104" s="1038"/>
      <c r="AH104" s="1038"/>
      <c r="AI104" s="1038"/>
      <c r="AJ104" s="1038"/>
      <c r="AK104" s="1038"/>
      <c r="AL104" s="1038"/>
      <c r="AM104" s="1038"/>
      <c r="AN104" s="1038"/>
      <c r="AO104" s="1038"/>
      <c r="AP104" s="1038"/>
      <c r="AQ104" s="1038"/>
      <c r="AR104" s="1038"/>
      <c r="AS104" s="1038"/>
      <c r="AT104" s="1038"/>
      <c r="AU104" s="1038"/>
      <c r="AV104" s="1038"/>
      <c r="AW104" s="1038"/>
      <c r="AX104" s="1038"/>
      <c r="AY104" s="1038"/>
      <c r="AZ104" s="1038"/>
      <c r="BA104" s="1038"/>
      <c r="BB104" s="1038"/>
      <c r="BC104" s="1038"/>
      <c r="BD104" s="1288"/>
      <c r="BE104" s="1288"/>
    </row>
    <row r="105" spans="1:57" x14ac:dyDescent="0.25">
      <c r="A105" s="1288"/>
      <c r="B105" s="1417"/>
      <c r="C105" s="1697">
        <v>268114.71077839093</v>
      </c>
      <c r="D105" s="1287">
        <v>267200.71602138347</v>
      </c>
      <c r="E105" s="1287">
        <v>266310.46138793457</v>
      </c>
      <c r="F105" s="1287">
        <v>265633.86786651344</v>
      </c>
      <c r="G105" s="1287">
        <v>264999.23363324249</v>
      </c>
      <c r="H105" s="1287">
        <v>264431.0349395427</v>
      </c>
      <c r="I105" s="1287">
        <v>263965.3363505606</v>
      </c>
      <c r="J105" s="1287">
        <v>263534.69309492491</v>
      </c>
      <c r="K105" s="1287">
        <v>263169.67490706476</v>
      </c>
      <c r="L105" s="1287">
        <v>262861.16108265053</v>
      </c>
      <c r="M105" s="1287">
        <v>262580.52274420287</v>
      </c>
      <c r="N105" s="1287">
        <v>262333.46077839087</v>
      </c>
      <c r="O105" s="1287">
        <v>262125.80093643686</v>
      </c>
      <c r="P105" s="1287">
        <v>261937.91822228799</v>
      </c>
      <c r="Q105" s="1287">
        <v>261779.70119984687</v>
      </c>
      <c r="R105" s="1287">
        <v>261636.24016913591</v>
      </c>
      <c r="S105" s="1287">
        <v>261514.09705810167</v>
      </c>
      <c r="T105" s="1287">
        <v>261407.60978343384</v>
      </c>
      <c r="U105" s="1287">
        <v>261313.77934755458</v>
      </c>
      <c r="V105" s="1287">
        <v>261231.77066949793</v>
      </c>
      <c r="W105" s="1287">
        <v>261160.53694667161</v>
      </c>
      <c r="X105" s="1287">
        <v>261098.44371146613</v>
      </c>
      <c r="Y105" s="1287">
        <v>261044.30847954028</v>
      </c>
      <c r="Z105" s="1411"/>
      <c r="AA105" s="1412">
        <f t="shared" ca="1" si="2"/>
        <v>264676.32360990479</v>
      </c>
      <c r="AB105" s="1414"/>
      <c r="AC105" s="1288"/>
      <c r="AD105" s="1038"/>
      <c r="AE105" s="1038"/>
      <c r="AF105" s="1038"/>
      <c r="AG105" s="1038"/>
      <c r="AH105" s="1038"/>
      <c r="AI105" s="1038"/>
      <c r="AJ105" s="1038"/>
      <c r="AK105" s="1038"/>
      <c r="AL105" s="1038"/>
      <c r="AM105" s="1038"/>
      <c r="AN105" s="1038"/>
      <c r="AO105" s="1038"/>
      <c r="AP105" s="1038"/>
      <c r="AQ105" s="1038"/>
      <c r="AR105" s="1038"/>
      <c r="AS105" s="1038"/>
      <c r="AT105" s="1038"/>
      <c r="AU105" s="1038"/>
      <c r="AV105" s="1038"/>
      <c r="AW105" s="1038"/>
      <c r="AX105" s="1038"/>
      <c r="AY105" s="1038"/>
      <c r="AZ105" s="1038"/>
      <c r="BA105" s="1038"/>
      <c r="BB105" s="1038"/>
      <c r="BC105" s="1038"/>
      <c r="BD105" s="1288"/>
      <c r="BE105" s="1288"/>
    </row>
    <row r="106" spans="1:57" x14ac:dyDescent="0.25">
      <c r="A106" s="1288"/>
      <c r="B106" s="1417"/>
      <c r="C106" s="1697">
        <v>268114.71077839093</v>
      </c>
      <c r="D106" s="1287">
        <v>267200.71602138347</v>
      </c>
      <c r="E106" s="1287">
        <v>266310.46138793457</v>
      </c>
      <c r="F106" s="1287">
        <v>265633.86786651344</v>
      </c>
      <c r="G106" s="1287">
        <v>264999.23363324249</v>
      </c>
      <c r="H106" s="1287">
        <v>264431.0349395427</v>
      </c>
      <c r="I106" s="1287">
        <v>263965.3363505606</v>
      </c>
      <c r="J106" s="1287">
        <v>263534.69309492491</v>
      </c>
      <c r="K106" s="1287">
        <v>263169.67490706476</v>
      </c>
      <c r="L106" s="1287">
        <v>262861.16108265053</v>
      </c>
      <c r="M106" s="1287">
        <v>262580.52274420287</v>
      </c>
      <c r="N106" s="1287">
        <v>262333.46077839087</v>
      </c>
      <c r="O106" s="1287">
        <v>262125.80093643686</v>
      </c>
      <c r="P106" s="1287">
        <v>261937.91822228799</v>
      </c>
      <c r="Q106" s="1287">
        <v>261779.70119984687</v>
      </c>
      <c r="R106" s="1287">
        <v>261636.24016913591</v>
      </c>
      <c r="S106" s="1287">
        <v>261514.09705810167</v>
      </c>
      <c r="T106" s="1287">
        <v>261407.60978343384</v>
      </c>
      <c r="U106" s="1287">
        <v>261313.77934755458</v>
      </c>
      <c r="V106" s="1287">
        <v>261231.77066949793</v>
      </c>
      <c r="W106" s="1287">
        <v>261160.53694667161</v>
      </c>
      <c r="X106" s="1287">
        <v>261098.44371146613</v>
      </c>
      <c r="Y106" s="1287">
        <v>261044.30847954028</v>
      </c>
      <c r="Z106" s="1411"/>
      <c r="AA106" s="1412">
        <f t="shared" ca="1" si="2"/>
        <v>264676.32360990479</v>
      </c>
      <c r="AB106" s="1414"/>
      <c r="AC106" s="1288"/>
      <c r="AD106" s="1038"/>
      <c r="AE106" s="1038"/>
      <c r="AF106" s="1038"/>
      <c r="AG106" s="1038"/>
      <c r="AH106" s="1038"/>
      <c r="AI106" s="1038"/>
      <c r="AJ106" s="1038"/>
      <c r="AK106" s="1038"/>
      <c r="AL106" s="1038"/>
      <c r="AM106" s="1038"/>
      <c r="AN106" s="1038"/>
      <c r="AO106" s="1038"/>
      <c r="AP106" s="1038"/>
      <c r="AQ106" s="1038"/>
      <c r="AR106" s="1038"/>
      <c r="AS106" s="1038"/>
      <c r="AT106" s="1038"/>
      <c r="AU106" s="1038"/>
      <c r="AV106" s="1038"/>
      <c r="AW106" s="1038"/>
      <c r="AX106" s="1038"/>
      <c r="AY106" s="1038"/>
      <c r="AZ106" s="1038"/>
      <c r="BA106" s="1038"/>
      <c r="BB106" s="1038"/>
      <c r="BC106" s="1038"/>
      <c r="BD106" s="1288"/>
      <c r="BE106" s="1288"/>
    </row>
    <row r="107" spans="1:57" x14ac:dyDescent="0.25">
      <c r="A107" s="1288"/>
      <c r="B107" s="1417"/>
      <c r="C107" s="1697">
        <v>268114.71077839093</v>
      </c>
      <c r="D107" s="1287">
        <v>311866.59200483171</v>
      </c>
      <c r="E107" s="1287">
        <v>266310.46138793457</v>
      </c>
      <c r="F107" s="1287">
        <v>265633.86786651344</v>
      </c>
      <c r="G107" s="1287">
        <v>264999.23363324249</v>
      </c>
      <c r="H107" s="1287">
        <v>264431.0349395427</v>
      </c>
      <c r="I107" s="1287">
        <v>308631.21233400883</v>
      </c>
      <c r="J107" s="1287">
        <v>308200.56907837314</v>
      </c>
      <c r="K107" s="1287">
        <v>263169.67490706476</v>
      </c>
      <c r="L107" s="1287">
        <v>307527.03706609888</v>
      </c>
      <c r="M107" s="1287">
        <v>307246.3987276511</v>
      </c>
      <c r="N107" s="1287">
        <v>306999.33676183916</v>
      </c>
      <c r="O107" s="1287">
        <v>306791.6769198851</v>
      </c>
      <c r="P107" s="1287">
        <v>306603.79420573625</v>
      </c>
      <c r="Q107" s="1287">
        <v>306445.57718329516</v>
      </c>
      <c r="R107" s="1287">
        <v>306302.11615258415</v>
      </c>
      <c r="S107" s="1287">
        <v>306179.97304154991</v>
      </c>
      <c r="T107" s="1287">
        <v>306073.48576688214</v>
      </c>
      <c r="U107" s="1287">
        <v>305979.65533100296</v>
      </c>
      <c r="V107" s="1287">
        <v>305897.64665294625</v>
      </c>
      <c r="W107" s="1287">
        <v>305826.41293011984</v>
      </c>
      <c r="X107" s="1287">
        <v>305764.31969491445</v>
      </c>
      <c r="Y107" s="1287">
        <v>305710.18446298863</v>
      </c>
      <c r="Z107" s="1411"/>
      <c r="AA107" s="1412">
        <f t="shared" ca="1" si="2"/>
        <v>264676.32360990479</v>
      </c>
      <c r="AB107" s="1414"/>
      <c r="AC107" s="1288"/>
      <c r="AD107" s="1038"/>
      <c r="AE107" s="1038"/>
      <c r="AF107" s="1038"/>
      <c r="AG107" s="1038"/>
      <c r="AH107" s="1038"/>
      <c r="AI107" s="1038"/>
      <c r="AJ107" s="1038"/>
      <c r="AK107" s="1038"/>
      <c r="AL107" s="1038"/>
      <c r="AM107" s="1038"/>
      <c r="AN107" s="1038"/>
      <c r="AO107" s="1038"/>
      <c r="AP107" s="1038"/>
      <c r="AQ107" s="1038"/>
      <c r="AR107" s="1038"/>
      <c r="AS107" s="1038"/>
      <c r="AT107" s="1038"/>
      <c r="AU107" s="1038"/>
      <c r="AV107" s="1038"/>
      <c r="AW107" s="1038"/>
      <c r="AX107" s="1038"/>
      <c r="AY107" s="1038"/>
      <c r="AZ107" s="1038"/>
      <c r="BA107" s="1038"/>
      <c r="BB107" s="1038"/>
      <c r="BC107" s="1038"/>
      <c r="BD107" s="1288"/>
      <c r="BE107" s="1288"/>
    </row>
    <row r="108" spans="1:57" x14ac:dyDescent="0.25">
      <c r="A108" s="1288"/>
      <c r="B108" s="1417"/>
      <c r="C108" s="1697">
        <v>312780.58676183922</v>
      </c>
      <c r="D108" s="1287">
        <v>311866.59200483171</v>
      </c>
      <c r="E108" s="1287">
        <v>310976.33737138286</v>
      </c>
      <c r="F108" s="1287">
        <v>265633.86786651344</v>
      </c>
      <c r="G108" s="1287">
        <v>309665.10961669084</v>
      </c>
      <c r="H108" s="1287">
        <v>309096.91092299088</v>
      </c>
      <c r="I108" s="1287">
        <v>308631.21233400883</v>
      </c>
      <c r="J108" s="1287">
        <v>308200.56907837314</v>
      </c>
      <c r="K108" s="1287">
        <v>307835.550890513</v>
      </c>
      <c r="L108" s="1287">
        <v>307527.03706609888</v>
      </c>
      <c r="M108" s="1287">
        <v>307246.3987276511</v>
      </c>
      <c r="N108" s="1287">
        <v>306999.33676183916</v>
      </c>
      <c r="O108" s="1287">
        <v>306791.6769198851</v>
      </c>
      <c r="P108" s="1287">
        <v>306603.79420573625</v>
      </c>
      <c r="Q108" s="1287">
        <v>306445.57718329516</v>
      </c>
      <c r="R108" s="1287">
        <v>306302.11615258415</v>
      </c>
      <c r="S108" s="1287">
        <v>306179.97304154991</v>
      </c>
      <c r="T108" s="1287">
        <v>306073.48576688214</v>
      </c>
      <c r="U108" s="1287">
        <v>305979.65533100296</v>
      </c>
      <c r="V108" s="1287">
        <v>305897.64665294625</v>
      </c>
      <c r="W108" s="1287">
        <v>305826.41293011984</v>
      </c>
      <c r="X108" s="1287">
        <v>305764.31969491445</v>
      </c>
      <c r="Y108" s="1287">
        <v>305710.18446298863</v>
      </c>
      <c r="Z108" s="1411"/>
      <c r="AA108" s="1412">
        <f t="shared" ca="1" si="2"/>
        <v>309342.19959335303</v>
      </c>
      <c r="AB108" s="1414"/>
      <c r="AC108" s="1288"/>
      <c r="AD108" s="1038"/>
      <c r="AE108" s="1038"/>
      <c r="AF108" s="1038"/>
      <c r="AG108" s="1038"/>
      <c r="AH108" s="1038"/>
      <c r="AI108" s="1038"/>
      <c r="AJ108" s="1038"/>
      <c r="AK108" s="1038"/>
      <c r="AL108" s="1038"/>
      <c r="AM108" s="1038"/>
      <c r="AN108" s="1038"/>
      <c r="AO108" s="1038"/>
      <c r="AP108" s="1038"/>
      <c r="AQ108" s="1038"/>
      <c r="AR108" s="1038"/>
      <c r="AS108" s="1038"/>
      <c r="AT108" s="1038"/>
      <c r="AU108" s="1038"/>
      <c r="AV108" s="1038"/>
      <c r="AW108" s="1038"/>
      <c r="AX108" s="1038"/>
      <c r="AY108" s="1038"/>
      <c r="AZ108" s="1038"/>
      <c r="BA108" s="1038"/>
      <c r="BB108" s="1038"/>
      <c r="BC108" s="1038"/>
      <c r="BD108" s="1288"/>
      <c r="BE108" s="1288"/>
    </row>
    <row r="109" spans="1:57" x14ac:dyDescent="0.25">
      <c r="A109" s="1288"/>
      <c r="B109" s="1417"/>
      <c r="C109" s="1697">
        <v>312780.58676183922</v>
      </c>
      <c r="D109" s="1287">
        <v>311866.59200483171</v>
      </c>
      <c r="E109" s="1287">
        <v>310976.33737138286</v>
      </c>
      <c r="F109" s="1287">
        <v>310299.74384996179</v>
      </c>
      <c r="G109" s="1287">
        <v>309665.10961669084</v>
      </c>
      <c r="H109" s="1287">
        <v>309096.91092299088</v>
      </c>
      <c r="I109" s="1287">
        <v>308631.21233400883</v>
      </c>
      <c r="J109" s="1287">
        <v>308200.56907837314</v>
      </c>
      <c r="K109" s="1287">
        <v>307835.550890513</v>
      </c>
      <c r="L109" s="1287">
        <v>307527.03706609888</v>
      </c>
      <c r="M109" s="1287">
        <v>307246.3987276511</v>
      </c>
      <c r="N109" s="1287">
        <v>306999.33676183916</v>
      </c>
      <c r="O109" s="1287">
        <v>306791.6769198851</v>
      </c>
      <c r="P109" s="1287">
        <v>306603.79420573625</v>
      </c>
      <c r="Q109" s="1287">
        <v>306445.57718329516</v>
      </c>
      <c r="R109" s="1287">
        <v>306302.11615258415</v>
      </c>
      <c r="S109" s="1287">
        <v>306179.97304154991</v>
      </c>
      <c r="T109" s="1287">
        <v>306073.48576688214</v>
      </c>
      <c r="U109" s="1287">
        <v>305979.65533100296</v>
      </c>
      <c r="V109" s="1287">
        <v>305897.64665294625</v>
      </c>
      <c r="W109" s="1287">
        <v>305826.41293011984</v>
      </c>
      <c r="X109" s="1287">
        <v>305764.31969491445</v>
      </c>
      <c r="Y109" s="1287">
        <v>305710.18446298863</v>
      </c>
      <c r="Z109" s="1411"/>
      <c r="AA109" s="1412">
        <f t="shared" ca="1" si="2"/>
        <v>309342.19959335303</v>
      </c>
      <c r="AB109" s="1414"/>
      <c r="AC109" s="1288"/>
      <c r="AD109" s="1038"/>
      <c r="AE109" s="1038"/>
      <c r="AF109" s="1038"/>
      <c r="AG109" s="1038"/>
      <c r="AH109" s="1038"/>
      <c r="AI109" s="1038"/>
      <c r="AJ109" s="1038"/>
      <c r="AK109" s="1038"/>
      <c r="AL109" s="1038"/>
      <c r="AM109" s="1038"/>
      <c r="AN109" s="1038"/>
      <c r="AO109" s="1038"/>
      <c r="AP109" s="1038"/>
      <c r="AQ109" s="1038"/>
      <c r="AR109" s="1038"/>
      <c r="AS109" s="1038"/>
      <c r="AT109" s="1038"/>
      <c r="AU109" s="1038"/>
      <c r="AV109" s="1038"/>
      <c r="AW109" s="1038"/>
      <c r="AX109" s="1038"/>
      <c r="AY109" s="1038"/>
      <c r="AZ109" s="1038"/>
      <c r="BA109" s="1038"/>
      <c r="BB109" s="1038"/>
      <c r="BC109" s="1038"/>
      <c r="BD109" s="1288"/>
      <c r="BE109" s="1288"/>
    </row>
    <row r="110" spans="1:57" x14ac:dyDescent="0.25">
      <c r="A110" s="1288"/>
      <c r="B110" s="1417"/>
      <c r="C110" s="1697">
        <v>312780.58676183922</v>
      </c>
      <c r="D110" s="1287">
        <v>311866.59200483171</v>
      </c>
      <c r="E110" s="1287">
        <v>310976.33737138286</v>
      </c>
      <c r="F110" s="1287">
        <v>310299.74384996179</v>
      </c>
      <c r="G110" s="1287">
        <v>309665.10961669084</v>
      </c>
      <c r="H110" s="1287">
        <v>309096.91092299088</v>
      </c>
      <c r="I110" s="1287">
        <v>308631.21233400883</v>
      </c>
      <c r="J110" s="1287">
        <v>308200.56907837314</v>
      </c>
      <c r="K110" s="1287">
        <v>307835.550890513</v>
      </c>
      <c r="L110" s="1287">
        <v>307527.03706609888</v>
      </c>
      <c r="M110" s="1287">
        <v>307246.3987276511</v>
      </c>
      <c r="N110" s="1287">
        <v>306999.33676183916</v>
      </c>
      <c r="O110" s="1287">
        <v>306791.6769198851</v>
      </c>
      <c r="P110" s="1287">
        <v>306603.79420573625</v>
      </c>
      <c r="Q110" s="1287">
        <v>306445.57718329516</v>
      </c>
      <c r="R110" s="1287">
        <v>306302.11615258415</v>
      </c>
      <c r="S110" s="1287">
        <v>306179.97304154991</v>
      </c>
      <c r="T110" s="1287">
        <v>306073.48576688214</v>
      </c>
      <c r="U110" s="1287">
        <v>305979.65533100296</v>
      </c>
      <c r="V110" s="1287">
        <v>305897.64665294625</v>
      </c>
      <c r="W110" s="1287">
        <v>305826.41293011984</v>
      </c>
      <c r="X110" s="1287">
        <v>305764.31969491445</v>
      </c>
      <c r="Y110" s="1287">
        <v>305710.18446298863</v>
      </c>
      <c r="Z110" s="1411"/>
      <c r="AA110" s="1412">
        <f t="shared" ca="1" si="2"/>
        <v>309342.19959335303</v>
      </c>
      <c r="AB110" s="1414"/>
      <c r="AC110" s="1288"/>
      <c r="AD110" s="1038"/>
      <c r="AE110" s="1038"/>
      <c r="AF110" s="1038"/>
      <c r="AG110" s="1038"/>
      <c r="AH110" s="1038"/>
      <c r="AI110" s="1038"/>
      <c r="AJ110" s="1038"/>
      <c r="AK110" s="1038"/>
      <c r="AL110" s="1038"/>
      <c r="AM110" s="1038"/>
      <c r="AN110" s="1038"/>
      <c r="AO110" s="1038"/>
      <c r="AP110" s="1038"/>
      <c r="AQ110" s="1038"/>
      <c r="AR110" s="1038"/>
      <c r="AS110" s="1038"/>
      <c r="AT110" s="1038"/>
      <c r="AU110" s="1038"/>
      <c r="AV110" s="1038"/>
      <c r="AW110" s="1038"/>
      <c r="AX110" s="1038"/>
      <c r="AY110" s="1038"/>
      <c r="AZ110" s="1038"/>
      <c r="BA110" s="1038"/>
      <c r="BB110" s="1038"/>
      <c r="BC110" s="1038"/>
      <c r="BD110" s="1288"/>
      <c r="BE110" s="1288"/>
    </row>
    <row r="111" spans="1:57" x14ac:dyDescent="0.25">
      <c r="A111" s="1288"/>
      <c r="B111" s="1417"/>
      <c r="C111" s="1697">
        <v>312780.58676183922</v>
      </c>
      <c r="D111" s="1287">
        <v>311866.59200483171</v>
      </c>
      <c r="E111" s="1287">
        <v>310976.33737138286</v>
      </c>
      <c r="F111" s="1287">
        <v>310299.74384996179</v>
      </c>
      <c r="G111" s="1287">
        <v>309665.10961669084</v>
      </c>
      <c r="H111" s="1287">
        <v>309096.91092299088</v>
      </c>
      <c r="I111" s="1287">
        <v>308631.21233400883</v>
      </c>
      <c r="J111" s="1287">
        <v>308200.56907837314</v>
      </c>
      <c r="K111" s="1287">
        <v>307835.550890513</v>
      </c>
      <c r="L111" s="1287">
        <v>307527.03706609888</v>
      </c>
      <c r="M111" s="1287">
        <v>307246.3987276511</v>
      </c>
      <c r="N111" s="1287">
        <v>306999.33676183916</v>
      </c>
      <c r="O111" s="1287">
        <v>306791.6769198851</v>
      </c>
      <c r="P111" s="1287">
        <v>306603.79420573625</v>
      </c>
      <c r="Q111" s="1287">
        <v>306445.57718329516</v>
      </c>
      <c r="R111" s="1287">
        <v>306302.11615258415</v>
      </c>
      <c r="S111" s="1287">
        <v>306179.97304154991</v>
      </c>
      <c r="T111" s="1287">
        <v>306073.48576688214</v>
      </c>
      <c r="U111" s="1287">
        <v>305979.65533100296</v>
      </c>
      <c r="V111" s="1287">
        <v>305897.64665294625</v>
      </c>
      <c r="W111" s="1287">
        <v>305826.41293011984</v>
      </c>
      <c r="X111" s="1287">
        <v>305764.31969491445</v>
      </c>
      <c r="Y111" s="1287">
        <v>305710.18446298863</v>
      </c>
      <c r="Z111" s="1411"/>
      <c r="AA111" s="1412">
        <f t="shared" ca="1" si="2"/>
        <v>309342.19959335303</v>
      </c>
      <c r="AB111" s="1414"/>
      <c r="AC111" s="1288"/>
      <c r="AD111" s="1038"/>
      <c r="AE111" s="1038"/>
      <c r="AF111" s="1038"/>
      <c r="AG111" s="1038"/>
      <c r="AH111" s="1038"/>
      <c r="AI111" s="1038"/>
      <c r="AJ111" s="1038"/>
      <c r="AK111" s="1038"/>
      <c r="AL111" s="1038"/>
      <c r="AM111" s="1038"/>
      <c r="AN111" s="1038"/>
      <c r="AO111" s="1038"/>
      <c r="AP111" s="1038"/>
      <c r="AQ111" s="1038"/>
      <c r="AR111" s="1038"/>
      <c r="AS111" s="1038"/>
      <c r="AT111" s="1038"/>
      <c r="AU111" s="1038"/>
      <c r="AV111" s="1038"/>
      <c r="AW111" s="1038"/>
      <c r="AX111" s="1038"/>
      <c r="AY111" s="1038"/>
      <c r="AZ111" s="1038"/>
      <c r="BA111" s="1038"/>
      <c r="BB111" s="1038"/>
      <c r="BC111" s="1038"/>
      <c r="BD111" s="1288"/>
      <c r="BE111" s="1288"/>
    </row>
    <row r="112" spans="1:57" x14ac:dyDescent="0.25">
      <c r="A112" s="1288"/>
      <c r="B112" s="1417"/>
      <c r="C112" s="1697">
        <v>312780.58676183922</v>
      </c>
      <c r="D112" s="1287">
        <v>311866.59200483171</v>
      </c>
      <c r="E112" s="1287">
        <v>310976.33737138286</v>
      </c>
      <c r="F112" s="1287">
        <v>310299.74384996179</v>
      </c>
      <c r="G112" s="1287">
        <v>309665.10961669084</v>
      </c>
      <c r="H112" s="1287">
        <v>309096.91092299088</v>
      </c>
      <c r="I112" s="1287">
        <v>308631.21233400883</v>
      </c>
      <c r="J112" s="1287">
        <v>308200.56907837314</v>
      </c>
      <c r="K112" s="1287">
        <v>307835.550890513</v>
      </c>
      <c r="L112" s="1287">
        <v>307527.03706609888</v>
      </c>
      <c r="M112" s="1287">
        <v>307246.3987276511</v>
      </c>
      <c r="N112" s="1287">
        <v>306999.33676183916</v>
      </c>
      <c r="O112" s="1287">
        <v>306791.6769198851</v>
      </c>
      <c r="P112" s="1287">
        <v>306603.79420573625</v>
      </c>
      <c r="Q112" s="1287">
        <v>306445.57718329516</v>
      </c>
      <c r="R112" s="1287">
        <v>306302.11615258415</v>
      </c>
      <c r="S112" s="1287">
        <v>306179.97304154991</v>
      </c>
      <c r="T112" s="1287">
        <v>306073.48576688214</v>
      </c>
      <c r="U112" s="1287">
        <v>305979.65533100296</v>
      </c>
      <c r="V112" s="1287">
        <v>305897.64665294625</v>
      </c>
      <c r="W112" s="1287">
        <v>305826.41293011984</v>
      </c>
      <c r="X112" s="1287">
        <v>305764.31969491445</v>
      </c>
      <c r="Y112" s="1287">
        <v>305710.18446298863</v>
      </c>
      <c r="Z112" s="1411"/>
      <c r="AA112" s="1412">
        <f t="shared" ca="1" si="2"/>
        <v>309342.19959335303</v>
      </c>
      <c r="AB112" s="1414"/>
      <c r="AC112" s="1288"/>
      <c r="AD112" s="1038"/>
      <c r="AE112" s="1038"/>
      <c r="AF112" s="1038"/>
      <c r="AG112" s="1038"/>
      <c r="AH112" s="1038"/>
      <c r="AI112" s="1038"/>
      <c r="AJ112" s="1038"/>
      <c r="AK112" s="1038"/>
      <c r="AL112" s="1038"/>
      <c r="AM112" s="1038"/>
      <c r="AN112" s="1038"/>
      <c r="AO112" s="1038"/>
      <c r="AP112" s="1038"/>
      <c r="AQ112" s="1038"/>
      <c r="AR112" s="1038"/>
      <c r="AS112" s="1038"/>
      <c r="AT112" s="1038"/>
      <c r="AU112" s="1038"/>
      <c r="AV112" s="1038"/>
      <c r="AW112" s="1038"/>
      <c r="AX112" s="1038"/>
      <c r="AY112" s="1038"/>
      <c r="AZ112" s="1038"/>
      <c r="BA112" s="1038"/>
      <c r="BB112" s="1038"/>
      <c r="BC112" s="1038"/>
      <c r="BD112" s="1288"/>
      <c r="BE112" s="1288"/>
    </row>
    <row r="113" spans="1:57" x14ac:dyDescent="0.25">
      <c r="A113" s="1288"/>
      <c r="B113" s="1417"/>
      <c r="C113" s="1697">
        <v>312780.58676183922</v>
      </c>
      <c r="D113" s="1287">
        <v>311866.59200483171</v>
      </c>
      <c r="E113" s="1287">
        <v>310976.33737138286</v>
      </c>
      <c r="F113" s="1287">
        <v>310299.74384996179</v>
      </c>
      <c r="G113" s="1287">
        <v>309665.10961669084</v>
      </c>
      <c r="H113" s="1287">
        <v>309096.91092299088</v>
      </c>
      <c r="I113" s="1287">
        <v>308631.21233400883</v>
      </c>
      <c r="J113" s="1287">
        <v>308200.56907837314</v>
      </c>
      <c r="K113" s="1287">
        <v>307835.550890513</v>
      </c>
      <c r="L113" s="1287">
        <v>307527.03706609888</v>
      </c>
      <c r="M113" s="1287">
        <v>307246.3987276511</v>
      </c>
      <c r="N113" s="1287">
        <v>306999.33676183916</v>
      </c>
      <c r="O113" s="1287">
        <v>306791.6769198851</v>
      </c>
      <c r="P113" s="1287">
        <v>306603.79420573625</v>
      </c>
      <c r="Q113" s="1287">
        <v>306445.57718329516</v>
      </c>
      <c r="R113" s="1287">
        <v>306302.11615258415</v>
      </c>
      <c r="S113" s="1287">
        <v>306179.97304154991</v>
      </c>
      <c r="T113" s="1287">
        <v>306073.48576688214</v>
      </c>
      <c r="U113" s="1287">
        <v>305979.65533100296</v>
      </c>
      <c r="V113" s="1287">
        <v>305897.64665294625</v>
      </c>
      <c r="W113" s="1287">
        <v>305826.41293011984</v>
      </c>
      <c r="X113" s="1287">
        <v>305764.31969491445</v>
      </c>
      <c r="Y113" s="1287">
        <v>305710.18446298863</v>
      </c>
      <c r="Z113" s="1411"/>
      <c r="AA113" s="1412">
        <f t="shared" ca="1" si="2"/>
        <v>309342.19959335303</v>
      </c>
      <c r="AB113" s="1414"/>
      <c r="AC113" s="1288"/>
      <c r="AD113" s="1038"/>
      <c r="AE113" s="1038"/>
      <c r="AF113" s="1038"/>
      <c r="AG113" s="1038"/>
      <c r="AH113" s="1038"/>
      <c r="AI113" s="1038"/>
      <c r="AJ113" s="1038"/>
      <c r="AK113" s="1038"/>
      <c r="AL113" s="1038"/>
      <c r="AM113" s="1038"/>
      <c r="AN113" s="1038"/>
      <c r="AO113" s="1038"/>
      <c r="AP113" s="1038"/>
      <c r="AQ113" s="1038"/>
      <c r="AR113" s="1038"/>
      <c r="AS113" s="1038"/>
      <c r="AT113" s="1038"/>
      <c r="AU113" s="1038"/>
      <c r="AV113" s="1038"/>
      <c r="AW113" s="1038"/>
      <c r="AX113" s="1038"/>
      <c r="AY113" s="1038"/>
      <c r="AZ113" s="1038"/>
      <c r="BA113" s="1038"/>
      <c r="BB113" s="1038"/>
      <c r="BC113" s="1038"/>
      <c r="BD113" s="1288"/>
      <c r="BE113" s="1288"/>
    </row>
    <row r="114" spans="1:57" x14ac:dyDescent="0.25">
      <c r="A114" s="1288"/>
      <c r="B114" s="1417"/>
      <c r="C114" s="1697">
        <v>312780.58676183922</v>
      </c>
      <c r="D114" s="1287">
        <v>311866.59200483171</v>
      </c>
      <c r="E114" s="1287">
        <v>310976.33737138286</v>
      </c>
      <c r="F114" s="1287">
        <v>412926.47555911116</v>
      </c>
      <c r="G114" s="1287">
        <v>412215.68521784781</v>
      </c>
      <c r="H114" s="1287">
        <v>309096.91092299088</v>
      </c>
      <c r="I114" s="1287">
        <v>308631.21233400883</v>
      </c>
      <c r="J114" s="1287">
        <v>308200.56907837314</v>
      </c>
      <c r="K114" s="1287">
        <v>410166.57944452879</v>
      </c>
      <c r="L114" s="1287">
        <v>409821.0439611848</v>
      </c>
      <c r="M114" s="1287">
        <v>307246.3987276511</v>
      </c>
      <c r="N114" s="1287">
        <v>409230.01962041401</v>
      </c>
      <c r="O114" s="1287">
        <v>306791.6769198851</v>
      </c>
      <c r="P114" s="1287">
        <v>306603.79420573625</v>
      </c>
      <c r="Q114" s="1287">
        <v>306445.57718329516</v>
      </c>
      <c r="R114" s="1287">
        <v>306302.11615258415</v>
      </c>
      <c r="S114" s="1287">
        <v>408312.33225368999</v>
      </c>
      <c r="T114" s="1287">
        <v>306073.48576688214</v>
      </c>
      <c r="U114" s="1287">
        <v>305979.65533100296</v>
      </c>
      <c r="V114" s="1287">
        <v>305897.64665294625</v>
      </c>
      <c r="W114" s="1287">
        <v>305826.41293011984</v>
      </c>
      <c r="X114" s="1287">
        <v>305764.31969491445</v>
      </c>
      <c r="Y114" s="1287">
        <v>305710.18446298863</v>
      </c>
      <c r="Z114" s="1411"/>
      <c r="AA114" s="1412">
        <f t="shared" ca="1" si="2"/>
        <v>353612.79474429821</v>
      </c>
      <c r="AB114" s="1414"/>
      <c r="AC114" s="1288"/>
      <c r="AD114" s="1038"/>
      <c r="AE114" s="1038"/>
      <c r="AF114" s="1038"/>
      <c r="AG114" s="1038"/>
      <c r="AH114" s="1038"/>
      <c r="AI114" s="1038"/>
      <c r="AJ114" s="1038"/>
      <c r="AK114" s="1038"/>
      <c r="AL114" s="1038"/>
      <c r="AM114" s="1038"/>
      <c r="AN114" s="1038"/>
      <c r="AO114" s="1038"/>
      <c r="AP114" s="1038"/>
      <c r="AQ114" s="1038"/>
      <c r="AR114" s="1038"/>
      <c r="AS114" s="1038"/>
      <c r="AT114" s="1038"/>
      <c r="AU114" s="1038"/>
      <c r="AV114" s="1038"/>
      <c r="AW114" s="1038"/>
      <c r="AX114" s="1038"/>
      <c r="AY114" s="1038"/>
      <c r="AZ114" s="1038"/>
      <c r="BA114" s="1038"/>
      <c r="BB114" s="1038"/>
      <c r="BC114" s="1038"/>
      <c r="BD114" s="1288"/>
      <c r="BE114" s="1288"/>
    </row>
    <row r="115" spans="1:57" x14ac:dyDescent="0.25">
      <c r="A115" s="1288"/>
      <c r="B115" s="1417"/>
      <c r="C115" s="1697">
        <v>312780.58676183922</v>
      </c>
      <c r="D115" s="1287">
        <v>414681.3454925656</v>
      </c>
      <c r="E115" s="1287">
        <v>413684.2603031029</v>
      </c>
      <c r="F115" s="1287">
        <v>412926.47555911116</v>
      </c>
      <c r="G115" s="1287">
        <v>412215.68521784781</v>
      </c>
      <c r="H115" s="1287">
        <v>411579.30268090393</v>
      </c>
      <c r="I115" s="1287">
        <v>411057.7202612441</v>
      </c>
      <c r="J115" s="1287">
        <v>410575.39981493214</v>
      </c>
      <c r="K115" s="1287">
        <v>410166.57944452879</v>
      </c>
      <c r="L115" s="1287">
        <v>409821.0439611848</v>
      </c>
      <c r="M115" s="1287">
        <v>409506.72902212327</v>
      </c>
      <c r="N115" s="1287">
        <v>409230.01962041401</v>
      </c>
      <c r="O115" s="1287">
        <v>408997.44059742545</v>
      </c>
      <c r="P115" s="1287">
        <v>408787.01195757859</v>
      </c>
      <c r="Q115" s="1287">
        <v>408609.80889244465</v>
      </c>
      <c r="R115" s="1287">
        <v>408449.13253804843</v>
      </c>
      <c r="S115" s="1287">
        <v>408312.33225368999</v>
      </c>
      <c r="T115" s="1287">
        <v>408193.06650606211</v>
      </c>
      <c r="U115" s="1287">
        <v>408087.97641787736</v>
      </c>
      <c r="V115" s="1287">
        <v>407996.12669845379</v>
      </c>
      <c r="W115" s="1287">
        <v>407916.34492888837</v>
      </c>
      <c r="X115" s="1287">
        <v>407846.80050545826</v>
      </c>
      <c r="Y115" s="1287">
        <v>407786.16904570139</v>
      </c>
      <c r="Z115" s="1411"/>
      <c r="AA115" s="1412">
        <f t="shared" ca="1" si="2"/>
        <v>411854.02599170961</v>
      </c>
      <c r="AB115" s="1414"/>
      <c r="AC115" s="1288"/>
      <c r="AD115" s="1038"/>
      <c r="AE115" s="1038"/>
      <c r="AF115" s="1038"/>
      <c r="AG115" s="1038"/>
      <c r="AH115" s="1038"/>
      <c r="AI115" s="1038"/>
      <c r="AJ115" s="1038"/>
      <c r="AK115" s="1038"/>
      <c r="AL115" s="1038"/>
      <c r="AM115" s="1038"/>
      <c r="AN115" s="1038"/>
      <c r="AO115" s="1038"/>
      <c r="AP115" s="1038"/>
      <c r="AQ115" s="1038"/>
      <c r="AR115" s="1038"/>
      <c r="AS115" s="1038"/>
      <c r="AT115" s="1038"/>
      <c r="AU115" s="1038"/>
      <c r="AV115" s="1038"/>
      <c r="AW115" s="1038"/>
      <c r="AX115" s="1038"/>
      <c r="AY115" s="1038"/>
      <c r="AZ115" s="1038"/>
      <c r="BA115" s="1038"/>
      <c r="BB115" s="1038"/>
      <c r="BC115" s="1038"/>
      <c r="BD115" s="1288"/>
      <c r="BE115" s="1288"/>
    </row>
    <row r="116" spans="1:57" x14ac:dyDescent="0.25">
      <c r="A116" s="1288"/>
      <c r="B116" s="1417"/>
      <c r="C116" s="1697">
        <v>415705.01962041395</v>
      </c>
      <c r="D116" s="1287">
        <v>414681.3454925656</v>
      </c>
      <c r="E116" s="1287">
        <v>413684.2603031029</v>
      </c>
      <c r="F116" s="1287">
        <v>412926.47555911116</v>
      </c>
      <c r="G116" s="1287">
        <v>412215.68521784781</v>
      </c>
      <c r="H116" s="1287">
        <v>411579.30268090393</v>
      </c>
      <c r="I116" s="1287">
        <v>411057.7202612441</v>
      </c>
      <c r="J116" s="1287">
        <v>410575.39981493214</v>
      </c>
      <c r="K116" s="1287">
        <v>410166.57944452879</v>
      </c>
      <c r="L116" s="1287">
        <v>409821.0439611848</v>
      </c>
      <c r="M116" s="1287">
        <v>409506.72902212327</v>
      </c>
      <c r="N116" s="1287">
        <v>409230.01962041401</v>
      </c>
      <c r="O116" s="1287">
        <v>408997.44059742545</v>
      </c>
      <c r="P116" s="1287">
        <v>408787.01195757859</v>
      </c>
      <c r="Q116" s="1287">
        <v>408609.80889244465</v>
      </c>
      <c r="R116" s="1287">
        <v>408449.13253804843</v>
      </c>
      <c r="S116" s="1287">
        <v>408312.33225368999</v>
      </c>
      <c r="T116" s="1287">
        <v>408193.06650606211</v>
      </c>
      <c r="U116" s="1287">
        <v>408087.97641787736</v>
      </c>
      <c r="V116" s="1287">
        <v>407996.12669845379</v>
      </c>
      <c r="W116" s="1287">
        <v>407916.34492888837</v>
      </c>
      <c r="X116" s="1287">
        <v>407846.80050545826</v>
      </c>
      <c r="Y116" s="1287">
        <v>407786.16904570139</v>
      </c>
      <c r="Z116" s="1411"/>
      <c r="AA116" s="1412">
        <f t="shared" ca="1" si="2"/>
        <v>411854.02599170961</v>
      </c>
      <c r="AB116" s="1414"/>
      <c r="AC116" s="1288"/>
      <c r="AD116" s="1038"/>
      <c r="AE116" s="1038"/>
      <c r="AF116" s="1038"/>
      <c r="AG116" s="1038"/>
      <c r="AH116" s="1038"/>
      <c r="AI116" s="1038"/>
      <c r="AJ116" s="1038"/>
      <c r="AK116" s="1038"/>
      <c r="AL116" s="1038"/>
      <c r="AM116" s="1038"/>
      <c r="AN116" s="1038"/>
      <c r="AO116" s="1038"/>
      <c r="AP116" s="1038"/>
      <c r="AQ116" s="1038"/>
      <c r="AR116" s="1038"/>
      <c r="AS116" s="1038"/>
      <c r="AT116" s="1038"/>
      <c r="AU116" s="1038"/>
      <c r="AV116" s="1038"/>
      <c r="AW116" s="1038"/>
      <c r="AX116" s="1038"/>
      <c r="AY116" s="1038"/>
      <c r="AZ116" s="1038"/>
      <c r="BA116" s="1038"/>
      <c r="BB116" s="1038"/>
      <c r="BC116" s="1038"/>
      <c r="BD116" s="1288"/>
      <c r="BE116" s="1288"/>
    </row>
    <row r="117" spans="1:57" x14ac:dyDescent="0.25">
      <c r="A117" s="1288"/>
      <c r="B117" s="1417"/>
      <c r="C117" s="1697">
        <v>415705.01962041395</v>
      </c>
      <c r="D117" s="1287">
        <v>414681.3454925656</v>
      </c>
      <c r="E117" s="1287">
        <v>413684.2603031029</v>
      </c>
      <c r="F117" s="1287">
        <v>412926.47555911116</v>
      </c>
      <c r="G117" s="1287">
        <v>412215.68521784781</v>
      </c>
      <c r="H117" s="1287">
        <v>411579.30268090393</v>
      </c>
      <c r="I117" s="1287">
        <v>518160.61391413055</v>
      </c>
      <c r="J117" s="1287">
        <v>410575.39981493214</v>
      </c>
      <c r="K117" s="1287">
        <v>410166.57944452879</v>
      </c>
      <c r="L117" s="1287">
        <v>409821.0439611848</v>
      </c>
      <c r="M117" s="1287">
        <v>409506.72902212327</v>
      </c>
      <c r="N117" s="1287">
        <v>516235.00073897012</v>
      </c>
      <c r="O117" s="1287">
        <v>408997.44059742545</v>
      </c>
      <c r="P117" s="1287">
        <v>408787.01195757859</v>
      </c>
      <c r="Q117" s="1287">
        <v>515581.56443628826</v>
      </c>
      <c r="R117" s="1287">
        <v>408449.13253804843</v>
      </c>
      <c r="S117" s="1287">
        <v>408312.33225368999</v>
      </c>
      <c r="T117" s="1287">
        <v>408193.06650606211</v>
      </c>
      <c r="U117" s="1287">
        <v>408087.97641787736</v>
      </c>
      <c r="V117" s="1287">
        <v>407996.12669845379</v>
      </c>
      <c r="W117" s="1287">
        <v>407916.34492888837</v>
      </c>
      <c r="X117" s="1287">
        <v>407846.80050545826</v>
      </c>
      <c r="Y117" s="1287">
        <v>407786.16904570139</v>
      </c>
      <c r="Z117" s="1411"/>
      <c r="AA117" s="1412">
        <f t="shared" ca="1" si="2"/>
        <v>411854.02599170961</v>
      </c>
      <c r="AB117" s="1414"/>
      <c r="AC117" s="1288"/>
      <c r="AD117" s="1038"/>
      <c r="AE117" s="1038"/>
      <c r="AF117" s="1038"/>
      <c r="AG117" s="1038"/>
      <c r="AH117" s="1038"/>
      <c r="AI117" s="1038"/>
      <c r="AJ117" s="1038"/>
      <c r="AK117" s="1038"/>
      <c r="AL117" s="1038"/>
      <c r="AM117" s="1038"/>
      <c r="AN117" s="1038"/>
      <c r="AO117" s="1038"/>
      <c r="AP117" s="1038"/>
      <c r="AQ117" s="1038"/>
      <c r="AR117" s="1038"/>
      <c r="AS117" s="1038"/>
      <c r="AT117" s="1038"/>
      <c r="AU117" s="1038"/>
      <c r="AV117" s="1038"/>
      <c r="AW117" s="1038"/>
      <c r="AX117" s="1038"/>
      <c r="AY117" s="1038"/>
      <c r="AZ117" s="1038"/>
      <c r="BA117" s="1038"/>
      <c r="BB117" s="1038"/>
      <c r="BC117" s="1038"/>
      <c r="BD117" s="1288"/>
      <c r="BE117" s="1288"/>
    </row>
    <row r="118" spans="1:57" x14ac:dyDescent="0.25">
      <c r="A118" s="1288"/>
      <c r="B118" s="1417"/>
      <c r="C118" s="1697">
        <v>415705.01962041395</v>
      </c>
      <c r="D118" s="1287">
        <v>414681.3454925656</v>
      </c>
      <c r="E118" s="1287">
        <v>413684.2603031029</v>
      </c>
      <c r="F118" s="1287">
        <v>412926.47555911116</v>
      </c>
      <c r="G118" s="1287">
        <v>519380.61270769528</v>
      </c>
      <c r="H118" s="1287">
        <v>518710.13824912935</v>
      </c>
      <c r="I118" s="1287">
        <v>518160.61391413055</v>
      </c>
      <c r="J118" s="1287">
        <v>517652.45487248036</v>
      </c>
      <c r="K118" s="1287">
        <v>410166.57944452879</v>
      </c>
      <c r="L118" s="1287">
        <v>516857.68709799665</v>
      </c>
      <c r="M118" s="1287">
        <v>516526.53385862825</v>
      </c>
      <c r="N118" s="1287">
        <v>516235.00073897012</v>
      </c>
      <c r="O118" s="1287">
        <v>515989.96212546458</v>
      </c>
      <c r="P118" s="1287">
        <v>408787.01195757859</v>
      </c>
      <c r="Q118" s="1287">
        <v>515581.56443628826</v>
      </c>
      <c r="R118" s="1287">
        <v>515412.28042004933</v>
      </c>
      <c r="S118" s="1287">
        <v>515268.15154902905</v>
      </c>
      <c r="T118" s="1287">
        <v>515142.49656492093</v>
      </c>
      <c r="U118" s="1287">
        <v>408087.97641787736</v>
      </c>
      <c r="V118" s="1287">
        <v>514935.00641047669</v>
      </c>
      <c r="W118" s="1287">
        <v>514850.9506175415</v>
      </c>
      <c r="X118" s="1287">
        <v>514777.68059999909</v>
      </c>
      <c r="Y118" s="1287">
        <v>514713.80102632655</v>
      </c>
      <c r="Z118" s="1411"/>
      <c r="AA118" s="1412">
        <f t="shared" ca="1" si="2"/>
        <v>518999.57888015674</v>
      </c>
      <c r="AB118" s="1414"/>
      <c r="AC118" s="1288"/>
      <c r="AD118" s="1038"/>
      <c r="AE118" s="1038"/>
      <c r="AF118" s="1038"/>
      <c r="AG118" s="1038"/>
      <c r="AH118" s="1038"/>
      <c r="AI118" s="1038"/>
      <c r="AJ118" s="1038"/>
      <c r="AK118" s="1038"/>
      <c r="AL118" s="1038"/>
      <c r="AM118" s="1038"/>
      <c r="AN118" s="1038"/>
      <c r="AO118" s="1038"/>
      <c r="AP118" s="1038"/>
      <c r="AQ118" s="1038"/>
      <c r="AR118" s="1038"/>
      <c r="AS118" s="1038"/>
      <c r="AT118" s="1038"/>
      <c r="AU118" s="1038"/>
      <c r="AV118" s="1038"/>
      <c r="AW118" s="1038"/>
      <c r="AX118" s="1038"/>
      <c r="AY118" s="1038"/>
      <c r="AZ118" s="1038"/>
      <c r="BA118" s="1038"/>
      <c r="BB118" s="1038"/>
      <c r="BC118" s="1038"/>
      <c r="BD118" s="1288"/>
      <c r="BE118" s="1288"/>
    </row>
    <row r="119" spans="1:57" x14ac:dyDescent="0.25">
      <c r="A119" s="1288"/>
      <c r="B119" s="1417"/>
      <c r="C119" s="1697">
        <v>415705.01962041395</v>
      </c>
      <c r="D119" s="1287">
        <v>414681.3454925656</v>
      </c>
      <c r="E119" s="1287">
        <v>520927.86145823175</v>
      </c>
      <c r="F119" s="1287">
        <v>520129.48110295495</v>
      </c>
      <c r="G119" s="1287">
        <v>519380.61270769528</v>
      </c>
      <c r="H119" s="1287">
        <v>518710.13824912935</v>
      </c>
      <c r="I119" s="1287">
        <v>518160.61391413055</v>
      </c>
      <c r="J119" s="1287">
        <v>517652.45487248036</v>
      </c>
      <c r="K119" s="1287">
        <v>517221.73341080546</v>
      </c>
      <c r="L119" s="1287">
        <v>516857.68709799665</v>
      </c>
      <c r="M119" s="1287">
        <v>516526.53385862825</v>
      </c>
      <c r="N119" s="1287">
        <v>516235.00073897012</v>
      </c>
      <c r="O119" s="1287">
        <v>515989.96212546458</v>
      </c>
      <c r="P119" s="1287">
        <v>515768.26052276883</v>
      </c>
      <c r="Q119" s="1287">
        <v>515581.56443628826</v>
      </c>
      <c r="R119" s="1287">
        <v>515412.28042004933</v>
      </c>
      <c r="S119" s="1287">
        <v>515268.15154902905</v>
      </c>
      <c r="T119" s="1287">
        <v>515142.49656492093</v>
      </c>
      <c r="U119" s="1287">
        <v>515031.77665058343</v>
      </c>
      <c r="V119" s="1287">
        <v>514935.00641047669</v>
      </c>
      <c r="W119" s="1287">
        <v>514850.9506175415</v>
      </c>
      <c r="X119" s="1287">
        <v>514777.68059999909</v>
      </c>
      <c r="Y119" s="1287">
        <v>514713.80102632655</v>
      </c>
      <c r="Z119" s="1411"/>
      <c r="AA119" s="1412">
        <f t="shared" ca="1" si="2"/>
        <v>518999.57888015674</v>
      </c>
      <c r="AB119" s="1415"/>
      <c r="AC119" s="1288"/>
      <c r="AD119" s="1038"/>
      <c r="AE119" s="1038"/>
      <c r="AF119" s="1038"/>
      <c r="AG119" s="1038"/>
      <c r="AH119" s="1038"/>
      <c r="AI119" s="1038"/>
      <c r="AJ119" s="1038"/>
      <c r="AK119" s="1038"/>
      <c r="AL119" s="1038"/>
      <c r="AM119" s="1038"/>
      <c r="AN119" s="1038"/>
      <c r="AO119" s="1038"/>
      <c r="AP119" s="1038"/>
      <c r="AQ119" s="1038"/>
      <c r="AR119" s="1038"/>
      <c r="AS119" s="1038"/>
      <c r="AT119" s="1038"/>
      <c r="AU119" s="1038"/>
      <c r="AV119" s="1038"/>
      <c r="AW119" s="1038"/>
      <c r="AX119" s="1038"/>
      <c r="AY119" s="1038"/>
      <c r="AZ119" s="1038"/>
      <c r="BA119" s="1038"/>
      <c r="BB119" s="1038"/>
      <c r="BC119" s="1038"/>
      <c r="BD119" s="1288"/>
      <c r="BE119" s="1288"/>
    </row>
    <row r="120" spans="1:57" x14ac:dyDescent="0.25">
      <c r="A120" s="1288"/>
      <c r="B120" s="1347"/>
      <c r="C120" s="1704"/>
      <c r="D120" s="1409"/>
      <c r="E120" s="1409"/>
      <c r="F120" s="1409"/>
      <c r="G120" s="1409"/>
      <c r="H120" s="1409"/>
      <c r="I120" s="1409"/>
      <c r="J120" s="1409"/>
      <c r="K120" s="1409"/>
      <c r="L120" s="1409"/>
      <c r="M120" s="1409"/>
      <c r="N120" s="1409"/>
      <c r="O120" s="1409"/>
      <c r="P120" s="1409"/>
      <c r="Q120" s="1409"/>
      <c r="R120" s="1409"/>
      <c r="S120" s="1409"/>
      <c r="T120" s="1409"/>
      <c r="U120" s="1409"/>
      <c r="V120" s="1409"/>
      <c r="W120" s="1409"/>
      <c r="X120" s="1409"/>
      <c r="Y120" s="1409"/>
      <c r="Z120" s="1411"/>
      <c r="AA120" s="1416"/>
      <c r="AB120" s="1405"/>
      <c r="AC120" s="1288"/>
      <c r="AD120" s="1038"/>
      <c r="AE120" s="1038"/>
      <c r="AF120" s="1038"/>
      <c r="AG120" s="1038"/>
      <c r="AH120" s="1038"/>
      <c r="AI120" s="1038"/>
      <c r="AJ120" s="1038"/>
      <c r="AK120" s="1038"/>
      <c r="AL120" s="1038"/>
      <c r="AM120" s="1038"/>
      <c r="AN120" s="1038"/>
      <c r="AO120" s="1038"/>
      <c r="AP120" s="1038"/>
      <c r="AQ120" s="1038"/>
      <c r="AR120" s="1038"/>
      <c r="AS120" s="1038"/>
      <c r="AT120" s="1038"/>
      <c r="AU120" s="1038"/>
      <c r="AV120" s="1038"/>
      <c r="AW120" s="1038"/>
      <c r="AX120" s="1038"/>
      <c r="AY120" s="1038"/>
      <c r="AZ120" s="1038"/>
      <c r="BA120" s="1038"/>
      <c r="BB120" s="1038"/>
      <c r="BC120" s="1038"/>
      <c r="BD120" s="1288"/>
      <c r="BE120" s="1288"/>
    </row>
    <row r="121" spans="1:57" x14ac:dyDescent="0.25">
      <c r="A121" s="1288"/>
      <c r="B121" s="1341" t="s">
        <v>1275</v>
      </c>
      <c r="C121" s="1697">
        <v>27533.43196302143</v>
      </c>
      <c r="D121" s="1287">
        <v>27407.38516620978</v>
      </c>
      <c r="E121" s="1287">
        <v>27284.612312172463</v>
      </c>
      <c r="F121" s="1287">
        <v>27191.304943104096</v>
      </c>
      <c r="G121" s="1287">
        <v>27103.784077543856</v>
      </c>
      <c r="H121" s="1287">
        <v>27025.425175871456</v>
      </c>
      <c r="I121" s="1287">
        <v>26961.201814664131</v>
      </c>
      <c r="J121" s="1287">
        <v>26901.812849327904</v>
      </c>
      <c r="K121" s="1287">
        <v>26851.474077682866</v>
      </c>
      <c r="L121" s="1287">
        <v>26808.927685549439</v>
      </c>
      <c r="M121" s="1287">
        <v>26770.225533975077</v>
      </c>
      <c r="N121" s="1287">
        <v>26736.15381839266</v>
      </c>
      <c r="O121" s="1287">
        <v>26707.515954002258</v>
      </c>
      <c r="P121" s="1287">
        <v>26681.605505268082</v>
      </c>
      <c r="Q121" s="1287">
        <v>26659.786180018258</v>
      </c>
      <c r="R121" s="1287">
        <v>26640.001817745098</v>
      </c>
      <c r="S121" s="1287">
        <v>26623.157357992524</v>
      </c>
      <c r="T121" s="1287">
        <v>26608.471956604619</v>
      </c>
      <c r="U121" s="1287">
        <v>26595.532029110134</v>
      </c>
      <c r="V121" s="1287">
        <v>26584.222411521478</v>
      </c>
      <c r="W121" s="1287">
        <v>26574.398741835859</v>
      </c>
      <c r="X121" s="1287">
        <v>26565.835614595446</v>
      </c>
      <c r="Y121" s="1287">
        <v>26558.369956257051</v>
      </c>
      <c r="Z121" s="1411"/>
      <c r="AA121" s="1412">
        <f t="shared" ref="AA121:AA143" ca="1" si="3">FORECAST($C$54,OFFSET(C121:Y121,0,MATCH($C$54,$G$72:$Y$72,1)-1,1,2), OFFSET($G$72:$Y$72,0,MATCH($C$54,$G$72:$Y$72,1)-1,1,2))</f>
        <v>27059.252340585805</v>
      </c>
      <c r="AB121" s="1413" t="e">
        <f ca="1">FORECAST($C$55,OFFSET(AA121:AA143,MATCH($C$55,$B$73:$B$95,1)-1,0,2), OFFSET($B$73:$B$95,MATCH($C$55,$B$73:$B$95,1)-1,0,2))</f>
        <v>#REF!</v>
      </c>
      <c r="AC121" s="1288"/>
      <c r="AD121" s="1038"/>
      <c r="AE121" s="1038"/>
      <c r="AF121" s="1038"/>
      <c r="AG121" s="1038"/>
      <c r="AH121" s="1038"/>
      <c r="AI121" s="1038"/>
      <c r="AJ121" s="1038"/>
      <c r="AK121" s="1038"/>
      <c r="AL121" s="1038"/>
      <c r="AM121" s="1038"/>
      <c r="AN121" s="1038"/>
      <c r="AO121" s="1038"/>
      <c r="AP121" s="1038"/>
      <c r="AQ121" s="1038"/>
      <c r="AR121" s="1038"/>
      <c r="AS121" s="1038"/>
      <c r="AT121" s="1038"/>
      <c r="AU121" s="1038"/>
      <c r="AV121" s="1038"/>
      <c r="AW121" s="1038"/>
      <c r="AX121" s="1038"/>
      <c r="AY121" s="1038"/>
      <c r="AZ121" s="1038"/>
      <c r="BA121" s="1038"/>
      <c r="BB121" s="1038"/>
      <c r="BC121" s="1038"/>
      <c r="BD121" s="1288"/>
      <c r="BE121" s="1288"/>
    </row>
    <row r="122" spans="1:57" x14ac:dyDescent="0.25">
      <c r="A122" s="1288"/>
      <c r="B122" s="1347"/>
      <c r="C122" s="1697">
        <v>27533.43196302143</v>
      </c>
      <c r="D122" s="1287">
        <v>27407.38516620978</v>
      </c>
      <c r="E122" s="1287">
        <v>27284.612312172463</v>
      </c>
      <c r="F122" s="1287">
        <v>27191.304943104096</v>
      </c>
      <c r="G122" s="1287">
        <v>27103.784077543856</v>
      </c>
      <c r="H122" s="1287">
        <v>27025.425175871456</v>
      </c>
      <c r="I122" s="1287">
        <v>26961.201814664131</v>
      </c>
      <c r="J122" s="1287">
        <v>26901.812849327904</v>
      </c>
      <c r="K122" s="1287">
        <v>26851.474077682866</v>
      </c>
      <c r="L122" s="1287">
        <v>26808.927685549439</v>
      </c>
      <c r="M122" s="1287">
        <v>26770.225533975077</v>
      </c>
      <c r="N122" s="1287">
        <v>26736.15381839266</v>
      </c>
      <c r="O122" s="1287">
        <v>26707.515954002258</v>
      </c>
      <c r="P122" s="1287">
        <v>26681.605505268082</v>
      </c>
      <c r="Q122" s="1287">
        <v>26659.786180018258</v>
      </c>
      <c r="R122" s="1287">
        <v>26640.001817745098</v>
      </c>
      <c r="S122" s="1287">
        <v>26623.157357992524</v>
      </c>
      <c r="T122" s="1287">
        <v>26608.471956604619</v>
      </c>
      <c r="U122" s="1287">
        <v>26595.532029110134</v>
      </c>
      <c r="V122" s="1287">
        <v>26584.222411521478</v>
      </c>
      <c r="W122" s="1287">
        <v>26574.398741835859</v>
      </c>
      <c r="X122" s="1287">
        <v>26565.835614595446</v>
      </c>
      <c r="Y122" s="1287">
        <v>26558.369956257051</v>
      </c>
      <c r="Z122" s="1411"/>
      <c r="AA122" s="1412">
        <f t="shared" ca="1" si="3"/>
        <v>27059.252340585805</v>
      </c>
      <c r="AB122" s="1414"/>
      <c r="AC122" s="1288"/>
      <c r="AD122" s="1038"/>
      <c r="AE122" s="1038"/>
      <c r="AF122" s="1038"/>
      <c r="AG122" s="1038"/>
      <c r="AH122" s="1038"/>
      <c r="AI122" s="1038"/>
      <c r="AJ122" s="1038"/>
      <c r="AK122" s="1038"/>
      <c r="AL122" s="1038"/>
      <c r="AM122" s="1038"/>
      <c r="AN122" s="1038"/>
      <c r="AO122" s="1038"/>
      <c r="AP122" s="1038"/>
      <c r="AQ122" s="1038"/>
      <c r="AR122" s="1038"/>
      <c r="AS122" s="1038"/>
      <c r="AT122" s="1038"/>
      <c r="AU122" s="1038"/>
      <c r="AV122" s="1038"/>
      <c r="AW122" s="1038"/>
      <c r="AX122" s="1038"/>
      <c r="AY122" s="1038"/>
      <c r="AZ122" s="1038"/>
      <c r="BA122" s="1038"/>
      <c r="BB122" s="1038"/>
      <c r="BC122" s="1038"/>
      <c r="BD122" s="1288"/>
      <c r="BE122" s="1288"/>
    </row>
    <row r="123" spans="1:57" x14ac:dyDescent="0.25">
      <c r="A123" s="1288"/>
      <c r="B123" s="1347"/>
      <c r="C123" s="1697">
        <v>27533.43196302143</v>
      </c>
      <c r="D123" s="1287">
        <v>27407.38516620978</v>
      </c>
      <c r="E123" s="1287">
        <v>27284.612312172463</v>
      </c>
      <c r="F123" s="1287">
        <v>27191.304943104096</v>
      </c>
      <c r="G123" s="1287">
        <v>27103.784077543856</v>
      </c>
      <c r="H123" s="1287">
        <v>27025.425175871456</v>
      </c>
      <c r="I123" s="1287">
        <v>26961.201814664131</v>
      </c>
      <c r="J123" s="1287">
        <v>26901.812849327904</v>
      </c>
      <c r="K123" s="1287">
        <v>26851.474077682866</v>
      </c>
      <c r="L123" s="1287">
        <v>26808.927685549439</v>
      </c>
      <c r="M123" s="1287">
        <v>26770.225533975077</v>
      </c>
      <c r="N123" s="1287">
        <v>26736.15381839266</v>
      </c>
      <c r="O123" s="1287">
        <v>26707.515954002258</v>
      </c>
      <c r="P123" s="1287">
        <v>26681.605505268082</v>
      </c>
      <c r="Q123" s="1287">
        <v>26659.786180018258</v>
      </c>
      <c r="R123" s="1287">
        <v>26640.001817745098</v>
      </c>
      <c r="S123" s="1287">
        <v>26623.157357992524</v>
      </c>
      <c r="T123" s="1287">
        <v>26608.471956604619</v>
      </c>
      <c r="U123" s="1287">
        <v>26595.532029110134</v>
      </c>
      <c r="V123" s="1287">
        <v>26584.222411521478</v>
      </c>
      <c r="W123" s="1287">
        <v>26574.398741835859</v>
      </c>
      <c r="X123" s="1287">
        <v>26565.835614595446</v>
      </c>
      <c r="Y123" s="1287">
        <v>26558.369956257051</v>
      </c>
      <c r="Z123" s="1411"/>
      <c r="AA123" s="1412">
        <f t="shared" ca="1" si="3"/>
        <v>27059.252340585805</v>
      </c>
      <c r="AB123" s="1414"/>
      <c r="AC123" s="1288"/>
      <c r="AD123" s="1038"/>
      <c r="AE123" s="1038"/>
      <c r="AF123" s="1038"/>
      <c r="AG123" s="1038"/>
      <c r="AH123" s="1038"/>
      <c r="AI123" s="1038"/>
      <c r="AJ123" s="1038"/>
      <c r="AK123" s="1038"/>
      <c r="AL123" s="1038"/>
      <c r="AM123" s="1038"/>
      <c r="AN123" s="1038"/>
      <c r="AO123" s="1038"/>
      <c r="AP123" s="1038"/>
      <c r="AQ123" s="1038"/>
      <c r="AR123" s="1038"/>
      <c r="AS123" s="1038"/>
      <c r="AT123" s="1038"/>
      <c r="AU123" s="1038"/>
      <c r="AV123" s="1038"/>
      <c r="AW123" s="1038"/>
      <c r="AX123" s="1038"/>
      <c r="AY123" s="1038"/>
      <c r="AZ123" s="1038"/>
      <c r="BA123" s="1038"/>
      <c r="BB123" s="1038"/>
      <c r="BC123" s="1038"/>
      <c r="BD123" s="1288"/>
      <c r="BE123" s="1288"/>
    </row>
    <row r="124" spans="1:57" x14ac:dyDescent="0.25">
      <c r="A124" s="1288"/>
      <c r="B124" s="1347"/>
      <c r="C124" s="1697">
        <v>27533.43196302143</v>
      </c>
      <c r="D124" s="1287">
        <v>27407.38516620978</v>
      </c>
      <c r="E124" s="1287">
        <v>27284.612312172463</v>
      </c>
      <c r="F124" s="1287">
        <v>27191.304943104096</v>
      </c>
      <c r="G124" s="1287">
        <v>27103.784077543856</v>
      </c>
      <c r="H124" s="1287">
        <v>27025.425175871456</v>
      </c>
      <c r="I124" s="1287">
        <v>26961.201814664131</v>
      </c>
      <c r="J124" s="1287">
        <v>26901.812849327904</v>
      </c>
      <c r="K124" s="1287">
        <v>26851.474077682866</v>
      </c>
      <c r="L124" s="1287">
        <v>26808.927685549439</v>
      </c>
      <c r="M124" s="1287">
        <v>26770.225533975077</v>
      </c>
      <c r="N124" s="1287">
        <v>26736.15381839266</v>
      </c>
      <c r="O124" s="1287">
        <v>26707.515954002258</v>
      </c>
      <c r="P124" s="1287">
        <v>26681.605505268082</v>
      </c>
      <c r="Q124" s="1287">
        <v>26659.786180018258</v>
      </c>
      <c r="R124" s="1287">
        <v>26640.001817745098</v>
      </c>
      <c r="S124" s="1287">
        <v>26623.157357992524</v>
      </c>
      <c r="T124" s="1287">
        <v>26608.471956604619</v>
      </c>
      <c r="U124" s="1287">
        <v>26595.532029110134</v>
      </c>
      <c r="V124" s="1287">
        <v>26584.222411521478</v>
      </c>
      <c r="W124" s="1287">
        <v>26574.398741835859</v>
      </c>
      <c r="X124" s="1287">
        <v>26565.835614595446</v>
      </c>
      <c r="Y124" s="1287">
        <v>26558.369956257051</v>
      </c>
      <c r="Z124" s="1411"/>
      <c r="AA124" s="1412">
        <f t="shared" ca="1" si="3"/>
        <v>27059.252340585805</v>
      </c>
      <c r="AB124" s="1414"/>
      <c r="AC124" s="1288"/>
      <c r="AD124" s="1038"/>
      <c r="AE124" s="1038"/>
      <c r="AF124" s="1038"/>
      <c r="AG124" s="1038"/>
      <c r="AH124" s="1038"/>
      <c r="AI124" s="1038"/>
      <c r="AJ124" s="1038"/>
      <c r="AK124" s="1038"/>
      <c r="AL124" s="1038"/>
      <c r="AM124" s="1038"/>
      <c r="AN124" s="1038"/>
      <c r="AO124" s="1038"/>
      <c r="AP124" s="1038"/>
      <c r="AQ124" s="1038"/>
      <c r="AR124" s="1038"/>
      <c r="AS124" s="1038"/>
      <c r="AT124" s="1038"/>
      <c r="AU124" s="1038"/>
      <c r="AV124" s="1038"/>
      <c r="AW124" s="1038"/>
      <c r="AX124" s="1038"/>
      <c r="AY124" s="1038"/>
      <c r="AZ124" s="1038"/>
      <c r="BA124" s="1038"/>
      <c r="BB124" s="1038"/>
      <c r="BC124" s="1038"/>
      <c r="BD124" s="1288"/>
      <c r="BE124" s="1288"/>
    </row>
    <row r="125" spans="1:57" x14ac:dyDescent="0.25">
      <c r="A125" s="1288"/>
      <c r="B125" s="1347"/>
      <c r="C125" s="1697">
        <v>27533.43196302143</v>
      </c>
      <c r="D125" s="1287">
        <v>27407.38516620978</v>
      </c>
      <c r="E125" s="1287">
        <v>28204.586349537058</v>
      </c>
      <c r="F125" s="1287">
        <v>28111.278980468691</v>
      </c>
      <c r="G125" s="1287">
        <v>27103.784077543856</v>
      </c>
      <c r="H125" s="1287">
        <v>27025.425175871456</v>
      </c>
      <c r="I125" s="1287">
        <v>26961.201814664131</v>
      </c>
      <c r="J125" s="1287">
        <v>27821.786886692495</v>
      </c>
      <c r="K125" s="1287">
        <v>26851.474077682866</v>
      </c>
      <c r="L125" s="1287">
        <v>26808.927685549439</v>
      </c>
      <c r="M125" s="1287">
        <v>27690.19957133969</v>
      </c>
      <c r="N125" s="1287">
        <v>26736.15381839266</v>
      </c>
      <c r="O125" s="1287">
        <v>26707.515954002258</v>
      </c>
      <c r="P125" s="1287">
        <v>27601.579542632677</v>
      </c>
      <c r="Q125" s="1287">
        <v>26659.786180018258</v>
      </c>
      <c r="R125" s="1287">
        <v>26640.001817745098</v>
      </c>
      <c r="S125" s="1287">
        <v>27543.131395357126</v>
      </c>
      <c r="T125" s="1287">
        <v>27528.445993969221</v>
      </c>
      <c r="U125" s="1287">
        <v>27515.506066474736</v>
      </c>
      <c r="V125" s="1287">
        <v>26584.222411521478</v>
      </c>
      <c r="W125" s="1287">
        <v>26574.398741835859</v>
      </c>
      <c r="X125" s="1287">
        <v>27485.809651960055</v>
      </c>
      <c r="Y125" s="1287">
        <v>27478.343993621653</v>
      </c>
      <c r="Z125" s="1411"/>
      <c r="AA125" s="1412">
        <f t="shared" ca="1" si="3"/>
        <v>27059.252340585805</v>
      </c>
      <c r="AB125" s="1414"/>
      <c r="AC125" s="1288"/>
      <c r="AD125" s="1038"/>
      <c r="AE125" s="1038"/>
      <c r="AF125" s="1038"/>
      <c r="AG125" s="1038"/>
      <c r="AH125" s="1038"/>
      <c r="AI125" s="1038"/>
      <c r="AJ125" s="1038"/>
      <c r="AK125" s="1038"/>
      <c r="AL125" s="1038"/>
      <c r="AM125" s="1038"/>
      <c r="AN125" s="1038"/>
      <c r="AO125" s="1038"/>
      <c r="AP125" s="1038"/>
      <c r="AQ125" s="1038"/>
      <c r="AR125" s="1038"/>
      <c r="AS125" s="1038"/>
      <c r="AT125" s="1038"/>
      <c r="AU125" s="1038"/>
      <c r="AV125" s="1038"/>
      <c r="AW125" s="1038"/>
      <c r="AX125" s="1038"/>
      <c r="AY125" s="1038"/>
      <c r="AZ125" s="1038"/>
      <c r="BA125" s="1038"/>
      <c r="BB125" s="1038"/>
      <c r="BC125" s="1038"/>
      <c r="BD125" s="1288"/>
      <c r="BE125" s="1288"/>
    </row>
    <row r="126" spans="1:57" x14ac:dyDescent="0.25">
      <c r="A126" s="1288"/>
      <c r="B126" s="1347"/>
      <c r="C126" s="1697">
        <v>28453.406000386036</v>
      </c>
      <c r="D126" s="1287">
        <v>28327.359203574379</v>
      </c>
      <c r="E126" s="1287">
        <v>28204.586349537058</v>
      </c>
      <c r="F126" s="1287">
        <v>28111.278980468691</v>
      </c>
      <c r="G126" s="1287">
        <v>27103.784077543856</v>
      </c>
      <c r="H126" s="1287">
        <v>27945.399213236051</v>
      </c>
      <c r="I126" s="1287">
        <v>27881.175852028733</v>
      </c>
      <c r="J126" s="1287">
        <v>27821.786886692495</v>
      </c>
      <c r="K126" s="1287">
        <v>27771.448115047464</v>
      </c>
      <c r="L126" s="1287">
        <v>27728.901722914045</v>
      </c>
      <c r="M126" s="1287">
        <v>27690.19957133969</v>
      </c>
      <c r="N126" s="1287">
        <v>27656.127855757259</v>
      </c>
      <c r="O126" s="1287">
        <v>27627.489991366863</v>
      </c>
      <c r="P126" s="1287">
        <v>27601.579542632677</v>
      </c>
      <c r="Q126" s="1287">
        <v>27579.76021738286</v>
      </c>
      <c r="R126" s="1287">
        <v>27559.975855109686</v>
      </c>
      <c r="S126" s="1287">
        <v>27543.131395357126</v>
      </c>
      <c r="T126" s="1287">
        <v>27528.445993969221</v>
      </c>
      <c r="U126" s="1287">
        <v>27515.506066474736</v>
      </c>
      <c r="V126" s="1287">
        <v>27504.196448886069</v>
      </c>
      <c r="W126" s="1287">
        <v>27494.372779200447</v>
      </c>
      <c r="X126" s="1287">
        <v>27485.809651960055</v>
      </c>
      <c r="Y126" s="1287">
        <v>27478.343993621653</v>
      </c>
      <c r="Z126" s="1411"/>
      <c r="AA126" s="1412">
        <f t="shared" ca="1" si="3"/>
        <v>27582.077966848854</v>
      </c>
      <c r="AB126" s="1414"/>
      <c r="AC126" s="1288"/>
      <c r="AD126" s="1038"/>
      <c r="AE126" s="1038"/>
      <c r="AF126" s="1038"/>
      <c r="AG126" s="1038"/>
      <c r="AH126" s="1038"/>
      <c r="AI126" s="1038"/>
      <c r="AJ126" s="1038"/>
      <c r="AK126" s="1038"/>
      <c r="AL126" s="1038"/>
      <c r="AM126" s="1038"/>
      <c r="AN126" s="1038"/>
      <c r="AO126" s="1038"/>
      <c r="AP126" s="1038"/>
      <c r="AQ126" s="1038"/>
      <c r="AR126" s="1038"/>
      <c r="AS126" s="1038"/>
      <c r="AT126" s="1038"/>
      <c r="AU126" s="1038"/>
      <c r="AV126" s="1038"/>
      <c r="AW126" s="1038"/>
      <c r="AX126" s="1038"/>
      <c r="AY126" s="1038"/>
      <c r="AZ126" s="1038"/>
      <c r="BA126" s="1038"/>
      <c r="BB126" s="1038"/>
      <c r="BC126" s="1038"/>
      <c r="BD126" s="1288"/>
      <c r="BE126" s="1288"/>
    </row>
    <row r="127" spans="1:57" x14ac:dyDescent="0.25">
      <c r="A127" s="1288"/>
      <c r="B127" s="1347"/>
      <c r="C127" s="1697">
        <v>28453.406000386036</v>
      </c>
      <c r="D127" s="1287">
        <v>28327.359203574379</v>
      </c>
      <c r="E127" s="1287">
        <v>28204.586349537058</v>
      </c>
      <c r="F127" s="1287">
        <v>28111.278980468691</v>
      </c>
      <c r="G127" s="1287">
        <v>28023.758114908454</v>
      </c>
      <c r="H127" s="1287">
        <v>27945.399213236051</v>
      </c>
      <c r="I127" s="1287">
        <v>27881.175852028733</v>
      </c>
      <c r="J127" s="1287">
        <v>27821.786886692495</v>
      </c>
      <c r="K127" s="1287">
        <v>27771.448115047464</v>
      </c>
      <c r="L127" s="1287">
        <v>27728.901722914045</v>
      </c>
      <c r="M127" s="1287">
        <v>27690.19957133969</v>
      </c>
      <c r="N127" s="1287">
        <v>27656.127855757259</v>
      </c>
      <c r="O127" s="1287">
        <v>27627.489991366863</v>
      </c>
      <c r="P127" s="1287">
        <v>27601.579542632677</v>
      </c>
      <c r="Q127" s="1287">
        <v>27579.76021738286</v>
      </c>
      <c r="R127" s="1287">
        <v>27559.975855109686</v>
      </c>
      <c r="S127" s="1287">
        <v>27543.131395357126</v>
      </c>
      <c r="T127" s="1287">
        <v>27528.445993969221</v>
      </c>
      <c r="U127" s="1287">
        <v>27515.506066474736</v>
      </c>
      <c r="V127" s="1287">
        <v>27504.196448886069</v>
      </c>
      <c r="W127" s="1287">
        <v>27494.372779200447</v>
      </c>
      <c r="X127" s="1287">
        <v>27485.809651960055</v>
      </c>
      <c r="Y127" s="1287">
        <v>27478.343993621653</v>
      </c>
      <c r="Z127" s="1411"/>
      <c r="AA127" s="1412">
        <f t="shared" ca="1" si="3"/>
        <v>27979.226377950399</v>
      </c>
      <c r="AB127" s="1414"/>
      <c r="AC127" s="1288"/>
      <c r="AD127" s="1038"/>
      <c r="AE127" s="1038"/>
      <c r="AF127" s="1038"/>
      <c r="AG127" s="1038"/>
      <c r="AH127" s="1038"/>
      <c r="AI127" s="1038"/>
      <c r="AJ127" s="1038"/>
      <c r="AK127" s="1038"/>
      <c r="AL127" s="1038"/>
      <c r="AM127" s="1038"/>
      <c r="AN127" s="1038"/>
      <c r="AO127" s="1038"/>
      <c r="AP127" s="1038"/>
      <c r="AQ127" s="1038"/>
      <c r="AR127" s="1038"/>
      <c r="AS127" s="1038"/>
      <c r="AT127" s="1038"/>
      <c r="AU127" s="1038"/>
      <c r="AV127" s="1038"/>
      <c r="AW127" s="1038"/>
      <c r="AX127" s="1038"/>
      <c r="AY127" s="1038"/>
      <c r="AZ127" s="1038"/>
      <c r="BA127" s="1038"/>
      <c r="BB127" s="1038"/>
      <c r="BC127" s="1038"/>
      <c r="BD127" s="1288"/>
      <c r="BE127" s="1288"/>
    </row>
    <row r="128" spans="1:57" x14ac:dyDescent="0.25">
      <c r="A128" s="1288"/>
      <c r="B128" s="1347"/>
      <c r="C128" s="1697">
        <v>28453.406000386036</v>
      </c>
      <c r="D128" s="1287">
        <v>28327.359203574379</v>
      </c>
      <c r="E128" s="1287">
        <v>28204.586349537058</v>
      </c>
      <c r="F128" s="1287">
        <v>28111.278980468691</v>
      </c>
      <c r="G128" s="1287">
        <v>28023.758114908454</v>
      </c>
      <c r="H128" s="1287">
        <v>27945.399213236051</v>
      </c>
      <c r="I128" s="1287">
        <v>27881.175852028733</v>
      </c>
      <c r="J128" s="1287">
        <v>27821.786886692495</v>
      </c>
      <c r="K128" s="1287">
        <v>27771.448115047464</v>
      </c>
      <c r="L128" s="1287">
        <v>27728.901722914045</v>
      </c>
      <c r="M128" s="1287">
        <v>27690.19957133969</v>
      </c>
      <c r="N128" s="1287">
        <v>27656.127855757259</v>
      </c>
      <c r="O128" s="1287">
        <v>27627.489991366863</v>
      </c>
      <c r="P128" s="1287">
        <v>27601.579542632677</v>
      </c>
      <c r="Q128" s="1287">
        <v>27579.76021738286</v>
      </c>
      <c r="R128" s="1287">
        <v>27559.975855109686</v>
      </c>
      <c r="S128" s="1287">
        <v>27543.131395357126</v>
      </c>
      <c r="T128" s="1287">
        <v>27528.445993969221</v>
      </c>
      <c r="U128" s="1287">
        <v>27515.506066474736</v>
      </c>
      <c r="V128" s="1287">
        <v>27504.196448886069</v>
      </c>
      <c r="W128" s="1287">
        <v>27494.372779200447</v>
      </c>
      <c r="X128" s="1287">
        <v>27485.809651960055</v>
      </c>
      <c r="Y128" s="1287">
        <v>27478.343993621653</v>
      </c>
      <c r="Z128" s="1411"/>
      <c r="AA128" s="1412">
        <f t="shared" ca="1" si="3"/>
        <v>27979.226377950399</v>
      </c>
      <c r="AB128" s="1414"/>
      <c r="AC128" s="1288"/>
      <c r="AD128" s="1038"/>
      <c r="AE128" s="1038"/>
      <c r="AF128" s="1038"/>
      <c r="AG128" s="1038"/>
      <c r="AH128" s="1038"/>
      <c r="AI128" s="1038"/>
      <c r="AJ128" s="1038"/>
      <c r="AK128" s="1038"/>
      <c r="AL128" s="1038"/>
      <c r="AM128" s="1038"/>
      <c r="AN128" s="1038"/>
      <c r="AO128" s="1038"/>
      <c r="AP128" s="1038"/>
      <c r="AQ128" s="1038"/>
      <c r="AR128" s="1038"/>
      <c r="AS128" s="1038"/>
      <c r="AT128" s="1038"/>
      <c r="AU128" s="1038"/>
      <c r="AV128" s="1038"/>
      <c r="AW128" s="1038"/>
      <c r="AX128" s="1038"/>
      <c r="AY128" s="1038"/>
      <c r="AZ128" s="1038"/>
      <c r="BA128" s="1038"/>
      <c r="BB128" s="1038"/>
      <c r="BC128" s="1038"/>
      <c r="BD128" s="1288"/>
      <c r="BE128" s="1288"/>
    </row>
    <row r="129" spans="1:57" x14ac:dyDescent="0.25">
      <c r="A129" s="1288"/>
      <c r="B129" s="1347"/>
      <c r="C129" s="1697">
        <v>28453.406000386036</v>
      </c>
      <c r="D129" s="1287">
        <v>28327.359203574379</v>
      </c>
      <c r="E129" s="1287">
        <v>28204.586349537058</v>
      </c>
      <c r="F129" s="1287">
        <v>28111.278980468691</v>
      </c>
      <c r="G129" s="1287">
        <v>28023.758114908454</v>
      </c>
      <c r="H129" s="1287">
        <v>27945.399213236051</v>
      </c>
      <c r="I129" s="1287">
        <v>27881.175852028733</v>
      </c>
      <c r="J129" s="1287">
        <v>27821.786886692495</v>
      </c>
      <c r="K129" s="1287">
        <v>27771.448115047464</v>
      </c>
      <c r="L129" s="1287">
        <v>27728.901722914045</v>
      </c>
      <c r="M129" s="1287">
        <v>27690.19957133969</v>
      </c>
      <c r="N129" s="1287">
        <v>27656.127855757259</v>
      </c>
      <c r="O129" s="1287">
        <v>27627.489991366863</v>
      </c>
      <c r="P129" s="1287">
        <v>27601.579542632677</v>
      </c>
      <c r="Q129" s="1287">
        <v>27579.76021738286</v>
      </c>
      <c r="R129" s="1287">
        <v>27559.975855109686</v>
      </c>
      <c r="S129" s="1287">
        <v>27543.131395357126</v>
      </c>
      <c r="T129" s="1287">
        <v>27528.445993969221</v>
      </c>
      <c r="U129" s="1287">
        <v>27515.506066474736</v>
      </c>
      <c r="V129" s="1287">
        <v>27504.196448886069</v>
      </c>
      <c r="W129" s="1287">
        <v>27494.372779200447</v>
      </c>
      <c r="X129" s="1287">
        <v>27485.809651960055</v>
      </c>
      <c r="Y129" s="1287">
        <v>27478.343993621653</v>
      </c>
      <c r="Z129" s="1411"/>
      <c r="AA129" s="1412">
        <f t="shared" ca="1" si="3"/>
        <v>27979.226377950399</v>
      </c>
      <c r="AB129" s="1414"/>
      <c r="AC129" s="1288"/>
      <c r="AD129" s="1038"/>
      <c r="AE129" s="1038"/>
      <c r="AF129" s="1038"/>
      <c r="AG129" s="1038"/>
      <c r="AH129" s="1038"/>
      <c r="AI129" s="1038"/>
      <c r="AJ129" s="1038"/>
      <c r="AK129" s="1038"/>
      <c r="AL129" s="1038"/>
      <c r="AM129" s="1038"/>
      <c r="AN129" s="1038"/>
      <c r="AO129" s="1038"/>
      <c r="AP129" s="1038"/>
      <c r="AQ129" s="1038"/>
      <c r="AR129" s="1038"/>
      <c r="AS129" s="1038"/>
      <c r="AT129" s="1038"/>
      <c r="AU129" s="1038"/>
      <c r="AV129" s="1038"/>
      <c r="AW129" s="1038"/>
      <c r="AX129" s="1038"/>
      <c r="AY129" s="1038"/>
      <c r="AZ129" s="1038"/>
      <c r="BA129" s="1038"/>
      <c r="BB129" s="1038"/>
      <c r="BC129" s="1038"/>
      <c r="BD129" s="1288"/>
      <c r="BE129" s="1288"/>
    </row>
    <row r="130" spans="1:57" x14ac:dyDescent="0.25">
      <c r="A130" s="1288"/>
      <c r="B130" s="1347"/>
      <c r="C130" s="1697">
        <v>28453.406000386036</v>
      </c>
      <c r="D130" s="1287">
        <v>28327.359203574379</v>
      </c>
      <c r="E130" s="1287">
        <v>28204.586349537058</v>
      </c>
      <c r="F130" s="1287">
        <v>28111.278980468691</v>
      </c>
      <c r="G130" s="1287">
        <v>28023.758114908454</v>
      </c>
      <c r="H130" s="1287">
        <v>27945.399213236051</v>
      </c>
      <c r="I130" s="1287">
        <v>27881.175852028733</v>
      </c>
      <c r="J130" s="1287">
        <v>27821.786886692495</v>
      </c>
      <c r="K130" s="1287">
        <v>27771.448115047464</v>
      </c>
      <c r="L130" s="1287">
        <v>27728.901722914045</v>
      </c>
      <c r="M130" s="1287">
        <v>27690.19957133969</v>
      </c>
      <c r="N130" s="1287">
        <v>27656.127855757259</v>
      </c>
      <c r="O130" s="1287">
        <v>27627.489991366863</v>
      </c>
      <c r="P130" s="1287">
        <v>27601.579542632677</v>
      </c>
      <c r="Q130" s="1287">
        <v>27579.76021738286</v>
      </c>
      <c r="R130" s="1287">
        <v>27559.975855109686</v>
      </c>
      <c r="S130" s="1287">
        <v>27543.131395357126</v>
      </c>
      <c r="T130" s="1287">
        <v>27528.445993969221</v>
      </c>
      <c r="U130" s="1287">
        <v>27515.506066474736</v>
      </c>
      <c r="V130" s="1287">
        <v>27504.196448886069</v>
      </c>
      <c r="W130" s="1287">
        <v>27494.372779200447</v>
      </c>
      <c r="X130" s="1287">
        <v>27485.809651960055</v>
      </c>
      <c r="Y130" s="1287">
        <v>27478.343993621653</v>
      </c>
      <c r="Z130" s="1411"/>
      <c r="AA130" s="1412">
        <f t="shared" ca="1" si="3"/>
        <v>27979.226377950399</v>
      </c>
      <c r="AB130" s="1414"/>
      <c r="AC130" s="1288"/>
      <c r="AD130" s="1038"/>
      <c r="AE130" s="1038"/>
      <c r="AF130" s="1038"/>
      <c r="AG130" s="1038"/>
      <c r="AH130" s="1038"/>
      <c r="AI130" s="1038"/>
      <c r="AJ130" s="1038"/>
      <c r="AK130" s="1038"/>
      <c r="AL130" s="1038"/>
      <c r="AM130" s="1038"/>
      <c r="AN130" s="1038"/>
      <c r="AO130" s="1038"/>
      <c r="AP130" s="1038"/>
      <c r="AQ130" s="1038"/>
      <c r="AR130" s="1038"/>
      <c r="AS130" s="1038"/>
      <c r="AT130" s="1038"/>
      <c r="AU130" s="1038"/>
      <c r="AV130" s="1038"/>
      <c r="AW130" s="1038"/>
      <c r="AX130" s="1038"/>
      <c r="AY130" s="1038"/>
      <c r="AZ130" s="1038"/>
      <c r="BA130" s="1038"/>
      <c r="BB130" s="1038"/>
      <c r="BC130" s="1038"/>
      <c r="BD130" s="1288"/>
      <c r="BE130" s="1288"/>
    </row>
    <row r="131" spans="1:57" x14ac:dyDescent="0.25">
      <c r="A131" s="1288"/>
      <c r="B131" s="1347"/>
      <c r="C131" s="1697">
        <v>28453.406000386036</v>
      </c>
      <c r="D131" s="1287">
        <v>30167.307278303586</v>
      </c>
      <c r="E131" s="1287">
        <v>28204.586349537058</v>
      </c>
      <c r="F131" s="1287">
        <v>28111.278980468691</v>
      </c>
      <c r="G131" s="1287">
        <v>28023.758114908454</v>
      </c>
      <c r="H131" s="1287">
        <v>27945.399213236051</v>
      </c>
      <c r="I131" s="1287">
        <v>29721.123926757933</v>
      </c>
      <c r="J131" s="1287">
        <v>29661.734961421695</v>
      </c>
      <c r="K131" s="1287">
        <v>27771.448115047464</v>
      </c>
      <c r="L131" s="1287">
        <v>29568.849797643248</v>
      </c>
      <c r="M131" s="1287">
        <v>29530.147646068875</v>
      </c>
      <c r="N131" s="1287">
        <v>29496.075930486455</v>
      </c>
      <c r="O131" s="1287">
        <v>29467.438066096056</v>
      </c>
      <c r="P131" s="1287">
        <v>29441.527617361877</v>
      </c>
      <c r="Q131" s="1287">
        <v>29419.70829211206</v>
      </c>
      <c r="R131" s="1287">
        <v>29399.923929838897</v>
      </c>
      <c r="S131" s="1287">
        <v>29383.079470086315</v>
      </c>
      <c r="T131" s="1287">
        <v>29368.394068698424</v>
      </c>
      <c r="U131" s="1287">
        <v>29355.454141203936</v>
      </c>
      <c r="V131" s="1287">
        <v>29344.144523615283</v>
      </c>
      <c r="W131" s="1287">
        <v>29334.320853929654</v>
      </c>
      <c r="X131" s="1287">
        <v>29325.757726689251</v>
      </c>
      <c r="Y131" s="1287">
        <v>29318.292068350849</v>
      </c>
      <c r="Z131" s="1411"/>
      <c r="AA131" s="1412">
        <f t="shared" ca="1" si="3"/>
        <v>27979.226377950399</v>
      </c>
      <c r="AB131" s="1414"/>
      <c r="AC131" s="1288"/>
      <c r="AD131" s="1038"/>
      <c r="AE131" s="1038"/>
      <c r="AF131" s="1038"/>
      <c r="AG131" s="1038"/>
      <c r="AH131" s="1038"/>
      <c r="AI131" s="1038"/>
      <c r="AJ131" s="1038"/>
      <c r="AK131" s="1038"/>
      <c r="AL131" s="1038"/>
      <c r="AM131" s="1038"/>
      <c r="AN131" s="1038"/>
      <c r="AO131" s="1038"/>
      <c r="AP131" s="1038"/>
      <c r="AQ131" s="1038"/>
      <c r="AR131" s="1038"/>
      <c r="AS131" s="1038"/>
      <c r="AT131" s="1038"/>
      <c r="AU131" s="1038"/>
      <c r="AV131" s="1038"/>
      <c r="AW131" s="1038"/>
      <c r="AX131" s="1038"/>
      <c r="AY131" s="1038"/>
      <c r="AZ131" s="1038"/>
      <c r="BA131" s="1038"/>
      <c r="BB131" s="1038"/>
      <c r="BC131" s="1038"/>
      <c r="BD131" s="1288"/>
      <c r="BE131" s="1288"/>
    </row>
    <row r="132" spans="1:57" x14ac:dyDescent="0.25">
      <c r="A132" s="1288"/>
      <c r="B132" s="1347"/>
      <c r="C132" s="1697">
        <v>30293.354075115225</v>
      </c>
      <c r="D132" s="1287">
        <v>30167.307278303586</v>
      </c>
      <c r="E132" s="1287">
        <v>30044.534424266254</v>
      </c>
      <c r="F132" s="1287">
        <v>28111.278980468691</v>
      </c>
      <c r="G132" s="1287">
        <v>29863.706189637658</v>
      </c>
      <c r="H132" s="1287">
        <v>29785.347287965262</v>
      </c>
      <c r="I132" s="1287">
        <v>29721.123926757933</v>
      </c>
      <c r="J132" s="1287">
        <v>29661.734961421695</v>
      </c>
      <c r="K132" s="1287">
        <v>29611.396189776657</v>
      </c>
      <c r="L132" s="1287">
        <v>29568.849797643248</v>
      </c>
      <c r="M132" s="1287">
        <v>29530.147646068875</v>
      </c>
      <c r="N132" s="1287">
        <v>29496.075930486455</v>
      </c>
      <c r="O132" s="1287">
        <v>29467.438066096056</v>
      </c>
      <c r="P132" s="1287">
        <v>29441.527617361877</v>
      </c>
      <c r="Q132" s="1287">
        <v>29419.70829211206</v>
      </c>
      <c r="R132" s="1287">
        <v>29399.923929838897</v>
      </c>
      <c r="S132" s="1287">
        <v>29383.079470086315</v>
      </c>
      <c r="T132" s="1287">
        <v>29368.394068698424</v>
      </c>
      <c r="U132" s="1287">
        <v>29355.454141203936</v>
      </c>
      <c r="V132" s="1287">
        <v>29344.144523615283</v>
      </c>
      <c r="W132" s="1287">
        <v>29334.320853929654</v>
      </c>
      <c r="X132" s="1287">
        <v>29325.757726689251</v>
      </c>
      <c r="Y132" s="1287">
        <v>29318.292068350849</v>
      </c>
      <c r="Z132" s="1411"/>
      <c r="AA132" s="1412">
        <f t="shared" ca="1" si="3"/>
        <v>29819.17445267961</v>
      </c>
      <c r="AB132" s="1414"/>
      <c r="AC132" s="1288"/>
      <c r="AD132" s="1038"/>
      <c r="AE132" s="1038"/>
      <c r="AF132" s="1038"/>
      <c r="AG132" s="1038"/>
      <c r="AH132" s="1038"/>
      <c r="AI132" s="1038"/>
      <c r="AJ132" s="1038"/>
      <c r="AK132" s="1038"/>
      <c r="AL132" s="1038"/>
      <c r="AM132" s="1038"/>
      <c r="AN132" s="1038"/>
      <c r="AO132" s="1038"/>
      <c r="AP132" s="1038"/>
      <c r="AQ132" s="1038"/>
      <c r="AR132" s="1038"/>
      <c r="AS132" s="1038"/>
      <c r="AT132" s="1038"/>
      <c r="AU132" s="1038"/>
      <c r="AV132" s="1038"/>
      <c r="AW132" s="1038"/>
      <c r="AX132" s="1038"/>
      <c r="AY132" s="1038"/>
      <c r="AZ132" s="1038"/>
      <c r="BA132" s="1038"/>
      <c r="BB132" s="1038"/>
      <c r="BC132" s="1038"/>
      <c r="BD132" s="1288"/>
      <c r="BE132" s="1288"/>
    </row>
    <row r="133" spans="1:57" x14ac:dyDescent="0.25">
      <c r="A133" s="1288"/>
      <c r="B133" s="1347"/>
      <c r="C133" s="1697">
        <v>30293.354075115225</v>
      </c>
      <c r="D133" s="1287">
        <v>30167.307278303586</v>
      </c>
      <c r="E133" s="1287">
        <v>30044.534424266254</v>
      </c>
      <c r="F133" s="1287">
        <v>29951.227055197898</v>
      </c>
      <c r="G133" s="1287">
        <v>29863.706189637658</v>
      </c>
      <c r="H133" s="1287">
        <v>29785.347287965262</v>
      </c>
      <c r="I133" s="1287">
        <v>29721.123926757933</v>
      </c>
      <c r="J133" s="1287">
        <v>29661.734961421695</v>
      </c>
      <c r="K133" s="1287">
        <v>29611.396189776657</v>
      </c>
      <c r="L133" s="1287">
        <v>29568.849797643248</v>
      </c>
      <c r="M133" s="1287">
        <v>29530.147646068875</v>
      </c>
      <c r="N133" s="1287">
        <v>29496.075930486455</v>
      </c>
      <c r="O133" s="1287">
        <v>29467.438066096056</v>
      </c>
      <c r="P133" s="1287">
        <v>29441.527617361877</v>
      </c>
      <c r="Q133" s="1287">
        <v>29419.70829211206</v>
      </c>
      <c r="R133" s="1287">
        <v>29399.923929838897</v>
      </c>
      <c r="S133" s="1287">
        <v>29383.079470086315</v>
      </c>
      <c r="T133" s="1287">
        <v>29368.394068698424</v>
      </c>
      <c r="U133" s="1287">
        <v>29355.454141203936</v>
      </c>
      <c r="V133" s="1287">
        <v>29344.144523615283</v>
      </c>
      <c r="W133" s="1287">
        <v>29334.320853929654</v>
      </c>
      <c r="X133" s="1287">
        <v>29325.757726689251</v>
      </c>
      <c r="Y133" s="1287">
        <v>29318.292068350849</v>
      </c>
      <c r="Z133" s="1411"/>
      <c r="AA133" s="1412">
        <f t="shared" ca="1" si="3"/>
        <v>29819.17445267961</v>
      </c>
      <c r="AB133" s="1414"/>
      <c r="AC133" s="1288"/>
      <c r="AD133" s="1038"/>
      <c r="AE133" s="1038"/>
      <c r="AF133" s="1038"/>
      <c r="AG133" s="1038"/>
      <c r="AH133" s="1038"/>
      <c r="AI133" s="1038"/>
      <c r="AJ133" s="1038"/>
      <c r="AK133" s="1038"/>
      <c r="AL133" s="1038"/>
      <c r="AM133" s="1038"/>
      <c r="AN133" s="1038"/>
      <c r="AO133" s="1038"/>
      <c r="AP133" s="1038"/>
      <c r="AQ133" s="1038"/>
      <c r="AR133" s="1038"/>
      <c r="AS133" s="1038"/>
      <c r="AT133" s="1038"/>
      <c r="AU133" s="1038"/>
      <c r="AV133" s="1038"/>
      <c r="AW133" s="1038"/>
      <c r="AX133" s="1038"/>
      <c r="AY133" s="1038"/>
      <c r="AZ133" s="1038"/>
      <c r="BA133" s="1038"/>
      <c r="BB133" s="1038"/>
      <c r="BC133" s="1038"/>
      <c r="BD133" s="1288"/>
      <c r="BE133" s="1288"/>
    </row>
    <row r="134" spans="1:57" x14ac:dyDescent="0.25">
      <c r="A134" s="1288"/>
      <c r="B134" s="1347"/>
      <c r="C134" s="1697">
        <v>30293.354075115225</v>
      </c>
      <c r="D134" s="1287">
        <v>30167.307278303586</v>
      </c>
      <c r="E134" s="1287">
        <v>30044.534424266254</v>
      </c>
      <c r="F134" s="1287">
        <v>29951.227055197898</v>
      </c>
      <c r="G134" s="1287">
        <v>29863.706189637658</v>
      </c>
      <c r="H134" s="1287">
        <v>29785.347287965262</v>
      </c>
      <c r="I134" s="1287">
        <v>29721.123926757933</v>
      </c>
      <c r="J134" s="1287">
        <v>29661.734961421695</v>
      </c>
      <c r="K134" s="1287">
        <v>29611.396189776657</v>
      </c>
      <c r="L134" s="1287">
        <v>29568.849797643248</v>
      </c>
      <c r="M134" s="1287">
        <v>29530.147646068875</v>
      </c>
      <c r="N134" s="1287">
        <v>29496.075930486455</v>
      </c>
      <c r="O134" s="1287">
        <v>29467.438066096056</v>
      </c>
      <c r="P134" s="1287">
        <v>29441.527617361877</v>
      </c>
      <c r="Q134" s="1287">
        <v>29419.70829211206</v>
      </c>
      <c r="R134" s="1287">
        <v>29399.923929838897</v>
      </c>
      <c r="S134" s="1287">
        <v>29383.079470086315</v>
      </c>
      <c r="T134" s="1287">
        <v>29368.394068698424</v>
      </c>
      <c r="U134" s="1287">
        <v>29355.454141203936</v>
      </c>
      <c r="V134" s="1287">
        <v>29344.144523615283</v>
      </c>
      <c r="W134" s="1287">
        <v>29334.320853929654</v>
      </c>
      <c r="X134" s="1287">
        <v>29325.757726689251</v>
      </c>
      <c r="Y134" s="1287">
        <v>29318.292068350849</v>
      </c>
      <c r="Z134" s="1411"/>
      <c r="AA134" s="1412">
        <f t="shared" ca="1" si="3"/>
        <v>29819.17445267961</v>
      </c>
      <c r="AB134" s="1414"/>
      <c r="AC134" s="1288"/>
      <c r="AD134" s="1038"/>
      <c r="AE134" s="1038"/>
      <c r="AF134" s="1038"/>
      <c r="AG134" s="1038"/>
      <c r="AH134" s="1038"/>
      <c r="AI134" s="1038"/>
      <c r="AJ134" s="1038"/>
      <c r="AK134" s="1038"/>
      <c r="AL134" s="1038"/>
      <c r="AM134" s="1038"/>
      <c r="AN134" s="1038"/>
      <c r="AO134" s="1038"/>
      <c r="AP134" s="1038"/>
      <c r="AQ134" s="1038"/>
      <c r="AR134" s="1038"/>
      <c r="AS134" s="1038"/>
      <c r="AT134" s="1038"/>
      <c r="AU134" s="1038"/>
      <c r="AV134" s="1038"/>
      <c r="AW134" s="1038"/>
      <c r="AX134" s="1038"/>
      <c r="AY134" s="1038"/>
      <c r="AZ134" s="1038"/>
      <c r="BA134" s="1038"/>
      <c r="BB134" s="1038"/>
      <c r="BC134" s="1038"/>
      <c r="BD134" s="1288"/>
      <c r="BE134" s="1288"/>
    </row>
    <row r="135" spans="1:57" x14ac:dyDescent="0.25">
      <c r="A135" s="1288"/>
      <c r="B135" s="1347"/>
      <c r="C135" s="1697">
        <v>30293.354075115225</v>
      </c>
      <c r="D135" s="1287">
        <v>30167.307278303586</v>
      </c>
      <c r="E135" s="1287">
        <v>30044.534424266254</v>
      </c>
      <c r="F135" s="1287">
        <v>29951.227055197898</v>
      </c>
      <c r="G135" s="1287">
        <v>29863.706189637658</v>
      </c>
      <c r="H135" s="1287">
        <v>29785.347287965262</v>
      </c>
      <c r="I135" s="1287">
        <v>29721.123926757933</v>
      </c>
      <c r="J135" s="1287">
        <v>29661.734961421695</v>
      </c>
      <c r="K135" s="1287">
        <v>29611.396189776657</v>
      </c>
      <c r="L135" s="1287">
        <v>29568.849797643248</v>
      </c>
      <c r="M135" s="1287">
        <v>29530.147646068875</v>
      </c>
      <c r="N135" s="1287">
        <v>29496.075930486455</v>
      </c>
      <c r="O135" s="1287">
        <v>29467.438066096056</v>
      </c>
      <c r="P135" s="1287">
        <v>29441.527617361877</v>
      </c>
      <c r="Q135" s="1287">
        <v>29419.70829211206</v>
      </c>
      <c r="R135" s="1287">
        <v>29399.923929838897</v>
      </c>
      <c r="S135" s="1287">
        <v>29383.079470086315</v>
      </c>
      <c r="T135" s="1287">
        <v>29368.394068698424</v>
      </c>
      <c r="U135" s="1287">
        <v>29355.454141203936</v>
      </c>
      <c r="V135" s="1287">
        <v>29344.144523615283</v>
      </c>
      <c r="W135" s="1287">
        <v>29334.320853929654</v>
      </c>
      <c r="X135" s="1287">
        <v>29325.757726689251</v>
      </c>
      <c r="Y135" s="1287">
        <v>29318.292068350849</v>
      </c>
      <c r="Z135" s="1411"/>
      <c r="AA135" s="1412">
        <f t="shared" ca="1" si="3"/>
        <v>29819.17445267961</v>
      </c>
      <c r="AB135" s="1414"/>
      <c r="AC135" s="1288"/>
      <c r="AD135" s="1038"/>
      <c r="AE135" s="1038"/>
      <c r="AF135" s="1038"/>
      <c r="AG135" s="1038"/>
      <c r="AH135" s="1038"/>
      <c r="AI135" s="1038"/>
      <c r="AJ135" s="1038"/>
      <c r="AK135" s="1038"/>
      <c r="AL135" s="1038"/>
      <c r="AM135" s="1038"/>
      <c r="AN135" s="1038"/>
      <c r="AO135" s="1038"/>
      <c r="AP135" s="1038"/>
      <c r="AQ135" s="1038"/>
      <c r="AR135" s="1038"/>
      <c r="AS135" s="1038"/>
      <c r="AT135" s="1038"/>
      <c r="AU135" s="1038"/>
      <c r="AV135" s="1038"/>
      <c r="AW135" s="1038"/>
      <c r="AX135" s="1038"/>
      <c r="AY135" s="1038"/>
      <c r="AZ135" s="1038"/>
      <c r="BA135" s="1038"/>
      <c r="BB135" s="1038"/>
      <c r="BC135" s="1038"/>
      <c r="BD135" s="1288"/>
      <c r="BE135" s="1288"/>
    </row>
    <row r="136" spans="1:57" x14ac:dyDescent="0.25">
      <c r="A136" s="1288"/>
      <c r="B136" s="1347"/>
      <c r="C136" s="1697">
        <v>30293.354075115225</v>
      </c>
      <c r="D136" s="1287">
        <v>30167.307278303586</v>
      </c>
      <c r="E136" s="1287">
        <v>30044.534424266254</v>
      </c>
      <c r="F136" s="1287">
        <v>29951.227055197898</v>
      </c>
      <c r="G136" s="1287">
        <v>29863.706189637658</v>
      </c>
      <c r="H136" s="1287">
        <v>29785.347287965262</v>
      </c>
      <c r="I136" s="1287">
        <v>29721.123926757933</v>
      </c>
      <c r="J136" s="1287">
        <v>29661.734961421695</v>
      </c>
      <c r="K136" s="1287">
        <v>29611.396189776657</v>
      </c>
      <c r="L136" s="1287">
        <v>29568.849797643248</v>
      </c>
      <c r="M136" s="1287">
        <v>29530.147646068875</v>
      </c>
      <c r="N136" s="1287">
        <v>29496.075930486455</v>
      </c>
      <c r="O136" s="1287">
        <v>29467.438066096056</v>
      </c>
      <c r="P136" s="1287">
        <v>29441.527617361877</v>
      </c>
      <c r="Q136" s="1287">
        <v>29419.70829211206</v>
      </c>
      <c r="R136" s="1287">
        <v>29399.923929838897</v>
      </c>
      <c r="S136" s="1287">
        <v>29383.079470086315</v>
      </c>
      <c r="T136" s="1287">
        <v>29368.394068698424</v>
      </c>
      <c r="U136" s="1287">
        <v>29355.454141203936</v>
      </c>
      <c r="V136" s="1287">
        <v>29344.144523615283</v>
      </c>
      <c r="W136" s="1287">
        <v>29334.320853929654</v>
      </c>
      <c r="X136" s="1287">
        <v>29325.757726689251</v>
      </c>
      <c r="Y136" s="1287">
        <v>29318.292068350849</v>
      </c>
      <c r="Z136" s="1411"/>
      <c r="AA136" s="1412">
        <f t="shared" ca="1" si="3"/>
        <v>29819.17445267961</v>
      </c>
      <c r="AB136" s="1414"/>
      <c r="AC136" s="1288"/>
      <c r="AD136" s="1038"/>
      <c r="AE136" s="1038"/>
      <c r="AF136" s="1038"/>
      <c r="AG136" s="1038"/>
      <c r="AH136" s="1038"/>
      <c r="AI136" s="1038"/>
      <c r="AJ136" s="1038"/>
      <c r="AK136" s="1038"/>
      <c r="AL136" s="1038"/>
      <c r="AM136" s="1038"/>
      <c r="AN136" s="1038"/>
      <c r="AO136" s="1038"/>
      <c r="AP136" s="1038"/>
      <c r="AQ136" s="1038"/>
      <c r="AR136" s="1038"/>
      <c r="AS136" s="1038"/>
      <c r="AT136" s="1038"/>
      <c r="AU136" s="1038"/>
      <c r="AV136" s="1038"/>
      <c r="AW136" s="1038"/>
      <c r="AX136" s="1038"/>
      <c r="AY136" s="1038"/>
      <c r="AZ136" s="1038"/>
      <c r="BA136" s="1038"/>
      <c r="BB136" s="1038"/>
      <c r="BC136" s="1038"/>
      <c r="BD136" s="1288"/>
      <c r="BE136" s="1288"/>
    </row>
    <row r="137" spans="1:57" x14ac:dyDescent="0.25">
      <c r="A137" s="1288"/>
      <c r="B137" s="1347"/>
      <c r="C137" s="1697">
        <v>30293.354075115225</v>
      </c>
      <c r="D137" s="1287">
        <v>30167.307278303586</v>
      </c>
      <c r="E137" s="1287">
        <v>30044.534424266254</v>
      </c>
      <c r="F137" s="1287">
        <v>29951.227055197898</v>
      </c>
      <c r="G137" s="1287">
        <v>29863.706189637658</v>
      </c>
      <c r="H137" s="1287">
        <v>29785.347287965262</v>
      </c>
      <c r="I137" s="1287">
        <v>29721.123926757933</v>
      </c>
      <c r="J137" s="1287">
        <v>29661.734961421695</v>
      </c>
      <c r="K137" s="1287">
        <v>29611.396189776657</v>
      </c>
      <c r="L137" s="1287">
        <v>29568.849797643248</v>
      </c>
      <c r="M137" s="1287">
        <v>29530.147646068875</v>
      </c>
      <c r="N137" s="1287">
        <v>29496.075930486455</v>
      </c>
      <c r="O137" s="1287">
        <v>29467.438066096056</v>
      </c>
      <c r="P137" s="1287">
        <v>29441.527617361877</v>
      </c>
      <c r="Q137" s="1287">
        <v>29419.70829211206</v>
      </c>
      <c r="R137" s="1287">
        <v>29399.923929838897</v>
      </c>
      <c r="S137" s="1287">
        <v>29383.079470086315</v>
      </c>
      <c r="T137" s="1287">
        <v>29368.394068698424</v>
      </c>
      <c r="U137" s="1287">
        <v>29355.454141203936</v>
      </c>
      <c r="V137" s="1287">
        <v>29344.144523615283</v>
      </c>
      <c r="W137" s="1287">
        <v>29334.320853929654</v>
      </c>
      <c r="X137" s="1287">
        <v>29325.757726689251</v>
      </c>
      <c r="Y137" s="1287">
        <v>29318.292068350849</v>
      </c>
      <c r="Z137" s="1411"/>
      <c r="AA137" s="1412">
        <f t="shared" ca="1" si="3"/>
        <v>29819.17445267961</v>
      </c>
      <c r="AB137" s="1414"/>
      <c r="AC137" s="1288"/>
      <c r="AD137" s="1038"/>
      <c r="AE137" s="1038"/>
      <c r="AF137" s="1038"/>
      <c r="AG137" s="1038"/>
      <c r="AH137" s="1038"/>
      <c r="AI137" s="1038"/>
      <c r="AJ137" s="1038"/>
      <c r="AK137" s="1038"/>
      <c r="AL137" s="1038"/>
      <c r="AM137" s="1038"/>
      <c r="AN137" s="1038"/>
      <c r="AO137" s="1038"/>
      <c r="AP137" s="1038"/>
      <c r="AQ137" s="1038"/>
      <c r="AR137" s="1038"/>
      <c r="AS137" s="1038"/>
      <c r="AT137" s="1038"/>
      <c r="AU137" s="1038"/>
      <c r="AV137" s="1038"/>
      <c r="AW137" s="1038"/>
      <c r="AX137" s="1038"/>
      <c r="AY137" s="1038"/>
      <c r="AZ137" s="1038"/>
      <c r="BA137" s="1038"/>
      <c r="BB137" s="1038"/>
      <c r="BC137" s="1038"/>
      <c r="BD137" s="1288"/>
      <c r="BE137" s="1288"/>
    </row>
    <row r="138" spans="1:57" x14ac:dyDescent="0.25">
      <c r="A138" s="1288"/>
      <c r="B138" s="1347"/>
      <c r="C138" s="1697">
        <v>30293.354075115225</v>
      </c>
      <c r="D138" s="1287">
        <v>30167.307278303586</v>
      </c>
      <c r="E138" s="1287">
        <v>30044.534424266254</v>
      </c>
      <c r="F138" s="1287">
        <v>31791.175129927098</v>
      </c>
      <c r="G138" s="1287">
        <v>31703.654264366854</v>
      </c>
      <c r="H138" s="1287">
        <v>29785.347287965262</v>
      </c>
      <c r="I138" s="1287">
        <v>29721.123926757933</v>
      </c>
      <c r="J138" s="1287">
        <v>29661.734961421695</v>
      </c>
      <c r="K138" s="1287">
        <v>31451.344264505864</v>
      </c>
      <c r="L138" s="1287">
        <v>31408.797872372445</v>
      </c>
      <c r="M138" s="1287">
        <v>29530.147646068875</v>
      </c>
      <c r="N138" s="1287">
        <v>31336.024005215655</v>
      </c>
      <c r="O138" s="1287">
        <v>29467.438066096056</v>
      </c>
      <c r="P138" s="1287">
        <v>29441.527617361877</v>
      </c>
      <c r="Q138" s="1287">
        <v>29419.70829211206</v>
      </c>
      <c r="R138" s="1287">
        <v>29399.923929838897</v>
      </c>
      <c r="S138" s="1287">
        <v>31223.027544815523</v>
      </c>
      <c r="T138" s="1287">
        <v>29368.394068698424</v>
      </c>
      <c r="U138" s="1287">
        <v>29355.454141203936</v>
      </c>
      <c r="V138" s="1287">
        <v>29344.144523615283</v>
      </c>
      <c r="W138" s="1287">
        <v>29334.320853929654</v>
      </c>
      <c r="X138" s="1287">
        <v>29325.757726689251</v>
      </c>
      <c r="Y138" s="1287">
        <v>29318.292068350849</v>
      </c>
      <c r="Z138" s="1411"/>
      <c r="AA138" s="1412">
        <f t="shared" ca="1" si="3"/>
        <v>30613.471274882701</v>
      </c>
      <c r="AB138" s="1414"/>
      <c r="AC138" s="1288"/>
      <c r="AD138" s="1038"/>
      <c r="AE138" s="1038"/>
      <c r="AF138" s="1038"/>
      <c r="AG138" s="1038"/>
      <c r="AH138" s="1038"/>
      <c r="AI138" s="1038"/>
      <c r="AJ138" s="1038"/>
      <c r="AK138" s="1038"/>
      <c r="AL138" s="1038"/>
      <c r="AM138" s="1038"/>
      <c r="AN138" s="1038"/>
      <c r="AO138" s="1038"/>
      <c r="AP138" s="1038"/>
      <c r="AQ138" s="1038"/>
      <c r="AR138" s="1038"/>
      <c r="AS138" s="1038"/>
      <c r="AT138" s="1038"/>
      <c r="AU138" s="1038"/>
      <c r="AV138" s="1038"/>
      <c r="AW138" s="1038"/>
      <c r="AX138" s="1038"/>
      <c r="AY138" s="1038"/>
      <c r="AZ138" s="1038"/>
      <c r="BA138" s="1038"/>
      <c r="BB138" s="1038"/>
      <c r="BC138" s="1038"/>
      <c r="BD138" s="1288"/>
      <c r="BE138" s="1288"/>
    </row>
    <row r="139" spans="1:57" x14ac:dyDescent="0.25">
      <c r="A139" s="1288"/>
      <c r="B139" s="1347"/>
      <c r="C139" s="1697">
        <v>30293.354075115225</v>
      </c>
      <c r="D139" s="1287">
        <v>32007.255353032782</v>
      </c>
      <c r="E139" s="1287">
        <v>31884.482498995465</v>
      </c>
      <c r="F139" s="1287">
        <v>31791.175129927098</v>
      </c>
      <c r="G139" s="1287">
        <v>31703.654264366854</v>
      </c>
      <c r="H139" s="1287">
        <v>31625.295362694462</v>
      </c>
      <c r="I139" s="1287">
        <v>31561.072001487133</v>
      </c>
      <c r="J139" s="1287">
        <v>31501.683036150906</v>
      </c>
      <c r="K139" s="1287">
        <v>31451.344264505864</v>
      </c>
      <c r="L139" s="1287">
        <v>31408.797872372445</v>
      </c>
      <c r="M139" s="1287">
        <v>31370.095720798083</v>
      </c>
      <c r="N139" s="1287">
        <v>31336.024005215655</v>
      </c>
      <c r="O139" s="1287">
        <v>31307.386140825256</v>
      </c>
      <c r="P139" s="1287">
        <v>31281.475692091073</v>
      </c>
      <c r="Q139" s="1287">
        <v>31259.656366841253</v>
      </c>
      <c r="R139" s="1287">
        <v>31239.8720045681</v>
      </c>
      <c r="S139" s="1287">
        <v>31223.027544815523</v>
      </c>
      <c r="T139" s="1287">
        <v>31208.342143427628</v>
      </c>
      <c r="U139" s="1287">
        <v>31195.40221593314</v>
      </c>
      <c r="V139" s="1287">
        <v>31184.092598344487</v>
      </c>
      <c r="W139" s="1287">
        <v>31174.268928658854</v>
      </c>
      <c r="X139" s="1287">
        <v>31165.705801418455</v>
      </c>
      <c r="Y139" s="1287">
        <v>31158.240143080046</v>
      </c>
      <c r="Z139" s="1411"/>
      <c r="AA139" s="1412">
        <f t="shared" ca="1" si="3"/>
        <v>31659.122527408806</v>
      </c>
      <c r="AB139" s="1414"/>
      <c r="AC139" s="1288"/>
      <c r="AD139" s="1038"/>
      <c r="AE139" s="1038"/>
      <c r="AF139" s="1038"/>
      <c r="AG139" s="1038"/>
      <c r="AH139" s="1038"/>
      <c r="AI139" s="1038"/>
      <c r="AJ139" s="1038"/>
      <c r="AK139" s="1038"/>
      <c r="AL139" s="1038"/>
      <c r="AM139" s="1038"/>
      <c r="AN139" s="1038"/>
      <c r="AO139" s="1038"/>
      <c r="AP139" s="1038"/>
      <c r="AQ139" s="1038"/>
      <c r="AR139" s="1038"/>
      <c r="AS139" s="1038"/>
      <c r="AT139" s="1038"/>
      <c r="AU139" s="1038"/>
      <c r="AV139" s="1038"/>
      <c r="AW139" s="1038"/>
      <c r="AX139" s="1038"/>
      <c r="AY139" s="1038"/>
      <c r="AZ139" s="1038"/>
      <c r="BA139" s="1038"/>
      <c r="BB139" s="1038"/>
      <c r="BC139" s="1038"/>
      <c r="BD139" s="1288"/>
      <c r="BE139" s="1288"/>
    </row>
    <row r="140" spans="1:57" x14ac:dyDescent="0.25">
      <c r="A140" s="1288"/>
      <c r="B140" s="1347"/>
      <c r="C140" s="1697">
        <v>32133.302149844425</v>
      </c>
      <c r="D140" s="1287">
        <v>32007.255353032782</v>
      </c>
      <c r="E140" s="1287">
        <v>31884.482498995465</v>
      </c>
      <c r="F140" s="1287">
        <v>31791.175129927098</v>
      </c>
      <c r="G140" s="1287">
        <v>31703.654264366854</v>
      </c>
      <c r="H140" s="1287">
        <v>31625.295362694462</v>
      </c>
      <c r="I140" s="1287">
        <v>31561.072001487133</v>
      </c>
      <c r="J140" s="1287">
        <v>31501.683036150906</v>
      </c>
      <c r="K140" s="1287">
        <v>31451.344264505864</v>
      </c>
      <c r="L140" s="1287">
        <v>31408.797872372445</v>
      </c>
      <c r="M140" s="1287">
        <v>31370.095720798083</v>
      </c>
      <c r="N140" s="1287">
        <v>31336.024005215655</v>
      </c>
      <c r="O140" s="1287">
        <v>31307.386140825256</v>
      </c>
      <c r="P140" s="1287">
        <v>31281.475692091073</v>
      </c>
      <c r="Q140" s="1287">
        <v>31259.656366841253</v>
      </c>
      <c r="R140" s="1287">
        <v>31239.8720045681</v>
      </c>
      <c r="S140" s="1287">
        <v>31223.027544815523</v>
      </c>
      <c r="T140" s="1287">
        <v>31208.342143427628</v>
      </c>
      <c r="U140" s="1287">
        <v>31195.40221593314</v>
      </c>
      <c r="V140" s="1287">
        <v>31184.092598344487</v>
      </c>
      <c r="W140" s="1287">
        <v>31174.268928658854</v>
      </c>
      <c r="X140" s="1287">
        <v>31165.705801418455</v>
      </c>
      <c r="Y140" s="1287">
        <v>31158.240143080046</v>
      </c>
      <c r="Z140" s="1411"/>
      <c r="AA140" s="1412">
        <f t="shared" ca="1" si="3"/>
        <v>31659.122527408806</v>
      </c>
      <c r="AB140" s="1414"/>
      <c r="AC140" s="1288"/>
      <c r="AD140" s="1038"/>
      <c r="AE140" s="1038"/>
      <c r="AF140" s="1038"/>
      <c r="AG140" s="1038"/>
      <c r="AH140" s="1038"/>
      <c r="AI140" s="1038"/>
      <c r="AJ140" s="1038"/>
      <c r="AK140" s="1038"/>
      <c r="AL140" s="1038"/>
      <c r="AM140" s="1038"/>
      <c r="AN140" s="1038"/>
      <c r="AO140" s="1038"/>
      <c r="AP140" s="1038"/>
      <c r="AQ140" s="1038"/>
      <c r="AR140" s="1038"/>
      <c r="AS140" s="1038"/>
      <c r="AT140" s="1038"/>
      <c r="AU140" s="1038"/>
      <c r="AV140" s="1038"/>
      <c r="AW140" s="1038"/>
      <c r="AX140" s="1038"/>
      <c r="AY140" s="1038"/>
      <c r="AZ140" s="1038"/>
      <c r="BA140" s="1038"/>
      <c r="BB140" s="1038"/>
      <c r="BC140" s="1038"/>
      <c r="BD140" s="1288"/>
      <c r="BE140" s="1288"/>
    </row>
    <row r="141" spans="1:57" x14ac:dyDescent="0.25">
      <c r="A141" s="1288"/>
      <c r="B141" s="1347"/>
      <c r="C141" s="1697">
        <v>32133.302149844425</v>
      </c>
      <c r="D141" s="1287">
        <v>32007.255353032782</v>
      </c>
      <c r="E141" s="1287">
        <v>31884.482498995465</v>
      </c>
      <c r="F141" s="1287">
        <v>31791.175129927098</v>
      </c>
      <c r="G141" s="1287">
        <v>31703.654264366854</v>
      </c>
      <c r="H141" s="1287">
        <v>31625.295362694462</v>
      </c>
      <c r="I141" s="1287">
        <v>33401.020076216329</v>
      </c>
      <c r="J141" s="1287">
        <v>31501.683036150906</v>
      </c>
      <c r="K141" s="1287">
        <v>31451.344264505864</v>
      </c>
      <c r="L141" s="1287">
        <v>31408.797872372445</v>
      </c>
      <c r="M141" s="1287">
        <v>31370.095720798083</v>
      </c>
      <c r="N141" s="1287">
        <v>33175.972079944855</v>
      </c>
      <c r="O141" s="1287">
        <v>31307.386140825256</v>
      </c>
      <c r="P141" s="1287">
        <v>31281.475692091073</v>
      </c>
      <c r="Q141" s="1287">
        <v>33099.60444157046</v>
      </c>
      <c r="R141" s="1287">
        <v>31239.8720045681</v>
      </c>
      <c r="S141" s="1287">
        <v>31223.027544815523</v>
      </c>
      <c r="T141" s="1287">
        <v>31208.342143427628</v>
      </c>
      <c r="U141" s="1287">
        <v>31195.40221593314</v>
      </c>
      <c r="V141" s="1287">
        <v>31184.092598344487</v>
      </c>
      <c r="W141" s="1287">
        <v>31174.268928658854</v>
      </c>
      <c r="X141" s="1287">
        <v>31165.705801418455</v>
      </c>
      <c r="Y141" s="1287">
        <v>31158.240143080046</v>
      </c>
      <c r="Z141" s="1411"/>
      <c r="AA141" s="1412">
        <f t="shared" ca="1" si="3"/>
        <v>31659.122527408806</v>
      </c>
      <c r="AB141" s="1414"/>
      <c r="AC141" s="1288"/>
      <c r="AD141" s="1038"/>
      <c r="AE141" s="1038"/>
      <c r="AF141" s="1038"/>
      <c r="AG141" s="1038"/>
      <c r="AH141" s="1038"/>
      <c r="AI141" s="1038"/>
      <c r="AJ141" s="1038"/>
      <c r="AK141" s="1038"/>
      <c r="AL141" s="1038"/>
      <c r="AM141" s="1038"/>
      <c r="AN141" s="1038"/>
      <c r="AO141" s="1038"/>
      <c r="AP141" s="1038"/>
      <c r="AQ141" s="1038"/>
      <c r="AR141" s="1038"/>
      <c r="AS141" s="1038"/>
      <c r="AT141" s="1038"/>
      <c r="AU141" s="1038"/>
      <c r="AV141" s="1038"/>
      <c r="AW141" s="1038"/>
      <c r="AX141" s="1038"/>
      <c r="AY141" s="1038"/>
      <c r="AZ141" s="1038"/>
      <c r="BA141" s="1038"/>
      <c r="BB141" s="1038"/>
      <c r="BC141" s="1038"/>
      <c r="BD141" s="1288"/>
      <c r="BE141" s="1288"/>
    </row>
    <row r="142" spans="1:57" x14ac:dyDescent="0.25">
      <c r="A142" s="1288"/>
      <c r="B142" s="1347"/>
      <c r="C142" s="1697">
        <v>32133.302149844425</v>
      </c>
      <c r="D142" s="1287">
        <v>32007.255353032782</v>
      </c>
      <c r="E142" s="1287">
        <v>31884.482498995465</v>
      </c>
      <c r="F142" s="1287">
        <v>31791.175129927098</v>
      </c>
      <c r="G142" s="1287">
        <v>33543.602339096047</v>
      </c>
      <c r="H142" s="1287">
        <v>33465.243437423655</v>
      </c>
      <c r="I142" s="1287">
        <v>33401.020076216329</v>
      </c>
      <c r="J142" s="1287">
        <v>33341.631110880109</v>
      </c>
      <c r="K142" s="1287">
        <v>31451.344264505864</v>
      </c>
      <c r="L142" s="1287">
        <v>33248.745947101655</v>
      </c>
      <c r="M142" s="1287">
        <v>33210.043795527286</v>
      </c>
      <c r="N142" s="1287">
        <v>33175.972079944855</v>
      </c>
      <c r="O142" s="1287">
        <v>33147.33421555446</v>
      </c>
      <c r="P142" s="1287">
        <v>31281.475692091073</v>
      </c>
      <c r="Q142" s="1287">
        <v>33099.60444157046</v>
      </c>
      <c r="R142" s="1287">
        <v>33079.820079297286</v>
      </c>
      <c r="S142" s="1287">
        <v>33062.975619544726</v>
      </c>
      <c r="T142" s="1287">
        <v>33048.290218156828</v>
      </c>
      <c r="U142" s="1287">
        <v>31195.40221593314</v>
      </c>
      <c r="V142" s="1287">
        <v>33024.040673073687</v>
      </c>
      <c r="W142" s="1287">
        <v>33014.217003388047</v>
      </c>
      <c r="X142" s="1287">
        <v>33005.653876147655</v>
      </c>
      <c r="Y142" s="1287">
        <v>32998.188217809249</v>
      </c>
      <c r="Z142" s="1411"/>
      <c r="AA142" s="1412">
        <f t="shared" ca="1" si="3"/>
        <v>33499.070602138003</v>
      </c>
      <c r="AB142" s="1414"/>
      <c r="AC142" s="1288"/>
      <c r="AD142" s="1038"/>
      <c r="AE142" s="1038"/>
      <c r="AF142" s="1038"/>
      <c r="AG142" s="1038"/>
      <c r="AH142" s="1038"/>
      <c r="AI142" s="1038"/>
      <c r="AJ142" s="1038"/>
      <c r="AK142" s="1038"/>
      <c r="AL142" s="1038"/>
      <c r="AM142" s="1038"/>
      <c r="AN142" s="1038"/>
      <c r="AO142" s="1038"/>
      <c r="AP142" s="1038"/>
      <c r="AQ142" s="1038"/>
      <c r="AR142" s="1038"/>
      <c r="AS142" s="1038"/>
      <c r="AT142" s="1038"/>
      <c r="AU142" s="1038"/>
      <c r="AV142" s="1038"/>
      <c r="AW142" s="1038"/>
      <c r="AX142" s="1038"/>
      <c r="AY142" s="1038"/>
      <c r="AZ142" s="1038"/>
      <c r="BA142" s="1038"/>
      <c r="BB142" s="1038"/>
      <c r="BC142" s="1038"/>
      <c r="BD142" s="1288"/>
      <c r="BE142" s="1288"/>
    </row>
    <row r="143" spans="1:57" x14ac:dyDescent="0.25">
      <c r="A143" s="1288"/>
      <c r="B143" s="1347"/>
      <c r="C143" s="1697">
        <v>32133.302149844425</v>
      </c>
      <c r="D143" s="1287">
        <v>32007.255353032782</v>
      </c>
      <c r="E143" s="1287">
        <v>33724.430573724661</v>
      </c>
      <c r="F143" s="1287">
        <v>33631.123204656295</v>
      </c>
      <c r="G143" s="1287">
        <v>33543.602339096047</v>
      </c>
      <c r="H143" s="1287">
        <v>33465.243437423655</v>
      </c>
      <c r="I143" s="1287">
        <v>33401.020076216329</v>
      </c>
      <c r="J143" s="1287">
        <v>33341.631110880109</v>
      </c>
      <c r="K143" s="1287">
        <v>33291.292339235064</v>
      </c>
      <c r="L143" s="1287">
        <v>33248.745947101655</v>
      </c>
      <c r="M143" s="1287">
        <v>33210.043795527286</v>
      </c>
      <c r="N143" s="1287">
        <v>33175.972079944855</v>
      </c>
      <c r="O143" s="1287">
        <v>33147.33421555446</v>
      </c>
      <c r="P143" s="1287">
        <v>33121.423766820284</v>
      </c>
      <c r="Q143" s="1287">
        <v>33099.60444157046</v>
      </c>
      <c r="R143" s="1287">
        <v>33079.820079297286</v>
      </c>
      <c r="S143" s="1287">
        <v>33062.975619544726</v>
      </c>
      <c r="T143" s="1287">
        <v>33048.290218156828</v>
      </c>
      <c r="U143" s="1287">
        <v>33035.350290662347</v>
      </c>
      <c r="V143" s="1287">
        <v>33024.040673073687</v>
      </c>
      <c r="W143" s="1287">
        <v>33014.217003388047</v>
      </c>
      <c r="X143" s="1287">
        <v>33005.653876147655</v>
      </c>
      <c r="Y143" s="1287">
        <v>32998.188217809249</v>
      </c>
      <c r="Z143" s="1411"/>
      <c r="AA143" s="1412">
        <f t="shared" ca="1" si="3"/>
        <v>33499.070602138003</v>
      </c>
      <c r="AB143" s="1415"/>
      <c r="AC143" s="1288"/>
      <c r="AD143" s="1038"/>
      <c r="AE143" s="1038"/>
      <c r="AF143" s="1038"/>
      <c r="AG143" s="1038"/>
      <c r="AH143" s="1038"/>
      <c r="AI143" s="1038"/>
      <c r="AJ143" s="1038"/>
      <c r="AK143" s="1038"/>
      <c r="AL143" s="1038"/>
      <c r="AM143" s="1038"/>
      <c r="AN143" s="1038"/>
      <c r="AO143" s="1038"/>
      <c r="AP143" s="1038"/>
      <c r="AQ143" s="1038"/>
      <c r="AR143" s="1038"/>
      <c r="AS143" s="1038"/>
      <c r="AT143" s="1038"/>
      <c r="AU143" s="1038"/>
      <c r="AV143" s="1038"/>
      <c r="AW143" s="1038"/>
      <c r="AX143" s="1038"/>
      <c r="AY143" s="1038"/>
      <c r="AZ143" s="1038"/>
      <c r="BA143" s="1038"/>
      <c r="BB143" s="1038"/>
      <c r="BC143" s="1038"/>
      <c r="BD143" s="1288"/>
      <c r="BE143" s="1288"/>
    </row>
    <row r="144" spans="1:57" x14ac:dyDescent="0.25">
      <c r="A144" s="1288"/>
      <c r="B144" s="1347"/>
      <c r="C144" s="1704"/>
      <c r="D144" s="1409"/>
      <c r="E144" s="1409"/>
      <c r="F144" s="1409"/>
      <c r="G144" s="1409"/>
      <c r="H144" s="1409"/>
      <c r="I144" s="1409"/>
      <c r="J144" s="1409"/>
      <c r="K144" s="1409"/>
      <c r="L144" s="1409"/>
      <c r="M144" s="1409"/>
      <c r="N144" s="1409"/>
      <c r="O144" s="1409"/>
      <c r="P144" s="1409"/>
      <c r="Q144" s="1409"/>
      <c r="R144" s="1409"/>
      <c r="S144" s="1409"/>
      <c r="T144" s="1409"/>
      <c r="U144" s="1409"/>
      <c r="V144" s="1409"/>
      <c r="W144" s="1409"/>
      <c r="X144" s="1409"/>
      <c r="Y144" s="1409"/>
      <c r="Z144" s="1411"/>
      <c r="AA144" s="1416"/>
      <c r="AB144" s="1405"/>
      <c r="AC144" s="1288"/>
      <c r="AD144" s="1038"/>
      <c r="AE144" s="1038"/>
      <c r="AF144" s="1038"/>
      <c r="AG144" s="1038"/>
      <c r="AH144" s="1038"/>
      <c r="AI144" s="1038"/>
      <c r="AJ144" s="1038"/>
      <c r="AK144" s="1038"/>
      <c r="AL144" s="1038"/>
      <c r="AM144" s="1038"/>
      <c r="AN144" s="1038"/>
      <c r="AO144" s="1038"/>
      <c r="AP144" s="1038"/>
      <c r="AQ144" s="1038"/>
      <c r="AR144" s="1038"/>
      <c r="AS144" s="1038"/>
      <c r="AT144" s="1038"/>
      <c r="AU144" s="1038"/>
      <c r="AV144" s="1038"/>
      <c r="AW144" s="1038"/>
      <c r="AX144" s="1038"/>
      <c r="AY144" s="1038"/>
      <c r="AZ144" s="1038"/>
      <c r="BA144" s="1038"/>
      <c r="BB144" s="1038"/>
      <c r="BC144" s="1038"/>
      <c r="BD144" s="1288"/>
      <c r="BE144" s="1288"/>
    </row>
    <row r="145" spans="1:57" x14ac:dyDescent="0.25">
      <c r="A145" s="1288"/>
      <c r="B145" s="1341" t="s">
        <v>1276</v>
      </c>
      <c r="C145" s="1697">
        <v>0</v>
      </c>
      <c r="D145" s="1287">
        <v>0</v>
      </c>
      <c r="E145" s="1287">
        <v>0</v>
      </c>
      <c r="F145" s="1287">
        <v>0</v>
      </c>
      <c r="G145" s="1287">
        <v>0</v>
      </c>
      <c r="H145" s="1287">
        <v>0</v>
      </c>
      <c r="I145" s="1287">
        <v>0</v>
      </c>
      <c r="J145" s="1287">
        <v>0</v>
      </c>
      <c r="K145" s="1287">
        <v>0</v>
      </c>
      <c r="L145" s="1287">
        <v>3441.942414358618</v>
      </c>
      <c r="M145" s="1287">
        <v>3000.6677458511026</v>
      </c>
      <c r="N145" s="1287">
        <v>2612.188439468594</v>
      </c>
      <c r="O145" s="1287">
        <v>2285.6648845350196</v>
      </c>
      <c r="P145" s="1287">
        <v>1990.2388110236905</v>
      </c>
      <c r="Q145" s="1287">
        <v>3482.9179192914585</v>
      </c>
      <c r="R145" s="1287">
        <v>3031.7627483987826</v>
      </c>
      <c r="S145" s="1287">
        <v>2647.6480110450907</v>
      </c>
      <c r="T145" s="1287">
        <v>3469.1514453021646</v>
      </c>
      <c r="U145" s="1287">
        <v>3026.5355712463711</v>
      </c>
      <c r="V145" s="1287">
        <v>3519.5802131787368</v>
      </c>
      <c r="W145" s="1287">
        <v>3071.5496611074277</v>
      </c>
      <c r="X145" s="1287">
        <v>3351.2612281842212</v>
      </c>
      <c r="Y145" s="1287">
        <v>3510.7812626457903</v>
      </c>
      <c r="Z145" s="1411"/>
      <c r="AA145" s="1412">
        <f t="shared" ref="AA145:AA167" ca="1" si="4">FORECAST($C$54,OFFSET(C145:Y145,0,MATCH($C$54,$G$72:$Y$72,1)-1,1,2), OFFSET($G$72:$Y$72,0,MATCH($C$54,$G$72:$Y$72,1)-1,1,2))</f>
        <v>0</v>
      </c>
      <c r="AB145" s="1413" t="e">
        <f ca="1">FORECAST($C$55,OFFSET(AA145:AA167,MATCH($C$55,$B$73:$B$95,1)-1,0,2), OFFSET($B$73:$B$95,MATCH($C$55,$B$73:$B$95,1)-1,0,2))</f>
        <v>#REF!</v>
      </c>
      <c r="AC145" s="1288"/>
      <c r="AD145" s="1038"/>
      <c r="AE145" s="1038"/>
      <c r="AF145" s="1038"/>
      <c r="AG145" s="1038"/>
      <c r="AH145" s="1038"/>
      <c r="AI145" s="1038"/>
      <c r="AJ145" s="1038"/>
      <c r="AK145" s="1038"/>
      <c r="AL145" s="1038"/>
      <c r="AM145" s="1038"/>
      <c r="AN145" s="1038"/>
      <c r="AO145" s="1038"/>
      <c r="AP145" s="1038"/>
      <c r="AQ145" s="1038"/>
      <c r="AR145" s="1038"/>
      <c r="AS145" s="1038"/>
      <c r="AT145" s="1038"/>
      <c r="AU145" s="1038"/>
      <c r="AV145" s="1038"/>
      <c r="AW145" s="1038"/>
      <c r="AX145" s="1038"/>
      <c r="AY145" s="1038"/>
      <c r="AZ145" s="1038"/>
      <c r="BA145" s="1038"/>
      <c r="BB145" s="1038"/>
      <c r="BC145" s="1038"/>
      <c r="BD145" s="1288"/>
      <c r="BE145" s="1288"/>
    </row>
    <row r="146" spans="1:57" x14ac:dyDescent="0.25">
      <c r="A146" s="1288"/>
      <c r="B146" s="1347"/>
      <c r="C146" s="1697">
        <v>0</v>
      </c>
      <c r="D146" s="1287">
        <v>0</v>
      </c>
      <c r="E146" s="1287">
        <v>0</v>
      </c>
      <c r="F146" s="1287">
        <v>0</v>
      </c>
      <c r="G146" s="1287">
        <v>0</v>
      </c>
      <c r="H146" s="1287">
        <v>0</v>
      </c>
      <c r="I146" s="1287">
        <v>0</v>
      </c>
      <c r="J146" s="1287">
        <v>4343.0880513159627</v>
      </c>
      <c r="K146" s="1287">
        <v>3789.2714541682899</v>
      </c>
      <c r="L146" s="1287">
        <v>3321.1849804180893</v>
      </c>
      <c r="M146" s="1287">
        <v>2895.3920342106421</v>
      </c>
      <c r="N146" s="1287">
        <v>2520.5421726387285</v>
      </c>
      <c r="O146" s="1287">
        <v>4410.9488021177749</v>
      </c>
      <c r="P146" s="1287">
        <v>3840.8261678304434</v>
      </c>
      <c r="Q146" s="1287">
        <v>3360.7228968516379</v>
      </c>
      <c r="R146" s="1287">
        <v>4388.0941451119825</v>
      </c>
      <c r="S146" s="1287">
        <v>3832.1365158670255</v>
      </c>
      <c r="T146" s="1287">
        <v>3347.4394071407614</v>
      </c>
      <c r="U146" s="1287">
        <v>3893.8030804901737</v>
      </c>
      <c r="V146" s="1287">
        <v>4245.1236591810166</v>
      </c>
      <c r="W146" s="1287">
        <v>4445.6806824494106</v>
      </c>
      <c r="X146" s="1287">
        <v>3880.4223138905504</v>
      </c>
      <c r="Y146" s="1287">
        <v>3952.2101266975264</v>
      </c>
      <c r="Z146" s="1411"/>
      <c r="AA146" s="1412">
        <f t="shared" ca="1" si="4"/>
        <v>0</v>
      </c>
      <c r="AB146" s="1414"/>
      <c r="AC146" s="1288"/>
      <c r="AD146" s="1038"/>
      <c r="AE146" s="1038"/>
      <c r="AF146" s="1038"/>
      <c r="AG146" s="1038"/>
      <c r="AH146" s="1038"/>
      <c r="AI146" s="1038"/>
      <c r="AJ146" s="1038"/>
      <c r="AK146" s="1038"/>
      <c r="AL146" s="1038"/>
      <c r="AM146" s="1038"/>
      <c r="AN146" s="1038"/>
      <c r="AO146" s="1038"/>
      <c r="AP146" s="1038"/>
      <c r="AQ146" s="1038"/>
      <c r="AR146" s="1038"/>
      <c r="AS146" s="1038"/>
      <c r="AT146" s="1038"/>
      <c r="AU146" s="1038"/>
      <c r="AV146" s="1038"/>
      <c r="AW146" s="1038"/>
      <c r="AX146" s="1038"/>
      <c r="AY146" s="1038"/>
      <c r="AZ146" s="1038"/>
      <c r="BA146" s="1038"/>
      <c r="BB146" s="1038"/>
      <c r="BC146" s="1038"/>
      <c r="BD146" s="1288"/>
      <c r="BE146" s="1288"/>
    </row>
    <row r="147" spans="1:57" x14ac:dyDescent="0.25">
      <c r="A147" s="1288"/>
      <c r="B147" s="1347"/>
      <c r="C147" s="1697">
        <v>0</v>
      </c>
      <c r="D147" s="1287">
        <v>0</v>
      </c>
      <c r="E147" s="1287">
        <v>0</v>
      </c>
      <c r="F147" s="1287">
        <v>0</v>
      </c>
      <c r="G147" s="1287">
        <v>0</v>
      </c>
      <c r="H147" s="1287">
        <v>5520.7493112972197</v>
      </c>
      <c r="I147" s="1287">
        <v>4836.7626709595106</v>
      </c>
      <c r="J147" s="1287">
        <v>4204.2629370648056</v>
      </c>
      <c r="K147" s="1287">
        <v>3668.1488712645955</v>
      </c>
      <c r="L147" s="1287">
        <v>3215.0245989319101</v>
      </c>
      <c r="M147" s="1287">
        <v>2802.8419580432037</v>
      </c>
      <c r="N147" s="1287">
        <v>4879.9480519502204</v>
      </c>
      <c r="O147" s="1287">
        <v>4269.9545454564432</v>
      </c>
      <c r="P147" s="1287">
        <v>5577.0834879431104</v>
      </c>
      <c r="Q147" s="1287">
        <v>4879.9480519502213</v>
      </c>
      <c r="R147" s="1287">
        <v>4247.8304286406074</v>
      </c>
      <c r="S147" s="1287">
        <v>4946.1916906644774</v>
      </c>
      <c r="T147" s="1287">
        <v>5400.7330219211935</v>
      </c>
      <c r="U147" s="1287">
        <v>4711.6739811933176</v>
      </c>
      <c r="V147" s="1287">
        <v>4931.3159261812762</v>
      </c>
      <c r="W147" s="1287">
        <v>5020.838940589204</v>
      </c>
      <c r="X147" s="1287">
        <v>5008.5148391150033</v>
      </c>
      <c r="Y147" s="1287">
        <v>5465.5418181842479</v>
      </c>
      <c r="Z147" s="1411"/>
      <c r="AA147" s="1412">
        <f t="shared" ca="1" si="4"/>
        <v>3137.4681228926493</v>
      </c>
      <c r="AB147" s="1414"/>
      <c r="AC147" s="1288"/>
      <c r="AD147" s="1038"/>
      <c r="AE147" s="1038"/>
      <c r="AF147" s="1038"/>
      <c r="AG147" s="1038"/>
      <c r="AH147" s="1038"/>
      <c r="AI147" s="1038"/>
      <c r="AJ147" s="1038"/>
      <c r="AK147" s="1038"/>
      <c r="AL147" s="1038"/>
      <c r="AM147" s="1038"/>
      <c r="AN147" s="1038"/>
      <c r="AO147" s="1038"/>
      <c r="AP147" s="1038"/>
      <c r="AQ147" s="1038"/>
      <c r="AR147" s="1038"/>
      <c r="AS147" s="1038"/>
      <c r="AT147" s="1038"/>
      <c r="AU147" s="1038"/>
      <c r="AV147" s="1038"/>
      <c r="AW147" s="1038"/>
      <c r="AX147" s="1038"/>
      <c r="AY147" s="1038"/>
      <c r="AZ147" s="1038"/>
      <c r="BA147" s="1038"/>
      <c r="BB147" s="1038"/>
      <c r="BC147" s="1038"/>
      <c r="BD147" s="1288"/>
      <c r="BE147" s="1288"/>
    </row>
    <row r="148" spans="1:57" x14ac:dyDescent="0.25">
      <c r="A148" s="1288"/>
      <c r="B148" s="1347"/>
      <c r="C148" s="1697">
        <v>0</v>
      </c>
      <c r="D148" s="1287">
        <v>0</v>
      </c>
      <c r="E148" s="1287">
        <v>0</v>
      </c>
      <c r="F148" s="1287">
        <v>0</v>
      </c>
      <c r="G148" s="1287">
        <v>6173.4331546020148</v>
      </c>
      <c r="H148" s="1287">
        <v>5362.7803161189222</v>
      </c>
      <c r="I148" s="1287">
        <v>4698.3650557148085</v>
      </c>
      <c r="J148" s="1287">
        <v>4083.9634715059487</v>
      </c>
      <c r="K148" s="1287">
        <v>3563.1896060119016</v>
      </c>
      <c r="L148" s="1287">
        <v>6246.0617799502743</v>
      </c>
      <c r="M148" s="1287">
        <v>5445.284628674598</v>
      </c>
      <c r="N148" s="1287">
        <v>4740.3147437122616</v>
      </c>
      <c r="O148" s="1287">
        <v>6221.6631011223435</v>
      </c>
      <c r="P148" s="1287">
        <v>5417.5025642425844</v>
      </c>
      <c r="Q148" s="1287">
        <v>6320.4196582830155</v>
      </c>
      <c r="R148" s="1287">
        <v>6877.1405608260784</v>
      </c>
      <c r="S148" s="1287">
        <v>6005.8286345675706</v>
      </c>
      <c r="T148" s="1287">
        <v>6295.4377624004737</v>
      </c>
      <c r="U148" s="1287">
        <v>6407.5978604662296</v>
      </c>
      <c r="V148" s="1287">
        <v>6386.9503915281002</v>
      </c>
      <c r="W148" s="1287">
        <v>6967.391749288362</v>
      </c>
      <c r="X148" s="1287">
        <v>6689.6537963957689</v>
      </c>
      <c r="Y148" s="1287">
        <v>6901.8982668450535</v>
      </c>
      <c r="Z148" s="1411"/>
      <c r="AA148" s="1412">
        <f t="shared" ca="1" si="4"/>
        <v>5712.7352862404614</v>
      </c>
      <c r="AB148" s="1414"/>
      <c r="AC148" s="1288"/>
      <c r="AD148" s="1038"/>
      <c r="AE148" s="1038"/>
      <c r="AF148" s="1038"/>
      <c r="AG148" s="1038"/>
      <c r="AH148" s="1038"/>
      <c r="AI148" s="1038"/>
      <c r="AJ148" s="1038"/>
      <c r="AK148" s="1038"/>
      <c r="AL148" s="1038"/>
      <c r="AM148" s="1038"/>
      <c r="AN148" s="1038"/>
      <c r="AO148" s="1038"/>
      <c r="AP148" s="1038"/>
      <c r="AQ148" s="1038"/>
      <c r="AR148" s="1038"/>
      <c r="AS148" s="1038"/>
      <c r="AT148" s="1038"/>
      <c r="AU148" s="1038"/>
      <c r="AV148" s="1038"/>
      <c r="AW148" s="1038"/>
      <c r="AX148" s="1038"/>
      <c r="AY148" s="1038"/>
      <c r="AZ148" s="1038"/>
      <c r="BA148" s="1038"/>
      <c r="BB148" s="1038"/>
      <c r="BC148" s="1038"/>
      <c r="BD148" s="1288"/>
      <c r="BE148" s="1288"/>
    </row>
    <row r="149" spans="1:57" x14ac:dyDescent="0.25">
      <c r="A149" s="1288"/>
      <c r="B149" s="1347"/>
      <c r="C149" s="1697">
        <v>0</v>
      </c>
      <c r="D149" s="1287">
        <v>0</v>
      </c>
      <c r="E149" s="1287">
        <v>0</v>
      </c>
      <c r="F149" s="1287">
        <v>0</v>
      </c>
      <c r="G149" s="1287">
        <v>6003.4706173821378</v>
      </c>
      <c r="H149" s="1287">
        <v>5215.1360918673117</v>
      </c>
      <c r="I149" s="1287">
        <v>4569.0130362377331</v>
      </c>
      <c r="J149" s="1287">
        <v>0</v>
      </c>
      <c r="K149" s="1287">
        <v>6930.1808469109246</v>
      </c>
      <c r="L149" s="1287">
        <v>6074.0996834689868</v>
      </c>
      <c r="M149" s="1287">
        <v>0</v>
      </c>
      <c r="N149" s="1287">
        <v>6914.7116932347835</v>
      </c>
      <c r="O149" s="1287">
        <v>8067.1636421072481</v>
      </c>
      <c r="P149" s="1287">
        <v>1756.1172554247071</v>
      </c>
      <c r="Q149" s="1287">
        <v>7683.0129924830926</v>
      </c>
      <c r="R149" s="1287">
        <v>8025.3648667595407</v>
      </c>
      <c r="S149" s="1287">
        <v>1168.0960929748051</v>
      </c>
      <c r="T149" s="1287">
        <v>1020.3527136262132</v>
      </c>
      <c r="U149" s="1287">
        <v>1780.3395623960823</v>
      </c>
      <c r="V149" s="1287">
        <v>8540.2754948022593</v>
      </c>
      <c r="W149" s="1287">
        <v>8808.2416669727427</v>
      </c>
      <c r="X149" s="1287">
        <v>1774.2215570270234</v>
      </c>
      <c r="Y149" s="1287">
        <v>1548.8954192845915</v>
      </c>
      <c r="Z149" s="1411"/>
      <c r="AA149" s="1412">
        <f t="shared" ca="1" si="4"/>
        <v>5555.4563525581307</v>
      </c>
      <c r="AB149" s="1414"/>
      <c r="AC149" s="1288"/>
      <c r="AD149" s="1038"/>
      <c r="AE149" s="1038"/>
      <c r="AF149" s="1038"/>
      <c r="AG149" s="1038"/>
      <c r="AH149" s="1038"/>
      <c r="AI149" s="1038"/>
      <c r="AJ149" s="1038"/>
      <c r="AK149" s="1038"/>
      <c r="AL149" s="1038"/>
      <c r="AM149" s="1038"/>
      <c r="AN149" s="1038"/>
      <c r="AO149" s="1038"/>
      <c r="AP149" s="1038"/>
      <c r="AQ149" s="1038"/>
      <c r="AR149" s="1038"/>
      <c r="AS149" s="1038"/>
      <c r="AT149" s="1038"/>
      <c r="AU149" s="1038"/>
      <c r="AV149" s="1038"/>
      <c r="AW149" s="1038"/>
      <c r="AX149" s="1038"/>
      <c r="AY149" s="1038"/>
      <c r="AZ149" s="1038"/>
      <c r="BA149" s="1038"/>
      <c r="BB149" s="1038"/>
      <c r="BC149" s="1038"/>
      <c r="BD149" s="1288"/>
      <c r="BE149" s="1288"/>
    </row>
    <row r="150" spans="1:57" x14ac:dyDescent="0.25">
      <c r="A150" s="1288"/>
      <c r="B150" s="1347"/>
      <c r="C150" s="1697">
        <v>0</v>
      </c>
      <c r="D150" s="1287">
        <v>0</v>
      </c>
      <c r="E150" s="1287">
        <v>0</v>
      </c>
      <c r="F150" s="1287">
        <v>0</v>
      </c>
      <c r="G150" s="1287">
        <v>5872.4578282751472</v>
      </c>
      <c r="H150" s="1287">
        <v>0</v>
      </c>
      <c r="I150" s="1287">
        <v>0</v>
      </c>
      <c r="J150" s="1287">
        <v>0</v>
      </c>
      <c r="K150" s="1287">
        <v>0</v>
      </c>
      <c r="L150" s="1287">
        <v>0</v>
      </c>
      <c r="M150" s="1287">
        <v>0</v>
      </c>
      <c r="N150" s="1287">
        <v>2254.6043447842085</v>
      </c>
      <c r="O150" s="1287">
        <v>1972.7788016861823</v>
      </c>
      <c r="P150" s="1287">
        <v>1717.7937865022541</v>
      </c>
      <c r="Q150" s="1287">
        <v>1503.0695631894723</v>
      </c>
      <c r="R150" s="1287">
        <v>1308.3714332426493</v>
      </c>
      <c r="S150" s="1287">
        <v>2285.209833627433</v>
      </c>
      <c r="T150" s="1287">
        <v>1996.1714356982714</v>
      </c>
      <c r="U150" s="1287">
        <v>1741.487493902285</v>
      </c>
      <c r="V150" s="1287">
        <v>2278.3370220977267</v>
      </c>
      <c r="W150" s="1287">
        <v>1988.3124930380422</v>
      </c>
      <c r="X150" s="1287">
        <v>2314.0040010614557</v>
      </c>
      <c r="Y150" s="1287">
        <v>2525.1568661583133</v>
      </c>
      <c r="Z150" s="1411"/>
      <c r="AA150" s="1412">
        <f t="shared" ca="1" si="4"/>
        <v>2535.1120803814774</v>
      </c>
      <c r="AB150" s="1414"/>
      <c r="AC150" s="1288"/>
      <c r="AD150" s="1038"/>
      <c r="AE150" s="1038"/>
      <c r="AF150" s="1038"/>
      <c r="AG150" s="1038"/>
      <c r="AH150" s="1038"/>
      <c r="AI150" s="1038"/>
      <c r="AJ150" s="1038"/>
      <c r="AK150" s="1038"/>
      <c r="AL150" s="1038"/>
      <c r="AM150" s="1038"/>
      <c r="AN150" s="1038"/>
      <c r="AO150" s="1038"/>
      <c r="AP150" s="1038"/>
      <c r="AQ150" s="1038"/>
      <c r="AR150" s="1038"/>
      <c r="AS150" s="1038"/>
      <c r="AT150" s="1038"/>
      <c r="AU150" s="1038"/>
      <c r="AV150" s="1038"/>
      <c r="AW150" s="1038"/>
      <c r="AX150" s="1038"/>
      <c r="AY150" s="1038"/>
      <c r="AZ150" s="1038"/>
      <c r="BA150" s="1038"/>
      <c r="BB150" s="1038"/>
      <c r="BC150" s="1038"/>
      <c r="BD150" s="1288"/>
      <c r="BE150" s="1288"/>
    </row>
    <row r="151" spans="1:57" x14ac:dyDescent="0.25">
      <c r="A151" s="1288"/>
      <c r="B151" s="1347"/>
      <c r="C151" s="1697">
        <v>0</v>
      </c>
      <c r="D151" s="1287">
        <v>0</v>
      </c>
      <c r="E151" s="1287">
        <v>0</v>
      </c>
      <c r="F151" s="1287">
        <v>0</v>
      </c>
      <c r="G151" s="1287">
        <v>0</v>
      </c>
      <c r="H151" s="1287">
        <v>0</v>
      </c>
      <c r="I151" s="1287">
        <v>0</v>
      </c>
      <c r="J151" s="1287">
        <v>0</v>
      </c>
      <c r="K151" s="1287">
        <v>0</v>
      </c>
      <c r="L151" s="1287">
        <v>2905.5912142591283</v>
      </c>
      <c r="M151" s="1287">
        <v>2533.0795201233423</v>
      </c>
      <c r="N151" s="1287">
        <v>2205.1361893930884</v>
      </c>
      <c r="O151" s="1287">
        <v>1929.4941657189522</v>
      </c>
      <c r="P151" s="1287">
        <v>1680.1037633471149</v>
      </c>
      <c r="Q151" s="1287">
        <v>2940.181585857451</v>
      </c>
      <c r="R151" s="1287">
        <v>2559.3290488292837</v>
      </c>
      <c r="S151" s="1287">
        <v>2235.0701648147137</v>
      </c>
      <c r="T151" s="1287">
        <v>2928.5603147671054</v>
      </c>
      <c r="U151" s="1287">
        <v>2554.916412538199</v>
      </c>
      <c r="V151" s="1287">
        <v>2971.130865708582</v>
      </c>
      <c r="W151" s="1287">
        <v>2592.916044220744</v>
      </c>
      <c r="X151" s="1287">
        <v>2829.0407011686812</v>
      </c>
      <c r="Y151" s="1287">
        <v>2963.7030385443109</v>
      </c>
      <c r="Z151" s="1411"/>
      <c r="AA151" s="1412">
        <f t="shared" ca="1" si="4"/>
        <v>0</v>
      </c>
      <c r="AB151" s="1414"/>
      <c r="AC151" s="1288"/>
      <c r="AD151" s="1038"/>
      <c r="AE151" s="1038"/>
      <c r="AF151" s="1038"/>
      <c r="AG151" s="1038"/>
      <c r="AH151" s="1038"/>
      <c r="AI151" s="1038"/>
      <c r="AJ151" s="1038"/>
      <c r="AK151" s="1038"/>
      <c r="AL151" s="1038"/>
      <c r="AM151" s="1038"/>
      <c r="AN151" s="1038"/>
      <c r="AO151" s="1038"/>
      <c r="AP151" s="1038"/>
      <c r="AQ151" s="1038"/>
      <c r="AR151" s="1038"/>
      <c r="AS151" s="1038"/>
      <c r="AT151" s="1038"/>
      <c r="AU151" s="1038"/>
      <c r="AV151" s="1038"/>
      <c r="AW151" s="1038"/>
      <c r="AX151" s="1038"/>
      <c r="AY151" s="1038"/>
      <c r="AZ151" s="1038"/>
      <c r="BA151" s="1038"/>
      <c r="BB151" s="1038"/>
      <c r="BC151" s="1038"/>
      <c r="BD151" s="1288"/>
      <c r="BE151" s="1288"/>
    </row>
    <row r="152" spans="1:57" x14ac:dyDescent="0.25">
      <c r="A152" s="1288"/>
      <c r="B152" s="1347"/>
      <c r="C152" s="1697">
        <v>0</v>
      </c>
      <c r="D152" s="1287">
        <v>0</v>
      </c>
      <c r="E152" s="1287">
        <v>0</v>
      </c>
      <c r="F152" s="1287">
        <v>0</v>
      </c>
      <c r="G152" s="1287">
        <v>0</v>
      </c>
      <c r="H152" s="1287">
        <v>0</v>
      </c>
      <c r="I152" s="1287">
        <v>0</v>
      </c>
      <c r="J152" s="1287">
        <v>3729.4810463258486</v>
      </c>
      <c r="K152" s="1287">
        <v>3253.909637733962</v>
      </c>
      <c r="L152" s="1287">
        <v>2851.9560942491785</v>
      </c>
      <c r="M152" s="1287">
        <v>2486.3206975505659</v>
      </c>
      <c r="N152" s="1287">
        <v>2164.4309643855372</v>
      </c>
      <c r="O152" s="1287">
        <v>3787.75418767469</v>
      </c>
      <c r="P152" s="1287">
        <v>3298.1805171589135</v>
      </c>
      <c r="Q152" s="1287">
        <v>2885.9079525140496</v>
      </c>
      <c r="R152" s="1287">
        <v>3768.1285183085001</v>
      </c>
      <c r="S152" s="1287">
        <v>3290.7185702875136</v>
      </c>
      <c r="T152" s="1287">
        <v>3832.6682689514651</v>
      </c>
      <c r="U152" s="1287">
        <v>3343.6726622231745</v>
      </c>
      <c r="V152" s="1287">
        <v>3645.3574137019573</v>
      </c>
      <c r="W152" s="1287">
        <v>3817.5790237981132</v>
      </c>
      <c r="X152" s="1287">
        <v>3887.5461078539774</v>
      </c>
      <c r="Y152" s="1287">
        <v>3878.6602881788826</v>
      </c>
      <c r="Z152" s="1411"/>
      <c r="AA152" s="1412">
        <f t="shared" ca="1" si="4"/>
        <v>0</v>
      </c>
      <c r="AB152" s="1414"/>
      <c r="AC152" s="1288"/>
      <c r="AD152" s="1038"/>
      <c r="AE152" s="1038"/>
      <c r="AF152" s="1038"/>
      <c r="AG152" s="1038"/>
      <c r="AH152" s="1038"/>
      <c r="AI152" s="1038"/>
      <c r="AJ152" s="1038"/>
      <c r="AK152" s="1038"/>
      <c r="AL152" s="1038"/>
      <c r="AM152" s="1038"/>
      <c r="AN152" s="1038"/>
      <c r="AO152" s="1038"/>
      <c r="AP152" s="1038"/>
      <c r="AQ152" s="1038"/>
      <c r="AR152" s="1038"/>
      <c r="AS152" s="1038"/>
      <c r="AT152" s="1038"/>
      <c r="AU152" s="1038"/>
      <c r="AV152" s="1038"/>
      <c r="AW152" s="1038"/>
      <c r="AX152" s="1038"/>
      <c r="AY152" s="1038"/>
      <c r="AZ152" s="1038"/>
      <c r="BA152" s="1038"/>
      <c r="BB152" s="1038"/>
      <c r="BC152" s="1038"/>
      <c r="BD152" s="1288"/>
      <c r="BE152" s="1288"/>
    </row>
    <row r="153" spans="1:57" x14ac:dyDescent="0.25">
      <c r="A153" s="1288"/>
      <c r="B153" s="1347"/>
      <c r="C153" s="1697">
        <v>0</v>
      </c>
      <c r="D153" s="1287">
        <v>0</v>
      </c>
      <c r="E153" s="1287">
        <v>0</v>
      </c>
      <c r="F153" s="1287">
        <v>0</v>
      </c>
      <c r="G153" s="1287">
        <v>0</v>
      </c>
      <c r="H153" s="1287">
        <v>4812.2823026187962</v>
      </c>
      <c r="I153" s="1287">
        <v>4216.0703359226618</v>
      </c>
      <c r="J153" s="1287">
        <v>3664.7380612250831</v>
      </c>
      <c r="K153" s="1287">
        <v>3197.4224695252401</v>
      </c>
      <c r="L153" s="1287">
        <v>2802.446752701534</v>
      </c>
      <c r="M153" s="1287">
        <v>4886.3174149667775</v>
      </c>
      <c r="N153" s="1287">
        <v>4253.7138210648282</v>
      </c>
      <c r="O153" s="1287">
        <v>3721.9995934317249</v>
      </c>
      <c r="P153" s="1287">
        <v>4861.3872240740893</v>
      </c>
      <c r="Q153" s="1287">
        <v>4253.7138210648282</v>
      </c>
      <c r="R153" s="1287">
        <v>4936.9528285933757</v>
      </c>
      <c r="S153" s="1287">
        <v>4311.4565426177451</v>
      </c>
      <c r="T153" s="1287">
        <v>4707.6674699531704</v>
      </c>
      <c r="U153" s="1287">
        <v>4928.44084095787</v>
      </c>
      <c r="V153" s="1287">
        <v>5014.9047153606398</v>
      </c>
      <c r="W153" s="1287">
        <v>5001.7422357927644</v>
      </c>
      <c r="X153" s="1287">
        <v>4911.5046181367097</v>
      </c>
      <c r="Y153" s="1287">
        <v>4764.1594795926085</v>
      </c>
      <c r="Z153" s="1411"/>
      <c r="AA153" s="1412">
        <f t="shared" ca="1" si="4"/>
        <v>2734.842948208272</v>
      </c>
      <c r="AB153" s="1414"/>
      <c r="AC153" s="1288"/>
      <c r="AD153" s="1038"/>
      <c r="AE153" s="1038"/>
      <c r="AF153" s="1038"/>
      <c r="AG153" s="1038"/>
      <c r="AH153" s="1038"/>
      <c r="AI153" s="1038"/>
      <c r="AJ153" s="1038"/>
      <c r="AK153" s="1038"/>
      <c r="AL153" s="1038"/>
      <c r="AM153" s="1038"/>
      <c r="AN153" s="1038"/>
      <c r="AO153" s="1038"/>
      <c r="AP153" s="1038"/>
      <c r="AQ153" s="1038"/>
      <c r="AR153" s="1038"/>
      <c r="AS153" s="1038"/>
      <c r="AT153" s="1038"/>
      <c r="AU153" s="1038"/>
      <c r="AV153" s="1038"/>
      <c r="AW153" s="1038"/>
      <c r="AX153" s="1038"/>
      <c r="AY153" s="1038"/>
      <c r="AZ153" s="1038"/>
      <c r="BA153" s="1038"/>
      <c r="BB153" s="1038"/>
      <c r="BC153" s="1038"/>
      <c r="BD153" s="1288"/>
      <c r="BE153" s="1288"/>
    </row>
    <row r="154" spans="1:57" x14ac:dyDescent="0.25">
      <c r="A154" s="1288"/>
      <c r="B154" s="1347"/>
      <c r="C154" s="1697">
        <v>0</v>
      </c>
      <c r="D154" s="1287">
        <v>0</v>
      </c>
      <c r="E154" s="1287">
        <v>0</v>
      </c>
      <c r="F154" s="1287">
        <v>6256.5913254020525</v>
      </c>
      <c r="G154" s="1287">
        <v>5456.3296442459759</v>
      </c>
      <c r="H154" s="1287">
        <v>4739.8419131833734</v>
      </c>
      <c r="I154" s="1287">
        <v>4152.6048619925132</v>
      </c>
      <c r="J154" s="1287">
        <v>3609.571918501184</v>
      </c>
      <c r="K154" s="1287">
        <v>6298.58187121012</v>
      </c>
      <c r="L154" s="1287">
        <v>5520.5217577076937</v>
      </c>
      <c r="M154" s="1287">
        <v>4812.7625580015792</v>
      </c>
      <c r="N154" s="1287">
        <v>6284.5225366761679</v>
      </c>
      <c r="O154" s="1287">
        <v>5498.9572195916471</v>
      </c>
      <c r="P154" s="1287">
        <v>6384.276862655156</v>
      </c>
      <c r="Q154" s="1287">
        <v>5586.2422548232616</v>
      </c>
      <c r="R154" s="1287">
        <v>6078.2946814139113</v>
      </c>
      <c r="S154" s="1287">
        <v>6369.8327973550304</v>
      </c>
      <c r="T154" s="1287">
        <v>6491.5226202294025</v>
      </c>
      <c r="U154" s="1287">
        <v>6472.3358538641924</v>
      </c>
      <c r="V154" s="1287">
        <v>6350.6754054832863</v>
      </c>
      <c r="W154" s="1287">
        <v>6158.0623281516264</v>
      </c>
      <c r="X154" s="1287">
        <v>6450.0941498990223</v>
      </c>
      <c r="Y154" s="1287">
        <v>6569.4208916721545</v>
      </c>
      <c r="Z154" s="1411"/>
      <c r="AA154" s="1412">
        <f t="shared" ca="1" si="4"/>
        <v>5049.1462548367581</v>
      </c>
      <c r="AB154" s="1414"/>
      <c r="AC154" s="1288"/>
      <c r="AD154" s="1038"/>
      <c r="AE154" s="1038"/>
      <c r="AF154" s="1038"/>
      <c r="AG154" s="1038"/>
      <c r="AH154" s="1038"/>
      <c r="AI154" s="1038"/>
      <c r="AJ154" s="1038"/>
      <c r="AK154" s="1038"/>
      <c r="AL154" s="1038"/>
      <c r="AM154" s="1038"/>
      <c r="AN154" s="1038"/>
      <c r="AO154" s="1038"/>
      <c r="AP154" s="1038"/>
      <c r="AQ154" s="1038"/>
      <c r="AR154" s="1038"/>
      <c r="AS154" s="1038"/>
      <c r="AT154" s="1038"/>
      <c r="AU154" s="1038"/>
      <c r="AV154" s="1038"/>
      <c r="AW154" s="1038"/>
      <c r="AX154" s="1038"/>
      <c r="AY154" s="1038"/>
      <c r="AZ154" s="1038"/>
      <c r="BA154" s="1038"/>
      <c r="BB154" s="1038"/>
      <c r="BC154" s="1038"/>
      <c r="BD154" s="1288"/>
      <c r="BE154" s="1288"/>
    </row>
    <row r="155" spans="1:57" x14ac:dyDescent="0.25">
      <c r="A155" s="1288"/>
      <c r="B155" s="1347"/>
      <c r="C155" s="1697">
        <v>0</v>
      </c>
      <c r="D155" s="1287">
        <v>0</v>
      </c>
      <c r="E155" s="1287">
        <v>7013.6917242697764</v>
      </c>
      <c r="F155" s="1287">
        <v>6172.0487173574029</v>
      </c>
      <c r="G155" s="1287">
        <v>5382.6006256023866</v>
      </c>
      <c r="H155" s="1287">
        <v>4675.794482846517</v>
      </c>
      <c r="I155" s="1287">
        <v>0</v>
      </c>
      <c r="J155" s="1287">
        <v>0</v>
      </c>
      <c r="K155" s="1287">
        <v>6213.4718631114793</v>
      </c>
      <c r="L155" s="1287">
        <v>0</v>
      </c>
      <c r="M155" s="1287">
        <v>0</v>
      </c>
      <c r="N155" s="1287">
        <v>0</v>
      </c>
      <c r="O155" s="1287">
        <v>0</v>
      </c>
      <c r="P155" s="1287">
        <v>0</v>
      </c>
      <c r="Q155" s="1287">
        <v>0</v>
      </c>
      <c r="R155" s="1287">
        <v>0</v>
      </c>
      <c r="S155" s="1287">
        <v>1047.2933343932245</v>
      </c>
      <c r="T155" s="1287">
        <v>914.82935533953605</v>
      </c>
      <c r="U155" s="1287">
        <v>798.10974793414698</v>
      </c>
      <c r="V155" s="1287">
        <v>696.09572000271464</v>
      </c>
      <c r="W155" s="1287">
        <v>607.48510997612232</v>
      </c>
      <c r="X155" s="1287">
        <v>530.24473516816181</v>
      </c>
      <c r="Y155" s="1287">
        <v>925.80730760361041</v>
      </c>
      <c r="Z155" s="1411"/>
      <c r="AA155" s="1412">
        <f t="shared" ca="1" si="4"/>
        <v>4980.9193289306895</v>
      </c>
      <c r="AB155" s="1414"/>
      <c r="AC155" s="1288"/>
      <c r="AD155" s="1038"/>
      <c r="AE155" s="1038"/>
      <c r="AF155" s="1038"/>
      <c r="AG155" s="1038"/>
      <c r="AH155" s="1038"/>
      <c r="AI155" s="1038"/>
      <c r="AJ155" s="1038"/>
      <c r="AK155" s="1038"/>
      <c r="AL155" s="1038"/>
      <c r="AM155" s="1038"/>
      <c r="AN155" s="1038"/>
      <c r="AO155" s="1038"/>
      <c r="AP155" s="1038"/>
      <c r="AQ155" s="1038"/>
      <c r="AR155" s="1038"/>
      <c r="AS155" s="1038"/>
      <c r="AT155" s="1038"/>
      <c r="AU155" s="1038"/>
      <c r="AV155" s="1038"/>
      <c r="AW155" s="1038"/>
      <c r="AX155" s="1038"/>
      <c r="AY155" s="1038"/>
      <c r="AZ155" s="1038"/>
      <c r="BA155" s="1038"/>
      <c r="BB155" s="1038"/>
      <c r="BC155" s="1038"/>
      <c r="BD155" s="1288"/>
      <c r="BE155" s="1288"/>
    </row>
    <row r="156" spans="1:57" x14ac:dyDescent="0.25">
      <c r="A156" s="1288"/>
      <c r="B156" s="1347"/>
      <c r="C156" s="1697">
        <v>0</v>
      </c>
      <c r="D156" s="1287">
        <v>0</v>
      </c>
      <c r="E156" s="1287">
        <v>0</v>
      </c>
      <c r="F156" s="1287">
        <v>6098.5680830478841</v>
      </c>
      <c r="G156" s="1287">
        <v>0</v>
      </c>
      <c r="H156" s="1287">
        <v>0</v>
      </c>
      <c r="I156" s="1287">
        <v>0</v>
      </c>
      <c r="J156" s="1287">
        <v>0</v>
      </c>
      <c r="K156" s="1287">
        <v>0</v>
      </c>
      <c r="L156" s="1287">
        <v>0</v>
      </c>
      <c r="M156" s="1287">
        <v>0</v>
      </c>
      <c r="N156" s="1287">
        <v>0</v>
      </c>
      <c r="O156" s="1287">
        <v>0</v>
      </c>
      <c r="P156" s="1287">
        <v>0</v>
      </c>
      <c r="Q156" s="1287">
        <v>0</v>
      </c>
      <c r="R156" s="1287">
        <v>1184.9549384160396</v>
      </c>
      <c r="S156" s="1287">
        <v>1034.8249009696635</v>
      </c>
      <c r="T156" s="1287">
        <v>903.9379569735006</v>
      </c>
      <c r="U156" s="1287">
        <v>788.60794177343325</v>
      </c>
      <c r="V156" s="1287">
        <v>687.80843041893422</v>
      </c>
      <c r="W156" s="1287">
        <v>1200.5055281590323</v>
      </c>
      <c r="X156" s="1287">
        <v>1047.863931795169</v>
      </c>
      <c r="Y156" s="1287">
        <v>914.78521245718264</v>
      </c>
      <c r="Z156" s="1411"/>
      <c r="AA156" s="1412">
        <f t="shared" ca="1" si="4"/>
        <v>0</v>
      </c>
      <c r="AB156" s="1414"/>
      <c r="AC156" s="1288"/>
      <c r="AD156" s="1038"/>
      <c r="AE156" s="1038"/>
      <c r="AF156" s="1038"/>
      <c r="AG156" s="1038"/>
      <c r="AH156" s="1038"/>
      <c r="AI156" s="1038"/>
      <c r="AJ156" s="1038"/>
      <c r="AK156" s="1038"/>
      <c r="AL156" s="1038"/>
      <c r="AM156" s="1038"/>
      <c r="AN156" s="1038"/>
      <c r="AO156" s="1038"/>
      <c r="AP156" s="1038"/>
      <c r="AQ156" s="1038"/>
      <c r="AR156" s="1038"/>
      <c r="AS156" s="1038"/>
      <c r="AT156" s="1038"/>
      <c r="AU156" s="1038"/>
      <c r="AV156" s="1038"/>
      <c r="AW156" s="1038"/>
      <c r="AX156" s="1038"/>
      <c r="AY156" s="1038"/>
      <c r="AZ156" s="1038"/>
      <c r="BA156" s="1038"/>
      <c r="BB156" s="1038"/>
      <c r="BC156" s="1038"/>
      <c r="BD156" s="1288"/>
      <c r="BE156" s="1288"/>
    </row>
    <row r="157" spans="1:57" x14ac:dyDescent="0.25">
      <c r="A157" s="1288"/>
      <c r="B157" s="1347"/>
      <c r="C157" s="1697">
        <v>0</v>
      </c>
      <c r="D157" s="1287">
        <v>0</v>
      </c>
      <c r="E157" s="1287">
        <v>0</v>
      </c>
      <c r="F157" s="1287">
        <v>0</v>
      </c>
      <c r="G157" s="1287">
        <v>0</v>
      </c>
      <c r="H157" s="1287">
        <v>0</v>
      </c>
      <c r="I157" s="1287">
        <v>0</v>
      </c>
      <c r="J157" s="1287">
        <v>0</v>
      </c>
      <c r="K157" s="1287">
        <v>0</v>
      </c>
      <c r="L157" s="1287">
        <v>0</v>
      </c>
      <c r="M157" s="1287">
        <v>0</v>
      </c>
      <c r="N157" s="1287">
        <v>0</v>
      </c>
      <c r="O157" s="1287">
        <v>0</v>
      </c>
      <c r="P157" s="1287">
        <v>1539.133287130489</v>
      </c>
      <c r="Q157" s="1287">
        <v>1346.7416262391778</v>
      </c>
      <c r="R157" s="1287">
        <v>1172.2932290579372</v>
      </c>
      <c r="S157" s="1287">
        <v>1023.7673900822709</v>
      </c>
      <c r="T157" s="1287">
        <v>894.27902453826823</v>
      </c>
      <c r="U157" s="1287">
        <v>1560.3627117805647</v>
      </c>
      <c r="V157" s="1287">
        <v>1360.9178538838007</v>
      </c>
      <c r="W157" s="1287">
        <v>1187.6776546361252</v>
      </c>
      <c r="X157" s="1287">
        <v>1555.0006406060609</v>
      </c>
      <c r="Y157" s="1287">
        <v>1357.5155592490912</v>
      </c>
      <c r="Z157" s="1411"/>
      <c r="AA157" s="1412">
        <f t="shared" ca="1" si="4"/>
        <v>0</v>
      </c>
      <c r="AB157" s="1414"/>
      <c r="AC157" s="1288"/>
      <c r="AD157" s="1038"/>
      <c r="AE157" s="1038"/>
      <c r="AF157" s="1038"/>
      <c r="AG157" s="1038"/>
      <c r="AH157" s="1038"/>
      <c r="AI157" s="1038"/>
      <c r="AJ157" s="1038"/>
      <c r="AK157" s="1038"/>
      <c r="AL157" s="1038"/>
      <c r="AM157" s="1038"/>
      <c r="AN157" s="1038"/>
      <c r="AO157" s="1038"/>
      <c r="AP157" s="1038"/>
      <c r="AQ157" s="1038"/>
      <c r="AR157" s="1038"/>
      <c r="AS157" s="1038"/>
      <c r="AT157" s="1038"/>
      <c r="AU157" s="1038"/>
      <c r="AV157" s="1038"/>
      <c r="AW157" s="1038"/>
      <c r="AX157" s="1038"/>
      <c r="AY157" s="1038"/>
      <c r="AZ157" s="1038"/>
      <c r="BA157" s="1038"/>
      <c r="BB157" s="1038"/>
      <c r="BC157" s="1038"/>
      <c r="BD157" s="1288"/>
      <c r="BE157" s="1288"/>
    </row>
    <row r="158" spans="1:57" x14ac:dyDescent="0.25">
      <c r="A158" s="1288"/>
      <c r="B158" s="1347"/>
      <c r="C158" s="1697">
        <v>0</v>
      </c>
      <c r="D158" s="1287">
        <v>0</v>
      </c>
      <c r="E158" s="1287">
        <v>0</v>
      </c>
      <c r="F158" s="1287">
        <v>0</v>
      </c>
      <c r="G158" s="1287">
        <v>0</v>
      </c>
      <c r="H158" s="1287">
        <v>0</v>
      </c>
      <c r="I158" s="1287">
        <v>0</v>
      </c>
      <c r="J158" s="1287">
        <v>0</v>
      </c>
      <c r="K158" s="1287">
        <v>0</v>
      </c>
      <c r="L158" s="1287">
        <v>0</v>
      </c>
      <c r="M158" s="1287">
        <v>0</v>
      </c>
      <c r="N158" s="1287">
        <v>2001.1184553576591</v>
      </c>
      <c r="O158" s="1287">
        <v>1750.9786484379517</v>
      </c>
      <c r="P158" s="1287">
        <v>1524.6616802725023</v>
      </c>
      <c r="Q158" s="1287">
        <v>1334.0789702384395</v>
      </c>
      <c r="R158" s="1287">
        <v>1161.2708134718023</v>
      </c>
      <c r="S158" s="1287">
        <v>2028.2829592765413</v>
      </c>
      <c r="T158" s="1287">
        <v>1771.7412411071764</v>
      </c>
      <c r="U158" s="1287">
        <v>1545.691496552123</v>
      </c>
      <c r="V158" s="1287">
        <v>2022.1828601508976</v>
      </c>
      <c r="W158" s="1287">
        <v>1764.7658818902189</v>
      </c>
      <c r="X158" s="1287">
        <v>2053.8397892330613</v>
      </c>
      <c r="Y158" s="1287">
        <v>1793.0021360004625</v>
      </c>
      <c r="Z158" s="1411"/>
      <c r="AA158" s="1412">
        <f t="shared" ca="1" si="4"/>
        <v>0</v>
      </c>
      <c r="AB158" s="1414"/>
      <c r="AC158" s="1288"/>
      <c r="AD158" s="1038"/>
      <c r="AE158" s="1038"/>
      <c r="AF158" s="1038"/>
      <c r="AG158" s="1038"/>
      <c r="AH158" s="1038"/>
      <c r="AI158" s="1038"/>
      <c r="AJ158" s="1038"/>
      <c r="AK158" s="1038"/>
      <c r="AL158" s="1038"/>
      <c r="AM158" s="1038"/>
      <c r="AN158" s="1038"/>
      <c r="AO158" s="1038"/>
      <c r="AP158" s="1038"/>
      <c r="AQ158" s="1038"/>
      <c r="AR158" s="1038"/>
      <c r="AS158" s="1038"/>
      <c r="AT158" s="1038"/>
      <c r="AU158" s="1038"/>
      <c r="AV158" s="1038"/>
      <c r="AW158" s="1038"/>
      <c r="AX158" s="1038"/>
      <c r="AY158" s="1038"/>
      <c r="AZ158" s="1038"/>
      <c r="BA158" s="1038"/>
      <c r="BB158" s="1038"/>
      <c r="BC158" s="1038"/>
      <c r="BD158" s="1288"/>
      <c r="BE158" s="1288"/>
    </row>
    <row r="159" spans="1:57" x14ac:dyDescent="0.25">
      <c r="A159" s="1288"/>
      <c r="B159" s="1347"/>
      <c r="C159" s="1697">
        <v>0</v>
      </c>
      <c r="D159" s="1287">
        <v>0</v>
      </c>
      <c r="E159" s="1287">
        <v>0</v>
      </c>
      <c r="F159" s="1287">
        <v>0</v>
      </c>
      <c r="G159" s="1287">
        <v>0</v>
      </c>
      <c r="H159" s="1287">
        <v>0</v>
      </c>
      <c r="I159" s="1287">
        <v>0</v>
      </c>
      <c r="J159" s="1287">
        <v>0</v>
      </c>
      <c r="K159" s="1287">
        <v>0</v>
      </c>
      <c r="L159" s="1287">
        <v>2614.7129179088756</v>
      </c>
      <c r="M159" s="1287">
        <v>2279.4933130487634</v>
      </c>
      <c r="N159" s="1287">
        <v>1984.3803394844147</v>
      </c>
      <c r="O159" s="1287">
        <v>1736.3327970488629</v>
      </c>
      <c r="P159" s="1287">
        <v>1511.9088300833637</v>
      </c>
      <c r="Q159" s="1287">
        <v>2645.8404526458862</v>
      </c>
      <c r="R159" s="1287">
        <v>2303.115005411963</v>
      </c>
      <c r="S159" s="1287">
        <v>2011.3176291606737</v>
      </c>
      <c r="T159" s="1287">
        <v>2635.3825852441237</v>
      </c>
      <c r="U159" s="1287">
        <v>2299.1441174715974</v>
      </c>
      <c r="V159" s="1287">
        <v>2673.691404779001</v>
      </c>
      <c r="W159" s="1287">
        <v>2333.339611782199</v>
      </c>
      <c r="X159" s="1287">
        <v>2545.8258650888256</v>
      </c>
      <c r="Y159" s="1287">
        <v>2667.0071762670532</v>
      </c>
      <c r="Z159" s="1411"/>
      <c r="AA159" s="1412">
        <f t="shared" ca="1" si="4"/>
        <v>0</v>
      </c>
      <c r="AB159" s="1414"/>
      <c r="AC159" s="1288"/>
      <c r="AD159" s="1038"/>
      <c r="AE159" s="1038"/>
      <c r="AF159" s="1038"/>
      <c r="AG159" s="1038"/>
      <c r="AH159" s="1038"/>
      <c r="AI159" s="1038"/>
      <c r="AJ159" s="1038"/>
      <c r="AK159" s="1038"/>
      <c r="AL159" s="1038"/>
      <c r="AM159" s="1038"/>
      <c r="AN159" s="1038"/>
      <c r="AO159" s="1038"/>
      <c r="AP159" s="1038"/>
      <c r="AQ159" s="1038"/>
      <c r="AR159" s="1038"/>
      <c r="AS159" s="1038"/>
      <c r="AT159" s="1038"/>
      <c r="AU159" s="1038"/>
      <c r="AV159" s="1038"/>
      <c r="AW159" s="1038"/>
      <c r="AX159" s="1038"/>
      <c r="AY159" s="1038"/>
      <c r="AZ159" s="1038"/>
      <c r="BA159" s="1038"/>
      <c r="BB159" s="1038"/>
      <c r="BC159" s="1038"/>
      <c r="BD159" s="1288"/>
      <c r="BE159" s="1288"/>
    </row>
    <row r="160" spans="1:57" x14ac:dyDescent="0.25">
      <c r="A160" s="1288"/>
      <c r="B160" s="1347"/>
      <c r="C160" s="1697">
        <v>0</v>
      </c>
      <c r="D160" s="1287">
        <v>0</v>
      </c>
      <c r="E160" s="1287">
        <v>0</v>
      </c>
      <c r="F160" s="1287">
        <v>0</v>
      </c>
      <c r="G160" s="1287">
        <v>0</v>
      </c>
      <c r="H160" s="1287">
        <v>0</v>
      </c>
      <c r="I160" s="1287">
        <v>0</v>
      </c>
      <c r="J160" s="1287">
        <v>3394.2241959015446</v>
      </c>
      <c r="K160" s="1287">
        <v>2961.4036608536967</v>
      </c>
      <c r="L160" s="1287">
        <v>2595.5832086305927</v>
      </c>
      <c r="M160" s="1287">
        <v>2262.8161306010297</v>
      </c>
      <c r="N160" s="1287">
        <v>1969.8622565500034</v>
      </c>
      <c r="O160" s="1287">
        <v>3447.2589489625061</v>
      </c>
      <c r="P160" s="1287">
        <v>3001.6948671238147</v>
      </c>
      <c r="Q160" s="1287">
        <v>2626.483008733338</v>
      </c>
      <c r="R160" s="1287">
        <v>3429.397503631094</v>
      </c>
      <c r="S160" s="1287">
        <v>2994.9037022660686</v>
      </c>
      <c r="T160" s="1287">
        <v>3488.1355372901248</v>
      </c>
      <c r="U160" s="1287">
        <v>3043.0975549462123</v>
      </c>
      <c r="V160" s="1287">
        <v>3317.6627478736896</v>
      </c>
      <c r="W160" s="1287">
        <v>3474.4027202141792</v>
      </c>
      <c r="X160" s="1287">
        <v>3538.0802042043592</v>
      </c>
      <c r="Y160" s="1287">
        <v>3529.9931637376062</v>
      </c>
      <c r="Z160" s="1411"/>
      <c r="AA160" s="1412">
        <f t="shared" ca="1" si="4"/>
        <v>0</v>
      </c>
      <c r="AB160" s="1414"/>
      <c r="AC160" s="1288"/>
      <c r="AD160" s="1038"/>
      <c r="AE160" s="1038"/>
      <c r="AF160" s="1038"/>
      <c r="AG160" s="1038"/>
      <c r="AH160" s="1038"/>
      <c r="AI160" s="1038"/>
      <c r="AJ160" s="1038"/>
      <c r="AK160" s="1038"/>
      <c r="AL160" s="1038"/>
      <c r="AM160" s="1038"/>
      <c r="AN160" s="1038"/>
      <c r="AO160" s="1038"/>
      <c r="AP160" s="1038"/>
      <c r="AQ160" s="1038"/>
      <c r="AR160" s="1038"/>
      <c r="AS160" s="1038"/>
      <c r="AT160" s="1038"/>
      <c r="AU160" s="1038"/>
      <c r="AV160" s="1038"/>
      <c r="AW160" s="1038"/>
      <c r="AX160" s="1038"/>
      <c r="AY160" s="1038"/>
      <c r="AZ160" s="1038"/>
      <c r="BA160" s="1038"/>
      <c r="BB160" s="1038"/>
      <c r="BC160" s="1038"/>
      <c r="BD160" s="1288"/>
      <c r="BE160" s="1288"/>
    </row>
    <row r="161" spans="1:57" x14ac:dyDescent="0.25">
      <c r="A161" s="1288"/>
      <c r="B161" s="1347"/>
      <c r="C161" s="1697">
        <v>0</v>
      </c>
      <c r="D161" s="1287">
        <v>0</v>
      </c>
      <c r="E161" s="1287">
        <v>0</v>
      </c>
      <c r="F161" s="1287">
        <v>0</v>
      </c>
      <c r="G161" s="1287">
        <v>0</v>
      </c>
      <c r="H161" s="1287">
        <v>4428.3128154377418</v>
      </c>
      <c r="I161" s="1287">
        <v>3879.6722896312958</v>
      </c>
      <c r="J161" s="1287">
        <v>3372.3305286795112</v>
      </c>
      <c r="K161" s="1287">
        <v>2942.3018035458822</v>
      </c>
      <c r="L161" s="1287">
        <v>2578.8409925196261</v>
      </c>
      <c r="M161" s="1287">
        <v>4496.4407049060146</v>
      </c>
      <c r="N161" s="1287">
        <v>3914.3122207887182</v>
      </c>
      <c r="O161" s="1287">
        <v>3425.0231931901285</v>
      </c>
      <c r="P161" s="1287">
        <v>4473.4996809013919</v>
      </c>
      <c r="Q161" s="1287">
        <v>3914.3122207887182</v>
      </c>
      <c r="R161" s="1287">
        <v>4543.0359453713618</v>
      </c>
      <c r="S161" s="1287">
        <v>3967.4476807994247</v>
      </c>
      <c r="T161" s="1287">
        <v>4332.0451455369212</v>
      </c>
      <c r="U161" s="1287">
        <v>4535.2031247758941</v>
      </c>
      <c r="V161" s="1287">
        <v>4614.7680918772257</v>
      </c>
      <c r="W161" s="1287">
        <v>4602.6558396675746</v>
      </c>
      <c r="X161" s="1287">
        <v>4519.6182343127466</v>
      </c>
      <c r="Y161" s="1287">
        <v>4384.0296872833642</v>
      </c>
      <c r="Z161" s="1411"/>
      <c r="AA161" s="1412">
        <f t="shared" ca="1" si="4"/>
        <v>2516.6312602171565</v>
      </c>
      <c r="AB161" s="1414"/>
      <c r="AC161" s="1288"/>
      <c r="AD161" s="1038"/>
      <c r="AE161" s="1038"/>
      <c r="AF161" s="1038"/>
      <c r="AG161" s="1038"/>
      <c r="AH161" s="1038"/>
      <c r="AI161" s="1038"/>
      <c r="AJ161" s="1038"/>
      <c r="AK161" s="1038"/>
      <c r="AL161" s="1038"/>
      <c r="AM161" s="1038"/>
      <c r="AN161" s="1038"/>
      <c r="AO161" s="1038"/>
      <c r="AP161" s="1038"/>
      <c r="AQ161" s="1038"/>
      <c r="AR161" s="1038"/>
      <c r="AS161" s="1038"/>
      <c r="AT161" s="1038"/>
      <c r="AU161" s="1038"/>
      <c r="AV161" s="1038"/>
      <c r="AW161" s="1038"/>
      <c r="AX161" s="1038"/>
      <c r="AY161" s="1038"/>
      <c r="AZ161" s="1038"/>
      <c r="BA161" s="1038"/>
      <c r="BB161" s="1038"/>
      <c r="BC161" s="1038"/>
      <c r="BD161" s="1288"/>
      <c r="BE161" s="1288"/>
    </row>
    <row r="162" spans="1:57" x14ac:dyDescent="0.25">
      <c r="A162" s="1288"/>
      <c r="B162" s="1347"/>
      <c r="C162" s="1697">
        <v>0</v>
      </c>
      <c r="D162" s="1287">
        <v>0</v>
      </c>
      <c r="E162" s="1287">
        <v>0</v>
      </c>
      <c r="F162" s="1287">
        <v>0</v>
      </c>
      <c r="G162" s="1287">
        <v>0</v>
      </c>
      <c r="H162" s="1287">
        <v>4402.6761091644585</v>
      </c>
      <c r="I162" s="1287">
        <v>3857.2118124538179</v>
      </c>
      <c r="J162" s="1287">
        <v>3352.8071908252418</v>
      </c>
      <c r="K162" s="1287">
        <v>0</v>
      </c>
      <c r="L162" s="1287">
        <v>0</v>
      </c>
      <c r="M162" s="1287">
        <v>4470.4095877669888</v>
      </c>
      <c r="N162" s="1287">
        <v>0</v>
      </c>
      <c r="O162" s="1287">
        <v>5107.7922047728289</v>
      </c>
      <c r="P162" s="1287">
        <v>5930.1351674460057</v>
      </c>
      <c r="Q162" s="1287">
        <v>5188.8682715152554</v>
      </c>
      <c r="R162" s="1287">
        <v>5645.9188446539047</v>
      </c>
      <c r="S162" s="1287">
        <v>986.11976200742401</v>
      </c>
      <c r="T162" s="1287">
        <v>6029.7520625513234</v>
      </c>
      <c r="U162" s="1287">
        <v>6011.9301352728471</v>
      </c>
      <c r="V162" s="1287">
        <v>5898.9239297226059</v>
      </c>
      <c r="W162" s="1287">
        <v>5720.0122678120924</v>
      </c>
      <c r="X162" s="1287">
        <v>5991.2705815433865</v>
      </c>
      <c r="Y162" s="1287">
        <v>6102.1090873019393</v>
      </c>
      <c r="Z162" s="1411"/>
      <c r="AA162" s="1412">
        <f t="shared" ca="1" si="4"/>
        <v>2502.0617979624949</v>
      </c>
      <c r="AB162" s="1414"/>
      <c r="AC162" s="1288"/>
      <c r="AD162" s="1038"/>
      <c r="AE162" s="1038"/>
      <c r="AF162" s="1038"/>
      <c r="AG162" s="1038"/>
      <c r="AH162" s="1038"/>
      <c r="AI162" s="1038"/>
      <c r="AJ162" s="1038"/>
      <c r="AK162" s="1038"/>
      <c r="AL162" s="1038"/>
      <c r="AM162" s="1038"/>
      <c r="AN162" s="1038"/>
      <c r="AO162" s="1038"/>
      <c r="AP162" s="1038"/>
      <c r="AQ162" s="1038"/>
      <c r="AR162" s="1038"/>
      <c r="AS162" s="1038"/>
      <c r="AT162" s="1038"/>
      <c r="AU162" s="1038"/>
      <c r="AV162" s="1038"/>
      <c r="AW162" s="1038"/>
      <c r="AX162" s="1038"/>
      <c r="AY162" s="1038"/>
      <c r="AZ162" s="1038"/>
      <c r="BA162" s="1038"/>
      <c r="BB162" s="1038"/>
      <c r="BC162" s="1038"/>
      <c r="BD162" s="1288"/>
      <c r="BE162" s="1288"/>
    </row>
    <row r="163" spans="1:57" x14ac:dyDescent="0.25">
      <c r="A163" s="1288"/>
      <c r="B163" s="1347"/>
      <c r="C163" s="1697">
        <v>0</v>
      </c>
      <c r="D163" s="1287">
        <v>0</v>
      </c>
      <c r="E163" s="1287">
        <v>0</v>
      </c>
      <c r="F163" s="1287">
        <v>0</v>
      </c>
      <c r="G163" s="1287">
        <v>0</v>
      </c>
      <c r="H163" s="1287">
        <v>0</v>
      </c>
      <c r="I163" s="1287">
        <v>0</v>
      </c>
      <c r="J163" s="1287">
        <v>0</v>
      </c>
      <c r="K163" s="1287">
        <v>0</v>
      </c>
      <c r="L163" s="1287">
        <v>0</v>
      </c>
      <c r="M163" s="1287">
        <v>2223.9908120138257</v>
      </c>
      <c r="N163" s="1287">
        <v>1936.0634301013215</v>
      </c>
      <c r="O163" s="1287">
        <v>1694.0555013386563</v>
      </c>
      <c r="P163" s="1287">
        <v>1475.095946743864</v>
      </c>
      <c r="Q163" s="1287">
        <v>1290.708953400881</v>
      </c>
      <c r="R163" s="1287">
        <v>2247.0373489258859</v>
      </c>
      <c r="S163" s="1287">
        <v>1962.3448341298463</v>
      </c>
      <c r="T163" s="1287">
        <v>1714.1431159790357</v>
      </c>
      <c r="U163" s="1287">
        <v>2243.1631466001518</v>
      </c>
      <c r="V163" s="1287">
        <v>1956.4430451550195</v>
      </c>
      <c r="W163" s="1287">
        <v>2276.5260280456482</v>
      </c>
      <c r="X163" s="1287">
        <v>1987.0708286034182</v>
      </c>
      <c r="Y163" s="1287">
        <v>2168.3910417134798</v>
      </c>
      <c r="Z163" s="1411"/>
      <c r="AA163" s="1412">
        <f t="shared" ca="1" si="4"/>
        <v>0</v>
      </c>
      <c r="AB163" s="1414"/>
      <c r="AC163" s="1288"/>
      <c r="AD163" s="1038"/>
      <c r="AE163" s="1038"/>
      <c r="AF163" s="1038"/>
      <c r="AG163" s="1038"/>
      <c r="AH163" s="1038"/>
      <c r="AI163" s="1038"/>
      <c r="AJ163" s="1038"/>
      <c r="AK163" s="1038"/>
      <c r="AL163" s="1038"/>
      <c r="AM163" s="1038"/>
      <c r="AN163" s="1038"/>
      <c r="AO163" s="1038"/>
      <c r="AP163" s="1038"/>
      <c r="AQ163" s="1038"/>
      <c r="AR163" s="1038"/>
      <c r="AS163" s="1038"/>
      <c r="AT163" s="1038"/>
      <c r="AU163" s="1038"/>
      <c r="AV163" s="1038"/>
      <c r="AW163" s="1038"/>
      <c r="AX163" s="1038"/>
      <c r="AY163" s="1038"/>
      <c r="AZ163" s="1038"/>
      <c r="BA163" s="1038"/>
      <c r="BB163" s="1038"/>
      <c r="BC163" s="1038"/>
      <c r="BD163" s="1288"/>
      <c r="BE163" s="1288"/>
    </row>
    <row r="164" spans="1:57" x14ac:dyDescent="0.25">
      <c r="A164" s="1288"/>
      <c r="B164" s="1347"/>
      <c r="C164" s="1697">
        <v>0</v>
      </c>
      <c r="D164" s="1287">
        <v>0</v>
      </c>
      <c r="E164" s="1287">
        <v>0</v>
      </c>
      <c r="F164" s="1287">
        <v>0</v>
      </c>
      <c r="G164" s="1287">
        <v>0</v>
      </c>
      <c r="H164" s="1287">
        <v>0</v>
      </c>
      <c r="I164" s="1287">
        <v>0</v>
      </c>
      <c r="J164" s="1287">
        <v>0</v>
      </c>
      <c r="K164" s="1287">
        <v>2897.5638061437712</v>
      </c>
      <c r="L164" s="1287">
        <v>2539.629453620129</v>
      </c>
      <c r="M164" s="1287">
        <v>2214.0359339252409</v>
      </c>
      <c r="N164" s="1287">
        <v>1927.3973531938479</v>
      </c>
      <c r="O164" s="1287">
        <v>1686.4726840446169</v>
      </c>
      <c r="P164" s="1287">
        <v>2936.9864429620538</v>
      </c>
      <c r="Q164" s="1287">
        <v>2569.8631375917971</v>
      </c>
      <c r="R164" s="1287">
        <v>2236.9793114788699</v>
      </c>
      <c r="S164" s="1287">
        <v>2930.3416772539954</v>
      </c>
      <c r="T164" s="1287">
        <v>2559.705575783134</v>
      </c>
      <c r="U164" s="1287">
        <v>2977.4966007960134</v>
      </c>
      <c r="V164" s="1287">
        <v>2596.9143285138161</v>
      </c>
      <c r="W164" s="1287">
        <v>2832.9199941956817</v>
      </c>
      <c r="X164" s="1287">
        <v>2967.2646537142405</v>
      </c>
      <c r="Y164" s="1287">
        <v>3022.159049807954</v>
      </c>
      <c r="Z164" s="1411"/>
      <c r="AA164" s="1412">
        <f t="shared" ca="1" si="4"/>
        <v>0</v>
      </c>
      <c r="AB164" s="1414"/>
      <c r="AC164" s="1288"/>
      <c r="AD164" s="1038"/>
      <c r="AE164" s="1038"/>
      <c r="AF164" s="1038"/>
      <c r="AG164" s="1038"/>
      <c r="AH164" s="1038"/>
      <c r="AI164" s="1038"/>
      <c r="AJ164" s="1038"/>
      <c r="AK164" s="1038"/>
      <c r="AL164" s="1038"/>
      <c r="AM164" s="1038"/>
      <c r="AN164" s="1038"/>
      <c r="AO164" s="1038"/>
      <c r="AP164" s="1038"/>
      <c r="AQ164" s="1038"/>
      <c r="AR164" s="1038"/>
      <c r="AS164" s="1038"/>
      <c r="AT164" s="1038"/>
      <c r="AU164" s="1038"/>
      <c r="AV164" s="1038"/>
      <c r="AW164" s="1038"/>
      <c r="AX164" s="1038"/>
      <c r="AY164" s="1038"/>
      <c r="AZ164" s="1038"/>
      <c r="BA164" s="1038"/>
      <c r="BB164" s="1038"/>
      <c r="BC164" s="1038"/>
      <c r="BD164" s="1288"/>
      <c r="BE164" s="1288"/>
    </row>
    <row r="165" spans="1:57" x14ac:dyDescent="0.25">
      <c r="A165" s="1288"/>
      <c r="B165" s="1347"/>
      <c r="C165" s="1697">
        <v>0</v>
      </c>
      <c r="D165" s="1287">
        <v>0</v>
      </c>
      <c r="E165" s="1287">
        <v>0</v>
      </c>
      <c r="F165" s="1287">
        <v>0</v>
      </c>
      <c r="G165" s="1287">
        <v>0</v>
      </c>
      <c r="H165" s="1287">
        <v>0</v>
      </c>
      <c r="I165" s="1287">
        <v>0</v>
      </c>
      <c r="J165" s="1287">
        <v>3308.0435081952069</v>
      </c>
      <c r="K165" s="1287">
        <v>2886.2124568146101</v>
      </c>
      <c r="L165" s="1287">
        <v>2529.6803297963347</v>
      </c>
      <c r="M165" s="1287">
        <v>2205.3623387968046</v>
      </c>
      <c r="N165" s="1287">
        <v>0</v>
      </c>
      <c r="O165" s="1287">
        <v>3359.7316880107569</v>
      </c>
      <c r="P165" s="1287">
        <v>2925.4806535059652</v>
      </c>
      <c r="Q165" s="1287">
        <v>0</v>
      </c>
      <c r="R165" s="1287">
        <v>3342.3237518034471</v>
      </c>
      <c r="S165" s="1287">
        <v>3891.8158919943608</v>
      </c>
      <c r="T165" s="1287">
        <v>3399.5704036788688</v>
      </c>
      <c r="U165" s="1287">
        <v>3707.290138494629</v>
      </c>
      <c r="V165" s="1287">
        <v>3880.1111825447538</v>
      </c>
      <c r="W165" s="1287">
        <v>3950.5506462698663</v>
      </c>
      <c r="X165" s="1287">
        <v>3940.8536638293413</v>
      </c>
      <c r="Y165" s="1287">
        <v>3870.410904588392</v>
      </c>
      <c r="Z165" s="1411"/>
      <c r="AA165" s="1412">
        <f t="shared" ca="1" si="4"/>
        <v>0</v>
      </c>
      <c r="AB165" s="1414"/>
      <c r="AC165" s="1288"/>
      <c r="AD165" s="1038"/>
      <c r="AE165" s="1038"/>
      <c r="AF165" s="1038"/>
      <c r="AG165" s="1038"/>
      <c r="AH165" s="1038"/>
      <c r="AI165" s="1038"/>
      <c r="AJ165" s="1038"/>
      <c r="AK165" s="1038"/>
      <c r="AL165" s="1038"/>
      <c r="AM165" s="1038"/>
      <c r="AN165" s="1038"/>
      <c r="AO165" s="1038"/>
      <c r="AP165" s="1038"/>
      <c r="AQ165" s="1038"/>
      <c r="AR165" s="1038"/>
      <c r="AS165" s="1038"/>
      <c r="AT165" s="1038"/>
      <c r="AU165" s="1038"/>
      <c r="AV165" s="1038"/>
      <c r="AW165" s="1038"/>
      <c r="AX165" s="1038"/>
      <c r="AY165" s="1038"/>
      <c r="AZ165" s="1038"/>
      <c r="BA165" s="1038"/>
      <c r="BB165" s="1038"/>
      <c r="BC165" s="1038"/>
      <c r="BD165" s="1288"/>
      <c r="BE165" s="1288"/>
    </row>
    <row r="166" spans="1:57" x14ac:dyDescent="0.25">
      <c r="A166" s="1288"/>
      <c r="B166" s="1347"/>
      <c r="C166" s="1697">
        <v>0</v>
      </c>
      <c r="D166" s="1287">
        <v>0</v>
      </c>
      <c r="E166" s="1287">
        <v>0</v>
      </c>
      <c r="F166" s="1287">
        <v>0</v>
      </c>
      <c r="G166" s="1287">
        <v>0</v>
      </c>
      <c r="H166" s="1287">
        <v>0</v>
      </c>
      <c r="I166" s="1287">
        <v>0</v>
      </c>
      <c r="J166" s="1287">
        <v>0</v>
      </c>
      <c r="K166" s="1287">
        <v>2876.2466609874027</v>
      </c>
      <c r="L166" s="1287">
        <v>0</v>
      </c>
      <c r="M166" s="1287">
        <v>0</v>
      </c>
      <c r="N166" s="1287">
        <v>0</v>
      </c>
      <c r="O166" s="1287">
        <v>0</v>
      </c>
      <c r="P166" s="1287">
        <v>4373.0689029298264</v>
      </c>
      <c r="Q166" s="1287">
        <v>1275.4784300211995</v>
      </c>
      <c r="R166" s="1287">
        <v>1110.2610168060182</v>
      </c>
      <c r="S166" s="1287">
        <v>969.59446264054975</v>
      </c>
      <c r="T166" s="1287">
        <v>846.95800886783206</v>
      </c>
      <c r="U166" s="1287">
        <v>4433.3870946943762</v>
      </c>
      <c r="V166" s="1287">
        <v>1288.9045187582647</v>
      </c>
      <c r="W166" s="1287">
        <v>1124.8313713572782</v>
      </c>
      <c r="X166" s="1287">
        <v>1472.7173624987045</v>
      </c>
      <c r="Y166" s="1287">
        <v>1285.6822574613691</v>
      </c>
      <c r="Z166" s="1411"/>
      <c r="AA166" s="1412">
        <f t="shared" ca="1" si="4"/>
        <v>0</v>
      </c>
      <c r="AB166" s="1414"/>
      <c r="AC166" s="1288"/>
      <c r="AD166" s="1038"/>
      <c r="AE166" s="1038"/>
      <c r="AF166" s="1038"/>
      <c r="AG166" s="1038"/>
      <c r="AH166" s="1038"/>
      <c r="AI166" s="1038"/>
      <c r="AJ166" s="1038"/>
      <c r="AK166" s="1038"/>
      <c r="AL166" s="1038"/>
      <c r="AM166" s="1038"/>
      <c r="AN166" s="1038"/>
      <c r="AO166" s="1038"/>
      <c r="AP166" s="1038"/>
      <c r="AQ166" s="1038"/>
      <c r="AR166" s="1038"/>
      <c r="AS166" s="1038"/>
      <c r="AT166" s="1038"/>
      <c r="AU166" s="1038"/>
      <c r="AV166" s="1038"/>
      <c r="AW166" s="1038"/>
      <c r="AX166" s="1038"/>
      <c r="AY166" s="1038"/>
      <c r="AZ166" s="1038"/>
      <c r="BA166" s="1038"/>
      <c r="BB166" s="1038"/>
      <c r="BC166" s="1038"/>
      <c r="BD166" s="1288"/>
      <c r="BE166" s="1288"/>
    </row>
    <row r="167" spans="1:57" x14ac:dyDescent="0.25">
      <c r="A167" s="1288"/>
      <c r="B167" s="1347"/>
      <c r="C167" s="1697">
        <v>0</v>
      </c>
      <c r="D167" s="1287">
        <v>0</v>
      </c>
      <c r="E167" s="1287">
        <v>0</v>
      </c>
      <c r="F167" s="1287">
        <v>0</v>
      </c>
      <c r="G167" s="1287">
        <v>0</v>
      </c>
      <c r="H167" s="1287">
        <v>0</v>
      </c>
      <c r="I167" s="1287">
        <v>0</v>
      </c>
      <c r="J167" s="1287">
        <v>0</v>
      </c>
      <c r="K167" s="1287">
        <v>0</v>
      </c>
      <c r="L167" s="1287">
        <v>0</v>
      </c>
      <c r="M167" s="1287">
        <v>0</v>
      </c>
      <c r="N167" s="1287">
        <v>1907.3850064674864</v>
      </c>
      <c r="O167" s="1287">
        <v>1668.9618806590506</v>
      </c>
      <c r="P167" s="1287">
        <v>1453.2457192133229</v>
      </c>
      <c r="Q167" s="1287">
        <v>1271.5900043116576</v>
      </c>
      <c r="R167" s="1287">
        <v>1106.8762731832046</v>
      </c>
      <c r="S167" s="1287">
        <v>1933.2771106276784</v>
      </c>
      <c r="T167" s="1287">
        <v>1688.7519424850473</v>
      </c>
      <c r="U167" s="1287">
        <v>1473.2904877541964</v>
      </c>
      <c r="V167" s="1287">
        <v>1927.4627433776704</v>
      </c>
      <c r="W167" s="1287">
        <v>1682.1033127902242</v>
      </c>
      <c r="X167" s="1287">
        <v>1957.6368451258509</v>
      </c>
      <c r="Y167" s="1287">
        <v>1709.0169657948679</v>
      </c>
      <c r="Z167" s="1411"/>
      <c r="AA167" s="1412">
        <f t="shared" ca="1" si="4"/>
        <v>0</v>
      </c>
      <c r="AB167" s="1415"/>
      <c r="AC167" s="1288"/>
      <c r="AD167" s="1038"/>
      <c r="AE167" s="1038"/>
      <c r="AF167" s="1038"/>
      <c r="AG167" s="1038"/>
      <c r="AH167" s="1038"/>
      <c r="AI167" s="1038"/>
      <c r="AJ167" s="1038"/>
      <c r="AK167" s="1038"/>
      <c r="AL167" s="1038"/>
      <c r="AM167" s="1038"/>
      <c r="AN167" s="1038"/>
      <c r="AO167" s="1038"/>
      <c r="AP167" s="1038"/>
      <c r="AQ167" s="1038"/>
      <c r="AR167" s="1038"/>
      <c r="AS167" s="1038"/>
      <c r="AT167" s="1038"/>
      <c r="AU167" s="1038"/>
      <c r="AV167" s="1038"/>
      <c r="AW167" s="1038"/>
      <c r="AX167" s="1038"/>
      <c r="AY167" s="1038"/>
      <c r="AZ167" s="1038"/>
      <c r="BA167" s="1038"/>
      <c r="BB167" s="1038"/>
      <c r="BC167" s="1038"/>
      <c r="BD167" s="1288"/>
      <c r="BE167" s="1288"/>
    </row>
    <row r="168" spans="1:57" x14ac:dyDescent="0.25">
      <c r="A168" s="1288"/>
      <c r="B168" s="1347"/>
      <c r="C168" s="1704"/>
      <c r="D168" s="1409"/>
      <c r="E168" s="1409"/>
      <c r="F168" s="1409"/>
      <c r="G168" s="1409"/>
      <c r="H168" s="1409"/>
      <c r="I168" s="1409"/>
      <c r="J168" s="1409"/>
      <c r="K168" s="1409"/>
      <c r="L168" s="1409"/>
      <c r="M168" s="1409"/>
      <c r="N168" s="1409"/>
      <c r="O168" s="1409"/>
      <c r="P168" s="1409"/>
      <c r="Q168" s="1409"/>
      <c r="R168" s="1409"/>
      <c r="S168" s="1409"/>
      <c r="T168" s="1409"/>
      <c r="U168" s="1409"/>
      <c r="V168" s="1409"/>
      <c r="W168" s="1409"/>
      <c r="X168" s="1409"/>
      <c r="Y168" s="1409"/>
      <c r="Z168" s="1411"/>
      <c r="AA168" s="1416"/>
      <c r="AB168" s="1405"/>
      <c r="AC168" s="1288"/>
      <c r="AD168" s="1038"/>
      <c r="AE168" s="1038"/>
      <c r="AF168" s="1038"/>
      <c r="AG168" s="1038"/>
      <c r="AH168" s="1038"/>
      <c r="AI168" s="1038"/>
      <c r="AJ168" s="1038"/>
      <c r="AK168" s="1038"/>
      <c r="AL168" s="1038"/>
      <c r="AM168" s="1038"/>
      <c r="AN168" s="1038"/>
      <c r="AO168" s="1038"/>
      <c r="AP168" s="1038"/>
      <c r="AQ168" s="1038"/>
      <c r="AR168" s="1038"/>
      <c r="AS168" s="1038"/>
      <c r="AT168" s="1038"/>
      <c r="AU168" s="1038"/>
      <c r="AV168" s="1038"/>
      <c r="AW168" s="1038"/>
      <c r="AX168" s="1038"/>
      <c r="AY168" s="1038"/>
      <c r="AZ168" s="1038"/>
      <c r="BA168" s="1038"/>
      <c r="BB168" s="1038"/>
      <c r="BC168" s="1038"/>
      <c r="BD168" s="1288"/>
      <c r="BE168" s="1288"/>
    </row>
    <row r="169" spans="1:57" x14ac:dyDescent="0.25">
      <c r="A169" s="1288"/>
      <c r="B169" s="1341" t="s">
        <v>1294</v>
      </c>
      <c r="C169" s="1705">
        <v>0</v>
      </c>
      <c r="D169" s="1289">
        <v>0</v>
      </c>
      <c r="E169" s="1289">
        <v>0</v>
      </c>
      <c r="F169" s="1289">
        <v>0</v>
      </c>
      <c r="G169" s="1289">
        <v>0</v>
      </c>
      <c r="H169" s="1289">
        <v>0</v>
      </c>
      <c r="I169" s="1289">
        <v>0</v>
      </c>
      <c r="J169" s="1289">
        <v>0</v>
      </c>
      <c r="K169" s="1289">
        <v>0</v>
      </c>
      <c r="L169" s="1289">
        <v>1.6250362711955582E-2</v>
      </c>
      <c r="M169" s="1289">
        <v>1.4166982877089482E-2</v>
      </c>
      <c r="N169" s="1289">
        <v>1.2332864558180575E-2</v>
      </c>
      <c r="O169" s="1289">
        <v>1.0791256488408004E-2</v>
      </c>
      <c r="P169" s="1289">
        <v>9.3964682348042488E-3</v>
      </c>
      <c r="Q169" s="1289">
        <v>1.6443819410907435E-2</v>
      </c>
      <c r="R169" s="1289">
        <v>1.4313790989805435E-2</v>
      </c>
      <c r="S169" s="1289">
        <v>1.2500279009196601E-2</v>
      </c>
      <c r="T169" s="1289">
        <v>1.6378824077267488E-2</v>
      </c>
      <c r="U169" s="1289">
        <v>1.4289112039823014E-2</v>
      </c>
      <c r="V169" s="1289">
        <v>1.6616912246811725E-2</v>
      </c>
      <c r="W169" s="1289">
        <v>1.4501636015918367E-2</v>
      </c>
      <c r="X169" s="1289">
        <v>1.582223173558104E-2</v>
      </c>
      <c r="Y169" s="1289">
        <v>1.6575369966194697E-2</v>
      </c>
      <c r="Z169" s="1411"/>
      <c r="AA169" s="1418">
        <f t="shared" ref="AA169:AA191" ca="1" si="5">FORECAST($C$54,OFFSET(C169:Y169,0,MATCH($C$54,$G$72:$Y$72,1)-1,1,2), OFFSET($G$72:$Y$72,0,MATCH($C$54,$G$72:$Y$72,1)-1,1,2))</f>
        <v>0</v>
      </c>
      <c r="AB169" s="1419" t="e">
        <f ca="1">FORECAST($C$55,OFFSET(AA169:AA191,MATCH($C$55,$B$73:$B$95,1)-1,0,2), OFFSET($B$73:$B$95,MATCH($C$55,$B$73:$B$95,1)-1,0,2))</f>
        <v>#REF!</v>
      </c>
      <c r="AC169" s="1288"/>
      <c r="AD169" s="1038"/>
      <c r="AE169" s="1038"/>
      <c r="AF169" s="1038"/>
      <c r="AG169" s="1038"/>
      <c r="AH169" s="1038"/>
      <c r="AI169" s="1038"/>
      <c r="AJ169" s="1038"/>
      <c r="AK169" s="1038"/>
      <c r="AL169" s="1038"/>
      <c r="AM169" s="1038"/>
      <c r="AN169" s="1038"/>
      <c r="AO169" s="1038"/>
      <c r="AP169" s="1038"/>
      <c r="AQ169" s="1038"/>
      <c r="AR169" s="1038"/>
      <c r="AS169" s="1038"/>
      <c r="AT169" s="1038"/>
      <c r="AU169" s="1038"/>
      <c r="AV169" s="1038"/>
      <c r="AW169" s="1038"/>
      <c r="AX169" s="1038"/>
      <c r="AY169" s="1038"/>
      <c r="AZ169" s="1038"/>
      <c r="BA169" s="1038"/>
      <c r="BB169" s="1038"/>
      <c r="BC169" s="1038"/>
      <c r="BD169" s="1288"/>
      <c r="BE169" s="1288"/>
    </row>
    <row r="170" spans="1:57" x14ac:dyDescent="0.25">
      <c r="A170" s="1288"/>
      <c r="B170" s="1347"/>
      <c r="C170" s="1705">
        <v>0</v>
      </c>
      <c r="D170" s="1289">
        <v>0</v>
      </c>
      <c r="E170" s="1289">
        <v>0</v>
      </c>
      <c r="F170" s="1289">
        <v>0</v>
      </c>
      <c r="G170" s="1289">
        <v>0</v>
      </c>
      <c r="H170" s="1289">
        <v>0</v>
      </c>
      <c r="I170" s="1289">
        <v>0</v>
      </c>
      <c r="J170" s="1289">
        <v>2.1250474315634219E-2</v>
      </c>
      <c r="K170" s="1289">
        <v>1.8540682288808379E-2</v>
      </c>
      <c r="L170" s="1289">
        <v>1.6250362711955579E-2</v>
      </c>
      <c r="M170" s="1289">
        <v>1.4166982877089481E-2</v>
      </c>
      <c r="N170" s="1289">
        <v>1.2332864558180574E-2</v>
      </c>
      <c r="O170" s="1289">
        <v>2.1582512976816005E-2</v>
      </c>
      <c r="P170" s="1289">
        <v>1.8792936469608494E-2</v>
      </c>
      <c r="Q170" s="1289">
        <v>1.6443819410907431E-2</v>
      </c>
      <c r="R170" s="1289">
        <v>2.1470686484708151E-2</v>
      </c>
      <c r="S170" s="1289">
        <v>1.87504185137949E-2</v>
      </c>
      <c r="T170" s="1289">
        <v>1.6378824077267484E-2</v>
      </c>
      <c r="U170" s="1289">
        <v>1.905214938643068E-2</v>
      </c>
      <c r="V170" s="1289">
        <v>2.0771140308514655E-2</v>
      </c>
      <c r="W170" s="1289">
        <v>2.175245402387755E-2</v>
      </c>
      <c r="X170" s="1289">
        <v>1.8986678082697241E-2</v>
      </c>
      <c r="Y170" s="1289">
        <v>1.9337931627227141E-2</v>
      </c>
      <c r="Z170" s="1411"/>
      <c r="AA170" s="1418">
        <f t="shared" ca="1" si="5"/>
        <v>0</v>
      </c>
      <c r="AB170" s="1420"/>
      <c r="AC170" s="1288"/>
      <c r="AD170" s="1038"/>
      <c r="AE170" s="1038"/>
      <c r="AF170" s="1038"/>
      <c r="AG170" s="1038"/>
      <c r="AH170" s="1038"/>
      <c r="AI170" s="1038"/>
      <c r="AJ170" s="1038"/>
      <c r="AK170" s="1038"/>
      <c r="AL170" s="1038"/>
      <c r="AM170" s="1038"/>
      <c r="AN170" s="1038"/>
      <c r="AO170" s="1038"/>
      <c r="AP170" s="1038"/>
      <c r="AQ170" s="1038"/>
      <c r="AR170" s="1038"/>
      <c r="AS170" s="1038"/>
      <c r="AT170" s="1038"/>
      <c r="AU170" s="1038"/>
      <c r="AV170" s="1038"/>
      <c r="AW170" s="1038"/>
      <c r="AX170" s="1038"/>
      <c r="AY170" s="1038"/>
      <c r="AZ170" s="1038"/>
      <c r="BA170" s="1038"/>
      <c r="BB170" s="1038"/>
      <c r="BC170" s="1038"/>
      <c r="BD170" s="1288"/>
      <c r="BE170" s="1288"/>
    </row>
    <row r="171" spans="1:57" x14ac:dyDescent="0.25">
      <c r="A171" s="1288"/>
      <c r="B171" s="1347"/>
      <c r="C171" s="1705">
        <v>0</v>
      </c>
      <c r="D171" s="1289">
        <v>0</v>
      </c>
      <c r="E171" s="1289">
        <v>0</v>
      </c>
      <c r="F171" s="1289">
        <v>0</v>
      </c>
      <c r="G171" s="1289">
        <v>0</v>
      </c>
      <c r="H171" s="1289">
        <v>2.7904663242752016E-2</v>
      </c>
      <c r="I171" s="1289">
        <v>2.4447448327720792E-2</v>
      </c>
      <c r="J171" s="1289">
        <v>2.1250474315634225E-2</v>
      </c>
      <c r="K171" s="1289">
        <v>1.8540682288808386E-2</v>
      </c>
      <c r="L171" s="1289">
        <v>1.6250362711955586E-2</v>
      </c>
      <c r="M171" s="1289">
        <v>1.4166982877089484E-2</v>
      </c>
      <c r="N171" s="1289">
        <v>2.4665729116361158E-2</v>
      </c>
      <c r="O171" s="1289">
        <v>2.1582512976816012E-2</v>
      </c>
      <c r="P171" s="1289">
        <v>2.8189404704412748E-2</v>
      </c>
      <c r="Q171" s="1289">
        <v>2.4665729116361154E-2</v>
      </c>
      <c r="R171" s="1289">
        <v>2.1470686484708155E-2</v>
      </c>
      <c r="S171" s="1289">
        <v>2.500055801839321E-2</v>
      </c>
      <c r="T171" s="1289">
        <v>2.7298040128779143E-2</v>
      </c>
      <c r="U171" s="1289">
        <v>2.3815186733038354E-2</v>
      </c>
      <c r="V171" s="1289">
        <v>2.4925368370217589E-2</v>
      </c>
      <c r="W171" s="1289">
        <v>2.5377863027857148E-2</v>
      </c>
      <c r="X171" s="1289">
        <v>2.5315570776929662E-2</v>
      </c>
      <c r="Y171" s="1289">
        <v>2.7625616610324491E-2</v>
      </c>
      <c r="Z171" s="1411"/>
      <c r="AA171" s="1418">
        <f t="shared" ca="1" si="5"/>
        <v>1.5858353000204772E-2</v>
      </c>
      <c r="AB171" s="1420"/>
      <c r="AC171" s="1288"/>
      <c r="AD171" s="1038"/>
      <c r="AE171" s="1038"/>
      <c r="AF171" s="1038"/>
      <c r="AG171" s="1038"/>
      <c r="AH171" s="1038"/>
      <c r="AI171" s="1038"/>
      <c r="AJ171" s="1038"/>
      <c r="AK171" s="1038"/>
      <c r="AL171" s="1038"/>
      <c r="AM171" s="1038"/>
      <c r="AN171" s="1038"/>
      <c r="AO171" s="1038"/>
      <c r="AP171" s="1038"/>
      <c r="AQ171" s="1038"/>
      <c r="AR171" s="1038"/>
      <c r="AS171" s="1038"/>
      <c r="AT171" s="1038"/>
      <c r="AU171" s="1038"/>
      <c r="AV171" s="1038"/>
      <c r="AW171" s="1038"/>
      <c r="AX171" s="1038"/>
      <c r="AY171" s="1038"/>
      <c r="AZ171" s="1038"/>
      <c r="BA171" s="1038"/>
      <c r="BB171" s="1038"/>
      <c r="BC171" s="1038"/>
      <c r="BD171" s="1288"/>
      <c r="BE171" s="1288"/>
    </row>
    <row r="172" spans="1:57" x14ac:dyDescent="0.25">
      <c r="A172" s="1288"/>
      <c r="B172" s="1347"/>
      <c r="C172" s="1705">
        <v>0</v>
      </c>
      <c r="D172" s="1289">
        <v>0</v>
      </c>
      <c r="E172" s="1289">
        <v>0</v>
      </c>
      <c r="F172" s="1289">
        <v>0</v>
      </c>
      <c r="G172" s="1289">
        <v>3.2122810012005225E-2</v>
      </c>
      <c r="H172" s="1289">
        <v>2.7904663242752009E-2</v>
      </c>
      <c r="I172" s="1289">
        <v>2.4447448327720788E-2</v>
      </c>
      <c r="J172" s="1289">
        <v>2.1250474315634222E-2</v>
      </c>
      <c r="K172" s="1289">
        <v>1.8540682288808383E-2</v>
      </c>
      <c r="L172" s="1289">
        <v>3.2500725423911164E-2</v>
      </c>
      <c r="M172" s="1289">
        <v>2.8333965754178965E-2</v>
      </c>
      <c r="N172" s="1289">
        <v>2.4665729116361151E-2</v>
      </c>
      <c r="O172" s="1289">
        <v>3.2373769465224016E-2</v>
      </c>
      <c r="P172" s="1289">
        <v>2.8189404704412748E-2</v>
      </c>
      <c r="Q172" s="1289">
        <v>3.288763882181487E-2</v>
      </c>
      <c r="R172" s="1289">
        <v>3.578447747451359E-2</v>
      </c>
      <c r="S172" s="1289">
        <v>3.1250697522991505E-2</v>
      </c>
      <c r="T172" s="1289">
        <v>3.2757648154534975E-2</v>
      </c>
      <c r="U172" s="1289">
        <v>3.3341261426253703E-2</v>
      </c>
      <c r="V172" s="1289">
        <v>3.323382449362345E-2</v>
      </c>
      <c r="W172" s="1289">
        <v>3.6254090039795919E-2</v>
      </c>
      <c r="X172" s="1289">
        <v>3.4808909818278277E-2</v>
      </c>
      <c r="Y172" s="1289">
        <v>3.5913301593421834E-2</v>
      </c>
      <c r="Z172" s="1411"/>
      <c r="AA172" s="1418">
        <f t="shared" ca="1" si="5"/>
        <v>2.9725617116625441E-2</v>
      </c>
      <c r="AB172" s="1420"/>
      <c r="AC172" s="1288"/>
      <c r="AD172" s="1038"/>
      <c r="AE172" s="1038"/>
      <c r="AF172" s="1038"/>
      <c r="AG172" s="1038"/>
      <c r="AH172" s="1038"/>
      <c r="AI172" s="1038"/>
      <c r="AJ172" s="1038"/>
      <c r="AK172" s="1038"/>
      <c r="AL172" s="1038"/>
      <c r="AM172" s="1038"/>
      <c r="AN172" s="1038"/>
      <c r="AO172" s="1038"/>
      <c r="AP172" s="1038"/>
      <c r="AQ172" s="1038"/>
      <c r="AR172" s="1038"/>
      <c r="AS172" s="1038"/>
      <c r="AT172" s="1038"/>
      <c r="AU172" s="1038"/>
      <c r="AV172" s="1038"/>
      <c r="AW172" s="1038"/>
      <c r="AX172" s="1038"/>
      <c r="AY172" s="1038"/>
      <c r="AZ172" s="1038"/>
      <c r="BA172" s="1038"/>
      <c r="BB172" s="1038"/>
      <c r="BC172" s="1038"/>
      <c r="BD172" s="1288"/>
      <c r="BE172" s="1288"/>
    </row>
    <row r="173" spans="1:57" x14ac:dyDescent="0.25">
      <c r="A173" s="1288"/>
      <c r="B173" s="1347"/>
      <c r="C173" s="1705">
        <v>0</v>
      </c>
      <c r="D173" s="1289">
        <v>0</v>
      </c>
      <c r="E173" s="1289">
        <v>0</v>
      </c>
      <c r="F173" s="1289">
        <v>0</v>
      </c>
      <c r="G173" s="1289">
        <v>3.2122810012005225E-2</v>
      </c>
      <c r="H173" s="1289">
        <v>2.7904663242752009E-2</v>
      </c>
      <c r="I173" s="1289">
        <v>2.4447448327720788E-2</v>
      </c>
      <c r="J173" s="1289">
        <v>0</v>
      </c>
      <c r="K173" s="1289">
        <v>3.7081364577616766E-2</v>
      </c>
      <c r="L173" s="1289">
        <v>3.2500725423911164E-2</v>
      </c>
      <c r="M173" s="1289">
        <v>0</v>
      </c>
      <c r="N173" s="1289">
        <v>3.6998593674541731E-2</v>
      </c>
      <c r="O173" s="1289">
        <v>4.3165025953632016E-2</v>
      </c>
      <c r="P173" s="1289">
        <v>9.3964682348042488E-3</v>
      </c>
      <c r="Q173" s="1289">
        <v>4.1109548527268593E-2</v>
      </c>
      <c r="R173" s="1289">
        <v>4.294137296941631E-2</v>
      </c>
      <c r="S173" s="1289">
        <v>6.2501395045983007E-3</v>
      </c>
      <c r="T173" s="1289">
        <v>5.4596080257558284E-3</v>
      </c>
      <c r="U173" s="1289">
        <v>9.5260746932153417E-3</v>
      </c>
      <c r="V173" s="1289">
        <v>4.5696508678732241E-2</v>
      </c>
      <c r="W173" s="1289">
        <v>4.7130317051734698E-2</v>
      </c>
      <c r="X173" s="1289">
        <v>9.4933390413486224E-3</v>
      </c>
      <c r="Y173" s="1289">
        <v>8.2876849830973483E-3</v>
      </c>
      <c r="Z173" s="1411"/>
      <c r="AA173" s="1418">
        <f t="shared" ca="1" si="5"/>
        <v>2.9725617116625441E-2</v>
      </c>
      <c r="AB173" s="1420"/>
      <c r="AC173" s="1288"/>
      <c r="AD173" s="1038"/>
      <c r="AE173" s="1038"/>
      <c r="AF173" s="1038"/>
      <c r="AG173" s="1038"/>
      <c r="AH173" s="1038"/>
      <c r="AI173" s="1038"/>
      <c r="AJ173" s="1038"/>
      <c r="AK173" s="1038"/>
      <c r="AL173" s="1038"/>
      <c r="AM173" s="1038"/>
      <c r="AN173" s="1038"/>
      <c r="AO173" s="1038"/>
      <c r="AP173" s="1038"/>
      <c r="AQ173" s="1038"/>
      <c r="AR173" s="1038"/>
      <c r="AS173" s="1038"/>
      <c r="AT173" s="1038"/>
      <c r="AU173" s="1038"/>
      <c r="AV173" s="1038"/>
      <c r="AW173" s="1038"/>
      <c r="AX173" s="1038"/>
      <c r="AY173" s="1038"/>
      <c r="AZ173" s="1038"/>
      <c r="BA173" s="1038"/>
      <c r="BB173" s="1038"/>
      <c r="BC173" s="1038"/>
      <c r="BD173" s="1288"/>
      <c r="BE173" s="1288"/>
    </row>
    <row r="174" spans="1:57" x14ac:dyDescent="0.25">
      <c r="A174" s="1288"/>
      <c r="B174" s="1347"/>
      <c r="C174" s="1705">
        <v>0</v>
      </c>
      <c r="D174" s="1289">
        <v>0</v>
      </c>
      <c r="E174" s="1289">
        <v>0</v>
      </c>
      <c r="F174" s="1289">
        <v>0</v>
      </c>
      <c r="G174" s="1289">
        <v>3.2122810012005225E-2</v>
      </c>
      <c r="H174" s="1289">
        <v>0</v>
      </c>
      <c r="I174" s="1289">
        <v>0</v>
      </c>
      <c r="J174" s="1289">
        <v>0</v>
      </c>
      <c r="K174" s="1289">
        <v>0</v>
      </c>
      <c r="L174" s="1289">
        <v>0</v>
      </c>
      <c r="M174" s="1289">
        <v>0</v>
      </c>
      <c r="N174" s="1289">
        <v>1.2332864558180575E-2</v>
      </c>
      <c r="O174" s="1289">
        <v>1.0791256488408004E-2</v>
      </c>
      <c r="P174" s="1289">
        <v>9.3964682348042488E-3</v>
      </c>
      <c r="Q174" s="1289">
        <v>8.2219097054537175E-3</v>
      </c>
      <c r="R174" s="1289">
        <v>7.1568954949027177E-3</v>
      </c>
      <c r="S174" s="1289">
        <v>1.2500279009196601E-2</v>
      </c>
      <c r="T174" s="1289">
        <v>1.0919216051511657E-2</v>
      </c>
      <c r="U174" s="1289">
        <v>9.5260746932153417E-3</v>
      </c>
      <c r="V174" s="1289">
        <v>1.2462684185108791E-2</v>
      </c>
      <c r="W174" s="1289">
        <v>1.0876227011938775E-2</v>
      </c>
      <c r="X174" s="1289">
        <v>1.2657785388464829E-2</v>
      </c>
      <c r="Y174" s="1289">
        <v>1.3812808305162244E-2</v>
      </c>
      <c r="Z174" s="1411"/>
      <c r="AA174" s="1418">
        <f t="shared" ca="1" si="5"/>
        <v>1.3867264116420669E-2</v>
      </c>
      <c r="AB174" s="1420"/>
      <c r="AC174" s="1288"/>
      <c r="AD174" s="1038"/>
      <c r="AE174" s="1038"/>
      <c r="AF174" s="1038"/>
      <c r="AG174" s="1038"/>
      <c r="AH174" s="1038"/>
      <c r="AI174" s="1038"/>
      <c r="AJ174" s="1038"/>
      <c r="AK174" s="1038"/>
      <c r="AL174" s="1038"/>
      <c r="AM174" s="1038"/>
      <c r="AN174" s="1038"/>
      <c r="AO174" s="1038"/>
      <c r="AP174" s="1038"/>
      <c r="AQ174" s="1038"/>
      <c r="AR174" s="1038"/>
      <c r="AS174" s="1038"/>
      <c r="AT174" s="1038"/>
      <c r="AU174" s="1038"/>
      <c r="AV174" s="1038"/>
      <c r="AW174" s="1038"/>
      <c r="AX174" s="1038"/>
      <c r="AY174" s="1038"/>
      <c r="AZ174" s="1038"/>
      <c r="BA174" s="1038"/>
      <c r="BB174" s="1038"/>
      <c r="BC174" s="1038"/>
      <c r="BD174" s="1288"/>
      <c r="BE174" s="1288"/>
    </row>
    <row r="175" spans="1:57" x14ac:dyDescent="0.25">
      <c r="A175" s="1288"/>
      <c r="B175" s="1347"/>
      <c r="C175" s="1705">
        <v>0</v>
      </c>
      <c r="D175" s="1289">
        <v>0</v>
      </c>
      <c r="E175" s="1289">
        <v>0</v>
      </c>
      <c r="F175" s="1289">
        <v>0</v>
      </c>
      <c r="G175" s="1289">
        <v>0</v>
      </c>
      <c r="H175" s="1289">
        <v>0</v>
      </c>
      <c r="I175" s="1289">
        <v>0</v>
      </c>
      <c r="J175" s="1289">
        <v>0</v>
      </c>
      <c r="K175" s="1289">
        <v>0</v>
      </c>
      <c r="L175" s="1289">
        <v>1.6250362711955586E-2</v>
      </c>
      <c r="M175" s="1289">
        <v>1.4166982877089484E-2</v>
      </c>
      <c r="N175" s="1289">
        <v>1.2332864558180579E-2</v>
      </c>
      <c r="O175" s="1289">
        <v>1.0791256488408006E-2</v>
      </c>
      <c r="P175" s="1289">
        <v>9.3964682348042505E-3</v>
      </c>
      <c r="Q175" s="1289">
        <v>1.6443819410907438E-2</v>
      </c>
      <c r="R175" s="1289">
        <v>1.4313790989805437E-2</v>
      </c>
      <c r="S175" s="1289">
        <v>1.2500279009196605E-2</v>
      </c>
      <c r="T175" s="1289">
        <v>1.6378824077267488E-2</v>
      </c>
      <c r="U175" s="1289">
        <v>1.4289112039823014E-2</v>
      </c>
      <c r="V175" s="1289">
        <v>1.6616912246811725E-2</v>
      </c>
      <c r="W175" s="1289">
        <v>1.4501636015918371E-2</v>
      </c>
      <c r="X175" s="1289">
        <v>1.582223173558104E-2</v>
      </c>
      <c r="Y175" s="1289">
        <v>1.6575369966194697E-2</v>
      </c>
      <c r="Z175" s="1411"/>
      <c r="AA175" s="1418">
        <f t="shared" ca="1" si="5"/>
        <v>0</v>
      </c>
      <c r="AB175" s="1420"/>
      <c r="AC175" s="1288"/>
      <c r="AD175" s="1038"/>
      <c r="AE175" s="1038"/>
      <c r="AF175" s="1038"/>
      <c r="AG175" s="1038"/>
      <c r="AH175" s="1038"/>
      <c r="AI175" s="1038"/>
      <c r="AJ175" s="1038"/>
      <c r="AK175" s="1038"/>
      <c r="AL175" s="1038"/>
      <c r="AM175" s="1038"/>
      <c r="AN175" s="1038"/>
      <c r="AO175" s="1038"/>
      <c r="AP175" s="1038"/>
      <c r="AQ175" s="1038"/>
      <c r="AR175" s="1038"/>
      <c r="AS175" s="1038"/>
      <c r="AT175" s="1038"/>
      <c r="AU175" s="1038"/>
      <c r="AV175" s="1038"/>
      <c r="AW175" s="1038"/>
      <c r="AX175" s="1038"/>
      <c r="AY175" s="1038"/>
      <c r="AZ175" s="1038"/>
      <c r="BA175" s="1038"/>
      <c r="BB175" s="1038"/>
      <c r="BC175" s="1038"/>
      <c r="BD175" s="1288"/>
      <c r="BE175" s="1288"/>
    </row>
    <row r="176" spans="1:57" x14ac:dyDescent="0.25">
      <c r="A176" s="1288"/>
      <c r="B176" s="1347"/>
      <c r="C176" s="1705">
        <v>0</v>
      </c>
      <c r="D176" s="1289">
        <v>0</v>
      </c>
      <c r="E176" s="1289">
        <v>0</v>
      </c>
      <c r="F176" s="1289">
        <v>0</v>
      </c>
      <c r="G176" s="1289">
        <v>0</v>
      </c>
      <c r="H176" s="1289">
        <v>0</v>
      </c>
      <c r="I176" s="1289">
        <v>0</v>
      </c>
      <c r="J176" s="1289">
        <v>2.1250474315634222E-2</v>
      </c>
      <c r="K176" s="1289">
        <v>1.8540682288808383E-2</v>
      </c>
      <c r="L176" s="1289">
        <v>1.6250362711955582E-2</v>
      </c>
      <c r="M176" s="1289">
        <v>1.4166982877089482E-2</v>
      </c>
      <c r="N176" s="1289">
        <v>1.2332864558180575E-2</v>
      </c>
      <c r="O176" s="1289">
        <v>2.1582512976816008E-2</v>
      </c>
      <c r="P176" s="1289">
        <v>1.8792936469608498E-2</v>
      </c>
      <c r="Q176" s="1289">
        <v>1.6443819410907435E-2</v>
      </c>
      <c r="R176" s="1289">
        <v>2.1470686484708155E-2</v>
      </c>
      <c r="S176" s="1289">
        <v>1.8750418513794904E-2</v>
      </c>
      <c r="T176" s="1289">
        <v>2.1838432103023313E-2</v>
      </c>
      <c r="U176" s="1289">
        <v>1.9052149386430683E-2</v>
      </c>
      <c r="V176" s="1289">
        <v>2.0771140308514652E-2</v>
      </c>
      <c r="W176" s="1289">
        <v>2.1752454023877554E-2</v>
      </c>
      <c r="X176" s="1289">
        <v>2.215112442981345E-2</v>
      </c>
      <c r="Y176" s="1289">
        <v>2.2100493288259592E-2</v>
      </c>
      <c r="Z176" s="1411"/>
      <c r="AA176" s="1418">
        <f t="shared" ca="1" si="5"/>
        <v>0</v>
      </c>
      <c r="AB176" s="1420"/>
      <c r="AC176" s="1288"/>
      <c r="AD176" s="1038"/>
      <c r="AE176" s="1038"/>
      <c r="AF176" s="1038"/>
      <c r="AG176" s="1038"/>
      <c r="AH176" s="1038"/>
      <c r="AI176" s="1038"/>
      <c r="AJ176" s="1038"/>
      <c r="AK176" s="1038"/>
      <c r="AL176" s="1038"/>
      <c r="AM176" s="1038"/>
      <c r="AN176" s="1038"/>
      <c r="AO176" s="1038"/>
      <c r="AP176" s="1038"/>
      <c r="AQ176" s="1038"/>
      <c r="AR176" s="1038"/>
      <c r="AS176" s="1038"/>
      <c r="AT176" s="1038"/>
      <c r="AU176" s="1038"/>
      <c r="AV176" s="1038"/>
      <c r="AW176" s="1038"/>
      <c r="AX176" s="1038"/>
      <c r="AY176" s="1038"/>
      <c r="AZ176" s="1038"/>
      <c r="BA176" s="1038"/>
      <c r="BB176" s="1038"/>
      <c r="BC176" s="1038"/>
      <c r="BD176" s="1288"/>
      <c r="BE176" s="1288"/>
    </row>
    <row r="177" spans="1:57" x14ac:dyDescent="0.25">
      <c r="A177" s="1288"/>
      <c r="B177" s="1347"/>
      <c r="C177" s="1705">
        <v>0</v>
      </c>
      <c r="D177" s="1289">
        <v>0</v>
      </c>
      <c r="E177" s="1289">
        <v>0</v>
      </c>
      <c r="F177" s="1289">
        <v>0</v>
      </c>
      <c r="G177" s="1289">
        <v>0</v>
      </c>
      <c r="H177" s="1289">
        <v>2.7904663242752009E-2</v>
      </c>
      <c r="I177" s="1289">
        <v>2.4447448327720788E-2</v>
      </c>
      <c r="J177" s="1289">
        <v>2.1250474315634222E-2</v>
      </c>
      <c r="K177" s="1289">
        <v>1.8540682288808383E-2</v>
      </c>
      <c r="L177" s="1289">
        <v>1.6250362711955582E-2</v>
      </c>
      <c r="M177" s="1289">
        <v>2.8333965754178965E-2</v>
      </c>
      <c r="N177" s="1289">
        <v>2.4665729116361151E-2</v>
      </c>
      <c r="O177" s="1289">
        <v>2.1582512976816008E-2</v>
      </c>
      <c r="P177" s="1289">
        <v>2.8189404704412748E-2</v>
      </c>
      <c r="Q177" s="1289">
        <v>2.4665729116361154E-2</v>
      </c>
      <c r="R177" s="1289">
        <v>2.8627581979610871E-2</v>
      </c>
      <c r="S177" s="1289">
        <v>2.5000558018393203E-2</v>
      </c>
      <c r="T177" s="1289">
        <v>2.7298040128779143E-2</v>
      </c>
      <c r="U177" s="1289">
        <v>2.8578224079646029E-2</v>
      </c>
      <c r="V177" s="1289">
        <v>2.9079596431920519E-2</v>
      </c>
      <c r="W177" s="1289">
        <v>2.9003272031836735E-2</v>
      </c>
      <c r="X177" s="1289">
        <v>2.8480017124045871E-2</v>
      </c>
      <c r="Y177" s="1289">
        <v>2.7625616610324491E-2</v>
      </c>
      <c r="Z177" s="1411"/>
      <c r="AA177" s="1418">
        <f t="shared" ca="1" si="5"/>
        <v>1.5858353000204772E-2</v>
      </c>
      <c r="AB177" s="1420"/>
      <c r="AC177" s="1288"/>
      <c r="AD177" s="1038"/>
      <c r="AE177" s="1038"/>
      <c r="AF177" s="1038"/>
      <c r="AG177" s="1038"/>
      <c r="AH177" s="1038"/>
      <c r="AI177" s="1038"/>
      <c r="AJ177" s="1038"/>
      <c r="AK177" s="1038"/>
      <c r="AL177" s="1038"/>
      <c r="AM177" s="1038"/>
      <c r="AN177" s="1038"/>
      <c r="AO177" s="1038"/>
      <c r="AP177" s="1038"/>
      <c r="AQ177" s="1038"/>
      <c r="AR177" s="1038"/>
      <c r="AS177" s="1038"/>
      <c r="AT177" s="1038"/>
      <c r="AU177" s="1038"/>
      <c r="AV177" s="1038"/>
      <c r="AW177" s="1038"/>
      <c r="AX177" s="1038"/>
      <c r="AY177" s="1038"/>
      <c r="AZ177" s="1038"/>
      <c r="BA177" s="1038"/>
      <c r="BB177" s="1038"/>
      <c r="BC177" s="1038"/>
      <c r="BD177" s="1288"/>
      <c r="BE177" s="1288"/>
    </row>
    <row r="178" spans="1:57" x14ac:dyDescent="0.25">
      <c r="A178" s="1288"/>
      <c r="B178" s="1347"/>
      <c r="C178" s="1705">
        <v>0</v>
      </c>
      <c r="D178" s="1289">
        <v>0</v>
      </c>
      <c r="E178" s="1289">
        <v>0</v>
      </c>
      <c r="F178" s="1289">
        <v>3.6834155480432652E-2</v>
      </c>
      <c r="G178" s="1289">
        <v>3.2122810012005225E-2</v>
      </c>
      <c r="H178" s="1289">
        <v>2.7904663242752009E-2</v>
      </c>
      <c r="I178" s="1289">
        <v>2.4447448327720788E-2</v>
      </c>
      <c r="J178" s="1289">
        <v>2.1250474315634222E-2</v>
      </c>
      <c r="K178" s="1289">
        <v>3.7081364577616766E-2</v>
      </c>
      <c r="L178" s="1289">
        <v>3.2500725423911164E-2</v>
      </c>
      <c r="M178" s="1289">
        <v>2.8333965754178965E-2</v>
      </c>
      <c r="N178" s="1289">
        <v>3.6998593674541724E-2</v>
      </c>
      <c r="O178" s="1289">
        <v>3.2373769465224009E-2</v>
      </c>
      <c r="P178" s="1289">
        <v>3.7585872939216995E-2</v>
      </c>
      <c r="Q178" s="1289">
        <v>3.288763882181487E-2</v>
      </c>
      <c r="R178" s="1289">
        <v>3.578447747451359E-2</v>
      </c>
      <c r="S178" s="1289">
        <v>3.7500837027589801E-2</v>
      </c>
      <c r="T178" s="1289">
        <v>3.8217256180290801E-2</v>
      </c>
      <c r="U178" s="1289">
        <v>3.8104298772861367E-2</v>
      </c>
      <c r="V178" s="1289">
        <v>3.738805255532638E-2</v>
      </c>
      <c r="W178" s="1289">
        <v>3.6254090039795919E-2</v>
      </c>
      <c r="X178" s="1289">
        <v>3.7973356165394483E-2</v>
      </c>
      <c r="Y178" s="1289">
        <v>3.8675863254454289E-2</v>
      </c>
      <c r="Z178" s="1411"/>
      <c r="AA178" s="1418">
        <f t="shared" ca="1" si="5"/>
        <v>2.9725617116625441E-2</v>
      </c>
      <c r="AB178" s="1420"/>
      <c r="AC178" s="1288"/>
      <c r="AD178" s="1038"/>
      <c r="AE178" s="1038"/>
      <c r="AF178" s="1038"/>
      <c r="AG178" s="1038"/>
      <c r="AH178" s="1038"/>
      <c r="AI178" s="1038"/>
      <c r="AJ178" s="1038"/>
      <c r="AK178" s="1038"/>
      <c r="AL178" s="1038"/>
      <c r="AM178" s="1038"/>
      <c r="AN178" s="1038"/>
      <c r="AO178" s="1038"/>
      <c r="AP178" s="1038"/>
      <c r="AQ178" s="1038"/>
      <c r="AR178" s="1038"/>
      <c r="AS178" s="1038"/>
      <c r="AT178" s="1038"/>
      <c r="AU178" s="1038"/>
      <c r="AV178" s="1038"/>
      <c r="AW178" s="1038"/>
      <c r="AX178" s="1038"/>
      <c r="AY178" s="1038"/>
      <c r="AZ178" s="1038"/>
      <c r="BA178" s="1038"/>
      <c r="BB178" s="1038"/>
      <c r="BC178" s="1038"/>
      <c r="BD178" s="1288"/>
      <c r="BE178" s="1288"/>
    </row>
    <row r="179" spans="1:57" x14ac:dyDescent="0.25">
      <c r="A179" s="1288"/>
      <c r="B179" s="1347"/>
      <c r="C179" s="1705">
        <v>0</v>
      </c>
      <c r="D179" s="1289">
        <v>0</v>
      </c>
      <c r="E179" s="1289">
        <v>4.1856994864128014E-2</v>
      </c>
      <c r="F179" s="1289">
        <v>3.6834155480432652E-2</v>
      </c>
      <c r="G179" s="1289">
        <v>3.2122810012005225E-2</v>
      </c>
      <c r="H179" s="1289">
        <v>2.7904663242752009E-2</v>
      </c>
      <c r="I179" s="1289">
        <v>0</v>
      </c>
      <c r="J179" s="1289">
        <v>0</v>
      </c>
      <c r="K179" s="1289">
        <v>3.7081364577616766E-2</v>
      </c>
      <c r="L179" s="1289">
        <v>0</v>
      </c>
      <c r="M179" s="1289">
        <v>0</v>
      </c>
      <c r="N179" s="1289">
        <v>0</v>
      </c>
      <c r="O179" s="1289">
        <v>0</v>
      </c>
      <c r="P179" s="1289">
        <v>0</v>
      </c>
      <c r="Q179" s="1289">
        <v>0</v>
      </c>
      <c r="R179" s="1289">
        <v>0</v>
      </c>
      <c r="S179" s="1289">
        <v>6.2501395045983007E-3</v>
      </c>
      <c r="T179" s="1289">
        <v>5.4596080257558284E-3</v>
      </c>
      <c r="U179" s="1289">
        <v>4.7630373466076709E-3</v>
      </c>
      <c r="V179" s="1289">
        <v>4.1542280617029312E-3</v>
      </c>
      <c r="W179" s="1289">
        <v>3.6254090039795918E-3</v>
      </c>
      <c r="X179" s="1289">
        <v>3.1644463471162073E-3</v>
      </c>
      <c r="Y179" s="1289">
        <v>5.525123322064898E-3</v>
      </c>
      <c r="Z179" s="1411"/>
      <c r="AA179" s="1418">
        <f t="shared" ca="1" si="5"/>
        <v>2.9725617116625441E-2</v>
      </c>
      <c r="AB179" s="1420"/>
      <c r="AC179" s="1288"/>
      <c r="AD179" s="1038"/>
      <c r="AE179" s="1038"/>
      <c r="AF179" s="1038"/>
      <c r="AG179" s="1038"/>
      <c r="AH179" s="1038"/>
      <c r="AI179" s="1038"/>
      <c r="AJ179" s="1038"/>
      <c r="AK179" s="1038"/>
      <c r="AL179" s="1038"/>
      <c r="AM179" s="1038"/>
      <c r="AN179" s="1038"/>
      <c r="AO179" s="1038"/>
      <c r="AP179" s="1038"/>
      <c r="AQ179" s="1038"/>
      <c r="AR179" s="1038"/>
      <c r="AS179" s="1038"/>
      <c r="AT179" s="1038"/>
      <c r="AU179" s="1038"/>
      <c r="AV179" s="1038"/>
      <c r="AW179" s="1038"/>
      <c r="AX179" s="1038"/>
      <c r="AY179" s="1038"/>
      <c r="AZ179" s="1038"/>
      <c r="BA179" s="1038"/>
      <c r="BB179" s="1038"/>
      <c r="BC179" s="1038"/>
      <c r="BD179" s="1288"/>
      <c r="BE179" s="1288"/>
    </row>
    <row r="180" spans="1:57" x14ac:dyDescent="0.25">
      <c r="A180" s="1288"/>
      <c r="B180" s="1347"/>
      <c r="C180" s="1705">
        <v>0</v>
      </c>
      <c r="D180" s="1289">
        <v>0</v>
      </c>
      <c r="E180" s="1289">
        <v>0</v>
      </c>
      <c r="F180" s="1289">
        <v>3.6834155480432659E-2</v>
      </c>
      <c r="G180" s="1289">
        <v>0</v>
      </c>
      <c r="H180" s="1289">
        <v>0</v>
      </c>
      <c r="I180" s="1289">
        <v>0</v>
      </c>
      <c r="J180" s="1289">
        <v>0</v>
      </c>
      <c r="K180" s="1289">
        <v>0</v>
      </c>
      <c r="L180" s="1289">
        <v>0</v>
      </c>
      <c r="M180" s="1289">
        <v>0</v>
      </c>
      <c r="N180" s="1289">
        <v>0</v>
      </c>
      <c r="O180" s="1289">
        <v>0</v>
      </c>
      <c r="P180" s="1289">
        <v>0</v>
      </c>
      <c r="Q180" s="1289">
        <v>0</v>
      </c>
      <c r="R180" s="1289">
        <v>7.1568954949027186E-3</v>
      </c>
      <c r="S180" s="1289">
        <v>6.2501395045983024E-3</v>
      </c>
      <c r="T180" s="1289">
        <v>5.4596080257558292E-3</v>
      </c>
      <c r="U180" s="1289">
        <v>4.7630373466076717E-3</v>
      </c>
      <c r="V180" s="1289">
        <v>4.1542280617029312E-3</v>
      </c>
      <c r="W180" s="1289">
        <v>7.2508180079591854E-3</v>
      </c>
      <c r="X180" s="1289">
        <v>6.3288926942324155E-3</v>
      </c>
      <c r="Y180" s="1289">
        <v>5.5251233220648989E-3</v>
      </c>
      <c r="Z180" s="1411"/>
      <c r="AA180" s="1418">
        <f t="shared" ca="1" si="5"/>
        <v>0</v>
      </c>
      <c r="AB180" s="1420"/>
      <c r="AC180" s="1288"/>
      <c r="AD180" s="1038"/>
      <c r="AE180" s="1038"/>
      <c r="AF180" s="1038"/>
      <c r="AG180" s="1038"/>
      <c r="AH180" s="1038"/>
      <c r="AI180" s="1038"/>
      <c r="AJ180" s="1038"/>
      <c r="AK180" s="1038"/>
      <c r="AL180" s="1038"/>
      <c r="AM180" s="1038"/>
      <c r="AN180" s="1038"/>
      <c r="AO180" s="1038"/>
      <c r="AP180" s="1038"/>
      <c r="AQ180" s="1038"/>
      <c r="AR180" s="1038"/>
      <c r="AS180" s="1038"/>
      <c r="AT180" s="1038"/>
      <c r="AU180" s="1038"/>
      <c r="AV180" s="1038"/>
      <c r="AW180" s="1038"/>
      <c r="AX180" s="1038"/>
      <c r="AY180" s="1038"/>
      <c r="AZ180" s="1038"/>
      <c r="BA180" s="1038"/>
      <c r="BB180" s="1038"/>
      <c r="BC180" s="1038"/>
      <c r="BD180" s="1288"/>
      <c r="BE180" s="1288"/>
    </row>
    <row r="181" spans="1:57" x14ac:dyDescent="0.25">
      <c r="A181" s="1288"/>
      <c r="B181" s="1347"/>
      <c r="C181" s="1705">
        <v>0</v>
      </c>
      <c r="D181" s="1289">
        <v>0</v>
      </c>
      <c r="E181" s="1289">
        <v>0</v>
      </c>
      <c r="F181" s="1289">
        <v>0</v>
      </c>
      <c r="G181" s="1289">
        <v>0</v>
      </c>
      <c r="H181" s="1289">
        <v>0</v>
      </c>
      <c r="I181" s="1289">
        <v>0</v>
      </c>
      <c r="J181" s="1289">
        <v>0</v>
      </c>
      <c r="K181" s="1289">
        <v>0</v>
      </c>
      <c r="L181" s="1289">
        <v>0</v>
      </c>
      <c r="M181" s="1289">
        <v>0</v>
      </c>
      <c r="N181" s="1289">
        <v>0</v>
      </c>
      <c r="O181" s="1289">
        <v>0</v>
      </c>
      <c r="P181" s="1289">
        <v>9.3964682348042471E-3</v>
      </c>
      <c r="Q181" s="1289">
        <v>8.2219097054537157E-3</v>
      </c>
      <c r="R181" s="1289">
        <v>7.1568954949027168E-3</v>
      </c>
      <c r="S181" s="1289">
        <v>6.2501395045982998E-3</v>
      </c>
      <c r="T181" s="1289">
        <v>5.4596080257558275E-3</v>
      </c>
      <c r="U181" s="1289">
        <v>9.52607469321534E-3</v>
      </c>
      <c r="V181" s="1289">
        <v>8.3084561234058607E-3</v>
      </c>
      <c r="W181" s="1289">
        <v>7.2508180079591828E-3</v>
      </c>
      <c r="X181" s="1289">
        <v>9.4933390413486207E-3</v>
      </c>
      <c r="Y181" s="1289">
        <v>8.2876849830973466E-3</v>
      </c>
      <c r="Z181" s="1411"/>
      <c r="AA181" s="1418">
        <f t="shared" ca="1" si="5"/>
        <v>0</v>
      </c>
      <c r="AB181" s="1420"/>
      <c r="AC181" s="1288"/>
      <c r="AD181" s="1038"/>
      <c r="AE181" s="1038"/>
      <c r="AF181" s="1038"/>
      <c r="AG181" s="1038"/>
      <c r="AH181" s="1038"/>
      <c r="AI181" s="1038"/>
      <c r="AJ181" s="1038"/>
      <c r="AK181" s="1038"/>
      <c r="AL181" s="1038"/>
      <c r="AM181" s="1038"/>
      <c r="AN181" s="1038"/>
      <c r="AO181" s="1038"/>
      <c r="AP181" s="1038"/>
      <c r="AQ181" s="1038"/>
      <c r="AR181" s="1038"/>
      <c r="AS181" s="1038"/>
      <c r="AT181" s="1038"/>
      <c r="AU181" s="1038"/>
      <c r="AV181" s="1038"/>
      <c r="AW181" s="1038"/>
      <c r="AX181" s="1038"/>
      <c r="AY181" s="1038"/>
      <c r="AZ181" s="1038"/>
      <c r="BA181" s="1038"/>
      <c r="BB181" s="1038"/>
      <c r="BC181" s="1038"/>
      <c r="BD181" s="1288"/>
      <c r="BE181" s="1288"/>
    </row>
    <row r="182" spans="1:57" x14ac:dyDescent="0.25">
      <c r="A182" s="1288"/>
      <c r="B182" s="1347"/>
      <c r="C182" s="1705">
        <v>0</v>
      </c>
      <c r="D182" s="1289">
        <v>0</v>
      </c>
      <c r="E182" s="1289">
        <v>0</v>
      </c>
      <c r="F182" s="1289">
        <v>0</v>
      </c>
      <c r="G182" s="1289">
        <v>0</v>
      </c>
      <c r="H182" s="1289">
        <v>0</v>
      </c>
      <c r="I182" s="1289">
        <v>0</v>
      </c>
      <c r="J182" s="1289">
        <v>0</v>
      </c>
      <c r="K182" s="1289">
        <v>0</v>
      </c>
      <c r="L182" s="1289">
        <v>0</v>
      </c>
      <c r="M182" s="1289">
        <v>0</v>
      </c>
      <c r="N182" s="1289">
        <v>1.2332864558180575E-2</v>
      </c>
      <c r="O182" s="1289">
        <v>1.0791256488408004E-2</v>
      </c>
      <c r="P182" s="1289">
        <v>9.3964682348042488E-3</v>
      </c>
      <c r="Q182" s="1289">
        <v>8.2219097054537175E-3</v>
      </c>
      <c r="R182" s="1289">
        <v>7.1568954949027177E-3</v>
      </c>
      <c r="S182" s="1289">
        <v>1.2500279009196601E-2</v>
      </c>
      <c r="T182" s="1289">
        <v>1.0919216051511657E-2</v>
      </c>
      <c r="U182" s="1289">
        <v>9.5260746932153417E-3</v>
      </c>
      <c r="V182" s="1289">
        <v>1.2462684185108791E-2</v>
      </c>
      <c r="W182" s="1289">
        <v>1.0876227011938775E-2</v>
      </c>
      <c r="X182" s="1289">
        <v>1.2657785388464829E-2</v>
      </c>
      <c r="Y182" s="1289">
        <v>1.1050246644129796E-2</v>
      </c>
      <c r="Z182" s="1411"/>
      <c r="AA182" s="1418">
        <f t="shared" ca="1" si="5"/>
        <v>0</v>
      </c>
      <c r="AB182" s="1420"/>
      <c r="AC182" s="1288"/>
      <c r="AD182" s="1038"/>
      <c r="AE182" s="1038"/>
      <c r="AF182" s="1038"/>
      <c r="AG182" s="1038"/>
      <c r="AH182" s="1038"/>
      <c r="AI182" s="1038"/>
      <c r="AJ182" s="1038"/>
      <c r="AK182" s="1038"/>
      <c r="AL182" s="1038"/>
      <c r="AM182" s="1038"/>
      <c r="AN182" s="1038"/>
      <c r="AO182" s="1038"/>
      <c r="AP182" s="1038"/>
      <c r="AQ182" s="1038"/>
      <c r="AR182" s="1038"/>
      <c r="AS182" s="1038"/>
      <c r="AT182" s="1038"/>
      <c r="AU182" s="1038"/>
      <c r="AV182" s="1038"/>
      <c r="AW182" s="1038"/>
      <c r="AX182" s="1038"/>
      <c r="AY182" s="1038"/>
      <c r="AZ182" s="1038"/>
      <c r="BA182" s="1038"/>
      <c r="BB182" s="1038"/>
      <c r="BC182" s="1038"/>
      <c r="BD182" s="1288"/>
      <c r="BE182" s="1288"/>
    </row>
    <row r="183" spans="1:57" x14ac:dyDescent="0.25">
      <c r="A183" s="1288"/>
      <c r="B183" s="1347"/>
      <c r="C183" s="1705">
        <v>0</v>
      </c>
      <c r="D183" s="1289">
        <v>0</v>
      </c>
      <c r="E183" s="1289">
        <v>0</v>
      </c>
      <c r="F183" s="1289">
        <v>0</v>
      </c>
      <c r="G183" s="1289">
        <v>0</v>
      </c>
      <c r="H183" s="1289">
        <v>0</v>
      </c>
      <c r="I183" s="1289">
        <v>0</v>
      </c>
      <c r="J183" s="1289">
        <v>0</v>
      </c>
      <c r="K183" s="1289">
        <v>0</v>
      </c>
      <c r="L183" s="1289">
        <v>1.6250362711955586E-2</v>
      </c>
      <c r="M183" s="1289">
        <v>1.4166982877089484E-2</v>
      </c>
      <c r="N183" s="1289">
        <v>1.2332864558180579E-2</v>
      </c>
      <c r="O183" s="1289">
        <v>1.0791256488408006E-2</v>
      </c>
      <c r="P183" s="1289">
        <v>9.3964682348042505E-3</v>
      </c>
      <c r="Q183" s="1289">
        <v>1.6443819410907438E-2</v>
      </c>
      <c r="R183" s="1289">
        <v>1.4313790989805437E-2</v>
      </c>
      <c r="S183" s="1289">
        <v>1.2500279009196605E-2</v>
      </c>
      <c r="T183" s="1289">
        <v>1.6378824077267491E-2</v>
      </c>
      <c r="U183" s="1289">
        <v>1.4289112039823016E-2</v>
      </c>
      <c r="V183" s="1289">
        <v>1.6616912246811725E-2</v>
      </c>
      <c r="W183" s="1289">
        <v>1.4501636015918371E-2</v>
      </c>
      <c r="X183" s="1289">
        <v>1.582223173558104E-2</v>
      </c>
      <c r="Y183" s="1289">
        <v>1.65753699661947E-2</v>
      </c>
      <c r="Z183" s="1411"/>
      <c r="AA183" s="1418">
        <f t="shared" ca="1" si="5"/>
        <v>0</v>
      </c>
      <c r="AB183" s="1420"/>
      <c r="AC183" s="1288"/>
      <c r="AD183" s="1038"/>
      <c r="AE183" s="1038"/>
      <c r="AF183" s="1038"/>
      <c r="AG183" s="1038"/>
      <c r="AH183" s="1038"/>
      <c r="AI183" s="1038"/>
      <c r="AJ183" s="1038"/>
      <c r="AK183" s="1038"/>
      <c r="AL183" s="1038"/>
      <c r="AM183" s="1038"/>
      <c r="AN183" s="1038"/>
      <c r="AO183" s="1038"/>
      <c r="AP183" s="1038"/>
      <c r="AQ183" s="1038"/>
      <c r="AR183" s="1038"/>
      <c r="AS183" s="1038"/>
      <c r="AT183" s="1038"/>
      <c r="AU183" s="1038"/>
      <c r="AV183" s="1038"/>
      <c r="AW183" s="1038"/>
      <c r="AX183" s="1038"/>
      <c r="AY183" s="1038"/>
      <c r="AZ183" s="1038"/>
      <c r="BA183" s="1038"/>
      <c r="BB183" s="1038"/>
      <c r="BC183" s="1038"/>
      <c r="BD183" s="1288"/>
      <c r="BE183" s="1288"/>
    </row>
    <row r="184" spans="1:57" x14ac:dyDescent="0.25">
      <c r="A184" s="1288"/>
      <c r="B184" s="1347"/>
      <c r="C184" s="1705">
        <v>0</v>
      </c>
      <c r="D184" s="1289">
        <v>0</v>
      </c>
      <c r="E184" s="1289">
        <v>0</v>
      </c>
      <c r="F184" s="1289">
        <v>0</v>
      </c>
      <c r="G184" s="1289">
        <v>0</v>
      </c>
      <c r="H184" s="1289">
        <v>0</v>
      </c>
      <c r="I184" s="1289">
        <v>0</v>
      </c>
      <c r="J184" s="1289">
        <v>2.1250474315634225E-2</v>
      </c>
      <c r="K184" s="1289">
        <v>1.8540682288808386E-2</v>
      </c>
      <c r="L184" s="1289">
        <v>1.6250362711955586E-2</v>
      </c>
      <c r="M184" s="1289">
        <v>1.4166982877089484E-2</v>
      </c>
      <c r="N184" s="1289">
        <v>1.2332864558180579E-2</v>
      </c>
      <c r="O184" s="1289">
        <v>2.1582512976816012E-2</v>
      </c>
      <c r="P184" s="1289">
        <v>1.8792936469608501E-2</v>
      </c>
      <c r="Q184" s="1289">
        <v>1.6443819410907438E-2</v>
      </c>
      <c r="R184" s="1289">
        <v>2.1470686484708155E-2</v>
      </c>
      <c r="S184" s="1289">
        <v>1.8750418513794904E-2</v>
      </c>
      <c r="T184" s="1289">
        <v>2.1838432103023317E-2</v>
      </c>
      <c r="U184" s="1289">
        <v>1.9052149386430687E-2</v>
      </c>
      <c r="V184" s="1289">
        <v>2.0771140308514659E-2</v>
      </c>
      <c r="W184" s="1289">
        <v>2.1752454023877554E-2</v>
      </c>
      <c r="X184" s="1289">
        <v>2.2151124429813453E-2</v>
      </c>
      <c r="Y184" s="1289">
        <v>2.2100493288259596E-2</v>
      </c>
      <c r="Z184" s="1411"/>
      <c r="AA184" s="1418">
        <f t="shared" ca="1" si="5"/>
        <v>0</v>
      </c>
      <c r="AB184" s="1420"/>
      <c r="AC184" s="1288"/>
      <c r="AD184" s="1038"/>
      <c r="AE184" s="1038"/>
      <c r="AF184" s="1038"/>
      <c r="AG184" s="1038"/>
      <c r="AH184" s="1038"/>
      <c r="AI184" s="1038"/>
      <c r="AJ184" s="1038"/>
      <c r="AK184" s="1038"/>
      <c r="AL184" s="1038"/>
      <c r="AM184" s="1038"/>
      <c r="AN184" s="1038"/>
      <c r="AO184" s="1038"/>
      <c r="AP184" s="1038"/>
      <c r="AQ184" s="1038"/>
      <c r="AR184" s="1038"/>
      <c r="AS184" s="1038"/>
      <c r="AT184" s="1038"/>
      <c r="AU184" s="1038"/>
      <c r="AV184" s="1038"/>
      <c r="AW184" s="1038"/>
      <c r="AX184" s="1038"/>
      <c r="AY184" s="1038"/>
      <c r="AZ184" s="1038"/>
      <c r="BA184" s="1038"/>
      <c r="BB184" s="1038"/>
      <c r="BC184" s="1038"/>
      <c r="BD184" s="1288"/>
      <c r="BE184" s="1288"/>
    </row>
    <row r="185" spans="1:57" x14ac:dyDescent="0.25">
      <c r="A185" s="1288"/>
      <c r="B185" s="1347"/>
      <c r="C185" s="1706">
        <v>0</v>
      </c>
      <c r="D185" s="1291">
        <v>0</v>
      </c>
      <c r="E185" s="1291">
        <v>0</v>
      </c>
      <c r="F185" s="1291">
        <v>0</v>
      </c>
      <c r="G185" s="1291">
        <v>0</v>
      </c>
      <c r="H185" s="1289">
        <v>2.7904663242752016E-2</v>
      </c>
      <c r="I185" s="1289">
        <v>2.4447448327720792E-2</v>
      </c>
      <c r="J185" s="1289">
        <v>2.1250474315634225E-2</v>
      </c>
      <c r="K185" s="1289">
        <v>1.8540682288808386E-2</v>
      </c>
      <c r="L185" s="1289">
        <v>1.6250362711955586E-2</v>
      </c>
      <c r="M185" s="1289">
        <v>2.8333965754178968E-2</v>
      </c>
      <c r="N185" s="1289">
        <v>2.4665729116361158E-2</v>
      </c>
      <c r="O185" s="1289">
        <v>2.1582512976816012E-2</v>
      </c>
      <c r="P185" s="1289">
        <v>2.8189404704412748E-2</v>
      </c>
      <c r="Q185" s="1289">
        <v>2.4665729116361154E-2</v>
      </c>
      <c r="R185" s="1289">
        <v>2.8627581979610874E-2</v>
      </c>
      <c r="S185" s="1289">
        <v>2.500055801839321E-2</v>
      </c>
      <c r="T185" s="1289">
        <v>2.7298040128779146E-2</v>
      </c>
      <c r="U185" s="1289">
        <v>2.8578224079646029E-2</v>
      </c>
      <c r="V185" s="1289">
        <v>2.9079596431920519E-2</v>
      </c>
      <c r="W185" s="1289">
        <v>2.9003272031836742E-2</v>
      </c>
      <c r="X185" s="1289">
        <v>2.8480017124045871E-2</v>
      </c>
      <c r="Y185" s="1289">
        <v>2.7625616610324494E-2</v>
      </c>
      <c r="Z185" s="1411"/>
      <c r="AA185" s="1418">
        <f t="shared" ca="1" si="5"/>
        <v>1.5858353000204772E-2</v>
      </c>
      <c r="AB185" s="1420"/>
      <c r="AC185" s="1288"/>
      <c r="AD185" s="1038"/>
      <c r="AE185" s="1038"/>
      <c r="AF185" s="1038"/>
      <c r="AG185" s="1038"/>
      <c r="AH185" s="1038"/>
      <c r="AI185" s="1038"/>
      <c r="AJ185" s="1038"/>
      <c r="AK185" s="1038"/>
      <c r="AL185" s="1038"/>
      <c r="AM185" s="1038"/>
      <c r="AN185" s="1038"/>
      <c r="AO185" s="1038"/>
      <c r="AP185" s="1038"/>
      <c r="AQ185" s="1038"/>
      <c r="AR185" s="1038"/>
      <c r="AS185" s="1038"/>
      <c r="AT185" s="1038"/>
      <c r="AU185" s="1038"/>
      <c r="AV185" s="1038"/>
      <c r="AW185" s="1038"/>
      <c r="AX185" s="1038"/>
      <c r="AY185" s="1038"/>
      <c r="AZ185" s="1038"/>
      <c r="BA185" s="1038"/>
      <c r="BB185" s="1038"/>
      <c r="BC185" s="1038"/>
      <c r="BD185" s="1288"/>
      <c r="BE185" s="1288"/>
    </row>
    <row r="186" spans="1:57" x14ac:dyDescent="0.25">
      <c r="A186" s="1288"/>
      <c r="B186" s="1347"/>
      <c r="C186" s="1705">
        <v>0</v>
      </c>
      <c r="D186" s="1289">
        <v>0</v>
      </c>
      <c r="E186" s="1289">
        <v>0</v>
      </c>
      <c r="F186" s="1289">
        <v>0</v>
      </c>
      <c r="G186" s="1289">
        <v>0</v>
      </c>
      <c r="H186" s="1289">
        <v>2.7904663242752016E-2</v>
      </c>
      <c r="I186" s="1289">
        <v>2.4447448327720792E-2</v>
      </c>
      <c r="J186" s="1289">
        <v>2.1250474315634225E-2</v>
      </c>
      <c r="K186" s="1289">
        <v>0</v>
      </c>
      <c r="L186" s="1289">
        <v>0</v>
      </c>
      <c r="M186" s="1289">
        <v>2.8333965754178968E-2</v>
      </c>
      <c r="N186" s="1289">
        <v>0</v>
      </c>
      <c r="O186" s="1289">
        <v>3.2373769465224009E-2</v>
      </c>
      <c r="P186" s="1289">
        <v>3.7585872939217002E-2</v>
      </c>
      <c r="Q186" s="1289">
        <v>3.2887638821814877E-2</v>
      </c>
      <c r="R186" s="1289">
        <v>3.578447747451359E-2</v>
      </c>
      <c r="S186" s="1289">
        <v>6.2501395045983024E-3</v>
      </c>
      <c r="T186" s="1289">
        <v>3.8217256180290801E-2</v>
      </c>
      <c r="U186" s="1289">
        <v>3.8104298772861374E-2</v>
      </c>
      <c r="V186" s="1289">
        <v>3.738805255532638E-2</v>
      </c>
      <c r="W186" s="1289">
        <v>3.6254090039795919E-2</v>
      </c>
      <c r="X186" s="1289">
        <v>3.7973356165394483E-2</v>
      </c>
      <c r="Y186" s="1289">
        <v>3.8675863254454289E-2</v>
      </c>
      <c r="Z186" s="1411"/>
      <c r="AA186" s="1418">
        <f t="shared" ca="1" si="5"/>
        <v>1.5858353000204772E-2</v>
      </c>
      <c r="AB186" s="1420"/>
      <c r="AC186" s="1288"/>
      <c r="AD186" s="1038"/>
      <c r="AE186" s="1038"/>
      <c r="AF186" s="1038"/>
      <c r="AG186" s="1038"/>
      <c r="AH186" s="1038"/>
      <c r="AI186" s="1038"/>
      <c r="AJ186" s="1038"/>
      <c r="AK186" s="1038"/>
      <c r="AL186" s="1038"/>
      <c r="AM186" s="1038"/>
      <c r="AN186" s="1038"/>
      <c r="AO186" s="1038"/>
      <c r="AP186" s="1038"/>
      <c r="AQ186" s="1038"/>
      <c r="AR186" s="1038"/>
      <c r="AS186" s="1038"/>
      <c r="AT186" s="1038"/>
      <c r="AU186" s="1038"/>
      <c r="AV186" s="1038"/>
      <c r="AW186" s="1038"/>
      <c r="AX186" s="1038"/>
      <c r="AY186" s="1038"/>
      <c r="AZ186" s="1038"/>
      <c r="BA186" s="1038"/>
      <c r="BB186" s="1038"/>
      <c r="BC186" s="1038"/>
      <c r="BD186" s="1288"/>
      <c r="BE186" s="1288"/>
    </row>
    <row r="187" spans="1:57" x14ac:dyDescent="0.25">
      <c r="A187" s="1288"/>
      <c r="B187" s="1347"/>
      <c r="C187" s="1705">
        <v>0</v>
      </c>
      <c r="D187" s="1289">
        <v>0</v>
      </c>
      <c r="E187" s="1289">
        <v>0</v>
      </c>
      <c r="F187" s="1289">
        <v>0</v>
      </c>
      <c r="G187" s="1289">
        <v>0</v>
      </c>
      <c r="H187" s="1289">
        <v>0</v>
      </c>
      <c r="I187" s="1289">
        <v>0</v>
      </c>
      <c r="J187" s="1289">
        <v>0</v>
      </c>
      <c r="K187" s="1289">
        <v>0</v>
      </c>
      <c r="L187" s="1289">
        <v>0</v>
      </c>
      <c r="M187" s="1289">
        <v>1.4166982877089482E-2</v>
      </c>
      <c r="N187" s="1289">
        <v>1.2332864558180575E-2</v>
      </c>
      <c r="O187" s="1289">
        <v>1.0791256488408004E-2</v>
      </c>
      <c r="P187" s="1289">
        <v>9.3964682348042488E-3</v>
      </c>
      <c r="Q187" s="1289">
        <v>8.2219097054537175E-3</v>
      </c>
      <c r="R187" s="1289">
        <v>1.4313790989805435E-2</v>
      </c>
      <c r="S187" s="1289">
        <v>1.2500279009196601E-2</v>
      </c>
      <c r="T187" s="1289">
        <v>1.0919216051511657E-2</v>
      </c>
      <c r="U187" s="1289">
        <v>1.4289112039823014E-2</v>
      </c>
      <c r="V187" s="1289">
        <v>1.2462684185108795E-2</v>
      </c>
      <c r="W187" s="1289">
        <v>1.4501636015918367E-2</v>
      </c>
      <c r="X187" s="1289">
        <v>1.2657785388464829E-2</v>
      </c>
      <c r="Y187" s="1289">
        <v>1.3812808305162244E-2</v>
      </c>
      <c r="Z187" s="1411"/>
      <c r="AA187" s="1418">
        <f t="shared" ca="1" si="5"/>
        <v>0</v>
      </c>
      <c r="AB187" s="1420"/>
      <c r="AC187" s="1288"/>
      <c r="AD187" s="1038"/>
      <c r="AE187" s="1038"/>
      <c r="AF187" s="1038"/>
      <c r="AG187" s="1038"/>
      <c r="AH187" s="1038"/>
      <c r="AI187" s="1038"/>
      <c r="AJ187" s="1038"/>
      <c r="AK187" s="1038"/>
      <c r="AL187" s="1038"/>
      <c r="AM187" s="1038"/>
      <c r="AN187" s="1038"/>
      <c r="AO187" s="1038"/>
      <c r="AP187" s="1038"/>
      <c r="AQ187" s="1038"/>
      <c r="AR187" s="1038"/>
      <c r="AS187" s="1038"/>
      <c r="AT187" s="1038"/>
      <c r="AU187" s="1038"/>
      <c r="AV187" s="1038"/>
      <c r="AW187" s="1038"/>
      <c r="AX187" s="1038"/>
      <c r="AY187" s="1038"/>
      <c r="AZ187" s="1038"/>
      <c r="BA187" s="1038"/>
      <c r="BB187" s="1038"/>
      <c r="BC187" s="1038"/>
      <c r="BD187" s="1288"/>
      <c r="BE187" s="1288"/>
    </row>
    <row r="188" spans="1:57" x14ac:dyDescent="0.25">
      <c r="A188" s="1288"/>
      <c r="B188" s="1347"/>
      <c r="C188" s="1705">
        <v>0</v>
      </c>
      <c r="D188" s="1289">
        <v>0</v>
      </c>
      <c r="E188" s="1289">
        <v>0</v>
      </c>
      <c r="F188" s="1289">
        <v>0</v>
      </c>
      <c r="G188" s="1289">
        <v>0</v>
      </c>
      <c r="H188" s="1289">
        <v>0</v>
      </c>
      <c r="I188" s="1289">
        <v>0</v>
      </c>
      <c r="J188" s="1289">
        <v>0</v>
      </c>
      <c r="K188" s="1289">
        <v>1.8540682288808386E-2</v>
      </c>
      <c r="L188" s="1289">
        <v>1.6250362711955586E-2</v>
      </c>
      <c r="M188" s="1289">
        <v>1.4166982877089484E-2</v>
      </c>
      <c r="N188" s="1289">
        <v>1.2332864558180579E-2</v>
      </c>
      <c r="O188" s="1289">
        <v>1.0791256488408006E-2</v>
      </c>
      <c r="P188" s="1289">
        <v>1.8792936469608501E-2</v>
      </c>
      <c r="Q188" s="1289">
        <v>1.6443819410907438E-2</v>
      </c>
      <c r="R188" s="1289">
        <v>1.4313790989805437E-2</v>
      </c>
      <c r="S188" s="1289">
        <v>1.87504185137949E-2</v>
      </c>
      <c r="T188" s="1289">
        <v>1.6378824077267484E-2</v>
      </c>
      <c r="U188" s="1289">
        <v>1.9052149386430687E-2</v>
      </c>
      <c r="V188" s="1289">
        <v>1.6616912246811725E-2</v>
      </c>
      <c r="W188" s="1289">
        <v>1.812704501989796E-2</v>
      </c>
      <c r="X188" s="1289">
        <v>1.8986678082697241E-2</v>
      </c>
      <c r="Y188" s="1289">
        <v>1.9337931627227144E-2</v>
      </c>
      <c r="Z188" s="1411"/>
      <c r="AA188" s="1418">
        <f t="shared" ca="1" si="5"/>
        <v>0</v>
      </c>
      <c r="AB188" s="1420"/>
      <c r="AC188" s="1288"/>
      <c r="AD188" s="1038"/>
      <c r="AE188" s="1038"/>
      <c r="AF188" s="1038"/>
      <c r="AG188" s="1038"/>
      <c r="AH188" s="1038"/>
      <c r="AI188" s="1038"/>
      <c r="AJ188" s="1038"/>
      <c r="AK188" s="1038"/>
      <c r="AL188" s="1038"/>
      <c r="AM188" s="1038"/>
      <c r="AN188" s="1038"/>
      <c r="AO188" s="1038"/>
      <c r="AP188" s="1038"/>
      <c r="AQ188" s="1038"/>
      <c r="AR188" s="1038"/>
      <c r="AS188" s="1038"/>
      <c r="AT188" s="1038"/>
      <c r="AU188" s="1038"/>
      <c r="AV188" s="1038"/>
      <c r="AW188" s="1038"/>
      <c r="AX188" s="1038"/>
      <c r="AY188" s="1038"/>
      <c r="AZ188" s="1038"/>
      <c r="BA188" s="1038"/>
      <c r="BB188" s="1038"/>
      <c r="BC188" s="1038"/>
      <c r="BD188" s="1288"/>
      <c r="BE188" s="1288"/>
    </row>
    <row r="189" spans="1:57" x14ac:dyDescent="0.25">
      <c r="A189" s="1288"/>
      <c r="B189" s="1347"/>
      <c r="C189" s="1705">
        <v>0</v>
      </c>
      <c r="D189" s="1289">
        <v>0</v>
      </c>
      <c r="E189" s="1289">
        <v>0</v>
      </c>
      <c r="F189" s="1289">
        <v>0</v>
      </c>
      <c r="G189" s="1289">
        <v>0</v>
      </c>
      <c r="H189" s="1289">
        <v>0</v>
      </c>
      <c r="I189" s="1289">
        <v>0</v>
      </c>
      <c r="J189" s="1289">
        <v>2.1250474315634222E-2</v>
      </c>
      <c r="K189" s="1289">
        <v>1.8540682288808383E-2</v>
      </c>
      <c r="L189" s="1289">
        <v>1.6250362711955582E-2</v>
      </c>
      <c r="M189" s="1289">
        <v>1.4166982877089482E-2</v>
      </c>
      <c r="N189" s="1289">
        <v>0</v>
      </c>
      <c r="O189" s="1289">
        <v>2.1582512976816008E-2</v>
      </c>
      <c r="P189" s="1289">
        <v>1.8792936469608498E-2</v>
      </c>
      <c r="Q189" s="1289">
        <v>0</v>
      </c>
      <c r="R189" s="1289">
        <v>2.1470686484708151E-2</v>
      </c>
      <c r="S189" s="1289">
        <v>2.5000558018393203E-2</v>
      </c>
      <c r="T189" s="1289">
        <v>2.1838432103023313E-2</v>
      </c>
      <c r="U189" s="1289">
        <v>2.3815186733038351E-2</v>
      </c>
      <c r="V189" s="1289">
        <v>2.4925368370217582E-2</v>
      </c>
      <c r="W189" s="1289">
        <v>2.5377863027857141E-2</v>
      </c>
      <c r="X189" s="1289">
        <v>2.5315570776929659E-2</v>
      </c>
      <c r="Y189" s="1289">
        <v>2.4863054949292043E-2</v>
      </c>
      <c r="Z189" s="1411"/>
      <c r="AA189" s="1418">
        <f t="shared" ca="1" si="5"/>
        <v>0</v>
      </c>
      <c r="AB189" s="1420"/>
      <c r="AC189" s="1288"/>
      <c r="AD189" s="1038"/>
      <c r="AE189" s="1038"/>
      <c r="AF189" s="1038"/>
      <c r="AG189" s="1038"/>
      <c r="AH189" s="1038"/>
      <c r="AI189" s="1038"/>
      <c r="AJ189" s="1038"/>
      <c r="AK189" s="1038"/>
      <c r="AL189" s="1038"/>
      <c r="AM189" s="1038"/>
      <c r="AN189" s="1038"/>
      <c r="AO189" s="1038"/>
      <c r="AP189" s="1038"/>
      <c r="AQ189" s="1038"/>
      <c r="AR189" s="1038"/>
      <c r="AS189" s="1038"/>
      <c r="AT189" s="1038"/>
      <c r="AU189" s="1038"/>
      <c r="AV189" s="1038"/>
      <c r="AW189" s="1038"/>
      <c r="AX189" s="1038"/>
      <c r="AY189" s="1038"/>
      <c r="AZ189" s="1038"/>
      <c r="BA189" s="1038"/>
      <c r="BB189" s="1038"/>
      <c r="BC189" s="1038"/>
      <c r="BD189" s="1288"/>
      <c r="BE189" s="1288"/>
    </row>
    <row r="190" spans="1:57" x14ac:dyDescent="0.25">
      <c r="A190" s="1288"/>
      <c r="B190" s="1347"/>
      <c r="C190" s="1705">
        <v>0</v>
      </c>
      <c r="D190" s="1289">
        <v>0</v>
      </c>
      <c r="E190" s="1289">
        <v>0</v>
      </c>
      <c r="F190" s="1289">
        <v>0</v>
      </c>
      <c r="G190" s="1289">
        <v>0</v>
      </c>
      <c r="H190" s="1289">
        <v>0</v>
      </c>
      <c r="I190" s="1289">
        <v>0</v>
      </c>
      <c r="J190" s="1289">
        <v>0</v>
      </c>
      <c r="K190" s="1289">
        <v>1.8540682288808383E-2</v>
      </c>
      <c r="L190" s="1289">
        <v>0</v>
      </c>
      <c r="M190" s="1289">
        <v>0</v>
      </c>
      <c r="N190" s="1289">
        <v>0</v>
      </c>
      <c r="O190" s="1289">
        <v>0</v>
      </c>
      <c r="P190" s="1289">
        <v>2.8189404704412748E-2</v>
      </c>
      <c r="Q190" s="1289">
        <v>8.2219097054537175E-3</v>
      </c>
      <c r="R190" s="1289">
        <v>7.1568954949027177E-3</v>
      </c>
      <c r="S190" s="1289">
        <v>6.2501395045983007E-3</v>
      </c>
      <c r="T190" s="1289">
        <v>5.4596080257558284E-3</v>
      </c>
      <c r="U190" s="1289">
        <v>2.8578224079646029E-2</v>
      </c>
      <c r="V190" s="1289">
        <v>8.3084561234058624E-3</v>
      </c>
      <c r="W190" s="1289">
        <v>7.2508180079591837E-3</v>
      </c>
      <c r="X190" s="1289">
        <v>9.4933390413486224E-3</v>
      </c>
      <c r="Y190" s="1289">
        <v>8.2876849830973483E-3</v>
      </c>
      <c r="Z190" s="1411"/>
      <c r="AA190" s="1418">
        <f t="shared" ca="1" si="5"/>
        <v>0</v>
      </c>
      <c r="AB190" s="1420"/>
      <c r="AC190" s="1288"/>
      <c r="AD190" s="1038"/>
      <c r="AE190" s="1038"/>
      <c r="AF190" s="1038"/>
      <c r="AG190" s="1038"/>
      <c r="AH190" s="1038"/>
      <c r="AI190" s="1038"/>
      <c r="AJ190" s="1038"/>
      <c r="AK190" s="1038"/>
      <c r="AL190" s="1038"/>
      <c r="AM190" s="1038"/>
      <c r="AN190" s="1038"/>
      <c r="AO190" s="1038"/>
      <c r="AP190" s="1038"/>
      <c r="AQ190" s="1038"/>
      <c r="AR190" s="1038"/>
      <c r="AS190" s="1038"/>
      <c r="AT190" s="1038"/>
      <c r="AU190" s="1038"/>
      <c r="AV190" s="1038"/>
      <c r="AW190" s="1038"/>
      <c r="AX190" s="1038"/>
      <c r="AY190" s="1038"/>
      <c r="AZ190" s="1038"/>
      <c r="BA190" s="1038"/>
      <c r="BB190" s="1038"/>
      <c r="BC190" s="1038"/>
      <c r="BD190" s="1288"/>
      <c r="BE190" s="1288"/>
    </row>
    <row r="191" spans="1:57" x14ac:dyDescent="0.25">
      <c r="A191" s="1288"/>
      <c r="B191" s="1347"/>
      <c r="C191" s="1705">
        <v>0</v>
      </c>
      <c r="D191" s="1289">
        <v>0</v>
      </c>
      <c r="E191" s="1289">
        <v>0</v>
      </c>
      <c r="F191" s="1289">
        <v>0</v>
      </c>
      <c r="G191" s="1289">
        <v>0</v>
      </c>
      <c r="H191" s="1289">
        <v>0</v>
      </c>
      <c r="I191" s="1289">
        <v>0</v>
      </c>
      <c r="J191" s="1289">
        <v>0</v>
      </c>
      <c r="K191" s="1289">
        <v>0</v>
      </c>
      <c r="L191" s="1289">
        <v>0</v>
      </c>
      <c r="M191" s="1289">
        <v>0</v>
      </c>
      <c r="N191" s="1289">
        <v>1.2332864558180579E-2</v>
      </c>
      <c r="O191" s="1289">
        <v>1.0791256488408006E-2</v>
      </c>
      <c r="P191" s="1289">
        <v>9.3964682348042505E-3</v>
      </c>
      <c r="Q191" s="1289">
        <v>8.2219097054537192E-3</v>
      </c>
      <c r="R191" s="1289">
        <v>7.1568954949027186E-3</v>
      </c>
      <c r="S191" s="1289">
        <v>1.2500279009196605E-2</v>
      </c>
      <c r="T191" s="1289">
        <v>1.0919216051511658E-2</v>
      </c>
      <c r="U191" s="1289">
        <v>9.5260746932153435E-3</v>
      </c>
      <c r="V191" s="1289">
        <v>1.2462684185108795E-2</v>
      </c>
      <c r="W191" s="1289">
        <v>1.0876227011938777E-2</v>
      </c>
      <c r="X191" s="1289">
        <v>1.2657785388464831E-2</v>
      </c>
      <c r="Y191" s="1289">
        <v>1.1050246644129798E-2</v>
      </c>
      <c r="Z191" s="1411"/>
      <c r="AA191" s="1418">
        <f t="shared" ca="1" si="5"/>
        <v>0</v>
      </c>
      <c r="AB191" s="1421"/>
      <c r="AC191" s="1288"/>
      <c r="AD191" s="1038"/>
      <c r="AE191" s="1038"/>
      <c r="AF191" s="1038"/>
      <c r="AG191" s="1038"/>
      <c r="AH191" s="1038"/>
      <c r="AI191" s="1038"/>
      <c r="AJ191" s="1038"/>
      <c r="AK191" s="1038"/>
      <c r="AL191" s="1038"/>
      <c r="AM191" s="1038"/>
      <c r="AN191" s="1038"/>
      <c r="AO191" s="1038"/>
      <c r="AP191" s="1038"/>
      <c r="AQ191" s="1038"/>
      <c r="AR191" s="1038"/>
      <c r="AS191" s="1038"/>
      <c r="AT191" s="1038"/>
      <c r="AU191" s="1038"/>
      <c r="AV191" s="1038"/>
      <c r="AW191" s="1038"/>
      <c r="AX191" s="1038"/>
      <c r="AY191" s="1038"/>
      <c r="AZ191" s="1038"/>
      <c r="BA191" s="1038"/>
      <c r="BB191" s="1038"/>
      <c r="BC191" s="1038"/>
      <c r="BD191" s="1288"/>
      <c r="BE191" s="1288"/>
    </row>
    <row r="192" spans="1:57" x14ac:dyDescent="0.25">
      <c r="A192" s="1288"/>
      <c r="B192" s="1347"/>
      <c r="C192" s="1704"/>
      <c r="D192" s="1409"/>
      <c r="E192" s="1409"/>
      <c r="F192" s="1409"/>
      <c r="G192" s="1409"/>
      <c r="H192" s="1409"/>
      <c r="I192" s="1409"/>
      <c r="J192" s="1409"/>
      <c r="K192" s="1409"/>
      <c r="L192" s="1409"/>
      <c r="M192" s="1409"/>
      <c r="N192" s="1409"/>
      <c r="O192" s="1409"/>
      <c r="P192" s="1409"/>
      <c r="Q192" s="1409"/>
      <c r="R192" s="1409"/>
      <c r="S192" s="1409"/>
      <c r="T192" s="1409"/>
      <c r="U192" s="1409"/>
      <c r="V192" s="1409"/>
      <c r="W192" s="1409"/>
      <c r="X192" s="1409"/>
      <c r="Y192" s="1409"/>
      <c r="Z192" s="1411"/>
      <c r="AA192" s="1416"/>
      <c r="AB192" s="1405"/>
      <c r="AC192" s="1288"/>
      <c r="AD192" s="1038"/>
      <c r="AE192" s="1038"/>
      <c r="AF192" s="1038"/>
      <c r="AG192" s="1038"/>
      <c r="AH192" s="1038"/>
      <c r="AI192" s="1038"/>
      <c r="AJ192" s="1038"/>
      <c r="AK192" s="1038"/>
      <c r="AL192" s="1038"/>
      <c r="AM192" s="1038"/>
      <c r="AN192" s="1038"/>
      <c r="AO192" s="1038"/>
      <c r="AP192" s="1038"/>
      <c r="AQ192" s="1038"/>
      <c r="AR192" s="1038"/>
      <c r="AS192" s="1038"/>
      <c r="AT192" s="1038"/>
      <c r="AU192" s="1038"/>
      <c r="AV192" s="1038"/>
      <c r="AW192" s="1038"/>
      <c r="AX192" s="1038"/>
      <c r="AY192" s="1038"/>
      <c r="AZ192" s="1038"/>
      <c r="BA192" s="1038"/>
      <c r="BB192" s="1038"/>
      <c r="BC192" s="1038"/>
      <c r="BD192" s="1288"/>
      <c r="BE192" s="1288"/>
    </row>
    <row r="193" spans="1:57" x14ac:dyDescent="0.25">
      <c r="A193" s="1288"/>
      <c r="B193" s="1341" t="s">
        <v>1283</v>
      </c>
      <c r="C193" s="1697">
        <v>118103.29291967429</v>
      </c>
      <c r="D193" s="1287">
        <v>117374.86555526982</v>
      </c>
      <c r="E193" s="1287">
        <v>116665.35838214855</v>
      </c>
      <c r="F193" s="1287">
        <v>116126.13293057642</v>
      </c>
      <c r="G193" s="1287">
        <v>115620.34781708629</v>
      </c>
      <c r="H193" s="1287">
        <v>115167.5099055593</v>
      </c>
      <c r="I193" s="1287">
        <v>114796.36161047523</v>
      </c>
      <c r="J193" s="1287">
        <v>114453.15140133978</v>
      </c>
      <c r="K193" s="1287">
        <v>114162.24247160676</v>
      </c>
      <c r="L193" s="1287">
        <v>113916.36588393767</v>
      </c>
      <c r="M193" s="1287">
        <v>113692.70525168677</v>
      </c>
      <c r="N193" s="1287">
        <v>113495.80401650876</v>
      </c>
      <c r="O193" s="1287">
        <v>113330.30513349277</v>
      </c>
      <c r="P193" s="1287">
        <v>113180.56804885923</v>
      </c>
      <c r="Q193" s="1287">
        <v>113054.47366179942</v>
      </c>
      <c r="R193" s="1287">
        <v>112940.13937301461</v>
      </c>
      <c r="S193" s="1287">
        <v>112842.7948491334</v>
      </c>
      <c r="T193" s="1287">
        <v>112757.92757365482</v>
      </c>
      <c r="U193" s="1287">
        <v>112683.14743231983</v>
      </c>
      <c r="V193" s="1287">
        <v>112617.78888977123</v>
      </c>
      <c r="W193" s="1287">
        <v>112561.01767464413</v>
      </c>
      <c r="X193" s="1287">
        <v>112511.53116356593</v>
      </c>
      <c r="Y193" s="1287">
        <v>112468.38695074542</v>
      </c>
      <c r="Z193" s="1411"/>
      <c r="AA193" s="1412">
        <f t="shared" ref="AA193:AA215" ca="1" si="6">FORECAST($C$54,OFFSET(C193:Y193,0,MATCH($C$54,$G$72:$Y$72,1)-1,1,2), OFFSET($G$72:$Y$72,0,MATCH($C$54,$G$72:$Y$72,1)-1,1,2))</f>
        <v>115362.99787559449</v>
      </c>
      <c r="AB193" s="1413" t="e">
        <f ca="1">FORECAST($C$55,OFFSET(AA193:AA215,MATCH($C$55,$B$73:$B$95,1)-1,0,2), OFFSET($B$73:$B$95,MATCH($C$55,$B$73:$B$95,1)-1,0,2))</f>
        <v>#REF!</v>
      </c>
      <c r="AC193" s="1288"/>
      <c r="AD193" s="1038"/>
      <c r="AE193" s="1038"/>
      <c r="AF193" s="1038"/>
      <c r="AG193" s="1038"/>
      <c r="AH193" s="1038"/>
      <c r="AI193" s="1038"/>
      <c r="AJ193" s="1038"/>
      <c r="AK193" s="1038"/>
      <c r="AL193" s="1038"/>
      <c r="AM193" s="1038"/>
      <c r="AN193" s="1038"/>
      <c r="AO193" s="1038"/>
      <c r="AP193" s="1038"/>
      <c r="AQ193" s="1038"/>
      <c r="AR193" s="1038"/>
      <c r="AS193" s="1038"/>
      <c r="AT193" s="1038"/>
      <c r="AU193" s="1038"/>
      <c r="AV193" s="1038"/>
      <c r="AW193" s="1038"/>
      <c r="AX193" s="1038"/>
      <c r="AY193" s="1038"/>
      <c r="AZ193" s="1038"/>
      <c r="BA193" s="1038"/>
      <c r="BB193" s="1038"/>
      <c r="BC193" s="1038"/>
      <c r="BD193" s="1288"/>
      <c r="BE193" s="1288"/>
    </row>
    <row r="194" spans="1:57" x14ac:dyDescent="0.25">
      <c r="A194" s="1288"/>
      <c r="B194" s="1347"/>
      <c r="C194" s="1697">
        <v>103599.37975410027</v>
      </c>
      <c r="D194" s="1287">
        <v>102960.40838181564</v>
      </c>
      <c r="E194" s="1287">
        <v>102338.03366855136</v>
      </c>
      <c r="F194" s="1287">
        <v>101865.02888647057</v>
      </c>
      <c r="G194" s="1287">
        <v>101421.35773428623</v>
      </c>
      <c r="H194" s="1287">
        <v>101024.13149610466</v>
      </c>
      <c r="I194" s="1287">
        <v>100698.56281620635</v>
      </c>
      <c r="J194" s="1287">
        <v>100397.50122924543</v>
      </c>
      <c r="K194" s="1287">
        <v>100142.31795754979</v>
      </c>
      <c r="L194" s="1287">
        <v>99926.636740296221</v>
      </c>
      <c r="M194" s="1287">
        <v>99730.443203234026</v>
      </c>
      <c r="N194" s="1287">
        <v>99557.722821498915</v>
      </c>
      <c r="O194" s="1287">
        <v>99412.548362712972</v>
      </c>
      <c r="P194" s="1287">
        <v>99281.200042858982</v>
      </c>
      <c r="Q194" s="1287">
        <v>99170.590931403014</v>
      </c>
      <c r="R194" s="1287">
        <v>99070.297695626869</v>
      </c>
      <c r="S194" s="1287">
        <v>98984.907762397721</v>
      </c>
      <c r="T194" s="1287">
        <v>98910.462783907744</v>
      </c>
      <c r="U194" s="1287">
        <v>98844.866168701614</v>
      </c>
      <c r="V194" s="1287">
        <v>98787.534113834423</v>
      </c>
      <c r="W194" s="1287">
        <v>98737.734802319406</v>
      </c>
      <c r="X194" s="1287">
        <v>98694.325582075384</v>
      </c>
      <c r="Y194" s="1287">
        <v>98656.479781355636</v>
      </c>
      <c r="Z194" s="1411"/>
      <c r="AA194" s="1412">
        <f t="shared" ca="1" si="6"/>
        <v>101195.61217157412</v>
      </c>
      <c r="AB194" s="1414"/>
      <c r="AC194" s="1288"/>
      <c r="AD194" s="1038"/>
      <c r="AE194" s="1038"/>
      <c r="AF194" s="1038"/>
      <c r="AG194" s="1038"/>
      <c r="AH194" s="1038"/>
      <c r="AI194" s="1038"/>
      <c r="AJ194" s="1038"/>
      <c r="AK194" s="1038"/>
      <c r="AL194" s="1038"/>
      <c r="AM194" s="1038"/>
      <c r="AN194" s="1038"/>
      <c r="AO194" s="1038"/>
      <c r="AP194" s="1038"/>
      <c r="AQ194" s="1038"/>
      <c r="AR194" s="1038"/>
      <c r="AS194" s="1038"/>
      <c r="AT194" s="1038"/>
      <c r="AU194" s="1038"/>
      <c r="AV194" s="1038"/>
      <c r="AW194" s="1038"/>
      <c r="AX194" s="1038"/>
      <c r="AY194" s="1038"/>
      <c r="AZ194" s="1038"/>
      <c r="BA194" s="1038"/>
      <c r="BB194" s="1038"/>
      <c r="BC194" s="1038"/>
      <c r="BD194" s="1288"/>
      <c r="BE194" s="1288"/>
    </row>
    <row r="195" spans="1:57" x14ac:dyDescent="0.25">
      <c r="A195" s="1288"/>
      <c r="B195" s="1347"/>
      <c r="C195" s="1697">
        <v>90848.686861287919</v>
      </c>
      <c r="D195" s="1287">
        <v>90288.358119438315</v>
      </c>
      <c r="E195" s="1287">
        <v>89742.583370883498</v>
      </c>
      <c r="F195" s="1287">
        <v>89327.794561981864</v>
      </c>
      <c r="G195" s="1287">
        <v>88938.729090066379</v>
      </c>
      <c r="H195" s="1287">
        <v>88590.392235045612</v>
      </c>
      <c r="I195" s="1287">
        <v>88304.893546519408</v>
      </c>
      <c r="J195" s="1287">
        <v>88040.885693338292</v>
      </c>
      <c r="K195" s="1287">
        <v>87817.109593543661</v>
      </c>
      <c r="L195" s="1287">
        <v>87627.97375687513</v>
      </c>
      <c r="M195" s="1287">
        <v>87455.927116682127</v>
      </c>
      <c r="N195" s="1287">
        <v>87304.464628083661</v>
      </c>
      <c r="O195" s="1287">
        <v>87177.157794994433</v>
      </c>
      <c r="P195" s="1287">
        <v>87061.975422199408</v>
      </c>
      <c r="Q195" s="1287">
        <v>86964.979739845701</v>
      </c>
      <c r="R195" s="1287">
        <v>86877.030286934314</v>
      </c>
      <c r="S195" s="1287">
        <v>86802.149883948776</v>
      </c>
      <c r="T195" s="1287">
        <v>86736.867364349848</v>
      </c>
      <c r="U195" s="1287">
        <v>86679.344178707557</v>
      </c>
      <c r="V195" s="1287">
        <v>86629.068376747106</v>
      </c>
      <c r="W195" s="1287">
        <v>86585.398211264706</v>
      </c>
      <c r="X195" s="1287">
        <v>86547.331664281475</v>
      </c>
      <c r="Y195" s="1287">
        <v>86514.143808265697</v>
      </c>
      <c r="Z195" s="1411"/>
      <c r="AA195" s="1412">
        <f t="shared" ca="1" si="6"/>
        <v>88740.767596611156</v>
      </c>
      <c r="AB195" s="1414"/>
      <c r="AC195" s="1288"/>
      <c r="AD195" s="1038"/>
      <c r="AE195" s="1038"/>
      <c r="AF195" s="1038"/>
      <c r="AG195" s="1038"/>
      <c r="AH195" s="1038"/>
      <c r="AI195" s="1038"/>
      <c r="AJ195" s="1038"/>
      <c r="AK195" s="1038"/>
      <c r="AL195" s="1038"/>
      <c r="AM195" s="1038"/>
      <c r="AN195" s="1038"/>
      <c r="AO195" s="1038"/>
      <c r="AP195" s="1038"/>
      <c r="AQ195" s="1038"/>
      <c r="AR195" s="1038"/>
      <c r="AS195" s="1038"/>
      <c r="AT195" s="1038"/>
      <c r="AU195" s="1038"/>
      <c r="AV195" s="1038"/>
      <c r="AW195" s="1038"/>
      <c r="AX195" s="1038"/>
      <c r="AY195" s="1038"/>
      <c r="AZ195" s="1038"/>
      <c r="BA195" s="1038"/>
      <c r="BB195" s="1038"/>
      <c r="BC195" s="1038"/>
      <c r="BD195" s="1288"/>
      <c r="BE195" s="1288"/>
    </row>
    <row r="196" spans="1:57" x14ac:dyDescent="0.25">
      <c r="A196" s="1288"/>
      <c r="B196" s="1347"/>
      <c r="C196" s="1697">
        <v>79799.522243023166</v>
      </c>
      <c r="D196" s="1287">
        <v>79307.341591398523</v>
      </c>
      <c r="E196" s="1287">
        <v>78827.944852803077</v>
      </c>
      <c r="F196" s="1287">
        <v>78463.603331470571</v>
      </c>
      <c r="G196" s="1287">
        <v>78121.856633166419</v>
      </c>
      <c r="H196" s="1287">
        <v>77815.88507132385</v>
      </c>
      <c r="I196" s="1287">
        <v>77565.109196267047</v>
      </c>
      <c r="J196" s="1287">
        <v>77333.210406310667</v>
      </c>
      <c r="K196" s="1287">
        <v>77136.650318653221</v>
      </c>
      <c r="L196" s="1287">
        <v>76970.517489147082</v>
      </c>
      <c r="M196" s="1287">
        <v>76819.39544032891</v>
      </c>
      <c r="N196" s="1287">
        <v>76686.354065208623</v>
      </c>
      <c r="O196" s="1287">
        <v>76574.53049560322</v>
      </c>
      <c r="P196" s="1287">
        <v>76473.35678976975</v>
      </c>
      <c r="Q196" s="1287">
        <v>76388.157879594204</v>
      </c>
      <c r="R196" s="1287">
        <v>76310.904981766624</v>
      </c>
      <c r="S196" s="1287">
        <v>76245.131654819867</v>
      </c>
      <c r="T196" s="1287">
        <v>76187.788901118111</v>
      </c>
      <c r="U196" s="1287">
        <v>76137.261778594475</v>
      </c>
      <c r="V196" s="1287">
        <v>76093.100601196784</v>
      </c>
      <c r="W196" s="1287">
        <v>76054.741672056844</v>
      </c>
      <c r="X196" s="1287">
        <v>76021.304840247249</v>
      </c>
      <c r="Y196" s="1287">
        <v>75992.153345098253</v>
      </c>
      <c r="Z196" s="1411"/>
      <c r="AA196" s="1412">
        <f t="shared" ca="1" si="6"/>
        <v>77947.971537563848</v>
      </c>
      <c r="AB196" s="1414"/>
      <c r="AC196" s="1288"/>
      <c r="AD196" s="1038"/>
      <c r="AE196" s="1038"/>
      <c r="AF196" s="1038"/>
      <c r="AG196" s="1038"/>
      <c r="AH196" s="1038"/>
      <c r="AI196" s="1038"/>
      <c r="AJ196" s="1038"/>
      <c r="AK196" s="1038"/>
      <c r="AL196" s="1038"/>
      <c r="AM196" s="1038"/>
      <c r="AN196" s="1038"/>
      <c r="AO196" s="1038"/>
      <c r="AP196" s="1038"/>
      <c r="AQ196" s="1038"/>
      <c r="AR196" s="1038"/>
      <c r="AS196" s="1038"/>
      <c r="AT196" s="1038"/>
      <c r="AU196" s="1038"/>
      <c r="AV196" s="1038"/>
      <c r="AW196" s="1038"/>
      <c r="AX196" s="1038"/>
      <c r="AY196" s="1038"/>
      <c r="AZ196" s="1038"/>
      <c r="BA196" s="1038"/>
      <c r="BB196" s="1038"/>
      <c r="BC196" s="1038"/>
      <c r="BD196" s="1288"/>
      <c r="BE196" s="1288"/>
    </row>
    <row r="197" spans="1:57" x14ac:dyDescent="0.25">
      <c r="A197" s="1288"/>
      <c r="B197" s="1347"/>
      <c r="C197" s="1697">
        <v>69472.525246867226</v>
      </c>
      <c r="D197" s="1287">
        <v>69044.038561923429</v>
      </c>
      <c r="E197" s="1287">
        <v>87835.426289482028</v>
      </c>
      <c r="F197" s="1287">
        <v>87518.234847380809</v>
      </c>
      <c r="G197" s="1287">
        <v>68011.969304168408</v>
      </c>
      <c r="H197" s="1287">
        <v>67745.594062093718</v>
      </c>
      <c r="I197" s="1287">
        <v>67527.271535573673</v>
      </c>
      <c r="J197" s="1287">
        <v>86534.128065476893</v>
      </c>
      <c r="K197" s="1287">
        <v>67154.260277415742</v>
      </c>
      <c r="L197" s="1287">
        <v>67009.62699055158</v>
      </c>
      <c r="M197" s="1287">
        <v>86086.8068009751</v>
      </c>
      <c r="N197" s="1287">
        <v>66762.237656769852</v>
      </c>
      <c r="O197" s="1287">
        <v>66664.885372642806</v>
      </c>
      <c r="P197" s="1287">
        <v>85785.549622841238</v>
      </c>
      <c r="Q197" s="1287">
        <v>66502.631565764372</v>
      </c>
      <c r="R197" s="1287">
        <v>66435.376101773305</v>
      </c>
      <c r="S197" s="1287">
        <v>85586.859505355475</v>
      </c>
      <c r="T197" s="1287">
        <v>85536.937578603363</v>
      </c>
      <c r="U197" s="1287">
        <v>85492.949260171023</v>
      </c>
      <c r="V197" s="1287">
        <v>66245.758170453671</v>
      </c>
      <c r="W197" s="1287">
        <v>66212.363338025956</v>
      </c>
      <c r="X197" s="1287">
        <v>85391.998513845203</v>
      </c>
      <c r="Y197" s="1287">
        <v>85366.619565127257</v>
      </c>
      <c r="Z197" s="1411"/>
      <c r="AA197" s="1412">
        <f t="shared" ca="1" si="6"/>
        <v>67860.586985643837</v>
      </c>
      <c r="AB197" s="1414"/>
      <c r="AC197" s="1288"/>
      <c r="AD197" s="1038"/>
      <c r="AE197" s="1038"/>
      <c r="AF197" s="1038"/>
      <c r="AG197" s="1038"/>
      <c r="AH197" s="1038"/>
      <c r="AI197" s="1038"/>
      <c r="AJ197" s="1038"/>
      <c r="AK197" s="1038"/>
      <c r="AL197" s="1038"/>
      <c r="AM197" s="1038"/>
      <c r="AN197" s="1038"/>
      <c r="AO197" s="1038"/>
      <c r="AP197" s="1038"/>
      <c r="AQ197" s="1038"/>
      <c r="AR197" s="1038"/>
      <c r="AS197" s="1038"/>
      <c r="AT197" s="1038"/>
      <c r="AU197" s="1038"/>
      <c r="AV197" s="1038"/>
      <c r="AW197" s="1038"/>
      <c r="AX197" s="1038"/>
      <c r="AY197" s="1038"/>
      <c r="AZ197" s="1038"/>
      <c r="BA197" s="1038"/>
      <c r="BB197" s="1038"/>
      <c r="BC197" s="1038"/>
      <c r="BD197" s="1288"/>
      <c r="BE197" s="1288"/>
    </row>
    <row r="198" spans="1:57" x14ac:dyDescent="0.25">
      <c r="A198" s="1288"/>
      <c r="B198" s="1347"/>
      <c r="C198" s="1697">
        <v>78519.874598773546</v>
      </c>
      <c r="D198" s="1287">
        <v>78140.48534647956</v>
      </c>
      <c r="E198" s="1287">
        <v>77770.950360478892</v>
      </c>
      <c r="F198" s="1287">
        <v>77490.103771118418</v>
      </c>
      <c r="G198" s="1287">
        <v>60218.93115473244</v>
      </c>
      <c r="H198" s="1287">
        <v>76990.820945588639</v>
      </c>
      <c r="I198" s="1287">
        <v>76797.514541899043</v>
      </c>
      <c r="J198" s="1287">
        <v>76618.759224641006</v>
      </c>
      <c r="K198" s="1287">
        <v>76467.244157071691</v>
      </c>
      <c r="L198" s="1287">
        <v>76339.183434327409</v>
      </c>
      <c r="M198" s="1287">
        <v>76222.693521696696</v>
      </c>
      <c r="N198" s="1287">
        <v>76120.140795041487</v>
      </c>
      <c r="O198" s="1287">
        <v>76033.94346013735</v>
      </c>
      <c r="P198" s="1287">
        <v>75955.955395224009</v>
      </c>
      <c r="Q198" s="1287">
        <v>75890.28123529705</v>
      </c>
      <c r="R198" s="1287">
        <v>75830.732126554954</v>
      </c>
      <c r="S198" s="1287">
        <v>75780.031853700159</v>
      </c>
      <c r="T198" s="1287">
        <v>75735.830147721732</v>
      </c>
      <c r="U198" s="1287">
        <v>75696.882157443106</v>
      </c>
      <c r="V198" s="1287">
        <v>75662.841249865698</v>
      </c>
      <c r="W198" s="1287">
        <v>75633.272908653656</v>
      </c>
      <c r="X198" s="1287">
        <v>75607.498684133781</v>
      </c>
      <c r="Y198" s="1287">
        <v>75585.027739956422</v>
      </c>
      <c r="Z198" s="1411"/>
      <c r="AA198" s="1412">
        <f t="shared" ca="1" si="6"/>
        <v>69750.475989017883</v>
      </c>
      <c r="AB198" s="1414"/>
      <c r="AC198" s="1288"/>
      <c r="AD198" s="1038"/>
      <c r="AE198" s="1038"/>
      <c r="AF198" s="1038"/>
      <c r="AG198" s="1038"/>
      <c r="AH198" s="1038"/>
      <c r="AI198" s="1038"/>
      <c r="AJ198" s="1038"/>
      <c r="AK198" s="1038"/>
      <c r="AL198" s="1038"/>
      <c r="AM198" s="1038"/>
      <c r="AN198" s="1038"/>
      <c r="AO198" s="1038"/>
      <c r="AP198" s="1038"/>
      <c r="AQ198" s="1038"/>
      <c r="AR198" s="1038"/>
      <c r="AS198" s="1038"/>
      <c r="AT198" s="1038"/>
      <c r="AU198" s="1038"/>
      <c r="AV198" s="1038"/>
      <c r="AW198" s="1038"/>
      <c r="AX198" s="1038"/>
      <c r="AY198" s="1038"/>
      <c r="AZ198" s="1038"/>
      <c r="BA198" s="1038"/>
      <c r="BB198" s="1038"/>
      <c r="BC198" s="1038"/>
      <c r="BD198" s="1288"/>
      <c r="BE198" s="1288"/>
    </row>
    <row r="199" spans="1:57" x14ac:dyDescent="0.25">
      <c r="A199" s="1288"/>
      <c r="B199" s="1347"/>
      <c r="C199" s="1697">
        <v>68526.43601347509</v>
      </c>
      <c r="D199" s="1287">
        <v>68195.332666018527</v>
      </c>
      <c r="E199" s="1287">
        <v>67872.829405508834</v>
      </c>
      <c r="F199" s="1287">
        <v>67627.726927521522</v>
      </c>
      <c r="G199" s="1287">
        <v>67397.824603207817</v>
      </c>
      <c r="H199" s="1287">
        <v>67191.989188877356</v>
      </c>
      <c r="I199" s="1287">
        <v>67023.285418384607</v>
      </c>
      <c r="J199" s="1287">
        <v>66867.280777868495</v>
      </c>
      <c r="K199" s="1287">
        <v>66735.049446171659</v>
      </c>
      <c r="L199" s="1287">
        <v>66623.287360867558</v>
      </c>
      <c r="M199" s="1287">
        <v>66521.623437117101</v>
      </c>
      <c r="N199" s="1287">
        <v>66432.122875672561</v>
      </c>
      <c r="O199" s="1287">
        <v>66356.896110665315</v>
      </c>
      <c r="P199" s="1287">
        <v>66288.833799468222</v>
      </c>
      <c r="Q199" s="1287">
        <v>66231.518168986498</v>
      </c>
      <c r="R199" s="1287">
        <v>66179.548037720684</v>
      </c>
      <c r="S199" s="1287">
        <v>66135.300526865583</v>
      </c>
      <c r="T199" s="1287">
        <v>66096.724492557129</v>
      </c>
      <c r="U199" s="1287">
        <v>66062.733519223068</v>
      </c>
      <c r="V199" s="1287">
        <v>66033.025090791882</v>
      </c>
      <c r="W199" s="1287">
        <v>66007.219993006816</v>
      </c>
      <c r="X199" s="1287">
        <v>65984.72612433492</v>
      </c>
      <c r="Y199" s="1287">
        <v>65965.115118507412</v>
      </c>
      <c r="Z199" s="1411"/>
      <c r="AA199" s="1412">
        <f t="shared" ca="1" si="6"/>
        <v>67280.847357075167</v>
      </c>
      <c r="AB199" s="1414"/>
      <c r="AC199" s="1288"/>
      <c r="AD199" s="1038"/>
      <c r="AE199" s="1038"/>
      <c r="AF199" s="1038"/>
      <c r="AG199" s="1038"/>
      <c r="AH199" s="1038"/>
      <c r="AI199" s="1038"/>
      <c r="AJ199" s="1038"/>
      <c r="AK199" s="1038"/>
      <c r="AL199" s="1038"/>
      <c r="AM199" s="1038"/>
      <c r="AN199" s="1038"/>
      <c r="AO199" s="1038"/>
      <c r="AP199" s="1038"/>
      <c r="AQ199" s="1038"/>
      <c r="AR199" s="1038"/>
      <c r="AS199" s="1038"/>
      <c r="AT199" s="1038"/>
      <c r="AU199" s="1038"/>
      <c r="AV199" s="1038"/>
      <c r="AW199" s="1038"/>
      <c r="AX199" s="1038"/>
      <c r="AY199" s="1038"/>
      <c r="AZ199" s="1038"/>
      <c r="BA199" s="1038"/>
      <c r="BB199" s="1038"/>
      <c r="BC199" s="1038"/>
      <c r="BD199" s="1288"/>
      <c r="BE199" s="1288"/>
    </row>
    <row r="200" spans="1:57" x14ac:dyDescent="0.25">
      <c r="A200" s="1288"/>
      <c r="B200" s="1347"/>
      <c r="C200" s="1697">
        <v>60303.263691858083</v>
      </c>
      <c r="D200" s="1287">
        <v>60011.892746096295</v>
      </c>
      <c r="E200" s="1287">
        <v>59728.089876847778</v>
      </c>
      <c r="F200" s="1287">
        <v>59512.399696218941</v>
      </c>
      <c r="G200" s="1287">
        <v>59310.085650822883</v>
      </c>
      <c r="H200" s="1287">
        <v>59128.950486212081</v>
      </c>
      <c r="I200" s="1287">
        <v>58980.491168178458</v>
      </c>
      <c r="J200" s="1287">
        <v>58843.207084524285</v>
      </c>
      <c r="K200" s="1287">
        <v>58726.843512631065</v>
      </c>
      <c r="L200" s="1287">
        <v>58628.492877563447</v>
      </c>
      <c r="M200" s="1287">
        <v>58539.028624663064</v>
      </c>
      <c r="N200" s="1287">
        <v>58460.268130591852</v>
      </c>
      <c r="O200" s="1287">
        <v>58394.068577385486</v>
      </c>
      <c r="P200" s="1287">
        <v>58334.173743532047</v>
      </c>
      <c r="Q200" s="1287">
        <v>58283.735988708126</v>
      </c>
      <c r="R200" s="1287">
        <v>58238.002273194201</v>
      </c>
      <c r="S200" s="1287">
        <v>58199.06446364172</v>
      </c>
      <c r="T200" s="1287">
        <v>58165.117553450276</v>
      </c>
      <c r="U200" s="1287">
        <v>58135.2054969163</v>
      </c>
      <c r="V200" s="1287">
        <v>58109.062079896852</v>
      </c>
      <c r="W200" s="1287">
        <v>58086.353593846005</v>
      </c>
      <c r="X200" s="1287">
        <v>58066.558989414742</v>
      </c>
      <c r="Y200" s="1287">
        <v>58049.301304286528</v>
      </c>
      <c r="Z200" s="1411"/>
      <c r="AA200" s="1412">
        <f t="shared" ca="1" si="6"/>
        <v>59207.145674226158</v>
      </c>
      <c r="AB200" s="1414"/>
      <c r="AC200" s="1288"/>
      <c r="AD200" s="1038"/>
      <c r="AE200" s="1038"/>
      <c r="AF200" s="1038"/>
      <c r="AG200" s="1038"/>
      <c r="AH200" s="1038"/>
      <c r="AI200" s="1038"/>
      <c r="AJ200" s="1038"/>
      <c r="AK200" s="1038"/>
      <c r="AL200" s="1038"/>
      <c r="AM200" s="1038"/>
      <c r="AN200" s="1038"/>
      <c r="AO200" s="1038"/>
      <c r="AP200" s="1038"/>
      <c r="AQ200" s="1038"/>
      <c r="AR200" s="1038"/>
      <c r="AS200" s="1038"/>
      <c r="AT200" s="1038"/>
      <c r="AU200" s="1038"/>
      <c r="AV200" s="1038"/>
      <c r="AW200" s="1038"/>
      <c r="AX200" s="1038"/>
      <c r="AY200" s="1038"/>
      <c r="AZ200" s="1038"/>
      <c r="BA200" s="1038"/>
      <c r="BB200" s="1038"/>
      <c r="BC200" s="1038"/>
      <c r="BD200" s="1288"/>
      <c r="BE200" s="1288"/>
    </row>
    <row r="201" spans="1:57" x14ac:dyDescent="0.25">
      <c r="A201" s="1288"/>
      <c r="B201" s="1347"/>
      <c r="C201" s="1697">
        <v>52712.643087288532</v>
      </c>
      <c r="D201" s="1287">
        <v>52457.94820462964</v>
      </c>
      <c r="E201" s="1287">
        <v>52209.868773468341</v>
      </c>
      <c r="F201" s="1287">
        <v>52021.328405785796</v>
      </c>
      <c r="G201" s="1287">
        <v>51844.480464006017</v>
      </c>
      <c r="H201" s="1287">
        <v>51686.145529905662</v>
      </c>
      <c r="I201" s="1287">
        <v>51556.373398757401</v>
      </c>
      <c r="J201" s="1287">
        <v>51436.369829129624</v>
      </c>
      <c r="K201" s="1287">
        <v>51334.653420132046</v>
      </c>
      <c r="L201" s="1287">
        <v>51248.682585282731</v>
      </c>
      <c r="M201" s="1287">
        <v>51170.479567013164</v>
      </c>
      <c r="N201" s="1287">
        <v>51101.632981286595</v>
      </c>
      <c r="O201" s="1287">
        <v>51043.76623897333</v>
      </c>
      <c r="P201" s="1287">
        <v>50991.410614975561</v>
      </c>
      <c r="Q201" s="1287">
        <v>50947.321668451164</v>
      </c>
      <c r="R201" s="1287">
        <v>50907.344644400524</v>
      </c>
      <c r="S201" s="1287">
        <v>50873.308097588917</v>
      </c>
      <c r="T201" s="1287">
        <v>50843.634225043948</v>
      </c>
      <c r="U201" s="1287">
        <v>50817.487322479283</v>
      </c>
      <c r="V201" s="1287">
        <v>50794.634685224533</v>
      </c>
      <c r="W201" s="1287">
        <v>50774.784610005248</v>
      </c>
      <c r="X201" s="1287">
        <v>50757.481634103795</v>
      </c>
      <c r="Y201" s="1287">
        <v>50742.396245005708</v>
      </c>
      <c r="Z201" s="1411"/>
      <c r="AA201" s="1412">
        <f t="shared" ca="1" si="6"/>
        <v>51754.497966980904</v>
      </c>
      <c r="AB201" s="1414"/>
      <c r="AC201" s="1288"/>
      <c r="AD201" s="1038"/>
      <c r="AE201" s="1038"/>
      <c r="AF201" s="1038"/>
      <c r="AG201" s="1038"/>
      <c r="AH201" s="1038"/>
      <c r="AI201" s="1038"/>
      <c r="AJ201" s="1038"/>
      <c r="AK201" s="1038"/>
      <c r="AL201" s="1038"/>
      <c r="AM201" s="1038"/>
      <c r="AN201" s="1038"/>
      <c r="AO201" s="1038"/>
      <c r="AP201" s="1038"/>
      <c r="AQ201" s="1038"/>
      <c r="AR201" s="1038"/>
      <c r="AS201" s="1038"/>
      <c r="AT201" s="1038"/>
      <c r="AU201" s="1038"/>
      <c r="AV201" s="1038"/>
      <c r="AW201" s="1038"/>
      <c r="AX201" s="1038"/>
      <c r="AY201" s="1038"/>
      <c r="AZ201" s="1038"/>
      <c r="BA201" s="1038"/>
      <c r="BB201" s="1038"/>
      <c r="BC201" s="1038"/>
      <c r="BD201" s="1288"/>
      <c r="BE201" s="1288"/>
    </row>
    <row r="202" spans="1:57" x14ac:dyDescent="0.25">
      <c r="A202" s="1288"/>
      <c r="B202" s="1347"/>
      <c r="C202" s="1697">
        <v>46244.834119523075</v>
      </c>
      <c r="D202" s="1287">
        <v>46021.390142711891</v>
      </c>
      <c r="E202" s="1287">
        <v>45803.749905558121</v>
      </c>
      <c r="F202" s="1287">
        <v>45638.343325321286</v>
      </c>
      <c r="G202" s="1287">
        <v>45483.194517502212</v>
      </c>
      <c r="H202" s="1287">
        <v>45344.287182677981</v>
      </c>
      <c r="I202" s="1287">
        <v>45230.438012406797</v>
      </c>
      <c r="J202" s="1287">
        <v>45125.158807150532</v>
      </c>
      <c r="K202" s="1287">
        <v>45035.922939134252</v>
      </c>
      <c r="L202" s="1287">
        <v>44960.500672978109</v>
      </c>
      <c r="M202" s="1287">
        <v>44891.893117072905</v>
      </c>
      <c r="N202" s="1287">
        <v>44831.493965177804</v>
      </c>
      <c r="O202" s="1287">
        <v>44780.727436645313</v>
      </c>
      <c r="P202" s="1287">
        <v>44734.795815592064</v>
      </c>
      <c r="Q202" s="1287">
        <v>44696.116555757762</v>
      </c>
      <c r="R202" s="1287">
        <v>44661.044688032373</v>
      </c>
      <c r="S202" s="1287">
        <v>44631.184404633226</v>
      </c>
      <c r="T202" s="1287">
        <v>44605.151498044695</v>
      </c>
      <c r="U202" s="1287">
        <v>44582.212804383671</v>
      </c>
      <c r="V202" s="1287">
        <v>44562.164171700046</v>
      </c>
      <c r="W202" s="1287">
        <v>44544.749688532211</v>
      </c>
      <c r="X202" s="1287">
        <v>44529.569777158547</v>
      </c>
      <c r="Y202" s="1287">
        <v>44516.335356047952</v>
      </c>
      <c r="Z202" s="1411"/>
      <c r="AA202" s="1412">
        <f t="shared" ca="1" si="6"/>
        <v>45404.252817658096</v>
      </c>
      <c r="AB202" s="1414"/>
      <c r="AC202" s="1288"/>
      <c r="AD202" s="1038"/>
      <c r="AE202" s="1038"/>
      <c r="AF202" s="1038"/>
      <c r="AG202" s="1038"/>
      <c r="AH202" s="1038"/>
      <c r="AI202" s="1038"/>
      <c r="AJ202" s="1038"/>
      <c r="AK202" s="1038"/>
      <c r="AL202" s="1038"/>
      <c r="AM202" s="1038"/>
      <c r="AN202" s="1038"/>
      <c r="AO202" s="1038"/>
      <c r="AP202" s="1038"/>
      <c r="AQ202" s="1038"/>
      <c r="AR202" s="1038"/>
      <c r="AS202" s="1038"/>
      <c r="AT202" s="1038"/>
      <c r="AU202" s="1038"/>
      <c r="AV202" s="1038"/>
      <c r="AW202" s="1038"/>
      <c r="AX202" s="1038"/>
      <c r="AY202" s="1038"/>
      <c r="AZ202" s="1038"/>
      <c r="BA202" s="1038"/>
      <c r="BB202" s="1038"/>
      <c r="BC202" s="1038"/>
      <c r="BD202" s="1288"/>
      <c r="BE202" s="1288"/>
    </row>
    <row r="203" spans="1:57" x14ac:dyDescent="0.25">
      <c r="A203" s="1288"/>
      <c r="B203" s="1347"/>
      <c r="C203" s="1697">
        <v>40526.386889689573</v>
      </c>
      <c r="D203" s="1287">
        <v>57886.952818597456</v>
      </c>
      <c r="E203" s="1287">
        <v>40139.845347343937</v>
      </c>
      <c r="F203" s="1287">
        <v>39994.892268964344</v>
      </c>
      <c r="G203" s="1287">
        <v>39858.928528778815</v>
      </c>
      <c r="H203" s="1287">
        <v>39737.197907400587</v>
      </c>
      <c r="I203" s="1287">
        <v>57193.806596878479</v>
      </c>
      <c r="J203" s="1287">
        <v>57101.545787971096</v>
      </c>
      <c r="K203" s="1287">
        <v>39466.964726230552</v>
      </c>
      <c r="L203" s="1287">
        <v>56957.248605873741</v>
      </c>
      <c r="M203" s="1287">
        <v>56897.124779999845</v>
      </c>
      <c r="N203" s="1287">
        <v>56844.194340435861</v>
      </c>
      <c r="O203" s="1287">
        <v>56799.705393388562</v>
      </c>
      <c r="P203" s="1287">
        <v>56759.453488917177</v>
      </c>
      <c r="Q203" s="1287">
        <v>56725.557148309723</v>
      </c>
      <c r="R203" s="1287">
        <v>56694.82212444282</v>
      </c>
      <c r="S203" s="1287">
        <v>56668.654241679062</v>
      </c>
      <c r="T203" s="1287">
        <v>56645.840457948267</v>
      </c>
      <c r="U203" s="1287">
        <v>56625.73826941735</v>
      </c>
      <c r="V203" s="1287">
        <v>56608.168768732226</v>
      </c>
      <c r="W203" s="1287">
        <v>56592.907689396983</v>
      </c>
      <c r="X203" s="1287">
        <v>56579.604863838329</v>
      </c>
      <c r="Y203" s="1287">
        <v>56568.006957166166</v>
      </c>
      <c r="Z203" s="1411"/>
      <c r="AA203" s="1412">
        <f t="shared" ca="1" si="6"/>
        <v>39789.748436979942</v>
      </c>
      <c r="AB203" s="1414"/>
      <c r="AC203" s="1288"/>
      <c r="AD203" s="1038"/>
      <c r="AE203" s="1038"/>
      <c r="AF203" s="1038"/>
      <c r="AG203" s="1038"/>
      <c r="AH203" s="1038"/>
      <c r="AI203" s="1038"/>
      <c r="AJ203" s="1038"/>
      <c r="AK203" s="1038"/>
      <c r="AL203" s="1038"/>
      <c r="AM203" s="1038"/>
      <c r="AN203" s="1038"/>
      <c r="AO203" s="1038"/>
      <c r="AP203" s="1038"/>
      <c r="AQ203" s="1038"/>
      <c r="AR203" s="1038"/>
      <c r="AS203" s="1038"/>
      <c r="AT203" s="1038"/>
      <c r="AU203" s="1038"/>
      <c r="AV203" s="1038"/>
      <c r="AW203" s="1038"/>
      <c r="AX203" s="1038"/>
      <c r="AY203" s="1038"/>
      <c r="AZ203" s="1038"/>
      <c r="BA203" s="1038"/>
      <c r="BB203" s="1038"/>
      <c r="BC203" s="1038"/>
      <c r="BD203" s="1288"/>
      <c r="BE203" s="1288"/>
    </row>
    <row r="204" spans="1:57" x14ac:dyDescent="0.25">
      <c r="A204" s="1288"/>
      <c r="B204" s="1347"/>
      <c r="C204" s="1697">
        <v>50959.408455091274</v>
      </c>
      <c r="D204" s="1287">
        <v>50787.609548392109</v>
      </c>
      <c r="E204" s="1287">
        <v>50620.272950957835</v>
      </c>
      <c r="F204" s="1287">
        <v>35089.858311449847</v>
      </c>
      <c r="G204" s="1287">
        <v>50373.808195046928</v>
      </c>
      <c r="H204" s="1287">
        <v>50267.006800818868</v>
      </c>
      <c r="I204" s="1287">
        <v>50179.471825563189</v>
      </c>
      <c r="J204" s="1287">
        <v>50098.5260215218</v>
      </c>
      <c r="K204" s="1287">
        <v>50029.915424886669</v>
      </c>
      <c r="L204" s="1287">
        <v>49971.925663643946</v>
      </c>
      <c r="M204" s="1287">
        <v>49919.175514528171</v>
      </c>
      <c r="N204" s="1287">
        <v>49872.736543967316</v>
      </c>
      <c r="O204" s="1287">
        <v>49833.703788539024</v>
      </c>
      <c r="P204" s="1287">
        <v>49798.3884383896</v>
      </c>
      <c r="Q204" s="1287">
        <v>49768.649196158527</v>
      </c>
      <c r="R204" s="1287">
        <v>49741.683562011152</v>
      </c>
      <c r="S204" s="1287">
        <v>49718.724947888237</v>
      </c>
      <c r="T204" s="1287">
        <v>49698.70908103008</v>
      </c>
      <c r="U204" s="1287">
        <v>49681.072255243518</v>
      </c>
      <c r="V204" s="1287">
        <v>49665.657504642433</v>
      </c>
      <c r="W204" s="1287">
        <v>49652.268067112454</v>
      </c>
      <c r="X204" s="1287">
        <v>49640.596720160043</v>
      </c>
      <c r="Y204" s="1287">
        <v>49630.421198268428</v>
      </c>
      <c r="Z204" s="1411"/>
      <c r="AA204" s="1412">
        <f t="shared" ca="1" si="6"/>
        <v>50313.112454129056</v>
      </c>
      <c r="AB204" s="1414"/>
      <c r="AC204" s="1288"/>
      <c r="AD204" s="1038"/>
      <c r="AE204" s="1038"/>
      <c r="AF204" s="1038"/>
      <c r="AG204" s="1038"/>
      <c r="AH204" s="1038"/>
      <c r="AI204" s="1038"/>
      <c r="AJ204" s="1038"/>
      <c r="AK204" s="1038"/>
      <c r="AL204" s="1038"/>
      <c r="AM204" s="1038"/>
      <c r="AN204" s="1038"/>
      <c r="AO204" s="1038"/>
      <c r="AP204" s="1038"/>
      <c r="AQ204" s="1038"/>
      <c r="AR204" s="1038"/>
      <c r="AS204" s="1038"/>
      <c r="AT204" s="1038"/>
      <c r="AU204" s="1038"/>
      <c r="AV204" s="1038"/>
      <c r="AW204" s="1038"/>
      <c r="AX204" s="1038"/>
      <c r="AY204" s="1038"/>
      <c r="AZ204" s="1038"/>
      <c r="BA204" s="1038"/>
      <c r="BB204" s="1038"/>
      <c r="BC204" s="1038"/>
      <c r="BD204" s="1288"/>
      <c r="BE204" s="1288"/>
    </row>
    <row r="205" spans="1:57" x14ac:dyDescent="0.25">
      <c r="A205" s="1288"/>
      <c r="B205" s="1347"/>
      <c r="C205" s="1697">
        <v>44642.126415203929</v>
      </c>
      <c r="D205" s="1287">
        <v>44491.624893632761</v>
      </c>
      <c r="E205" s="1287">
        <v>44345.032502491988</v>
      </c>
      <c r="F205" s="1287">
        <v>44233.622285225028</v>
      </c>
      <c r="G205" s="1287">
        <v>44129.121228718803</v>
      </c>
      <c r="H205" s="1287">
        <v>44035.55967675041</v>
      </c>
      <c r="I205" s="1287">
        <v>43958.876144708258</v>
      </c>
      <c r="J205" s="1287">
        <v>43887.964944473657</v>
      </c>
      <c r="K205" s="1287">
        <v>43827.859793702381</v>
      </c>
      <c r="L205" s="1287">
        <v>43777.058845836851</v>
      </c>
      <c r="M205" s="1287">
        <v>43730.847971404852</v>
      </c>
      <c r="N205" s="1287">
        <v>43690.165898020954</v>
      </c>
      <c r="O205" s="1287">
        <v>43655.971913926754</v>
      </c>
      <c r="P205" s="1287">
        <v>43625.034499746267</v>
      </c>
      <c r="Q205" s="1287">
        <v>43598.981940436395</v>
      </c>
      <c r="R205" s="1287">
        <v>43575.359153497375</v>
      </c>
      <c r="S205" s="1287">
        <v>43555.246648563247</v>
      </c>
      <c r="T205" s="1287">
        <v>43537.712087513959</v>
      </c>
      <c r="U205" s="1287">
        <v>43522.261645089369</v>
      </c>
      <c r="V205" s="1287">
        <v>43508.757813984281</v>
      </c>
      <c r="W205" s="1287">
        <v>43497.028224081987</v>
      </c>
      <c r="X205" s="1287">
        <v>43486.803738322029</v>
      </c>
      <c r="Y205" s="1287">
        <v>43477.88964476408</v>
      </c>
      <c r="Z205" s="1411"/>
      <c r="AA205" s="1412">
        <f t="shared" ca="1" si="6"/>
        <v>44075.949753203968</v>
      </c>
      <c r="AB205" s="1414"/>
      <c r="AC205" s="1288"/>
      <c r="AD205" s="1038"/>
      <c r="AE205" s="1038"/>
      <c r="AF205" s="1038"/>
      <c r="AG205" s="1038"/>
      <c r="AH205" s="1038"/>
      <c r="AI205" s="1038"/>
      <c r="AJ205" s="1038"/>
      <c r="AK205" s="1038"/>
      <c r="AL205" s="1038"/>
      <c r="AM205" s="1038"/>
      <c r="AN205" s="1038"/>
      <c r="AO205" s="1038"/>
      <c r="AP205" s="1038"/>
      <c r="AQ205" s="1038"/>
      <c r="AR205" s="1038"/>
      <c r="AS205" s="1038"/>
      <c r="AT205" s="1038"/>
      <c r="AU205" s="1038"/>
      <c r="AV205" s="1038"/>
      <c r="AW205" s="1038"/>
      <c r="AX205" s="1038"/>
      <c r="AY205" s="1038"/>
      <c r="AZ205" s="1038"/>
      <c r="BA205" s="1038"/>
      <c r="BB205" s="1038"/>
      <c r="BC205" s="1038"/>
      <c r="BD205" s="1288"/>
      <c r="BE205" s="1288"/>
    </row>
    <row r="206" spans="1:57" x14ac:dyDescent="0.25">
      <c r="A206" s="1288"/>
      <c r="B206" s="1347"/>
      <c r="C206" s="1697">
        <v>39142.734030722291</v>
      </c>
      <c r="D206" s="1287">
        <v>39010.772551663504</v>
      </c>
      <c r="E206" s="1287">
        <v>38882.238643489356</v>
      </c>
      <c r="F206" s="1287">
        <v>38784.552873277025</v>
      </c>
      <c r="G206" s="1287">
        <v>38692.92513532591</v>
      </c>
      <c r="H206" s="1287">
        <v>38610.889281788412</v>
      </c>
      <c r="I206" s="1287">
        <v>38543.652271809413</v>
      </c>
      <c r="J206" s="1287">
        <v>38481.476509284876</v>
      </c>
      <c r="K206" s="1287">
        <v>38428.775616217303</v>
      </c>
      <c r="L206" s="1287">
        <v>38384.232756132311</v>
      </c>
      <c r="M206" s="1287">
        <v>38343.714525652082</v>
      </c>
      <c r="N206" s="1287">
        <v>38308.044012032864</v>
      </c>
      <c r="O206" s="1287">
        <v>38278.062330327084</v>
      </c>
      <c r="P206" s="1287">
        <v>38250.936046878975</v>
      </c>
      <c r="Q206" s="1287">
        <v>38228.092860817429</v>
      </c>
      <c r="R206" s="1287">
        <v>38207.380127341901</v>
      </c>
      <c r="S206" s="1287">
        <v>38189.745249827203</v>
      </c>
      <c r="T206" s="1287">
        <v>38174.370743399923</v>
      </c>
      <c r="U206" s="1287">
        <v>38160.823616346483</v>
      </c>
      <c r="V206" s="1287">
        <v>38148.98330066738</v>
      </c>
      <c r="W206" s="1287">
        <v>38138.698660245798</v>
      </c>
      <c r="X206" s="1287">
        <v>38129.733712586705</v>
      </c>
      <c r="Y206" s="1287">
        <v>38121.91773200329</v>
      </c>
      <c r="Z206" s="1411"/>
      <c r="AA206" s="1412">
        <f t="shared" ca="1" si="6"/>
        <v>38646.303769113627</v>
      </c>
      <c r="AB206" s="1414"/>
      <c r="AC206" s="1288"/>
      <c r="AD206" s="1038"/>
      <c r="AE206" s="1038"/>
      <c r="AF206" s="1038"/>
      <c r="AG206" s="1038"/>
      <c r="AH206" s="1038"/>
      <c r="AI206" s="1038"/>
      <c r="AJ206" s="1038"/>
      <c r="AK206" s="1038"/>
      <c r="AL206" s="1038"/>
      <c r="AM206" s="1038"/>
      <c r="AN206" s="1038"/>
      <c r="AO206" s="1038"/>
      <c r="AP206" s="1038"/>
      <c r="AQ206" s="1038"/>
      <c r="AR206" s="1038"/>
      <c r="AS206" s="1038"/>
      <c r="AT206" s="1038"/>
      <c r="AU206" s="1038"/>
      <c r="AV206" s="1038"/>
      <c r="AW206" s="1038"/>
      <c r="AX206" s="1038"/>
      <c r="AY206" s="1038"/>
      <c r="AZ206" s="1038"/>
      <c r="BA206" s="1038"/>
      <c r="BB206" s="1038"/>
      <c r="BC206" s="1038"/>
      <c r="BD206" s="1288"/>
      <c r="BE206" s="1288"/>
    </row>
    <row r="207" spans="1:57" x14ac:dyDescent="0.25">
      <c r="A207" s="1288"/>
      <c r="B207" s="1347"/>
      <c r="C207" s="1697">
        <v>34296.490769775723</v>
      </c>
      <c r="D207" s="1287">
        <v>34180.8673786004</v>
      </c>
      <c r="E207" s="1287">
        <v>34068.247192390671</v>
      </c>
      <c r="F207" s="1287">
        <v>33982.655850871291</v>
      </c>
      <c r="G207" s="1287">
        <v>33902.372499523655</v>
      </c>
      <c r="H207" s="1287">
        <v>33830.49346594794</v>
      </c>
      <c r="I207" s="1287">
        <v>33771.581038156815</v>
      </c>
      <c r="J207" s="1287">
        <v>33717.103227182932</v>
      </c>
      <c r="K207" s="1287">
        <v>33670.927206590393</v>
      </c>
      <c r="L207" s="1287">
        <v>33631.899176801642</v>
      </c>
      <c r="M207" s="1287">
        <v>33596.397489142772</v>
      </c>
      <c r="N207" s="1287">
        <v>33565.143324828801</v>
      </c>
      <c r="O207" s="1287">
        <v>33538.873660858015</v>
      </c>
      <c r="P207" s="1287">
        <v>33515.105869646337</v>
      </c>
      <c r="Q207" s="1287">
        <v>33495.090887573358</v>
      </c>
      <c r="R207" s="1287">
        <v>33476.942587766236</v>
      </c>
      <c r="S207" s="1287">
        <v>33461.49107603907</v>
      </c>
      <c r="T207" s="1287">
        <v>33448.020079931353</v>
      </c>
      <c r="U207" s="1287">
        <v>33436.15021622739</v>
      </c>
      <c r="V207" s="1287">
        <v>33425.775844394273</v>
      </c>
      <c r="W207" s="1287">
        <v>33416.764540405842</v>
      </c>
      <c r="X207" s="1287">
        <v>33408.9095386474</v>
      </c>
      <c r="Y207" s="1287">
        <v>33402.061250898121</v>
      </c>
      <c r="Z207" s="1411"/>
      <c r="AA207" s="1412">
        <f t="shared" ca="1" si="6"/>
        <v>33861.523302461464</v>
      </c>
      <c r="AB207" s="1414"/>
      <c r="AC207" s="1288"/>
      <c r="AD207" s="1038"/>
      <c r="AE207" s="1038"/>
      <c r="AF207" s="1038"/>
      <c r="AG207" s="1038"/>
      <c r="AH207" s="1038"/>
      <c r="AI207" s="1038"/>
      <c r="AJ207" s="1038"/>
      <c r="AK207" s="1038"/>
      <c r="AL207" s="1038"/>
      <c r="AM207" s="1038"/>
      <c r="AN207" s="1038"/>
      <c r="AO207" s="1038"/>
      <c r="AP207" s="1038"/>
      <c r="AQ207" s="1038"/>
      <c r="AR207" s="1038"/>
      <c r="AS207" s="1038"/>
      <c r="AT207" s="1038"/>
      <c r="AU207" s="1038"/>
      <c r="AV207" s="1038"/>
      <c r="AW207" s="1038"/>
      <c r="AX207" s="1038"/>
      <c r="AY207" s="1038"/>
      <c r="AZ207" s="1038"/>
      <c r="BA207" s="1038"/>
      <c r="BB207" s="1038"/>
      <c r="BC207" s="1038"/>
      <c r="BD207" s="1288"/>
      <c r="BE207" s="1288"/>
    </row>
    <row r="208" spans="1:57" x14ac:dyDescent="0.25">
      <c r="A208" s="1288"/>
      <c r="B208" s="1347"/>
      <c r="C208" s="1697">
        <v>30093.021148967557</v>
      </c>
      <c r="D208" s="1287">
        <v>29991.568869802581</v>
      </c>
      <c r="E208" s="1287">
        <v>29892.751714771759</v>
      </c>
      <c r="F208" s="1287">
        <v>29817.650676948353</v>
      </c>
      <c r="G208" s="1287">
        <v>29747.207067827163</v>
      </c>
      <c r="H208" s="1287">
        <v>29684.137720817827</v>
      </c>
      <c r="I208" s="1287">
        <v>29632.445757714198</v>
      </c>
      <c r="J208" s="1287">
        <v>29584.644892932098</v>
      </c>
      <c r="K208" s="1287">
        <v>29544.128328902436</v>
      </c>
      <c r="L208" s="1287">
        <v>29509.883678809241</v>
      </c>
      <c r="M208" s="1287">
        <v>29478.733172924716</v>
      </c>
      <c r="N208" s="1287">
        <v>29451.309602565656</v>
      </c>
      <c r="O208" s="1287">
        <v>29428.259618858701</v>
      </c>
      <c r="P208" s="1287">
        <v>29407.404871695257</v>
      </c>
      <c r="Q208" s="1287">
        <v>29389.8429793471</v>
      </c>
      <c r="R208" s="1287">
        <v>29373.91898369461</v>
      </c>
      <c r="S208" s="1287">
        <v>29360.361250563528</v>
      </c>
      <c r="T208" s="1287">
        <v>29348.541295761501</v>
      </c>
      <c r="U208" s="1287">
        <v>29338.126234294232</v>
      </c>
      <c r="V208" s="1287">
        <v>29329.02337321503</v>
      </c>
      <c r="W208" s="1287">
        <v>29321.116518740502</v>
      </c>
      <c r="X208" s="1287">
        <v>29314.224247002592</v>
      </c>
      <c r="Y208" s="1287">
        <v>29308.215303712834</v>
      </c>
      <c r="Z208" s="1411"/>
      <c r="AA208" s="1412">
        <f t="shared" ca="1" si="6"/>
        <v>29711.364457591535</v>
      </c>
      <c r="AB208" s="1414"/>
      <c r="AC208" s="1288"/>
      <c r="AD208" s="1038"/>
      <c r="AE208" s="1038"/>
      <c r="AF208" s="1038"/>
      <c r="AG208" s="1038"/>
      <c r="AH208" s="1038"/>
      <c r="AI208" s="1038"/>
      <c r="AJ208" s="1038"/>
      <c r="AK208" s="1038"/>
      <c r="AL208" s="1038"/>
      <c r="AM208" s="1038"/>
      <c r="AN208" s="1038"/>
      <c r="AO208" s="1038"/>
      <c r="AP208" s="1038"/>
      <c r="AQ208" s="1038"/>
      <c r="AR208" s="1038"/>
      <c r="AS208" s="1038"/>
      <c r="AT208" s="1038"/>
      <c r="AU208" s="1038"/>
      <c r="AV208" s="1038"/>
      <c r="AW208" s="1038"/>
      <c r="AX208" s="1038"/>
      <c r="AY208" s="1038"/>
      <c r="AZ208" s="1038"/>
      <c r="BA208" s="1038"/>
      <c r="BB208" s="1038"/>
      <c r="BC208" s="1038"/>
      <c r="BD208" s="1288"/>
      <c r="BE208" s="1288"/>
    </row>
    <row r="209" spans="1:57" x14ac:dyDescent="0.25">
      <c r="A209" s="1288"/>
      <c r="B209" s="1347"/>
      <c r="C209" s="1697">
        <v>26414.167707773478</v>
      </c>
      <c r="D209" s="1287">
        <v>26325.11790772403</v>
      </c>
      <c r="E209" s="1287">
        <v>26238.38108949404</v>
      </c>
      <c r="F209" s="1287">
        <v>26172.461107639261</v>
      </c>
      <c r="G209" s="1287">
        <v>26110.629186674698</v>
      </c>
      <c r="H209" s="1287">
        <v>26055.270028786312</v>
      </c>
      <c r="I209" s="1287">
        <v>26009.897376575544</v>
      </c>
      <c r="J209" s="1287">
        <v>25967.940138294925</v>
      </c>
      <c r="K209" s="1287">
        <v>25932.376699452259</v>
      </c>
      <c r="L209" s="1287">
        <v>25902.31843690102</v>
      </c>
      <c r="M209" s="1287">
        <v>25874.976061320227</v>
      </c>
      <c r="N209" s="1287">
        <v>25850.905005674987</v>
      </c>
      <c r="O209" s="1287">
        <v>25830.672868386977</v>
      </c>
      <c r="P209" s="1287">
        <v>25812.367601316862</v>
      </c>
      <c r="Q209" s="1287">
        <v>25796.952639573614</v>
      </c>
      <c r="R209" s="1287">
        <v>25782.975342656147</v>
      </c>
      <c r="S209" s="1287">
        <v>25771.075034113219</v>
      </c>
      <c r="T209" s="1287">
        <v>25760.700061560827</v>
      </c>
      <c r="U209" s="1287">
        <v>25751.558234991753</v>
      </c>
      <c r="V209" s="1287">
        <v>25743.568193115396</v>
      </c>
      <c r="W209" s="1287">
        <v>25736.627946767334</v>
      </c>
      <c r="X209" s="1287">
        <v>25730.578251036506</v>
      </c>
      <c r="Y209" s="1287">
        <v>25725.303897390972</v>
      </c>
      <c r="Z209" s="1411"/>
      <c r="AA209" s="1412">
        <f t="shared" ca="1" si="6"/>
        <v>26079.16831363169</v>
      </c>
      <c r="AB209" s="1414"/>
      <c r="AC209" s="1288"/>
      <c r="AD209" s="1038"/>
      <c r="AE209" s="1038"/>
      <c r="AF209" s="1038"/>
      <c r="AG209" s="1038"/>
      <c r="AH209" s="1038"/>
      <c r="AI209" s="1038"/>
      <c r="AJ209" s="1038"/>
      <c r="AK209" s="1038"/>
      <c r="AL209" s="1038"/>
      <c r="AM209" s="1038"/>
      <c r="AN209" s="1038"/>
      <c r="AO209" s="1038"/>
      <c r="AP209" s="1038"/>
      <c r="AQ209" s="1038"/>
      <c r="AR209" s="1038"/>
      <c r="AS209" s="1038"/>
      <c r="AT209" s="1038"/>
      <c r="AU209" s="1038"/>
      <c r="AV209" s="1038"/>
      <c r="AW209" s="1038"/>
      <c r="AX209" s="1038"/>
      <c r="AY209" s="1038"/>
      <c r="AZ209" s="1038"/>
      <c r="BA209" s="1038"/>
      <c r="BB209" s="1038"/>
      <c r="BC209" s="1038"/>
      <c r="BD209" s="1288"/>
      <c r="BE209" s="1288"/>
    </row>
    <row r="210" spans="1:57" x14ac:dyDescent="0.25">
      <c r="A210" s="1288"/>
      <c r="B210" s="1347"/>
      <c r="C210" s="1697">
        <v>23133.607264409751</v>
      </c>
      <c r="D210" s="1287">
        <v>23055.617182567723</v>
      </c>
      <c r="E210" s="1287">
        <v>22979.652817137176</v>
      </c>
      <c r="F210" s="1287">
        <v>29914.396625313802</v>
      </c>
      <c r="G210" s="1287">
        <v>29860.244043569688</v>
      </c>
      <c r="H210" s="1287">
        <v>22819.283601228264</v>
      </c>
      <c r="I210" s="1287">
        <v>22779.546096401282</v>
      </c>
      <c r="J210" s="1287">
        <v>22742.799821333239</v>
      </c>
      <c r="K210" s="1287">
        <v>29704.129980884511</v>
      </c>
      <c r="L210" s="1287">
        <v>29677.80486443171</v>
      </c>
      <c r="M210" s="1287">
        <v>22661.381604025639</v>
      </c>
      <c r="N210" s="1287">
        <v>29632.776827233749</v>
      </c>
      <c r="O210" s="1287">
        <v>22622.580734839987</v>
      </c>
      <c r="P210" s="1287">
        <v>22606.548927063377</v>
      </c>
      <c r="Q210" s="1287">
        <v>22593.048457356763</v>
      </c>
      <c r="R210" s="1287">
        <v>22580.807098814483</v>
      </c>
      <c r="S210" s="1287">
        <v>29562.861498820974</v>
      </c>
      <c r="T210" s="1287">
        <v>22561.298340853056</v>
      </c>
      <c r="U210" s="1287">
        <v>22553.291901737957</v>
      </c>
      <c r="V210" s="1287">
        <v>22546.294199109627</v>
      </c>
      <c r="W210" s="1287">
        <v>22540.215910552117</v>
      </c>
      <c r="X210" s="1287">
        <v>22534.917568894925</v>
      </c>
      <c r="Y210" s="1287">
        <v>22530.298274160399</v>
      </c>
      <c r="Z210" s="1411"/>
      <c r="AA210" s="1412">
        <f t="shared" ca="1" si="6"/>
        <v>25858.832695803998</v>
      </c>
      <c r="AB210" s="1414"/>
      <c r="AC210" s="1288"/>
      <c r="AD210" s="1038"/>
      <c r="AE210" s="1038"/>
      <c r="AF210" s="1038"/>
      <c r="AG210" s="1038"/>
      <c r="AH210" s="1038"/>
      <c r="AI210" s="1038"/>
      <c r="AJ210" s="1038"/>
      <c r="AK210" s="1038"/>
      <c r="AL210" s="1038"/>
      <c r="AM210" s="1038"/>
      <c r="AN210" s="1038"/>
      <c r="AO210" s="1038"/>
      <c r="AP210" s="1038"/>
      <c r="AQ210" s="1038"/>
      <c r="AR210" s="1038"/>
      <c r="AS210" s="1038"/>
      <c r="AT210" s="1038"/>
      <c r="AU210" s="1038"/>
      <c r="AV210" s="1038"/>
      <c r="AW210" s="1038"/>
      <c r="AX210" s="1038"/>
      <c r="AY210" s="1038"/>
      <c r="AZ210" s="1038"/>
      <c r="BA210" s="1038"/>
      <c r="BB210" s="1038"/>
      <c r="BC210" s="1038"/>
      <c r="BD210" s="1288"/>
      <c r="BE210" s="1288"/>
    </row>
    <row r="211" spans="1:57" x14ac:dyDescent="0.25">
      <c r="A211" s="1288"/>
      <c r="B211" s="1347"/>
      <c r="C211" s="1697">
        <v>20307.132692630359</v>
      </c>
      <c r="D211" s="1287">
        <v>26376.804239203419</v>
      </c>
      <c r="E211" s="1287">
        <v>26310.121234210812</v>
      </c>
      <c r="F211" s="1287">
        <v>26259.442150416435</v>
      </c>
      <c r="G211" s="1287">
        <v>26211.905955539551</v>
      </c>
      <c r="H211" s="1287">
        <v>26169.346001448666</v>
      </c>
      <c r="I211" s="1287">
        <v>26134.463642888131</v>
      </c>
      <c r="J211" s="1287">
        <v>26102.207044285173</v>
      </c>
      <c r="K211" s="1287">
        <v>26074.86597946065</v>
      </c>
      <c r="L211" s="1287">
        <v>26051.757277612043</v>
      </c>
      <c r="M211" s="1287">
        <v>26030.736541498238</v>
      </c>
      <c r="N211" s="1287">
        <v>26012.230786312331</v>
      </c>
      <c r="O211" s="1287">
        <v>25996.67638001384</v>
      </c>
      <c r="P211" s="1287">
        <v>25982.60334574377</v>
      </c>
      <c r="Q211" s="1287">
        <v>25970.752369516347</v>
      </c>
      <c r="R211" s="1287">
        <v>25960.006665683191</v>
      </c>
      <c r="S211" s="1287">
        <v>25950.857744265777</v>
      </c>
      <c r="T211" s="1287">
        <v>25942.881496570426</v>
      </c>
      <c r="U211" s="1287">
        <v>25935.853287798342</v>
      </c>
      <c r="V211" s="1287">
        <v>25929.710567634</v>
      </c>
      <c r="W211" s="1287">
        <v>25924.374927114535</v>
      </c>
      <c r="X211" s="1287">
        <v>25919.723939231244</v>
      </c>
      <c r="Y211" s="1287">
        <v>25915.669032011276</v>
      </c>
      <c r="Z211" s="1411"/>
      <c r="AA211" s="1412">
        <f t="shared" ca="1" si="6"/>
        <v>26187.718930963252</v>
      </c>
      <c r="AB211" s="1414"/>
      <c r="AC211" s="1288"/>
      <c r="AD211" s="1038"/>
      <c r="AE211" s="1038"/>
      <c r="AF211" s="1038"/>
      <c r="AG211" s="1038"/>
      <c r="AH211" s="1038"/>
      <c r="AI211" s="1038"/>
      <c r="AJ211" s="1038"/>
      <c r="AK211" s="1038"/>
      <c r="AL211" s="1038"/>
      <c r="AM211" s="1038"/>
      <c r="AN211" s="1038"/>
      <c r="AO211" s="1038"/>
      <c r="AP211" s="1038"/>
      <c r="AQ211" s="1038"/>
      <c r="AR211" s="1038"/>
      <c r="AS211" s="1038"/>
      <c r="AT211" s="1038"/>
      <c r="AU211" s="1038"/>
      <c r="AV211" s="1038"/>
      <c r="AW211" s="1038"/>
      <c r="AX211" s="1038"/>
      <c r="AY211" s="1038"/>
      <c r="AZ211" s="1038"/>
      <c r="BA211" s="1038"/>
      <c r="BB211" s="1038"/>
      <c r="BC211" s="1038"/>
      <c r="BD211" s="1288"/>
      <c r="BE211" s="1288"/>
    </row>
    <row r="212" spans="1:57" x14ac:dyDescent="0.25">
      <c r="A212" s="1288"/>
      <c r="B212" s="1347"/>
      <c r="C212" s="1697">
        <v>23177.728539499905</v>
      </c>
      <c r="D212" s="1287">
        <v>23117.726285430344</v>
      </c>
      <c r="E212" s="1287">
        <v>23059.282531466477</v>
      </c>
      <c r="F212" s="1287">
        <v>23014.865278453941</v>
      </c>
      <c r="G212" s="1287">
        <v>22973.202583767779</v>
      </c>
      <c r="H212" s="1287">
        <v>22935.901273098338</v>
      </c>
      <c r="I212" s="1287">
        <v>22905.328925892067</v>
      </c>
      <c r="J212" s="1287">
        <v>22877.057903722754</v>
      </c>
      <c r="K212" s="1287">
        <v>22853.095059428444</v>
      </c>
      <c r="L212" s="1287">
        <v>22832.841633755532</v>
      </c>
      <c r="M212" s="1287">
        <v>22814.418187935851</v>
      </c>
      <c r="N212" s="1287">
        <v>22798.198975812451</v>
      </c>
      <c r="O212" s="1287">
        <v>22784.56644838116</v>
      </c>
      <c r="P212" s="1287">
        <v>22772.232256895695</v>
      </c>
      <c r="Q212" s="1287">
        <v>22761.845569328991</v>
      </c>
      <c r="R212" s="1287">
        <v>22752.427588374725</v>
      </c>
      <c r="S212" s="1287">
        <v>22744.409093821079</v>
      </c>
      <c r="T212" s="1287">
        <v>22737.418379201757</v>
      </c>
      <c r="U212" s="1287">
        <v>22731.258565253243</v>
      </c>
      <c r="V212" s="1287">
        <v>22725.874830282188</v>
      </c>
      <c r="W212" s="1287">
        <v>22721.198453418339</v>
      </c>
      <c r="X212" s="1287">
        <v>22717.122134548637</v>
      </c>
      <c r="Y212" s="1287">
        <v>22713.568245518942</v>
      </c>
      <c r="Z212" s="1411"/>
      <c r="AA212" s="1412">
        <f t="shared" ca="1" si="6"/>
        <v>22952.004071289048</v>
      </c>
      <c r="AB212" s="1414"/>
      <c r="AC212" s="1288"/>
      <c r="AD212" s="1038"/>
      <c r="AE212" s="1038"/>
      <c r="AF212" s="1038"/>
      <c r="AG212" s="1038"/>
      <c r="AH212" s="1038"/>
      <c r="AI212" s="1038"/>
      <c r="AJ212" s="1038"/>
      <c r="AK212" s="1038"/>
      <c r="AL212" s="1038"/>
      <c r="AM212" s="1038"/>
      <c r="AN212" s="1038"/>
      <c r="AO212" s="1038"/>
      <c r="AP212" s="1038"/>
      <c r="AQ212" s="1038"/>
      <c r="AR212" s="1038"/>
      <c r="AS212" s="1038"/>
      <c r="AT212" s="1038"/>
      <c r="AU212" s="1038"/>
      <c r="AV212" s="1038"/>
      <c r="AW212" s="1038"/>
      <c r="AX212" s="1038"/>
      <c r="AY212" s="1038"/>
      <c r="AZ212" s="1038"/>
      <c r="BA212" s="1038"/>
      <c r="BB212" s="1038"/>
      <c r="BC212" s="1038"/>
      <c r="BD212" s="1288"/>
      <c r="BE212" s="1288"/>
    </row>
    <row r="213" spans="1:57" x14ac:dyDescent="0.25">
      <c r="A213" s="1288"/>
      <c r="B213" s="1347"/>
      <c r="C213" s="1697">
        <v>20330.753213116248</v>
      </c>
      <c r="D213" s="1287">
        <v>20278.121178115925</v>
      </c>
      <c r="E213" s="1287">
        <v>20226.856208959758</v>
      </c>
      <c r="F213" s="1287">
        <v>20187.894832401078</v>
      </c>
      <c r="G213" s="1287">
        <v>20151.349665241392</v>
      </c>
      <c r="H213" s="1287">
        <v>20118.630162963425</v>
      </c>
      <c r="I213" s="1287">
        <v>24810.724406088983</v>
      </c>
      <c r="J213" s="1287">
        <v>20067.01466410363</v>
      </c>
      <c r="K213" s="1287">
        <v>20045.995232764548</v>
      </c>
      <c r="L213" s="1287">
        <v>20028.229583366483</v>
      </c>
      <c r="M213" s="1287">
        <v>20012.06913305934</v>
      </c>
      <c r="N213" s="1287">
        <v>24716.753481669439</v>
      </c>
      <c r="O213" s="1287">
        <v>19985.884153421048</v>
      </c>
      <c r="P213" s="1287">
        <v>19975.064999907063</v>
      </c>
      <c r="Q213" s="1287">
        <v>24684.865450259811</v>
      </c>
      <c r="R213" s="1287">
        <v>19957.692985756443</v>
      </c>
      <c r="S213" s="1287">
        <v>19950.659421892189</v>
      </c>
      <c r="T213" s="1287">
        <v>19944.527393317148</v>
      </c>
      <c r="U213" s="1287">
        <v>19939.124203914336</v>
      </c>
      <c r="V213" s="1287">
        <v>19934.401765868915</v>
      </c>
      <c r="W213" s="1287">
        <v>19930.299799457996</v>
      </c>
      <c r="X213" s="1287">
        <v>19926.724184495699</v>
      </c>
      <c r="Y213" s="1287">
        <v>19923.606828078035</v>
      </c>
      <c r="Z213" s="1411"/>
      <c r="AA213" s="1412">
        <f t="shared" ca="1" si="6"/>
        <v>20132.75501628967</v>
      </c>
      <c r="AB213" s="1414"/>
      <c r="AC213" s="1288"/>
      <c r="AD213" s="1038"/>
      <c r="AE213" s="1038"/>
      <c r="AF213" s="1038"/>
      <c r="AG213" s="1038"/>
      <c r="AH213" s="1038"/>
      <c r="AI213" s="1038"/>
      <c r="AJ213" s="1038"/>
      <c r="AK213" s="1038"/>
      <c r="AL213" s="1038"/>
      <c r="AM213" s="1038"/>
      <c r="AN213" s="1038"/>
      <c r="AO213" s="1038"/>
      <c r="AP213" s="1038"/>
      <c r="AQ213" s="1038"/>
      <c r="AR213" s="1038"/>
      <c r="AS213" s="1038"/>
      <c r="AT213" s="1038"/>
      <c r="AU213" s="1038"/>
      <c r="AV213" s="1038"/>
      <c r="AW213" s="1038"/>
      <c r="AX213" s="1038"/>
      <c r="AY213" s="1038"/>
      <c r="AZ213" s="1038"/>
      <c r="BA213" s="1038"/>
      <c r="BB213" s="1038"/>
      <c r="BC213" s="1038"/>
      <c r="BD213" s="1288"/>
      <c r="BE213" s="1288"/>
    </row>
    <row r="214" spans="1:57" x14ac:dyDescent="0.25">
      <c r="A214" s="1288"/>
      <c r="B214" s="1347"/>
      <c r="C214" s="1697">
        <v>17831.2816520614</v>
      </c>
      <c r="D214" s="1287">
        <v>17785.120222124489</v>
      </c>
      <c r="E214" s="1287">
        <v>17740.15779036775</v>
      </c>
      <c r="F214" s="1287">
        <v>17705.986342232631</v>
      </c>
      <c r="G214" s="1287">
        <v>21812.700379396869</v>
      </c>
      <c r="H214" s="1287">
        <v>21784.003426828625</v>
      </c>
      <c r="I214" s="1287">
        <v>21760.483256037489</v>
      </c>
      <c r="J214" s="1287">
        <v>21738.733559641074</v>
      </c>
      <c r="K214" s="1287">
        <v>17581.531940523531</v>
      </c>
      <c r="L214" s="1287">
        <v>21704.716733443223</v>
      </c>
      <c r="M214" s="1287">
        <v>21690.54305586078</v>
      </c>
      <c r="N214" s="1287">
        <v>21678.065157560519</v>
      </c>
      <c r="O214" s="1287">
        <v>21667.57726890298</v>
      </c>
      <c r="P214" s="1287">
        <v>17519.321901059175</v>
      </c>
      <c r="Q214" s="1287">
        <v>21650.097454473751</v>
      </c>
      <c r="R214" s="1287">
        <v>21642.851935539347</v>
      </c>
      <c r="S214" s="1287">
        <v>21636.683081047508</v>
      </c>
      <c r="T214" s="1287">
        <v>21631.304926707933</v>
      </c>
      <c r="U214" s="1287">
        <v>17487.799682013589</v>
      </c>
      <c r="V214" s="1287">
        <v>21622.424148261569</v>
      </c>
      <c r="W214" s="1287">
        <v>21618.82647936885</v>
      </c>
      <c r="X214" s="1287">
        <v>21615.69045205084</v>
      </c>
      <c r="Y214" s="1287">
        <v>21612.956344774509</v>
      </c>
      <c r="Z214" s="1411"/>
      <c r="AA214" s="1412">
        <f t="shared" ca="1" si="6"/>
        <v>21796.391764600179</v>
      </c>
      <c r="AB214" s="1414"/>
      <c r="AC214" s="1288"/>
      <c r="AD214" s="1038"/>
      <c r="AE214" s="1038"/>
      <c r="AF214" s="1038"/>
      <c r="AG214" s="1038"/>
      <c r="AH214" s="1038"/>
      <c r="AI214" s="1038"/>
      <c r="AJ214" s="1038"/>
      <c r="AK214" s="1038"/>
      <c r="AL214" s="1038"/>
      <c r="AM214" s="1038"/>
      <c r="AN214" s="1038"/>
      <c r="AO214" s="1038"/>
      <c r="AP214" s="1038"/>
      <c r="AQ214" s="1038"/>
      <c r="AR214" s="1038"/>
      <c r="AS214" s="1038"/>
      <c r="AT214" s="1038"/>
      <c r="AU214" s="1038"/>
      <c r="AV214" s="1038"/>
      <c r="AW214" s="1038"/>
      <c r="AX214" s="1038"/>
      <c r="AY214" s="1038"/>
      <c r="AZ214" s="1038"/>
      <c r="BA214" s="1038"/>
      <c r="BB214" s="1038"/>
      <c r="BC214" s="1038"/>
      <c r="BD214" s="1288"/>
      <c r="BE214" s="1288"/>
    </row>
    <row r="215" spans="1:57" x14ac:dyDescent="0.25">
      <c r="A215" s="1288"/>
      <c r="B215" s="1347"/>
      <c r="C215" s="1697">
        <v>15632.09024830716</v>
      </c>
      <c r="D215" s="1287">
        <v>15591.622061395799</v>
      </c>
      <c r="E215" s="1287">
        <v>19180.523475108046</v>
      </c>
      <c r="F215" s="1287">
        <v>19150.566505576262</v>
      </c>
      <c r="G215" s="1287">
        <v>19122.467332604589</v>
      </c>
      <c r="H215" s="1287">
        <v>19097.309670853094</v>
      </c>
      <c r="I215" s="1287">
        <v>19076.690321126196</v>
      </c>
      <c r="J215" s="1287">
        <v>19057.623087285341</v>
      </c>
      <c r="K215" s="1287">
        <v>19041.461480077945</v>
      </c>
      <c r="L215" s="1287">
        <v>19027.801669651893</v>
      </c>
      <c r="M215" s="1287">
        <v>19015.376078971283</v>
      </c>
      <c r="N215" s="1287">
        <v>19004.437121461389</v>
      </c>
      <c r="O215" s="1287">
        <v>18995.242739071611</v>
      </c>
      <c r="P215" s="1287">
        <v>18986.92401214753</v>
      </c>
      <c r="Q215" s="1287">
        <v>18979.918768421987</v>
      </c>
      <c r="R215" s="1287">
        <v>18973.566863489494</v>
      </c>
      <c r="S215" s="1287">
        <v>18968.158834384983</v>
      </c>
      <c r="T215" s="1287">
        <v>18963.443985747286</v>
      </c>
      <c r="U215" s="1287">
        <v>18959.289533450898</v>
      </c>
      <c r="V215" s="1287">
        <v>18955.658503309307</v>
      </c>
      <c r="W215" s="1287">
        <v>18952.504546913358</v>
      </c>
      <c r="X215" s="1287">
        <v>18949.755296297899</v>
      </c>
      <c r="Y215" s="1287">
        <v>18947.358395585652</v>
      </c>
      <c r="Z215" s="1411"/>
      <c r="AA215" s="1412">
        <f t="shared" ca="1" si="6"/>
        <v>19108.170113632827</v>
      </c>
      <c r="AB215" s="1415"/>
      <c r="AC215" s="1288"/>
      <c r="AD215" s="1038"/>
      <c r="AE215" s="1038"/>
      <c r="AF215" s="1038"/>
      <c r="AG215" s="1038"/>
      <c r="AH215" s="1038"/>
      <c r="AI215" s="1038"/>
      <c r="AJ215" s="1038"/>
      <c r="AK215" s="1038"/>
      <c r="AL215" s="1038"/>
      <c r="AM215" s="1038"/>
      <c r="AN215" s="1038"/>
      <c r="AO215" s="1038"/>
      <c r="AP215" s="1038"/>
      <c r="AQ215" s="1038"/>
      <c r="AR215" s="1038"/>
      <c r="AS215" s="1038"/>
      <c r="AT215" s="1038"/>
      <c r="AU215" s="1038"/>
      <c r="AV215" s="1038"/>
      <c r="AW215" s="1038"/>
      <c r="AX215" s="1038"/>
      <c r="AY215" s="1038"/>
      <c r="AZ215" s="1038"/>
      <c r="BA215" s="1038"/>
      <c r="BB215" s="1038"/>
      <c r="BC215" s="1038"/>
      <c r="BD215" s="1288"/>
      <c r="BE215" s="1288"/>
    </row>
    <row r="216" spans="1:57" x14ac:dyDescent="0.25">
      <c r="A216" s="1288"/>
      <c r="B216" s="1347"/>
      <c r="C216" s="1704"/>
      <c r="D216" s="1409"/>
      <c r="E216" s="1409"/>
      <c r="F216" s="1409"/>
      <c r="G216" s="1409"/>
      <c r="H216" s="1409"/>
      <c r="I216" s="1409"/>
      <c r="J216" s="1409"/>
      <c r="K216" s="1409"/>
      <c r="L216" s="1409"/>
      <c r="M216" s="1409"/>
      <c r="N216" s="1409"/>
      <c r="O216" s="1409"/>
      <c r="P216" s="1411"/>
      <c r="Q216" s="1411"/>
      <c r="R216" s="1411"/>
      <c r="S216" s="1411"/>
      <c r="T216" s="1409"/>
      <c r="U216" s="1411"/>
      <c r="V216" s="1411"/>
      <c r="W216" s="1411"/>
      <c r="X216" s="1411"/>
      <c r="Y216" s="1411"/>
      <c r="Z216" s="1411"/>
      <c r="AA216" s="1411"/>
      <c r="AB216" s="1422"/>
      <c r="AC216" s="1288"/>
      <c r="AD216" s="1038"/>
      <c r="AE216" s="1038"/>
      <c r="AF216" s="1038"/>
      <c r="AG216" s="1038"/>
      <c r="AH216" s="1038"/>
      <c r="AI216" s="1038"/>
      <c r="AJ216" s="1038"/>
      <c r="AK216" s="1038"/>
      <c r="AL216" s="1038"/>
      <c r="AM216" s="1038"/>
      <c r="AN216" s="1038"/>
      <c r="AO216" s="1038"/>
      <c r="AP216" s="1038"/>
      <c r="AQ216" s="1038"/>
      <c r="AR216" s="1038"/>
      <c r="AS216" s="1038"/>
      <c r="AT216" s="1038"/>
      <c r="AU216" s="1038"/>
      <c r="AV216" s="1038"/>
      <c r="AW216" s="1038"/>
      <c r="AX216" s="1038"/>
      <c r="AY216" s="1038"/>
      <c r="AZ216" s="1038"/>
      <c r="BA216" s="1038"/>
      <c r="BB216" s="1038"/>
      <c r="BC216" s="1038"/>
      <c r="BD216" s="1288"/>
      <c r="BE216" s="1288"/>
    </row>
    <row r="217" spans="1:57" x14ac:dyDescent="0.25">
      <c r="A217" s="1288"/>
      <c r="B217" s="1341" t="s">
        <v>1292</v>
      </c>
      <c r="C217" s="1697">
        <v>6352.628054976064</v>
      </c>
      <c r="D217" s="1287">
        <v>6219.3430591622637</v>
      </c>
      <c r="E217" s="1287">
        <v>6089.5200112916782</v>
      </c>
      <c r="F217" s="1287">
        <v>5990.8544949100333</v>
      </c>
      <c r="G217" s="1287">
        <v>5898.3077702419805</v>
      </c>
      <c r="H217" s="1287">
        <v>5815.4491324537776</v>
      </c>
      <c r="I217" s="1287">
        <v>5747.5377642461572</v>
      </c>
      <c r="J217" s="1287">
        <v>5684.7384056233941</v>
      </c>
      <c r="K217" s="1287">
        <v>5631.5089453142473</v>
      </c>
      <c r="L217" s="1287">
        <v>5655.3581878292925</v>
      </c>
      <c r="M217" s="1287">
        <v>5605.6080835919429</v>
      </c>
      <c r="N217" s="1287">
        <v>5561.8102239687069</v>
      </c>
      <c r="O217" s="1287">
        <v>5524.9973678198658</v>
      </c>
      <c r="P217" s="1287">
        <v>5491.6904979709134</v>
      </c>
      <c r="Q217" s="1287">
        <v>5498.4717867647114</v>
      </c>
      <c r="R217" s="1287">
        <v>5468.5282100824907</v>
      </c>
      <c r="S217" s="1287">
        <v>5443.0341676004709</v>
      </c>
      <c r="T217" s="1287">
        <v>5443.9355301858068</v>
      </c>
      <c r="U217" s="1287">
        <v>5421.4002138061878</v>
      </c>
      <c r="V217" s="1287">
        <v>5419.3020377030607</v>
      </c>
      <c r="W217" s="1287">
        <v>5399.9536357296583</v>
      </c>
      <c r="X217" s="1287">
        <v>5396.4930048512879</v>
      </c>
      <c r="Y217" s="1287">
        <v>5391.7890340407967</v>
      </c>
      <c r="Z217" s="1411"/>
      <c r="AA217" s="1412">
        <f t="shared" ref="AA217:AA239" ca="1" si="7">FORECAST($C$54,OFFSET(C217:Y217,0,MATCH($C$54,$G$72:$Y$72,1)-1,1,2), OFFSET($G$72:$Y$72,0,MATCH($C$54,$G$72:$Y$72,1)-1,1,2))</f>
        <v>5851.218811822002</v>
      </c>
      <c r="AB217" s="1413" t="e">
        <f ca="1">FORECAST($C$55,OFFSET(AA217:AA239,MATCH($C$55,$B$73:$B$95,1)-1,0,2), OFFSET($B$73:$B$95,MATCH($C$55,$B$73:$B$95,1)-1,0,2))</f>
        <v>#REF!</v>
      </c>
      <c r="AC217" s="1288"/>
      <c r="AD217" s="1038"/>
      <c r="AE217" s="1038"/>
      <c r="AF217" s="1038"/>
      <c r="AG217" s="1038"/>
      <c r="AH217" s="1038"/>
      <c r="AI217" s="1038"/>
      <c r="AJ217" s="1038"/>
      <c r="AK217" s="1038"/>
      <c r="AL217" s="1038"/>
      <c r="AM217" s="1038"/>
      <c r="AN217" s="1038"/>
      <c r="AO217" s="1038"/>
      <c r="AP217" s="1038"/>
      <c r="AQ217" s="1038"/>
      <c r="AR217" s="1038"/>
      <c r="AS217" s="1038"/>
      <c r="AT217" s="1038"/>
      <c r="AU217" s="1038"/>
      <c r="AV217" s="1038"/>
      <c r="AW217" s="1038"/>
      <c r="AX217" s="1038"/>
      <c r="AY217" s="1038"/>
      <c r="AZ217" s="1038"/>
      <c r="BA217" s="1038"/>
      <c r="BB217" s="1038"/>
      <c r="BC217" s="1038"/>
      <c r="BD217" s="1288"/>
      <c r="BE217" s="1288"/>
    </row>
    <row r="218" spans="1:57" x14ac:dyDescent="0.25">
      <c r="A218" s="1288"/>
      <c r="B218" s="1347"/>
      <c r="C218" s="1697">
        <v>6352.628054976064</v>
      </c>
      <c r="D218" s="1287">
        <v>6219.3430591622637</v>
      </c>
      <c r="E218" s="1287">
        <v>6089.5200112916782</v>
      </c>
      <c r="F218" s="1287">
        <v>5990.8544949100333</v>
      </c>
      <c r="G218" s="1287">
        <v>5898.3077702419805</v>
      </c>
      <c r="H218" s="1287">
        <v>5815.4491324537776</v>
      </c>
      <c r="I218" s="1287">
        <v>5747.5377642461572</v>
      </c>
      <c r="J218" s="1287">
        <v>5783.7608131933985</v>
      </c>
      <c r="K218" s="1287">
        <v>5717.9043344692845</v>
      </c>
      <c r="L218" s="1287">
        <v>5662.2423570956526</v>
      </c>
      <c r="M218" s="1287">
        <v>5611.6096670549232</v>
      </c>
      <c r="N218" s="1287">
        <v>5567.0348167154971</v>
      </c>
      <c r="O218" s="1287">
        <v>5579.8537028174505</v>
      </c>
      <c r="P218" s="1287">
        <v>5539.4565583769736</v>
      </c>
      <c r="Q218" s="1287">
        <v>5505.4379104270993</v>
      </c>
      <c r="R218" s="1287">
        <v>5507.9415016230687</v>
      </c>
      <c r="S218" s="1287">
        <v>5477.4539199413384</v>
      </c>
      <c r="T218" s="1287">
        <v>5450.8741197625732</v>
      </c>
      <c r="U218" s="1287">
        <v>5449.6482126164356</v>
      </c>
      <c r="V218" s="1287">
        <v>5445.6992528688133</v>
      </c>
      <c r="W218" s="1287">
        <v>5439.8841620673566</v>
      </c>
      <c r="X218" s="1287">
        <v>5417.9414090443079</v>
      </c>
      <c r="Y218" s="1287">
        <v>5411.6837996765844</v>
      </c>
      <c r="Z218" s="1411"/>
      <c r="AA218" s="1412">
        <f t="shared" ca="1" si="7"/>
        <v>5851.218811822002</v>
      </c>
      <c r="AB218" s="1414"/>
      <c r="AC218" s="1288"/>
      <c r="AD218" s="1038"/>
      <c r="AE218" s="1038"/>
      <c r="AF218" s="1038"/>
      <c r="AG218" s="1038"/>
      <c r="AH218" s="1038"/>
      <c r="AI218" s="1038"/>
      <c r="AJ218" s="1038"/>
      <c r="AK218" s="1038"/>
      <c r="AL218" s="1038"/>
      <c r="AM218" s="1038"/>
      <c r="AN218" s="1038"/>
      <c r="AO218" s="1038"/>
      <c r="AP218" s="1038"/>
      <c r="AQ218" s="1038"/>
      <c r="AR218" s="1038"/>
      <c r="AS218" s="1038"/>
      <c r="AT218" s="1038"/>
      <c r="AU218" s="1038"/>
      <c r="AV218" s="1038"/>
      <c r="AW218" s="1038"/>
      <c r="AX218" s="1038"/>
      <c r="AY218" s="1038"/>
      <c r="AZ218" s="1038"/>
      <c r="BA218" s="1038"/>
      <c r="BB218" s="1038"/>
      <c r="BC218" s="1038"/>
      <c r="BD218" s="1288"/>
      <c r="BE218" s="1288"/>
    </row>
    <row r="219" spans="1:57" x14ac:dyDescent="0.25">
      <c r="A219" s="1288"/>
      <c r="B219" s="1347"/>
      <c r="C219" s="1697">
        <v>6352.628054976064</v>
      </c>
      <c r="D219" s="1287">
        <v>6219.3430591622637</v>
      </c>
      <c r="E219" s="1287">
        <v>6089.5200112916782</v>
      </c>
      <c r="F219" s="1287">
        <v>5990.8544949100333</v>
      </c>
      <c r="G219" s="1287">
        <v>5898.3077702419805</v>
      </c>
      <c r="H219" s="1287">
        <v>5958.9886145475048</v>
      </c>
      <c r="I219" s="1287">
        <v>5873.2935936911044</v>
      </c>
      <c r="J219" s="1287">
        <v>5794.0492419870798</v>
      </c>
      <c r="K219" s="1287">
        <v>5726.8808159671271</v>
      </c>
      <c r="L219" s="1287">
        <v>5670.1099791143497</v>
      </c>
      <c r="M219" s="1287">
        <v>5618.4686195840441</v>
      </c>
      <c r="N219" s="1287">
        <v>5636.4451045300402</v>
      </c>
      <c r="O219" s="1287">
        <v>5590.3028883110328</v>
      </c>
      <c r="P219" s="1287">
        <v>5596.8898924369596</v>
      </c>
      <c r="Q219" s="1287">
        <v>5555.6920777295873</v>
      </c>
      <c r="R219" s="1287">
        <v>5518.336546259171</v>
      </c>
      <c r="S219" s="1287">
        <v>5518.6821913368458</v>
      </c>
      <c r="T219" s="1287">
        <v>5514.971559849715</v>
      </c>
      <c r="U219" s="1287">
        <v>5483.373025892286</v>
      </c>
      <c r="V219" s="1287">
        <v>5477.1246475201997</v>
      </c>
      <c r="W219" s="1287">
        <v>5469.0644549628287</v>
      </c>
      <c r="X219" s="1287">
        <v>5459.6891661045938</v>
      </c>
      <c r="Y219" s="1287">
        <v>5463.6774960606717</v>
      </c>
      <c r="Z219" s="1411"/>
      <c r="AA219" s="1412">
        <f t="shared" ca="1" si="7"/>
        <v>5932.7929830172125</v>
      </c>
      <c r="AB219" s="1414"/>
      <c r="AC219" s="1288"/>
      <c r="AD219" s="1038"/>
      <c r="AE219" s="1038"/>
      <c r="AF219" s="1038"/>
      <c r="AG219" s="1038"/>
      <c r="AH219" s="1038"/>
      <c r="AI219" s="1038"/>
      <c r="AJ219" s="1038"/>
      <c r="AK219" s="1038"/>
      <c r="AL219" s="1038"/>
      <c r="AM219" s="1038"/>
      <c r="AN219" s="1038"/>
      <c r="AO219" s="1038"/>
      <c r="AP219" s="1038"/>
      <c r="AQ219" s="1038"/>
      <c r="AR219" s="1038"/>
      <c r="AS219" s="1038"/>
      <c r="AT219" s="1038"/>
      <c r="AU219" s="1038"/>
      <c r="AV219" s="1038"/>
      <c r="AW219" s="1038"/>
      <c r="AX219" s="1038"/>
      <c r="AY219" s="1038"/>
      <c r="AZ219" s="1038"/>
      <c r="BA219" s="1038"/>
      <c r="BB219" s="1038"/>
      <c r="BC219" s="1038"/>
      <c r="BD219" s="1288"/>
      <c r="BE219" s="1288"/>
    </row>
    <row r="220" spans="1:57" x14ac:dyDescent="0.25">
      <c r="A220" s="1288"/>
      <c r="B220" s="1347"/>
      <c r="C220" s="1697">
        <v>6352.628054976064</v>
      </c>
      <c r="D220" s="1287">
        <v>6219.3430591622637</v>
      </c>
      <c r="E220" s="1287">
        <v>6089.5200112916782</v>
      </c>
      <c r="F220" s="1287">
        <v>5990.8544949100333</v>
      </c>
      <c r="G220" s="1287">
        <v>6081.0413916181997</v>
      </c>
      <c r="H220" s="1287">
        <v>5974.1874298108978</v>
      </c>
      <c r="I220" s="1287">
        <v>5886.6093698953155</v>
      </c>
      <c r="J220" s="1287">
        <v>5805.6237243799706</v>
      </c>
      <c r="K220" s="1287">
        <v>5736.9793576521997</v>
      </c>
      <c r="L220" s="1287">
        <v>5771.4027682286478</v>
      </c>
      <c r="M220" s="1287">
        <v>5706.7751536836895</v>
      </c>
      <c r="N220" s="1287">
        <v>5649.8797715932178</v>
      </c>
      <c r="O220" s="1287">
        <v>5663.445297922387</v>
      </c>
      <c r="P220" s="1287">
        <v>5612.2437976520205</v>
      </c>
      <c r="Q220" s="1287">
        <v>5615.8978502640593</v>
      </c>
      <c r="R220" s="1287">
        <v>5611.4563157149669</v>
      </c>
      <c r="S220" s="1287">
        <v>5567.8537349627695</v>
      </c>
      <c r="T220" s="1287">
        <v>5560.8974590468179</v>
      </c>
      <c r="U220" s="1287">
        <v>5550.5343990510601</v>
      </c>
      <c r="V220" s="1287">
        <v>5537.9641650287185</v>
      </c>
      <c r="W220" s="1287">
        <v>5544.757438286445</v>
      </c>
      <c r="X220" s="1287">
        <v>5527.4815326609178</v>
      </c>
      <c r="Y220" s="1287">
        <v>5525.8695974864941</v>
      </c>
      <c r="Z220" s="1411"/>
      <c r="AA220" s="1412">
        <f t="shared" ca="1" si="7"/>
        <v>6020.3157762947194</v>
      </c>
      <c r="AB220" s="1414"/>
      <c r="AC220" s="1288"/>
      <c r="AD220" s="1038"/>
      <c r="AE220" s="1038"/>
      <c r="AF220" s="1038"/>
      <c r="AG220" s="1038"/>
      <c r="AH220" s="1038"/>
      <c r="AI220" s="1038"/>
      <c r="AJ220" s="1038"/>
      <c r="AK220" s="1038"/>
      <c r="AL220" s="1038"/>
      <c r="AM220" s="1038"/>
      <c r="AN220" s="1038"/>
      <c r="AO220" s="1038"/>
      <c r="AP220" s="1038"/>
      <c r="AQ220" s="1038"/>
      <c r="AR220" s="1038"/>
      <c r="AS220" s="1038"/>
      <c r="AT220" s="1038"/>
      <c r="AU220" s="1038"/>
      <c r="AV220" s="1038"/>
      <c r="AW220" s="1038"/>
      <c r="AX220" s="1038"/>
      <c r="AY220" s="1038"/>
      <c r="AZ220" s="1038"/>
      <c r="BA220" s="1038"/>
      <c r="BB220" s="1038"/>
      <c r="BC220" s="1038"/>
      <c r="BD220" s="1288"/>
      <c r="BE220" s="1288"/>
    </row>
    <row r="221" spans="1:57" x14ac:dyDescent="0.25">
      <c r="A221" s="1288"/>
      <c r="B221" s="1347"/>
      <c r="C221" s="1697">
        <v>6352.628054976064</v>
      </c>
      <c r="D221" s="1287">
        <v>6219.3430591622637</v>
      </c>
      <c r="E221" s="1287">
        <v>6089.5200112916782</v>
      </c>
      <c r="F221" s="1287">
        <v>5990.8544949100333</v>
      </c>
      <c r="G221" s="1287">
        <v>6102.4257712329736</v>
      </c>
      <c r="H221" s="1287">
        <v>5992.7637595772658</v>
      </c>
      <c r="I221" s="1287">
        <v>5902.8842074782406</v>
      </c>
      <c r="J221" s="1287">
        <v>5684.7384056233941</v>
      </c>
      <c r="K221" s="1287">
        <v>5867.1350941092187</v>
      </c>
      <c r="L221" s="1287">
        <v>5793.038728780065</v>
      </c>
      <c r="M221" s="1287">
        <v>5545.5947286749215</v>
      </c>
      <c r="N221" s="1287">
        <v>5744.6666527493171</v>
      </c>
      <c r="O221" s="1287">
        <v>5753.5676339608117</v>
      </c>
      <c r="P221" s="1287">
        <v>5511.5937084348798</v>
      </c>
      <c r="Q221" s="1287">
        <v>5690.0358701233072</v>
      </c>
      <c r="R221" s="1287">
        <v>5680.7553605843395</v>
      </c>
      <c r="S221" s="1287">
        <v>5429.7964745407126</v>
      </c>
      <c r="T221" s="1287">
        <v>5409.2444935430549</v>
      </c>
      <c r="U221" s="1287">
        <v>5421.4010475027262</v>
      </c>
      <c r="V221" s="1287">
        <v>5639.2798002627633</v>
      </c>
      <c r="W221" s="1287">
        <v>5638.002859184583</v>
      </c>
      <c r="X221" s="1287">
        <v>5389.7913132265221</v>
      </c>
      <c r="Y221" s="1287">
        <v>5374.2358530435567</v>
      </c>
      <c r="Z221" s="1411"/>
      <c r="AA221" s="1412">
        <f t="shared" ca="1" si="7"/>
        <v>6040.1043278089801</v>
      </c>
      <c r="AB221" s="1414"/>
      <c r="AC221" s="1288"/>
      <c r="AD221" s="1038"/>
      <c r="AE221" s="1038"/>
      <c r="AF221" s="1038"/>
      <c r="AG221" s="1038"/>
      <c r="AH221" s="1038"/>
      <c r="AI221" s="1038"/>
      <c r="AJ221" s="1038"/>
      <c r="AK221" s="1038"/>
      <c r="AL221" s="1038"/>
      <c r="AM221" s="1038"/>
      <c r="AN221" s="1038"/>
      <c r="AO221" s="1038"/>
      <c r="AP221" s="1038"/>
      <c r="AQ221" s="1038"/>
      <c r="AR221" s="1038"/>
      <c r="AS221" s="1038"/>
      <c r="AT221" s="1038"/>
      <c r="AU221" s="1038"/>
      <c r="AV221" s="1038"/>
      <c r="AW221" s="1038"/>
      <c r="AX221" s="1038"/>
      <c r="AY221" s="1038"/>
      <c r="AZ221" s="1038"/>
      <c r="BA221" s="1038"/>
      <c r="BB221" s="1038"/>
      <c r="BC221" s="1038"/>
      <c r="BD221" s="1288"/>
      <c r="BE221" s="1288"/>
    </row>
    <row r="222" spans="1:57" x14ac:dyDescent="0.25">
      <c r="A222" s="1288"/>
      <c r="B222" s="1347"/>
      <c r="C222" s="1697">
        <v>6352.628054976064</v>
      </c>
      <c r="D222" s="1287">
        <v>6219.3430591622637</v>
      </c>
      <c r="E222" s="1287">
        <v>6089.5200112916782</v>
      </c>
      <c r="F222" s="1287">
        <v>5990.8544949100333</v>
      </c>
      <c r="G222" s="1287">
        <v>6123.8101508477457</v>
      </c>
      <c r="H222" s="1287">
        <v>5815.4491324537776</v>
      </c>
      <c r="I222" s="1287">
        <v>5747.5377642461572</v>
      </c>
      <c r="J222" s="1287">
        <v>5684.7384056233941</v>
      </c>
      <c r="K222" s="1287">
        <v>5631.5089453142473</v>
      </c>
      <c r="L222" s="1287">
        <v>5586.5193395421193</v>
      </c>
      <c r="M222" s="1287">
        <v>5545.5947286749215</v>
      </c>
      <c r="N222" s="1287">
        <v>5596.1432620190481</v>
      </c>
      <c r="O222" s="1287">
        <v>5555.0387761139145</v>
      </c>
      <c r="P222" s="1287">
        <v>5517.849003152126</v>
      </c>
      <c r="Q222" s="1287">
        <v>5486.5312996053581</v>
      </c>
      <c r="R222" s="1287">
        <v>5458.134418151034</v>
      </c>
      <c r="S222" s="1287">
        <v>5477.8332649908634</v>
      </c>
      <c r="T222" s="1287">
        <v>5451.2054844105778</v>
      </c>
      <c r="U222" s="1287">
        <v>5427.7426221471078</v>
      </c>
      <c r="V222" s="1287">
        <v>5436.3985750880393</v>
      </c>
      <c r="W222" s="1287">
        <v>5414.8738422401702</v>
      </c>
      <c r="X222" s="1287">
        <v>5418.3255339283633</v>
      </c>
      <c r="Y222" s="1287">
        <v>5418.5394324483605</v>
      </c>
      <c r="Z222" s="1411"/>
      <c r="AA222" s="1412">
        <f t="shared" ca="1" si="7"/>
        <v>5948.5671157086499</v>
      </c>
      <c r="AB222" s="1414"/>
      <c r="AC222" s="1288"/>
      <c r="AD222" s="1038"/>
      <c r="AE222" s="1038"/>
      <c r="AF222" s="1038"/>
      <c r="AG222" s="1038"/>
      <c r="AH222" s="1038"/>
      <c r="AI222" s="1038"/>
      <c r="AJ222" s="1038"/>
      <c r="AK222" s="1038"/>
      <c r="AL222" s="1038"/>
      <c r="AM222" s="1038"/>
      <c r="AN222" s="1038"/>
      <c r="AO222" s="1038"/>
      <c r="AP222" s="1038"/>
      <c r="AQ222" s="1038"/>
      <c r="AR222" s="1038"/>
      <c r="AS222" s="1038"/>
      <c r="AT222" s="1038"/>
      <c r="AU222" s="1038"/>
      <c r="AV222" s="1038"/>
      <c r="AW222" s="1038"/>
      <c r="AX222" s="1038"/>
      <c r="AY222" s="1038"/>
      <c r="AZ222" s="1038"/>
      <c r="BA222" s="1038"/>
      <c r="BB222" s="1038"/>
      <c r="BC222" s="1038"/>
      <c r="BD222" s="1288"/>
      <c r="BE222" s="1288"/>
    </row>
    <row r="223" spans="1:57" x14ac:dyDescent="0.25">
      <c r="A223" s="1288"/>
      <c r="B223" s="1347"/>
      <c r="C223" s="1697">
        <v>6352.628054976064</v>
      </c>
      <c r="D223" s="1287">
        <v>6219.3430591622637</v>
      </c>
      <c r="E223" s="1287">
        <v>6089.5200112916782</v>
      </c>
      <c r="F223" s="1287">
        <v>5990.8544949100333</v>
      </c>
      <c r="G223" s="1287">
        <v>5898.3077702419805</v>
      </c>
      <c r="H223" s="1287">
        <v>5815.4491324537776</v>
      </c>
      <c r="I223" s="1287">
        <v>5747.5377642461572</v>
      </c>
      <c r="J223" s="1287">
        <v>5684.7384056233941</v>
      </c>
      <c r="K223" s="1287">
        <v>5631.5089453142473</v>
      </c>
      <c r="L223" s="1287">
        <v>5714.3653529695212</v>
      </c>
      <c r="M223" s="1287">
        <v>5657.0502275603476</v>
      </c>
      <c r="N223" s="1287">
        <v>5606.5924475126303</v>
      </c>
      <c r="O223" s="1287">
        <v>5564.1818134207988</v>
      </c>
      <c r="P223" s="1287">
        <v>5525.810287337712</v>
      </c>
      <c r="Q223" s="1287">
        <v>5558.1814181566106</v>
      </c>
      <c r="R223" s="1287">
        <v>5520.5034332630039</v>
      </c>
      <c r="S223" s="1287">
        <v>5488.4242946314171</v>
      </c>
      <c r="T223" s="1287">
        <v>5503.4091551295169</v>
      </c>
      <c r="U223" s="1287">
        <v>5473.2858245329408</v>
      </c>
      <c r="V223" s="1287">
        <v>5479.6401915306642</v>
      </c>
      <c r="W223" s="1287">
        <v>5452.6109484532226</v>
      </c>
      <c r="X223" s="1287">
        <v>5453.9455711390247</v>
      </c>
      <c r="Y223" s="1287">
        <v>5451.9763424838302</v>
      </c>
      <c r="Z223" s="1411"/>
      <c r="AA223" s="1412">
        <f t="shared" ca="1" si="7"/>
        <v>5851.218811822002</v>
      </c>
      <c r="AB223" s="1414"/>
      <c r="AC223" s="1288"/>
      <c r="AD223" s="1038"/>
      <c r="AE223" s="1038"/>
      <c r="AF223" s="1038"/>
      <c r="AG223" s="1038"/>
      <c r="AH223" s="1038"/>
      <c r="AI223" s="1038"/>
      <c r="AJ223" s="1038"/>
      <c r="AK223" s="1038"/>
      <c r="AL223" s="1038"/>
      <c r="AM223" s="1038"/>
      <c r="AN223" s="1038"/>
      <c r="AO223" s="1038"/>
      <c r="AP223" s="1038"/>
      <c r="AQ223" s="1038"/>
      <c r="AR223" s="1038"/>
      <c r="AS223" s="1038"/>
      <c r="AT223" s="1038"/>
      <c r="AU223" s="1038"/>
      <c r="AV223" s="1038"/>
      <c r="AW223" s="1038"/>
      <c r="AX223" s="1038"/>
      <c r="AY223" s="1038"/>
      <c r="AZ223" s="1038"/>
      <c r="BA223" s="1038"/>
      <c r="BB223" s="1038"/>
      <c r="BC223" s="1038"/>
      <c r="BD223" s="1288"/>
      <c r="BE223" s="1288"/>
    </row>
    <row r="224" spans="1:57" x14ac:dyDescent="0.25">
      <c r="A224" s="1288"/>
      <c r="B224" s="1347"/>
      <c r="C224" s="1697">
        <v>6352.628054976064</v>
      </c>
      <c r="D224" s="1287">
        <v>6219.3430591622637</v>
      </c>
      <c r="E224" s="1287">
        <v>6089.5200112916782</v>
      </c>
      <c r="F224" s="1287">
        <v>5990.8544949100333</v>
      </c>
      <c r="G224" s="1287">
        <v>5898.3077702419805</v>
      </c>
      <c r="H224" s="1287">
        <v>5815.4491324537776</v>
      </c>
      <c r="I224" s="1287">
        <v>5747.5377642461572</v>
      </c>
      <c r="J224" s="1287">
        <v>5871.2124579396868</v>
      </c>
      <c r="K224" s="1287">
        <v>5794.2044272009452</v>
      </c>
      <c r="L224" s="1287">
        <v>5729.1171442545783</v>
      </c>
      <c r="M224" s="1287">
        <v>5669.9107635524497</v>
      </c>
      <c r="N224" s="1287">
        <v>5617.7880033986121</v>
      </c>
      <c r="O224" s="1287">
        <v>5668.6717795128998</v>
      </c>
      <c r="P224" s="1287">
        <v>5616.7947476083855</v>
      </c>
      <c r="Q224" s="1287">
        <v>5573.1088260045844</v>
      </c>
      <c r="R224" s="1287">
        <v>5596.2993810299404</v>
      </c>
      <c r="S224" s="1287">
        <v>5554.6171358939455</v>
      </c>
      <c r="T224" s="1287">
        <v>5566.1859147273362</v>
      </c>
      <c r="U224" s="1287">
        <v>5528.0531354924178</v>
      </c>
      <c r="V224" s="1287">
        <v>5531.1783041245844</v>
      </c>
      <c r="W224" s="1287">
        <v>5529.4015936974147</v>
      </c>
      <c r="X224" s="1287">
        <v>5523.845085680302</v>
      </c>
      <c r="Y224" s="1287">
        <v>5515.5064231968254</v>
      </c>
      <c r="Z224" s="1411"/>
      <c r="AA224" s="1412">
        <f t="shared" ca="1" si="7"/>
        <v>5851.218811822002</v>
      </c>
      <c r="AB224" s="1414"/>
      <c r="AC224" s="1288"/>
      <c r="AD224" s="1038"/>
      <c r="AE224" s="1038"/>
      <c r="AF224" s="1038"/>
      <c r="AG224" s="1038"/>
      <c r="AH224" s="1038"/>
      <c r="AI224" s="1038"/>
      <c r="AJ224" s="1038"/>
      <c r="AK224" s="1038"/>
      <c r="AL224" s="1038"/>
      <c r="AM224" s="1038"/>
      <c r="AN224" s="1038"/>
      <c r="AO224" s="1038"/>
      <c r="AP224" s="1038"/>
      <c r="AQ224" s="1038"/>
      <c r="AR224" s="1038"/>
      <c r="AS224" s="1038"/>
      <c r="AT224" s="1038"/>
      <c r="AU224" s="1038"/>
      <c r="AV224" s="1038"/>
      <c r="AW224" s="1038"/>
      <c r="AX224" s="1038"/>
      <c r="AY224" s="1038"/>
      <c r="AZ224" s="1038"/>
      <c r="BA224" s="1038"/>
      <c r="BB224" s="1038"/>
      <c r="BC224" s="1038"/>
      <c r="BD224" s="1288"/>
      <c r="BE224" s="1288"/>
    </row>
    <row r="225" spans="1:57" x14ac:dyDescent="0.25">
      <c r="A225" s="1288"/>
      <c r="B225" s="1347"/>
      <c r="C225" s="1697">
        <v>6352.628054976064</v>
      </c>
      <c r="D225" s="1287">
        <v>6219.3430591622637</v>
      </c>
      <c r="E225" s="1287">
        <v>6089.5200112916782</v>
      </c>
      <c r="F225" s="1287">
        <v>5990.8544949100333</v>
      </c>
      <c r="G225" s="1287">
        <v>5898.3077702419805</v>
      </c>
      <c r="H225" s="1287">
        <v>6090.711680163573</v>
      </c>
      <c r="I225" s="1287">
        <v>5988.696987460934</v>
      </c>
      <c r="J225" s="1287">
        <v>5894.3614227254693</v>
      </c>
      <c r="K225" s="1287">
        <v>5814.4015105710905</v>
      </c>
      <c r="L225" s="1287">
        <v>5746.8192937966478</v>
      </c>
      <c r="M225" s="1287">
        <v>5825.0920848110209</v>
      </c>
      <c r="N225" s="1287">
        <v>5752.8788857442432</v>
      </c>
      <c r="O225" s="1287">
        <v>5692.1824468734594</v>
      </c>
      <c r="P225" s="1287">
        <v>5729.9570709674772</v>
      </c>
      <c r="Q225" s="1287">
        <v>5672.1258589437903</v>
      </c>
      <c r="R225" s="1287">
        <v>5690.286656910057</v>
      </c>
      <c r="S225" s="1287">
        <v>5636.6965216173048</v>
      </c>
      <c r="T225" s="1287">
        <v>5643.8310805610854</v>
      </c>
      <c r="U225" s="1287">
        <v>5642.7763184840505</v>
      </c>
      <c r="V225" s="1287">
        <v>5635.7629831581153</v>
      </c>
      <c r="W225" s="1287">
        <v>5624.6222983948555</v>
      </c>
      <c r="X225" s="1287">
        <v>5610.4058444450238</v>
      </c>
      <c r="Y225" s="1287">
        <v>5594.083331020578</v>
      </c>
      <c r="Z225" s="1411"/>
      <c r="AA225" s="1412">
        <f t="shared" ca="1" si="7"/>
        <v>6007.6518284595168</v>
      </c>
      <c r="AB225" s="1414"/>
      <c r="AC225" s="1288"/>
      <c r="AD225" s="1038"/>
      <c r="AE225" s="1038"/>
      <c r="AF225" s="1038"/>
      <c r="AG225" s="1038"/>
      <c r="AH225" s="1038"/>
      <c r="AI225" s="1038"/>
      <c r="AJ225" s="1038"/>
      <c r="AK225" s="1038"/>
      <c r="AL225" s="1038"/>
      <c r="AM225" s="1038"/>
      <c r="AN225" s="1038"/>
      <c r="AO225" s="1038"/>
      <c r="AP225" s="1038"/>
      <c r="AQ225" s="1038"/>
      <c r="AR225" s="1038"/>
      <c r="AS225" s="1038"/>
      <c r="AT225" s="1038"/>
      <c r="AU225" s="1038"/>
      <c r="AV225" s="1038"/>
      <c r="AW225" s="1038"/>
      <c r="AX225" s="1038"/>
      <c r="AY225" s="1038"/>
      <c r="AZ225" s="1038"/>
      <c r="BA225" s="1038"/>
      <c r="BB225" s="1038"/>
      <c r="BC225" s="1038"/>
      <c r="BD225" s="1288"/>
      <c r="BE225" s="1288"/>
    </row>
    <row r="226" spans="1:57" x14ac:dyDescent="0.25">
      <c r="A226" s="1288"/>
      <c r="B226" s="1347"/>
      <c r="C226" s="1697">
        <v>6352.628054976064</v>
      </c>
      <c r="D226" s="1287">
        <v>6219.3430591622637</v>
      </c>
      <c r="E226" s="1287">
        <v>6089.5200112916782</v>
      </c>
      <c r="F226" s="1287">
        <v>6398.7842493262478</v>
      </c>
      <c r="G226" s="1287">
        <v>6254.0604630468179</v>
      </c>
      <c r="H226" s="1287">
        <v>6124.486825193334</v>
      </c>
      <c r="I226" s="1287">
        <v>6018.2876012480683</v>
      </c>
      <c r="J226" s="1287">
        <v>5920.0824947096708</v>
      </c>
      <c r="K226" s="1287">
        <v>6042.1764833171474</v>
      </c>
      <c r="L226" s="1287">
        <v>5946.4573581446612</v>
      </c>
      <c r="M226" s="1287">
        <v>5859.3868474566234</v>
      </c>
      <c r="N226" s="1287">
        <v>5919.3173245706212</v>
      </c>
      <c r="O226" s="1287">
        <v>5837.8160808465409</v>
      </c>
      <c r="P226" s="1287">
        <v>5868.1405731955556</v>
      </c>
      <c r="Q226" s="1287">
        <v>5793.0364233933587</v>
      </c>
      <c r="R226" s="1287">
        <v>5804.1977683427031</v>
      </c>
      <c r="S226" s="1287">
        <v>5805.3943057671177</v>
      </c>
      <c r="T226" s="1287">
        <v>5797.7997761187207</v>
      </c>
      <c r="U226" s="1287">
        <v>5782.865800053205</v>
      </c>
      <c r="V226" s="1287">
        <v>5762.9744698769964</v>
      </c>
      <c r="W226" s="1287">
        <v>5740.0283063029956</v>
      </c>
      <c r="X226" s="1287">
        <v>5750.0139188610192</v>
      </c>
      <c r="Y226" s="1287">
        <v>5749.8996509249055</v>
      </c>
      <c r="Z226" s="1411"/>
      <c r="AA226" s="1412">
        <f t="shared" ca="1" si="7"/>
        <v>6180.4231476373589</v>
      </c>
      <c r="AB226" s="1414"/>
      <c r="AC226" s="1288"/>
      <c r="AD226" s="1038"/>
      <c r="AE226" s="1038"/>
      <c r="AF226" s="1038"/>
      <c r="AG226" s="1038"/>
      <c r="AH226" s="1038"/>
      <c r="AI226" s="1038"/>
      <c r="AJ226" s="1038"/>
      <c r="AK226" s="1038"/>
      <c r="AL226" s="1038"/>
      <c r="AM226" s="1038"/>
      <c r="AN226" s="1038"/>
      <c r="AO226" s="1038"/>
      <c r="AP226" s="1038"/>
      <c r="AQ226" s="1038"/>
      <c r="AR226" s="1038"/>
      <c r="AS226" s="1038"/>
      <c r="AT226" s="1038"/>
      <c r="AU226" s="1038"/>
      <c r="AV226" s="1038"/>
      <c r="AW226" s="1038"/>
      <c r="AX226" s="1038"/>
      <c r="AY226" s="1038"/>
      <c r="AZ226" s="1038"/>
      <c r="BA226" s="1038"/>
      <c r="BB226" s="1038"/>
      <c r="BC226" s="1038"/>
      <c r="BD226" s="1288"/>
      <c r="BE226" s="1288"/>
    </row>
    <row r="227" spans="1:57" x14ac:dyDescent="0.25">
      <c r="A227" s="1288"/>
      <c r="B227" s="1347"/>
      <c r="C227" s="1697">
        <v>6352.628054976064</v>
      </c>
      <c r="D227" s="1287">
        <v>6219.3430591622637</v>
      </c>
      <c r="E227" s="1287">
        <v>6611.338675577349</v>
      </c>
      <c r="F227" s="1287">
        <v>6450.0549194814239</v>
      </c>
      <c r="G227" s="1287">
        <v>6298.7732567867988</v>
      </c>
      <c r="H227" s="1287">
        <v>6163.3282419775587</v>
      </c>
      <c r="I227" s="1287">
        <v>5747.5377642461572</v>
      </c>
      <c r="J227" s="1287">
        <v>5684.7384056233941</v>
      </c>
      <c r="K227" s="1287">
        <v>6093.7912519297406</v>
      </c>
      <c r="L227" s="1287">
        <v>5586.5193395421193</v>
      </c>
      <c r="M227" s="1287">
        <v>5545.5947286749215</v>
      </c>
      <c r="N227" s="1287">
        <v>5509.5664551793352</v>
      </c>
      <c r="O227" s="1287">
        <v>5479.2840701291652</v>
      </c>
      <c r="P227" s="1287">
        <v>5451.8857217504392</v>
      </c>
      <c r="Q227" s="1287">
        <v>5428.8134283788822</v>
      </c>
      <c r="R227" s="1287">
        <v>5407.8929551145156</v>
      </c>
      <c r="S227" s="1287">
        <v>5467.9998314584254</v>
      </c>
      <c r="T227" s="1287">
        <v>5442.6158053170248</v>
      </c>
      <c r="U227" s="1287">
        <v>5420.2488676275598</v>
      </c>
      <c r="V227" s="1287">
        <v>5400.699955007688</v>
      </c>
      <c r="W227" s="1287">
        <v>5383.7195346897324</v>
      </c>
      <c r="X227" s="1287">
        <v>5368.917988584114</v>
      </c>
      <c r="Y227" s="1287">
        <v>5390.4534724735895</v>
      </c>
      <c r="Z227" s="1411"/>
      <c r="AA227" s="1412">
        <f t="shared" ca="1" si="7"/>
        <v>6221.7992098944469</v>
      </c>
      <c r="AB227" s="1414"/>
      <c r="AC227" s="1288"/>
      <c r="AD227" s="1038"/>
      <c r="AE227" s="1038"/>
      <c r="AF227" s="1038"/>
      <c r="AG227" s="1038"/>
      <c r="AH227" s="1038"/>
      <c r="AI227" s="1038"/>
      <c r="AJ227" s="1038"/>
      <c r="AK227" s="1038"/>
      <c r="AL227" s="1038"/>
      <c r="AM227" s="1038"/>
      <c r="AN227" s="1038"/>
      <c r="AO227" s="1038"/>
      <c r="AP227" s="1038"/>
      <c r="AQ227" s="1038"/>
      <c r="AR227" s="1038"/>
      <c r="AS227" s="1038"/>
      <c r="AT227" s="1038"/>
      <c r="AU227" s="1038"/>
      <c r="AV227" s="1038"/>
      <c r="AW227" s="1038"/>
      <c r="AX227" s="1038"/>
      <c r="AY227" s="1038"/>
      <c r="AZ227" s="1038"/>
      <c r="BA227" s="1038"/>
      <c r="BB227" s="1038"/>
      <c r="BC227" s="1038"/>
      <c r="BD227" s="1288"/>
      <c r="BE227" s="1288"/>
    </row>
    <row r="228" spans="1:57" x14ac:dyDescent="0.25">
      <c r="A228" s="1288"/>
      <c r="B228" s="1347"/>
      <c r="C228" s="1697">
        <v>6352.628054976064</v>
      </c>
      <c r="D228" s="1287">
        <v>6219.3430591622637</v>
      </c>
      <c r="E228" s="1287">
        <v>6089.5200112916782</v>
      </c>
      <c r="F228" s="1287">
        <v>6508.013068352494</v>
      </c>
      <c r="G228" s="1287">
        <v>5898.3077702419805</v>
      </c>
      <c r="H228" s="1287">
        <v>5815.4491324537776</v>
      </c>
      <c r="I228" s="1287">
        <v>5747.5377642461572</v>
      </c>
      <c r="J228" s="1287">
        <v>5684.7384056233941</v>
      </c>
      <c r="K228" s="1287">
        <v>5631.5089453142473</v>
      </c>
      <c r="L228" s="1287">
        <v>5586.5193395421193</v>
      </c>
      <c r="M228" s="1287">
        <v>5545.5947286749215</v>
      </c>
      <c r="N228" s="1287">
        <v>5509.5664551793352</v>
      </c>
      <c r="O228" s="1287">
        <v>5479.2840701291652</v>
      </c>
      <c r="P228" s="1287">
        <v>5451.8857217504392</v>
      </c>
      <c r="Q228" s="1287">
        <v>5428.8134283788822</v>
      </c>
      <c r="R228" s="1287">
        <v>5508.3771338921952</v>
      </c>
      <c r="S228" s="1287">
        <v>5477.8343589817969</v>
      </c>
      <c r="T228" s="1287">
        <v>5451.2064400311165</v>
      </c>
      <c r="U228" s="1287">
        <v>5427.7434558436471</v>
      </c>
      <c r="V228" s="1287">
        <v>5407.2365883390121</v>
      </c>
      <c r="W228" s="1287">
        <v>5440.3255112953957</v>
      </c>
      <c r="X228" s="1287">
        <v>5418.326641703834</v>
      </c>
      <c r="Y228" s="1287">
        <v>5399.1471948042499</v>
      </c>
      <c r="Z228" s="1411"/>
      <c r="AA228" s="1412">
        <f t="shared" ca="1" si="7"/>
        <v>5851.218811822002</v>
      </c>
      <c r="AB228" s="1414"/>
      <c r="AC228" s="1288"/>
      <c r="AD228" s="1038"/>
      <c r="AE228" s="1038"/>
      <c r="AF228" s="1038"/>
      <c r="AG228" s="1038"/>
      <c r="AH228" s="1038"/>
      <c r="AI228" s="1038"/>
      <c r="AJ228" s="1038"/>
      <c r="AK228" s="1038"/>
      <c r="AL228" s="1038"/>
      <c r="AM228" s="1038"/>
      <c r="AN228" s="1038"/>
      <c r="AO228" s="1038"/>
      <c r="AP228" s="1038"/>
      <c r="AQ228" s="1038"/>
      <c r="AR228" s="1038"/>
      <c r="AS228" s="1038"/>
      <c r="AT228" s="1038"/>
      <c r="AU228" s="1038"/>
      <c r="AV228" s="1038"/>
      <c r="AW228" s="1038"/>
      <c r="AX228" s="1038"/>
      <c r="AY228" s="1038"/>
      <c r="AZ228" s="1038"/>
      <c r="BA228" s="1038"/>
      <c r="BB228" s="1038"/>
      <c r="BC228" s="1038"/>
      <c r="BD228" s="1288"/>
      <c r="BE228" s="1288"/>
    </row>
    <row r="229" spans="1:57" x14ac:dyDescent="0.25">
      <c r="A229" s="1288"/>
      <c r="B229" s="1347"/>
      <c r="C229" s="1697">
        <v>6352.628054976064</v>
      </c>
      <c r="D229" s="1287">
        <v>6219.3430591622637</v>
      </c>
      <c r="E229" s="1287">
        <v>6089.5200112916782</v>
      </c>
      <c r="F229" s="1287">
        <v>5990.8544949100333</v>
      </c>
      <c r="G229" s="1287">
        <v>5898.3077702419805</v>
      </c>
      <c r="H229" s="1287">
        <v>5815.4491324537776</v>
      </c>
      <c r="I229" s="1287">
        <v>5747.5377642461572</v>
      </c>
      <c r="J229" s="1287">
        <v>5684.7384056233941</v>
      </c>
      <c r="K229" s="1287">
        <v>5631.5089453142473</v>
      </c>
      <c r="L229" s="1287">
        <v>5586.5193395421193</v>
      </c>
      <c r="M229" s="1287">
        <v>5545.5947286749215</v>
      </c>
      <c r="N229" s="1287">
        <v>5509.5664551793352</v>
      </c>
      <c r="O229" s="1287">
        <v>5479.2840701291652</v>
      </c>
      <c r="P229" s="1287">
        <v>5600.8738239446711</v>
      </c>
      <c r="Q229" s="1287">
        <v>5559.1780177988348</v>
      </c>
      <c r="R229" s="1287">
        <v>5521.3709396873237</v>
      </c>
      <c r="S229" s="1287">
        <v>5489.1818907395336</v>
      </c>
      <c r="T229" s="1287">
        <v>5461.1187108550685</v>
      </c>
      <c r="U229" s="1287">
        <v>5511.9126128816179</v>
      </c>
      <c r="V229" s="1287">
        <v>5480.6472816954383</v>
      </c>
      <c r="W229" s="1287">
        <v>5453.4898394762868</v>
      </c>
      <c r="X229" s="1287">
        <v>5479.9918422982701</v>
      </c>
      <c r="Y229" s="1287">
        <v>5452.9809149231933</v>
      </c>
      <c r="Z229" s="1411"/>
      <c r="AA229" s="1412">
        <f t="shared" ca="1" si="7"/>
        <v>5851.218811822002</v>
      </c>
      <c r="AB229" s="1414"/>
      <c r="AC229" s="1288"/>
      <c r="AD229" s="1038"/>
      <c r="AE229" s="1038"/>
      <c r="AF229" s="1038"/>
      <c r="AG229" s="1038"/>
      <c r="AH229" s="1038"/>
      <c r="AI229" s="1038"/>
      <c r="AJ229" s="1038"/>
      <c r="AK229" s="1038"/>
      <c r="AL229" s="1038"/>
      <c r="AM229" s="1038"/>
      <c r="AN229" s="1038"/>
      <c r="AO229" s="1038"/>
      <c r="AP229" s="1038"/>
      <c r="AQ229" s="1038"/>
      <c r="AR229" s="1038"/>
      <c r="AS229" s="1038"/>
      <c r="AT229" s="1038"/>
      <c r="AU229" s="1038"/>
      <c r="AV229" s="1038"/>
      <c r="AW229" s="1038"/>
      <c r="AX229" s="1038"/>
      <c r="AY229" s="1038"/>
      <c r="AZ229" s="1038"/>
      <c r="BA229" s="1038"/>
      <c r="BB229" s="1038"/>
      <c r="BC229" s="1038"/>
      <c r="BD229" s="1288"/>
      <c r="BE229" s="1288"/>
    </row>
    <row r="230" spans="1:57" x14ac:dyDescent="0.25">
      <c r="A230" s="1288"/>
      <c r="B230" s="1347"/>
      <c r="C230" s="1697">
        <v>6352.628054976064</v>
      </c>
      <c r="D230" s="1287">
        <v>6219.3430591622637</v>
      </c>
      <c r="E230" s="1287">
        <v>6089.5200112916782</v>
      </c>
      <c r="F230" s="1287">
        <v>5990.8544949100333</v>
      </c>
      <c r="G230" s="1287">
        <v>5898.3077702419805</v>
      </c>
      <c r="H230" s="1287">
        <v>5815.4491324537776</v>
      </c>
      <c r="I230" s="1287">
        <v>5747.5377642461572</v>
      </c>
      <c r="J230" s="1287">
        <v>5684.7384056233941</v>
      </c>
      <c r="K230" s="1287">
        <v>5631.5089453142473</v>
      </c>
      <c r="L230" s="1287">
        <v>5586.5193395421193</v>
      </c>
      <c r="M230" s="1287">
        <v>5545.5947286749215</v>
      </c>
      <c r="N230" s="1287">
        <v>5730.4899326508212</v>
      </c>
      <c r="O230" s="1287">
        <v>5672.5921129167155</v>
      </c>
      <c r="P230" s="1287">
        <v>5620.2083712525236</v>
      </c>
      <c r="Q230" s="1287">
        <v>5576.0957466932059</v>
      </c>
      <c r="R230" s="1287">
        <v>5536.0972529218025</v>
      </c>
      <c r="S230" s="1287">
        <v>5614.0036460837</v>
      </c>
      <c r="T230" s="1287">
        <v>5570.1527342979962</v>
      </c>
      <c r="U230" s="1287">
        <v>5531.5138436006146</v>
      </c>
      <c r="V230" s="1287">
        <v>5572.1594212001455</v>
      </c>
      <c r="W230" s="1287">
        <v>5533.3527958681889</v>
      </c>
      <c r="X230" s="1287">
        <v>5556.2116930189331</v>
      </c>
      <c r="Y230" s="1287">
        <v>5519.5208446023316</v>
      </c>
      <c r="Z230" s="1411"/>
      <c r="AA230" s="1412">
        <f t="shared" ca="1" si="7"/>
        <v>5851.218811822002</v>
      </c>
      <c r="AB230" s="1414"/>
      <c r="AC230" s="1288"/>
      <c r="AD230" s="1038"/>
      <c r="AE230" s="1038"/>
      <c r="AF230" s="1038"/>
      <c r="AG230" s="1038"/>
      <c r="AH230" s="1038"/>
      <c r="AI230" s="1038"/>
      <c r="AJ230" s="1038"/>
      <c r="AK230" s="1038"/>
      <c r="AL230" s="1038"/>
      <c r="AM230" s="1038"/>
      <c r="AN230" s="1038"/>
      <c r="AO230" s="1038"/>
      <c r="AP230" s="1038"/>
      <c r="AQ230" s="1038"/>
      <c r="AR230" s="1038"/>
      <c r="AS230" s="1038"/>
      <c r="AT230" s="1038"/>
      <c r="AU230" s="1038"/>
      <c r="AV230" s="1038"/>
      <c r="AW230" s="1038"/>
      <c r="AX230" s="1038"/>
      <c r="AY230" s="1038"/>
      <c r="AZ230" s="1038"/>
      <c r="BA230" s="1038"/>
      <c r="BB230" s="1288"/>
      <c r="BC230" s="1288"/>
      <c r="BD230" s="1288"/>
      <c r="BE230" s="1288"/>
    </row>
    <row r="231" spans="1:57" x14ac:dyDescent="0.25">
      <c r="A231" s="1288"/>
      <c r="B231" s="1347"/>
      <c r="C231" s="1697">
        <v>6352.628054976064</v>
      </c>
      <c r="D231" s="1287">
        <v>6219.3430591622637</v>
      </c>
      <c r="E231" s="1287">
        <v>6089.5200112916782</v>
      </c>
      <c r="F231" s="1287">
        <v>5990.8544949100333</v>
      </c>
      <c r="G231" s="1287">
        <v>5898.3077702419805</v>
      </c>
      <c r="H231" s="1287">
        <v>5815.4491324537776</v>
      </c>
      <c r="I231" s="1287">
        <v>5747.5377642461572</v>
      </c>
      <c r="J231" s="1287">
        <v>5684.7384056233941</v>
      </c>
      <c r="K231" s="1287">
        <v>5631.5089453142473</v>
      </c>
      <c r="L231" s="1287">
        <v>5915.9731671986383</v>
      </c>
      <c r="M231" s="1287">
        <v>5832.8108861190649</v>
      </c>
      <c r="N231" s="1287">
        <v>5759.5983779543703</v>
      </c>
      <c r="O231" s="1287">
        <v>5698.0620025573216</v>
      </c>
      <c r="P231" s="1287">
        <v>5642.3862343409428</v>
      </c>
      <c r="Q231" s="1287">
        <v>5762.1893254122642</v>
      </c>
      <c r="R231" s="1287">
        <v>5698.0854457964233</v>
      </c>
      <c r="S231" s="1287">
        <v>5643.5072286538143</v>
      </c>
      <c r="T231" s="1287">
        <v>5706.6107070205235</v>
      </c>
      <c r="U231" s="1287">
        <v>5650.5616611826808</v>
      </c>
      <c r="V231" s="1287">
        <v>5685.7955504416404</v>
      </c>
      <c r="W231" s="1287">
        <v>5632.5234335920668</v>
      </c>
      <c r="X231" s="1287">
        <v>5650.2418392887957</v>
      </c>
      <c r="Y231" s="1287">
        <v>5657.6163129975293</v>
      </c>
      <c r="Z231" s="1411"/>
      <c r="AA231" s="1412">
        <f t="shared" ca="1" si="7"/>
        <v>5851.218811822002</v>
      </c>
      <c r="AB231" s="1414"/>
      <c r="AC231" s="1288"/>
      <c r="AD231" s="1038"/>
      <c r="AE231" s="1038"/>
      <c r="AF231" s="1038"/>
      <c r="AG231" s="1038"/>
      <c r="AH231" s="1038"/>
      <c r="AI231" s="1038"/>
      <c r="AJ231" s="1038"/>
      <c r="AK231" s="1038"/>
      <c r="AL231" s="1038"/>
      <c r="AM231" s="1038"/>
      <c r="AN231" s="1038"/>
      <c r="AO231" s="1038"/>
      <c r="AP231" s="1038"/>
      <c r="AQ231" s="1038"/>
      <c r="AR231" s="1038"/>
      <c r="AS231" s="1038"/>
      <c r="AT231" s="1038"/>
      <c r="AU231" s="1038"/>
      <c r="AV231" s="1038"/>
      <c r="AW231" s="1038"/>
      <c r="AX231" s="1038"/>
      <c r="AY231" s="1038"/>
      <c r="AZ231" s="1038"/>
      <c r="BA231" s="1038"/>
      <c r="BB231" s="1288"/>
      <c r="BC231" s="1288"/>
      <c r="BD231" s="1288"/>
      <c r="BE231" s="1288"/>
    </row>
    <row r="232" spans="1:57" x14ac:dyDescent="0.25">
      <c r="A232" s="1288"/>
      <c r="B232" s="1347"/>
      <c r="C232" s="1697">
        <v>6352.628054976064</v>
      </c>
      <c r="D232" s="1287">
        <v>6219.3430591622637</v>
      </c>
      <c r="E232" s="1287">
        <v>6089.5200112916782</v>
      </c>
      <c r="F232" s="1287">
        <v>5990.8544949100333</v>
      </c>
      <c r="G232" s="1287">
        <v>5898.3077702419805</v>
      </c>
      <c r="H232" s="1287">
        <v>5815.4491324537776</v>
      </c>
      <c r="I232" s="1287">
        <v>5747.5377642461572</v>
      </c>
      <c r="J232" s="1287">
        <v>6172.1490001548564</v>
      </c>
      <c r="K232" s="1287">
        <v>6056.7665110128373</v>
      </c>
      <c r="L232" s="1287">
        <v>5959.2450883014726</v>
      </c>
      <c r="M232" s="1287">
        <v>5870.5351250292288</v>
      </c>
      <c r="N232" s="1287">
        <v>5792.4386752199152</v>
      </c>
      <c r="O232" s="1287">
        <v>5974.3104552001814</v>
      </c>
      <c r="P232" s="1287">
        <v>5882.9291046694198</v>
      </c>
      <c r="Q232" s="1287">
        <v>5805.9763884329896</v>
      </c>
      <c r="R232" s="1287">
        <v>5900.3544366359411</v>
      </c>
      <c r="S232" s="1287">
        <v>5820.1493790249779</v>
      </c>
      <c r="T232" s="1287">
        <v>5875.4487644346254</v>
      </c>
      <c r="U232" s="1287">
        <v>5797.858311271536</v>
      </c>
      <c r="V232" s="1287">
        <v>5825.3268040341482</v>
      </c>
      <c r="W232" s="1287">
        <v>5837.4468731302659</v>
      </c>
      <c r="X232" s="1287">
        <v>5837.5360976113498</v>
      </c>
      <c r="Y232" s="1287">
        <v>5828.4804271006005</v>
      </c>
      <c r="Z232" s="1411"/>
      <c r="AA232" s="1412">
        <f t="shared" ca="1" si="7"/>
        <v>5851.218811822002</v>
      </c>
      <c r="AB232" s="1414"/>
      <c r="AC232" s="1288"/>
      <c r="AD232" s="1038"/>
      <c r="AE232" s="1038"/>
      <c r="AF232" s="1038"/>
      <c r="AG232" s="1038"/>
      <c r="AH232" s="1038"/>
      <c r="AI232" s="1038"/>
      <c r="AJ232" s="1038"/>
      <c r="AK232" s="1038"/>
      <c r="AL232" s="1038"/>
      <c r="AM232" s="1038"/>
      <c r="AN232" s="1038"/>
      <c r="AO232" s="1038"/>
      <c r="AP232" s="1038"/>
      <c r="AQ232" s="1038"/>
      <c r="AR232" s="1038"/>
      <c r="AS232" s="1038"/>
      <c r="AT232" s="1038"/>
      <c r="AU232" s="1038"/>
      <c r="AV232" s="1038"/>
      <c r="AW232" s="1038"/>
      <c r="AX232" s="1038"/>
      <c r="AY232" s="1038"/>
      <c r="AZ232" s="1038"/>
      <c r="BA232" s="1038"/>
      <c r="BB232" s="1288"/>
      <c r="BC232" s="1288"/>
      <c r="BD232" s="1288"/>
      <c r="BE232" s="1288"/>
    </row>
    <row r="233" spans="1:57" x14ac:dyDescent="0.25">
      <c r="A233" s="1288"/>
      <c r="B233" s="1347"/>
      <c r="C233" s="1697">
        <v>6352.628054976064</v>
      </c>
      <c r="D233" s="1287">
        <v>6219.3430591622637</v>
      </c>
      <c r="E233" s="1287">
        <v>6089.5200112916782</v>
      </c>
      <c r="F233" s="1287">
        <v>5990.8544949100333</v>
      </c>
      <c r="G233" s="1287">
        <v>5898.3077702419805</v>
      </c>
      <c r="H233" s="1287">
        <v>6539.9211090593926</v>
      </c>
      <c r="I233" s="1287">
        <v>6382.2521508298369</v>
      </c>
      <c r="J233" s="1287">
        <v>6236.4516801153623</v>
      </c>
      <c r="K233" s="1287">
        <v>6112.8695203743537</v>
      </c>
      <c r="L233" s="1287">
        <v>6008.4177259183307</v>
      </c>
      <c r="M233" s="1287">
        <v>6281.2124279975451</v>
      </c>
      <c r="N233" s="1287">
        <v>6149.9479345003692</v>
      </c>
      <c r="O233" s="1287">
        <v>6039.6178645350701</v>
      </c>
      <c r="P233" s="1287">
        <v>6183.750269545907</v>
      </c>
      <c r="Q233" s="1287">
        <v>6069.1949076999172</v>
      </c>
      <c r="R233" s="1287">
        <v>6151.1336357772707</v>
      </c>
      <c r="S233" s="1287">
        <v>6039.155647958356</v>
      </c>
      <c r="T233" s="1287">
        <v>6083.2750870896034</v>
      </c>
      <c r="U233" s="1287">
        <v>6102.8287335945961</v>
      </c>
      <c r="V233" s="1287">
        <v>6103.8864932706001</v>
      </c>
      <c r="W233" s="1287">
        <v>6091.5171378771247</v>
      </c>
      <c r="X233" s="1287">
        <v>6068.8773234211685</v>
      </c>
      <c r="Y233" s="1287">
        <v>6038.8006656274392</v>
      </c>
      <c r="Z233" s="1411"/>
      <c r="AA233" s="1412">
        <f t="shared" ca="1" si="7"/>
        <v>6262.9396859935287</v>
      </c>
      <c r="AB233" s="1414"/>
      <c r="AC233" s="1288"/>
      <c r="AD233" s="1038"/>
      <c r="AE233" s="1038"/>
      <c r="AF233" s="1038"/>
      <c r="AG233" s="1038"/>
      <c r="AH233" s="1038"/>
      <c r="AI233" s="1038"/>
      <c r="AJ233" s="1038"/>
      <c r="AK233" s="1038"/>
      <c r="AL233" s="1038"/>
      <c r="AM233" s="1038"/>
      <c r="AN233" s="1038"/>
      <c r="AO233" s="1038"/>
      <c r="AP233" s="1038"/>
      <c r="AQ233" s="1038"/>
      <c r="AR233" s="1038"/>
      <c r="AS233" s="1038"/>
      <c r="AT233" s="1038"/>
      <c r="AU233" s="1038"/>
      <c r="AV233" s="1038"/>
      <c r="AW233" s="1038"/>
      <c r="AX233" s="1038"/>
      <c r="AY233" s="1038"/>
      <c r="AZ233" s="1038"/>
      <c r="BA233" s="1038"/>
      <c r="BB233" s="1038"/>
      <c r="BC233" s="1038"/>
      <c r="BD233" s="1038"/>
      <c r="BE233" s="1038"/>
    </row>
    <row r="234" spans="1:57" x14ac:dyDescent="0.25">
      <c r="A234" s="1288"/>
      <c r="B234" s="1347"/>
      <c r="C234" s="1697">
        <v>6352.628054976064</v>
      </c>
      <c r="D234" s="1287">
        <v>6219.3430591622637</v>
      </c>
      <c r="E234" s="1287">
        <v>6089.5200112916782</v>
      </c>
      <c r="F234" s="1287">
        <v>5990.8544949100333</v>
      </c>
      <c r="G234" s="1287">
        <v>5898.3077702419805</v>
      </c>
      <c r="H234" s="1287">
        <v>6637.8690296456989</v>
      </c>
      <c r="I234" s="1287">
        <v>6468.0649308125303</v>
      </c>
      <c r="J234" s="1287">
        <v>6311.0427888695494</v>
      </c>
      <c r="K234" s="1287">
        <v>5631.5089453142473</v>
      </c>
      <c r="L234" s="1287">
        <v>5586.5193395421193</v>
      </c>
      <c r="M234" s="1287">
        <v>6380.667239669795</v>
      </c>
      <c r="N234" s="1287">
        <v>5509.5664551793352</v>
      </c>
      <c r="O234" s="1287">
        <v>6433.4196539807299</v>
      </c>
      <c r="P234" s="1287">
        <v>6559.6349710293534</v>
      </c>
      <c r="Q234" s="1287">
        <v>6398.0940214979319</v>
      </c>
      <c r="R234" s="1287">
        <v>6462.5505952958656</v>
      </c>
      <c r="S234" s="1287">
        <v>5574.2883789225561</v>
      </c>
      <c r="T234" s="1287">
        <v>6500.9101865643506</v>
      </c>
      <c r="U234" s="1287">
        <v>6483.8980516502279</v>
      </c>
      <c r="V234" s="1287">
        <v>6450.82942351167</v>
      </c>
      <c r="W234" s="1287">
        <v>6407.0209341348082</v>
      </c>
      <c r="X234" s="1287">
        <v>6448.6371249199083</v>
      </c>
      <c r="Y234" s="1287">
        <v>6461.447386295883</v>
      </c>
      <c r="Z234" s="1411"/>
      <c r="AA234" s="1412">
        <f t="shared" ca="1" si="7"/>
        <v>6318.6039556813957</v>
      </c>
      <c r="AB234" s="1414"/>
      <c r="AC234" s="1288"/>
      <c r="AD234" s="1038"/>
      <c r="AE234" s="1038"/>
      <c r="AF234" s="1038"/>
      <c r="AG234" s="1038"/>
      <c r="AH234" s="1038"/>
      <c r="AI234" s="1038"/>
      <c r="AJ234" s="1038"/>
      <c r="AK234" s="1038"/>
      <c r="AL234" s="1038"/>
      <c r="AM234" s="1038"/>
      <c r="AN234" s="1038"/>
      <c r="AO234" s="1038"/>
      <c r="AP234" s="1038"/>
      <c r="AQ234" s="1038"/>
      <c r="AR234" s="1038"/>
      <c r="AS234" s="1038"/>
      <c r="AT234" s="1038"/>
      <c r="AU234" s="1038"/>
      <c r="AV234" s="1038"/>
      <c r="AW234" s="1038"/>
      <c r="AX234" s="1038"/>
      <c r="AY234" s="1038"/>
      <c r="AZ234" s="1038"/>
      <c r="BA234" s="1038"/>
      <c r="BB234" s="1038"/>
      <c r="BC234" s="1038"/>
      <c r="BD234" s="1038"/>
      <c r="BE234" s="1038"/>
    </row>
    <row r="235" spans="1:57" x14ac:dyDescent="0.25">
      <c r="A235" s="1288"/>
      <c r="B235" s="1347"/>
      <c r="C235" s="1697">
        <v>6352.628054976064</v>
      </c>
      <c r="D235" s="1287">
        <v>6219.3430591622637</v>
      </c>
      <c r="E235" s="1287">
        <v>6089.5200112916782</v>
      </c>
      <c r="F235" s="1287">
        <v>5990.8544949100333</v>
      </c>
      <c r="G235" s="1287">
        <v>5898.3077702419805</v>
      </c>
      <c r="H235" s="1287">
        <v>5815.4491324537776</v>
      </c>
      <c r="I235" s="1287">
        <v>5747.5377642461572</v>
      </c>
      <c r="J235" s="1287">
        <v>5684.7384056233941</v>
      </c>
      <c r="K235" s="1287">
        <v>5631.5089453142473</v>
      </c>
      <c r="L235" s="1287">
        <v>5586.5193395421193</v>
      </c>
      <c r="M235" s="1287">
        <v>6018.8599734714635</v>
      </c>
      <c r="N235" s="1287">
        <v>5921.5607531048963</v>
      </c>
      <c r="O235" s="1287">
        <v>5839.7790808140317</v>
      </c>
      <c r="P235" s="1287">
        <v>5765.7861392175337</v>
      </c>
      <c r="Q235" s="1287">
        <v>5703.4762936625903</v>
      </c>
      <c r="R235" s="1287">
        <v>5886.0625029659441</v>
      </c>
      <c r="S235" s="1287">
        <v>5807.6681880824008</v>
      </c>
      <c r="T235" s="1287">
        <v>5739.3221563601028</v>
      </c>
      <c r="U235" s="1287">
        <v>5838.2146199777726</v>
      </c>
      <c r="V235" s="1287">
        <v>5765.2415134484745</v>
      </c>
      <c r="W235" s="1287">
        <v>5822.9673812756228</v>
      </c>
      <c r="X235" s="1287">
        <v>5752.3164526144101</v>
      </c>
      <c r="Y235" s="1287">
        <v>5783.0070224645087</v>
      </c>
      <c r="Z235" s="1411"/>
      <c r="AA235" s="1412">
        <f t="shared" ca="1" si="7"/>
        <v>5851.218811822002</v>
      </c>
      <c r="AB235" s="1414"/>
      <c r="AC235" s="1288"/>
      <c r="AD235" s="1038"/>
      <c r="AE235" s="1038"/>
      <c r="AF235" s="1038"/>
      <c r="AG235" s="1038"/>
      <c r="AH235" s="1038"/>
      <c r="AI235" s="1038"/>
      <c r="AJ235" s="1038"/>
      <c r="AK235" s="1038"/>
      <c r="AL235" s="1038"/>
      <c r="AM235" s="1038"/>
      <c r="AN235" s="1038"/>
      <c r="AO235" s="1038"/>
      <c r="AP235" s="1038"/>
      <c r="AQ235" s="1038"/>
      <c r="AR235" s="1038"/>
      <c r="AS235" s="1038"/>
      <c r="AT235" s="1038"/>
      <c r="AU235" s="1038"/>
      <c r="AV235" s="1038"/>
      <c r="AW235" s="1038"/>
      <c r="AX235" s="1038"/>
      <c r="AY235" s="1038"/>
      <c r="AZ235" s="1038"/>
      <c r="BA235" s="1038"/>
      <c r="BB235" s="1038"/>
      <c r="BC235" s="1038"/>
      <c r="BD235" s="1038"/>
      <c r="BE235" s="1038"/>
    </row>
    <row r="236" spans="1:57" x14ac:dyDescent="0.25">
      <c r="A236" s="1288"/>
      <c r="B236" s="1347"/>
      <c r="C236" s="1697">
        <v>6352.628054976064</v>
      </c>
      <c r="D236" s="1287">
        <v>6219.3430591622637</v>
      </c>
      <c r="E236" s="1287">
        <v>6089.5200112916782</v>
      </c>
      <c r="F236" s="1287">
        <v>5990.8544949100333</v>
      </c>
      <c r="G236" s="1287">
        <v>5898.3077702419805</v>
      </c>
      <c r="H236" s="1287">
        <v>5815.4491324537776</v>
      </c>
      <c r="I236" s="1287">
        <v>5747.5377642461572</v>
      </c>
      <c r="J236" s="1287">
        <v>5684.7384056233941</v>
      </c>
      <c r="K236" s="1287">
        <v>6335.0374374459552</v>
      </c>
      <c r="L236" s="1287">
        <v>6203.1413708810869</v>
      </c>
      <c r="M236" s="1287">
        <v>6083.1626534319694</v>
      </c>
      <c r="N236" s="1287">
        <v>5977.5385325348016</v>
      </c>
      <c r="O236" s="1287">
        <v>5888.7596378151984</v>
      </c>
      <c r="P236" s="1287">
        <v>6164.9860301016261</v>
      </c>
      <c r="Q236" s="1287">
        <v>6052.7761981861704</v>
      </c>
      <c r="R236" s="1287">
        <v>5951.0315319415849</v>
      </c>
      <c r="S236" s="1287">
        <v>6101.5681666168393</v>
      </c>
      <c r="T236" s="1287">
        <v>5996.0490150799087</v>
      </c>
      <c r="U236" s="1287">
        <v>6083.8056770545318</v>
      </c>
      <c r="V236" s="1287">
        <v>5979.4412324026407</v>
      </c>
      <c r="W236" s="1287">
        <v>6026.355617098222</v>
      </c>
      <c r="X236" s="1287">
        <v>6049.9196382094215</v>
      </c>
      <c r="Y236" s="1287">
        <v>6055.3536260812525</v>
      </c>
      <c r="Z236" s="1411"/>
      <c r="AA236" s="1412">
        <f t="shared" ca="1" si="7"/>
        <v>5851.218811822002</v>
      </c>
      <c r="AB236" s="1414"/>
      <c r="AC236" s="1288"/>
      <c r="AD236" s="1038"/>
      <c r="AE236" s="1038"/>
      <c r="AF236" s="1038"/>
      <c r="AG236" s="1038"/>
      <c r="AH236" s="1038"/>
      <c r="AI236" s="1038"/>
      <c r="AJ236" s="1038"/>
      <c r="AK236" s="1038"/>
      <c r="AL236" s="1038"/>
      <c r="AM236" s="1038"/>
      <c r="AN236" s="1038"/>
      <c r="AO236" s="1038"/>
      <c r="AP236" s="1038"/>
      <c r="AQ236" s="1038"/>
      <c r="AR236" s="1038"/>
      <c r="AS236" s="1038"/>
      <c r="AT236" s="1038"/>
      <c r="AU236" s="1038"/>
      <c r="AV236" s="1038"/>
      <c r="AW236" s="1038"/>
      <c r="AX236" s="1038"/>
      <c r="AY236" s="1038"/>
      <c r="AZ236" s="1038"/>
      <c r="BA236" s="1038"/>
      <c r="BB236" s="1038"/>
      <c r="BC236" s="1038"/>
      <c r="BD236" s="1038"/>
      <c r="BE236" s="1038"/>
    </row>
    <row r="237" spans="1:57" x14ac:dyDescent="0.25">
      <c r="A237" s="1288"/>
      <c r="B237" s="1347"/>
      <c r="C237" s="1697">
        <v>6352.628054976064</v>
      </c>
      <c r="D237" s="1287">
        <v>6219.3430591622637</v>
      </c>
      <c r="E237" s="1287">
        <v>6089.5200112916782</v>
      </c>
      <c r="F237" s="1287">
        <v>5990.8544949100333</v>
      </c>
      <c r="G237" s="1287">
        <v>5898.3077702419805</v>
      </c>
      <c r="H237" s="1287">
        <v>5815.4491324537776</v>
      </c>
      <c r="I237" s="1287">
        <v>5747.5377642461572</v>
      </c>
      <c r="J237" s="1287">
        <v>6600.4048486918273</v>
      </c>
      <c r="K237" s="1287">
        <v>6430.4125533605311</v>
      </c>
      <c r="L237" s="1287">
        <v>6286.7348548297459</v>
      </c>
      <c r="M237" s="1287">
        <v>6156.0390240538773</v>
      </c>
      <c r="N237" s="1287">
        <v>5509.5664551793352</v>
      </c>
      <c r="O237" s="1287">
        <v>6409.2578013705424</v>
      </c>
      <c r="P237" s="1287">
        <v>6261.6587666408905</v>
      </c>
      <c r="Q237" s="1287">
        <v>5428.8134283788822</v>
      </c>
      <c r="R237" s="1287">
        <v>6333.0481696137094</v>
      </c>
      <c r="S237" s="1287">
        <v>6467.3358462836086</v>
      </c>
      <c r="T237" s="1287">
        <v>6315.5535890180745</v>
      </c>
      <c r="U237" s="1287">
        <v>6387.0474127165735</v>
      </c>
      <c r="V237" s="1287">
        <v>6422.9252087678742</v>
      </c>
      <c r="W237" s="1287">
        <v>6432.0350613950086</v>
      </c>
      <c r="X237" s="1287">
        <v>6420.2960744355651</v>
      </c>
      <c r="Y237" s="1287">
        <v>6392.9031471779481</v>
      </c>
      <c r="Z237" s="1411"/>
      <c r="AA237" s="1412">
        <f t="shared" ca="1" si="7"/>
        <v>5851.218811822002</v>
      </c>
      <c r="AB237" s="1414"/>
      <c r="AC237" s="1288"/>
      <c r="AD237" s="1038"/>
      <c r="AE237" s="1038"/>
      <c r="AF237" s="1038"/>
      <c r="AG237" s="1038"/>
      <c r="AH237" s="1038"/>
      <c r="AI237" s="1038"/>
      <c r="AJ237" s="1038"/>
      <c r="AK237" s="1038"/>
      <c r="AL237" s="1038"/>
      <c r="AM237" s="1038"/>
      <c r="AN237" s="1038"/>
      <c r="AO237" s="1038"/>
      <c r="AP237" s="1038"/>
      <c r="AQ237" s="1038"/>
      <c r="AR237" s="1038"/>
      <c r="AS237" s="1038"/>
      <c r="AT237" s="1038"/>
      <c r="AU237" s="1038"/>
      <c r="AV237" s="1038"/>
      <c r="AW237" s="1038"/>
      <c r="AX237" s="1038"/>
      <c r="AY237" s="1038"/>
      <c r="AZ237" s="1038"/>
      <c r="BA237" s="1038"/>
      <c r="BB237" s="1038"/>
      <c r="BC237" s="1038"/>
      <c r="BD237" s="1038"/>
      <c r="BE237" s="1038"/>
    </row>
    <row r="238" spans="1:57" x14ac:dyDescent="0.25">
      <c r="A238" s="1288"/>
      <c r="B238" s="1347"/>
      <c r="C238" s="1697">
        <v>6352.628054976064</v>
      </c>
      <c r="D238" s="1287">
        <v>6219.3430591622637</v>
      </c>
      <c r="E238" s="1287">
        <v>6089.5200112916782</v>
      </c>
      <c r="F238" s="1287">
        <v>5990.8544949100333</v>
      </c>
      <c r="G238" s="1287">
        <v>5898.3077702419805</v>
      </c>
      <c r="H238" s="1287">
        <v>5815.4491324537776</v>
      </c>
      <c r="I238" s="1287">
        <v>5747.5377642461572</v>
      </c>
      <c r="J238" s="1287">
        <v>5684.7384056233941</v>
      </c>
      <c r="K238" s="1287">
        <v>6539.2523915218717</v>
      </c>
      <c r="L238" s="1287">
        <v>5586.5193395421193</v>
      </c>
      <c r="M238" s="1287">
        <v>5545.5947286749215</v>
      </c>
      <c r="N238" s="1287">
        <v>5509.5664551793352</v>
      </c>
      <c r="O238" s="1287">
        <v>5479.2840701291652</v>
      </c>
      <c r="P238" s="1287">
        <v>6832.0262675150925</v>
      </c>
      <c r="Q238" s="1287">
        <v>5831.3544208935728</v>
      </c>
      <c r="R238" s="1287">
        <v>5758.2913320184953</v>
      </c>
      <c r="S238" s="1287">
        <v>5696.085219788928</v>
      </c>
      <c r="T238" s="1287">
        <v>5641.8524488784515</v>
      </c>
      <c r="U238" s="1287">
        <v>6760.0464694668053</v>
      </c>
      <c r="V238" s="1287">
        <v>5755.6886995595951</v>
      </c>
      <c r="W238" s="1287">
        <v>5693.5194233078664</v>
      </c>
      <c r="X238" s="1287">
        <v>5794.2573798921949</v>
      </c>
      <c r="Y238" s="1287">
        <v>5727.3347292426888</v>
      </c>
      <c r="Z238" s="1411"/>
      <c r="AA238" s="1412">
        <f t="shared" ca="1" si="7"/>
        <v>5851.218811822002</v>
      </c>
      <c r="AB238" s="1414"/>
      <c r="AC238" s="1288"/>
      <c r="AD238" s="1038"/>
      <c r="AE238" s="1038"/>
      <c r="AF238" s="1038"/>
      <c r="AG238" s="1038"/>
      <c r="AH238" s="1038"/>
      <c r="AI238" s="1038"/>
      <c r="AJ238" s="1038"/>
      <c r="AK238" s="1038"/>
      <c r="AL238" s="1038"/>
      <c r="AM238" s="1038"/>
      <c r="AN238" s="1038"/>
      <c r="AO238" s="1038"/>
      <c r="AP238" s="1038"/>
      <c r="AQ238" s="1038"/>
      <c r="AR238" s="1038"/>
      <c r="AS238" s="1038"/>
      <c r="AT238" s="1038"/>
      <c r="AU238" s="1038"/>
      <c r="AV238" s="1038"/>
      <c r="AW238" s="1038"/>
      <c r="AX238" s="1038"/>
      <c r="AY238" s="1038"/>
      <c r="AZ238" s="1038"/>
      <c r="BA238" s="1038"/>
      <c r="BB238" s="1038"/>
      <c r="BC238" s="1038"/>
      <c r="BD238" s="1038"/>
      <c r="BE238" s="1038"/>
    </row>
    <row r="239" spans="1:57" ht="13.8" thickBot="1" x14ac:dyDescent="0.3">
      <c r="A239" s="1288"/>
      <c r="B239" s="1423"/>
      <c r="C239" s="1707">
        <v>6352.628054976064</v>
      </c>
      <c r="D239" s="1342">
        <v>6219.3430591622637</v>
      </c>
      <c r="E239" s="1342">
        <v>6089.5200112916782</v>
      </c>
      <c r="F239" s="1342">
        <v>5990.8544949100333</v>
      </c>
      <c r="G239" s="1342">
        <v>5898.3077702419805</v>
      </c>
      <c r="H239" s="1342">
        <v>5815.4491324537776</v>
      </c>
      <c r="I239" s="1342">
        <v>5747.5377642461572</v>
      </c>
      <c r="J239" s="1342">
        <v>5684.7384056233941</v>
      </c>
      <c r="K239" s="1342">
        <v>5631.5089453142473</v>
      </c>
      <c r="L239" s="1342">
        <v>5586.5193395421193</v>
      </c>
      <c r="M239" s="1342">
        <v>5545.5947286749215</v>
      </c>
      <c r="N239" s="1342">
        <v>6196.2250575076305</v>
      </c>
      <c r="O239" s="1342">
        <v>6080.1103471664237</v>
      </c>
      <c r="P239" s="1342">
        <v>5975.0541806672363</v>
      </c>
      <c r="Q239" s="1342">
        <v>5886.5858299310794</v>
      </c>
      <c r="R239" s="1342">
        <v>5806.3684134604691</v>
      </c>
      <c r="S239" s="1342">
        <v>6086.0609672055334</v>
      </c>
      <c r="T239" s="1342">
        <v>5982.5032005743806</v>
      </c>
      <c r="U239" s="1342">
        <v>5891.2540779727706</v>
      </c>
      <c r="V239" s="1342">
        <v>6042.7970210554477</v>
      </c>
      <c r="W239" s="1342">
        <v>5944.0798351119902</v>
      </c>
      <c r="X239" s="1342">
        <v>6034.2170445329093</v>
      </c>
      <c r="Y239" s="1342">
        <v>5936.8195164740328</v>
      </c>
      <c r="Z239" s="1424"/>
      <c r="AA239" s="1425">
        <f t="shared" ca="1" si="7"/>
        <v>5851.218811822002</v>
      </c>
      <c r="AB239" s="1426"/>
      <c r="AC239" s="1288"/>
      <c r="AD239" s="1038"/>
      <c r="AE239" s="1038"/>
      <c r="AF239" s="1038"/>
      <c r="AG239" s="1038"/>
      <c r="AH239" s="1038"/>
      <c r="AI239" s="1038"/>
      <c r="AJ239" s="1038"/>
      <c r="AK239" s="1038"/>
      <c r="AL239" s="1038"/>
      <c r="AM239" s="1038"/>
      <c r="AN239" s="1038"/>
      <c r="AO239" s="1038"/>
      <c r="AP239" s="1038"/>
      <c r="AQ239" s="1038"/>
      <c r="AR239" s="1038"/>
      <c r="AS239" s="1038"/>
      <c r="AT239" s="1038"/>
      <c r="AU239" s="1038"/>
      <c r="AV239" s="1038"/>
      <c r="AW239" s="1038"/>
      <c r="AX239" s="1038"/>
      <c r="AY239" s="1038"/>
      <c r="AZ239" s="1038"/>
      <c r="BA239" s="1038"/>
      <c r="BB239" s="1038"/>
      <c r="BC239" s="1038"/>
      <c r="BD239" s="1038"/>
      <c r="BE239" s="1038"/>
    </row>
    <row r="240" spans="1:57" x14ac:dyDescent="0.25">
      <c r="A240" s="1288"/>
      <c r="B240" s="1288"/>
      <c r="C240" s="1687"/>
      <c r="D240" s="1288"/>
      <c r="E240" s="1288"/>
      <c r="F240" s="1288"/>
      <c r="G240" s="1288"/>
      <c r="H240" s="1288"/>
      <c r="I240" s="1288"/>
      <c r="J240" s="1288"/>
      <c r="K240" s="1288"/>
      <c r="L240" s="1288"/>
      <c r="M240" s="1288"/>
      <c r="N240" s="1288"/>
      <c r="O240" s="1288"/>
      <c r="P240" s="1288"/>
      <c r="Q240" s="1288"/>
      <c r="R240" s="1288"/>
      <c r="S240" s="1288"/>
      <c r="T240" s="1288"/>
      <c r="U240" s="1288"/>
      <c r="V240" s="1288"/>
      <c r="W240" s="1288"/>
      <c r="X240" s="1288"/>
      <c r="Y240" s="1288"/>
      <c r="Z240" s="1288"/>
      <c r="AA240" s="1288"/>
      <c r="AB240" s="1288"/>
      <c r="AC240" s="1288"/>
      <c r="AD240" s="1038"/>
      <c r="AE240" s="1038"/>
      <c r="AF240" s="1038"/>
      <c r="AG240" s="1038"/>
      <c r="AH240" s="1038"/>
      <c r="AI240" s="1038"/>
      <c r="AJ240" s="1038"/>
      <c r="AK240" s="1038"/>
      <c r="AL240" s="1038"/>
      <c r="AM240" s="1038"/>
      <c r="AN240" s="1038"/>
      <c r="AO240" s="1038"/>
      <c r="AP240" s="1038"/>
      <c r="AQ240" s="1038"/>
      <c r="AR240" s="1038"/>
      <c r="AS240" s="1038"/>
      <c r="AT240" s="1038"/>
      <c r="AU240" s="1038"/>
      <c r="AV240" s="1038"/>
      <c r="AW240" s="1038"/>
      <c r="AX240" s="1038"/>
      <c r="AY240" s="1038"/>
      <c r="AZ240" s="1038"/>
      <c r="BA240" s="1038"/>
      <c r="BB240" s="1038"/>
      <c r="BC240" s="1038"/>
      <c r="BD240" s="1038"/>
      <c r="BE240" s="1038"/>
    </row>
    <row r="241" spans="1:57" x14ac:dyDescent="0.25">
      <c r="A241" s="1288"/>
      <c r="B241" s="1288"/>
      <c r="C241" s="1687"/>
      <c r="D241" s="1288"/>
      <c r="E241" s="1288"/>
      <c r="F241" s="1288"/>
      <c r="G241" s="1288"/>
      <c r="H241" s="1288"/>
      <c r="I241" s="1288"/>
      <c r="J241" s="1288"/>
      <c r="K241" s="1288"/>
      <c r="L241" s="1288"/>
      <c r="M241" s="1288"/>
      <c r="N241" s="1288"/>
      <c r="O241" s="1288"/>
      <c r="P241" s="1288"/>
      <c r="Q241" s="1288"/>
      <c r="R241" s="1288"/>
      <c r="S241" s="1288"/>
      <c r="T241" s="1288"/>
      <c r="U241" s="1288"/>
      <c r="V241" s="1288"/>
      <c r="W241" s="1288"/>
      <c r="X241" s="1288"/>
      <c r="Y241" s="1288"/>
      <c r="Z241" s="1288"/>
      <c r="AA241" s="1288"/>
      <c r="AB241" s="1288"/>
      <c r="AC241" s="1288"/>
      <c r="AD241" s="1038"/>
      <c r="AE241" s="1038"/>
      <c r="AF241" s="1038"/>
      <c r="AG241" s="1038"/>
      <c r="AH241" s="1038"/>
      <c r="AI241" s="1038"/>
      <c r="AJ241" s="1038"/>
      <c r="AK241" s="1038"/>
      <c r="AL241" s="1038"/>
      <c r="AM241" s="1038"/>
      <c r="AN241" s="1038"/>
      <c r="AO241" s="1038"/>
      <c r="AP241" s="1038"/>
      <c r="AQ241" s="1038"/>
      <c r="AR241" s="1038"/>
      <c r="AS241" s="1038"/>
      <c r="AT241" s="1038"/>
      <c r="AU241" s="1038"/>
      <c r="AV241" s="1038"/>
      <c r="AW241" s="1038"/>
      <c r="AX241" s="1038"/>
      <c r="AY241" s="1038"/>
      <c r="AZ241" s="1038"/>
      <c r="BA241" s="1038"/>
      <c r="BB241" s="1038"/>
      <c r="BC241" s="1038"/>
      <c r="BD241" s="1038"/>
      <c r="BE241" s="1038"/>
    </row>
    <row r="242" spans="1:57" x14ac:dyDescent="0.25">
      <c r="A242" s="1288"/>
      <c r="B242" s="1288"/>
      <c r="C242" s="1687"/>
      <c r="D242" s="1288"/>
      <c r="E242" s="1288"/>
      <c r="F242" s="1288"/>
      <c r="G242" s="1288"/>
      <c r="H242" s="1288"/>
      <c r="I242" s="1288"/>
      <c r="J242" s="1288"/>
      <c r="K242" s="1288"/>
      <c r="L242" s="1288"/>
      <c r="M242" s="1288"/>
      <c r="N242" s="1288"/>
      <c r="O242" s="1288"/>
      <c r="P242" s="1288"/>
      <c r="Q242" s="1288"/>
      <c r="R242" s="1288"/>
      <c r="S242" s="1288"/>
      <c r="T242" s="1288"/>
      <c r="U242" s="1288"/>
      <c r="V242" s="1288"/>
      <c r="W242" s="1288"/>
      <c r="X242" s="1288"/>
      <c r="Y242" s="1288"/>
      <c r="Z242" s="1288"/>
      <c r="AA242" s="1288"/>
      <c r="AB242" s="1288"/>
      <c r="AC242" s="1288"/>
      <c r="AD242" s="1038"/>
      <c r="AE242" s="1038"/>
      <c r="AF242" s="1038"/>
      <c r="AG242" s="1038"/>
      <c r="AH242" s="1038"/>
      <c r="AI242" s="1038"/>
      <c r="AJ242" s="1038"/>
      <c r="AK242" s="1038"/>
      <c r="AL242" s="1038"/>
      <c r="AM242" s="1038"/>
      <c r="AN242" s="1038"/>
      <c r="AO242" s="1038"/>
      <c r="AP242" s="1038"/>
      <c r="AQ242" s="1038"/>
      <c r="AR242" s="1038"/>
      <c r="AS242" s="1038"/>
      <c r="AT242" s="1038"/>
      <c r="AU242" s="1038"/>
      <c r="AV242" s="1038"/>
      <c r="AW242" s="1038"/>
      <c r="AX242" s="1038"/>
      <c r="AY242" s="1038"/>
      <c r="AZ242" s="1038"/>
      <c r="BA242" s="1038"/>
      <c r="BB242" s="1038"/>
      <c r="BC242" s="1038"/>
      <c r="BD242" s="1038"/>
      <c r="BE242" s="1038"/>
    </row>
    <row r="243" spans="1:57" x14ac:dyDescent="0.25">
      <c r="A243" s="1288"/>
      <c r="B243" s="1288"/>
      <c r="C243" s="1687"/>
      <c r="D243" s="1288"/>
      <c r="E243" s="1288"/>
      <c r="F243" s="1288"/>
      <c r="G243" s="1288"/>
      <c r="H243" s="1288"/>
      <c r="I243" s="1288"/>
      <c r="J243" s="1288"/>
      <c r="K243" s="1288"/>
      <c r="L243" s="1288"/>
      <c r="M243" s="1288"/>
      <c r="N243" s="1288"/>
      <c r="O243" s="1288"/>
      <c r="P243" s="1288"/>
      <c r="Q243" s="1288"/>
      <c r="R243" s="1288"/>
      <c r="S243" s="1288"/>
      <c r="T243" s="1288"/>
      <c r="U243" s="1288"/>
      <c r="V243" s="1288"/>
      <c r="W243" s="1288"/>
      <c r="X243" s="1288"/>
      <c r="Y243" s="1288"/>
      <c r="Z243" s="1288"/>
      <c r="AA243" s="1288"/>
      <c r="AB243" s="1288"/>
      <c r="AC243" s="1288"/>
      <c r="AD243" s="1038"/>
      <c r="AE243" s="1038"/>
      <c r="AF243" s="1038"/>
      <c r="AG243" s="1038"/>
      <c r="AH243" s="1038"/>
      <c r="AI243" s="1038"/>
      <c r="AJ243" s="1038"/>
      <c r="AK243" s="1038"/>
      <c r="AL243" s="1038"/>
      <c r="AM243" s="1038"/>
      <c r="AN243" s="1038"/>
      <c r="AO243" s="1038"/>
      <c r="AP243" s="1038"/>
      <c r="AQ243" s="1038"/>
      <c r="AR243" s="1038"/>
      <c r="AS243" s="1038"/>
      <c r="AT243" s="1038"/>
      <c r="AU243" s="1038"/>
      <c r="AV243" s="1038"/>
      <c r="AW243" s="1038"/>
      <c r="AX243" s="1038"/>
      <c r="AY243" s="1038"/>
      <c r="AZ243" s="1038"/>
      <c r="BA243" s="1038"/>
      <c r="BB243" s="1038"/>
      <c r="BC243" s="1038"/>
      <c r="BD243" s="1038"/>
      <c r="BE243" s="1038"/>
    </row>
    <row r="244" spans="1:57" ht="13.8" thickBot="1" x14ac:dyDescent="0.3">
      <c r="A244" s="1288"/>
      <c r="B244" s="1288"/>
      <c r="C244" s="1687"/>
      <c r="D244" s="1288"/>
      <c r="E244" s="1288"/>
      <c r="F244" s="1288"/>
      <c r="G244" s="1288"/>
      <c r="H244" s="1288"/>
      <c r="I244" s="1288"/>
      <c r="J244" s="1288"/>
      <c r="K244" s="1288"/>
      <c r="L244" s="1288"/>
      <c r="M244" s="1288"/>
      <c r="N244" s="1288"/>
      <c r="O244" s="1288"/>
      <c r="P244" s="1288"/>
      <c r="Q244" s="1288"/>
      <c r="R244" s="1288"/>
      <c r="S244" s="1288"/>
      <c r="T244" s="1288"/>
      <c r="U244" s="1288"/>
      <c r="V244" s="1288"/>
      <c r="W244" s="1288"/>
      <c r="X244" s="1288"/>
      <c r="Y244" s="1288"/>
      <c r="Z244" s="1288"/>
      <c r="AA244" s="1288"/>
      <c r="AB244" s="1288"/>
      <c r="AC244" s="1288"/>
      <c r="AD244" s="1038"/>
      <c r="AE244" s="1038"/>
      <c r="AF244" s="1038"/>
      <c r="AG244" s="1038"/>
      <c r="AH244" s="1038"/>
      <c r="AI244" s="1038"/>
      <c r="AJ244" s="1038"/>
      <c r="AK244" s="1038"/>
      <c r="AL244" s="1038"/>
      <c r="AM244" s="1038"/>
      <c r="AN244" s="1038"/>
      <c r="AO244" s="1038"/>
      <c r="AP244" s="1038"/>
      <c r="AQ244" s="1038"/>
      <c r="AR244" s="1038"/>
      <c r="AS244" s="1038"/>
      <c r="AT244" s="1038"/>
      <c r="AU244" s="1038"/>
      <c r="AV244" s="1038"/>
      <c r="AW244" s="1038"/>
      <c r="AX244" s="1038"/>
      <c r="AY244" s="1038"/>
      <c r="AZ244" s="1038"/>
      <c r="BA244" s="1038"/>
      <c r="BB244" s="1038"/>
      <c r="BC244" s="1038"/>
      <c r="BD244" s="1038"/>
      <c r="BE244" s="1038"/>
    </row>
    <row r="245" spans="1:57" ht="13.8" x14ac:dyDescent="0.25">
      <c r="A245" s="1288"/>
      <c r="B245" s="1343" t="s">
        <v>1316</v>
      </c>
      <c r="C245" s="1702" t="s">
        <v>1341</v>
      </c>
      <c r="D245" s="1399"/>
      <c r="E245" s="1399"/>
      <c r="F245" s="1403"/>
      <c r="G245" s="1288"/>
      <c r="H245" s="1288"/>
      <c r="I245" s="1288"/>
      <c r="J245" s="1288"/>
      <c r="K245" s="1288"/>
      <c r="L245" s="1288"/>
      <c r="M245" s="1288"/>
      <c r="N245" s="1288"/>
      <c r="O245" s="1288"/>
      <c r="P245" s="1288"/>
      <c r="Q245" s="1288"/>
      <c r="R245" s="1288"/>
      <c r="S245" s="1288"/>
      <c r="T245" s="1288"/>
      <c r="U245" s="1288"/>
      <c r="V245" s="1288"/>
      <c r="W245" s="1288"/>
      <c r="X245" s="1288"/>
      <c r="Y245" s="1288"/>
      <c r="Z245" s="1288"/>
      <c r="AA245" s="1288"/>
      <c r="AB245" s="1288"/>
      <c r="AC245" s="1288"/>
      <c r="AD245" s="1038"/>
      <c r="AE245" s="1038"/>
      <c r="AF245" s="1038"/>
      <c r="AG245" s="1038"/>
      <c r="AH245" s="1038"/>
      <c r="AI245" s="1038"/>
      <c r="AJ245" s="1038"/>
      <c r="AK245" s="1038"/>
      <c r="AL245" s="1038"/>
      <c r="AM245" s="1038"/>
      <c r="AN245" s="1038"/>
      <c r="AO245" s="1038"/>
      <c r="AP245" s="1038"/>
      <c r="AQ245" s="1038"/>
      <c r="AR245" s="1038"/>
      <c r="AS245" s="1038"/>
      <c r="AT245" s="1038"/>
      <c r="AU245" s="1038"/>
      <c r="AV245" s="1038"/>
      <c r="AW245" s="1038"/>
      <c r="AX245" s="1038"/>
      <c r="AY245" s="1038"/>
      <c r="AZ245" s="1038"/>
      <c r="BA245" s="1038"/>
      <c r="BB245" s="1038"/>
      <c r="BC245" s="1038"/>
      <c r="BD245" s="1038"/>
      <c r="BE245" s="1038"/>
    </row>
    <row r="246" spans="1:57" ht="39.6" x14ac:dyDescent="0.25">
      <c r="A246" s="1288"/>
      <c r="B246" s="1433" t="s">
        <v>1307</v>
      </c>
      <c r="C246" s="1703" t="s">
        <v>1308</v>
      </c>
      <c r="D246" s="1430" t="s">
        <v>1309</v>
      </c>
      <c r="E246" s="1430" t="s">
        <v>1310</v>
      </c>
      <c r="F246" s="1431" t="s">
        <v>1311</v>
      </c>
      <c r="G246" s="1288"/>
      <c r="H246" s="1288"/>
      <c r="I246" s="1288"/>
      <c r="J246" s="1288"/>
      <c r="K246" s="1288"/>
      <c r="L246" s="1288"/>
      <c r="M246" s="1288"/>
      <c r="N246" s="1288"/>
      <c r="O246" s="1288"/>
      <c r="P246" s="1288"/>
      <c r="Q246" s="1288"/>
      <c r="R246" s="1288"/>
      <c r="S246" s="1288"/>
      <c r="T246" s="1288"/>
      <c r="U246" s="1288"/>
      <c r="V246" s="1288"/>
      <c r="W246" s="1288"/>
      <c r="X246" s="1288"/>
      <c r="Y246" s="1288"/>
      <c r="Z246" s="1288"/>
      <c r="AA246" s="1288"/>
      <c r="AB246" s="1288"/>
      <c r="AC246" s="1288"/>
      <c r="AD246" s="1038"/>
      <c r="AE246" s="1038"/>
      <c r="AF246" s="1038"/>
      <c r="AG246" s="1038"/>
      <c r="AH246" s="1038"/>
      <c r="AI246" s="1038"/>
      <c r="AJ246" s="1038"/>
      <c r="AK246" s="1038"/>
      <c r="AL246" s="1038"/>
      <c r="AM246" s="1038"/>
      <c r="AN246" s="1038"/>
      <c r="AO246" s="1038"/>
      <c r="AP246" s="1038"/>
      <c r="AQ246" s="1038"/>
      <c r="AR246" s="1038"/>
      <c r="AS246" s="1038"/>
      <c r="AT246" s="1038"/>
      <c r="AU246" s="1038"/>
      <c r="AV246" s="1038"/>
      <c r="AW246" s="1038"/>
      <c r="AX246" s="1038"/>
      <c r="AY246" s="1038"/>
      <c r="AZ246" s="1038"/>
      <c r="BA246" s="1038"/>
      <c r="BB246" s="1038"/>
      <c r="BC246" s="1038"/>
      <c r="BD246" s="1038"/>
      <c r="BE246" s="1038"/>
    </row>
    <row r="247" spans="1:57" x14ac:dyDescent="0.25">
      <c r="A247" s="1288"/>
      <c r="B247" s="1429">
        <v>0.5</v>
      </c>
      <c r="C247" s="1697">
        <v>97624774.966992736</v>
      </c>
      <c r="D247" s="1287">
        <v>78481357.028610617</v>
      </c>
      <c r="E247" s="1309">
        <v>2.2872737345894539E-2</v>
      </c>
      <c r="F247" s="1344">
        <v>2.7748085045719149E-2</v>
      </c>
      <c r="G247" s="1288"/>
      <c r="H247" s="1288"/>
      <c r="I247" s="1288"/>
      <c r="J247" s="1288"/>
      <c r="K247" s="1288"/>
      <c r="L247" s="1288"/>
      <c r="M247" s="1288"/>
      <c r="N247" s="1288"/>
      <c r="O247" s="1288"/>
      <c r="P247" s="1288"/>
      <c r="Q247" s="1288"/>
      <c r="R247" s="1288"/>
      <c r="S247" s="1288"/>
      <c r="T247" s="1288"/>
      <c r="U247" s="1288"/>
      <c r="V247" s="1288"/>
      <c r="W247" s="1288"/>
      <c r="X247" s="1288"/>
      <c r="Y247" s="1288"/>
      <c r="Z247" s="1288"/>
      <c r="AA247" s="1288"/>
      <c r="AB247" s="1288"/>
      <c r="AC247" s="1288"/>
      <c r="AD247" s="1038"/>
      <c r="AE247" s="1038"/>
      <c r="AF247" s="1038"/>
      <c r="AG247" s="1038"/>
      <c r="AH247" s="1038"/>
      <c r="AI247" s="1038"/>
      <c r="AJ247" s="1038"/>
      <c r="AK247" s="1038"/>
      <c r="AL247" s="1038"/>
      <c r="AM247" s="1038"/>
      <c r="AN247" s="1038"/>
      <c r="AO247" s="1038"/>
      <c r="AP247" s="1038"/>
      <c r="AQ247" s="1038"/>
      <c r="AR247" s="1038"/>
      <c r="AS247" s="1038"/>
      <c r="AT247" s="1038"/>
      <c r="AU247" s="1038"/>
      <c r="AV247" s="1038"/>
      <c r="AW247" s="1038"/>
      <c r="AX247" s="1038"/>
      <c r="AY247" s="1038"/>
      <c r="AZ247" s="1038"/>
      <c r="BA247" s="1038"/>
      <c r="BB247" s="1038"/>
      <c r="BC247" s="1038"/>
      <c r="BD247" s="1038"/>
      <c r="BE247" s="1038"/>
    </row>
    <row r="248" spans="1:57" x14ac:dyDescent="0.25">
      <c r="A248" s="1288"/>
      <c r="B248" s="1429">
        <v>0.56999999999999995</v>
      </c>
      <c r="C248" s="1697">
        <v>101786356.99347538</v>
      </c>
      <c r="D248" s="1287">
        <v>82133493.314325452</v>
      </c>
      <c r="E248" s="1309">
        <v>2.3013836908320012E-2</v>
      </c>
      <c r="F248" s="1344">
        <v>2.7924081599160596E-2</v>
      </c>
      <c r="G248" s="1288"/>
      <c r="H248" s="1288"/>
      <c r="I248" s="1288"/>
      <c r="J248" s="1288"/>
      <c r="K248" s="1288"/>
      <c r="L248" s="1288"/>
      <c r="M248" s="1288"/>
      <c r="N248" s="1288"/>
      <c r="O248" s="1288"/>
      <c r="P248" s="1288"/>
      <c r="Q248" s="1288"/>
      <c r="R248" s="1288"/>
      <c r="S248" s="1288"/>
      <c r="T248" s="1288"/>
      <c r="U248" s="1288"/>
      <c r="V248" s="1288"/>
      <c r="W248" s="1288"/>
      <c r="X248" s="1288"/>
      <c r="Y248" s="1288"/>
      <c r="Z248" s="1288"/>
      <c r="AA248" s="1288"/>
      <c r="AB248" s="1288"/>
      <c r="AC248" s="1288"/>
      <c r="AD248" s="1038"/>
      <c r="AE248" s="1038"/>
      <c r="AF248" s="1038"/>
      <c r="AG248" s="1038"/>
      <c r="AH248" s="1038"/>
      <c r="AI248" s="1038"/>
      <c r="AJ248" s="1038"/>
      <c r="AK248" s="1038"/>
      <c r="AL248" s="1038"/>
      <c r="AM248" s="1038"/>
      <c r="AN248" s="1038"/>
      <c r="AO248" s="1038"/>
      <c r="AP248" s="1038"/>
      <c r="AQ248" s="1038"/>
      <c r="AR248" s="1038"/>
      <c r="AS248" s="1038"/>
      <c r="AT248" s="1038"/>
      <c r="AU248" s="1038"/>
      <c r="AV248" s="1038"/>
      <c r="AW248" s="1038"/>
      <c r="AX248" s="1038"/>
      <c r="AY248" s="1038"/>
      <c r="AZ248" s="1038"/>
      <c r="BA248" s="1038"/>
      <c r="BB248" s="1038"/>
      <c r="BC248" s="1038"/>
      <c r="BD248" s="1038"/>
      <c r="BE248" s="1038"/>
    </row>
    <row r="249" spans="1:57" x14ac:dyDescent="0.25">
      <c r="A249" s="1288"/>
      <c r="B249" s="1429">
        <v>0.65</v>
      </c>
      <c r="C249" s="1697">
        <v>104506439.36356887</v>
      </c>
      <c r="D249" s="1287">
        <v>86187075.937801316</v>
      </c>
      <c r="E249" s="1309">
        <v>2.3227730383590339E-2</v>
      </c>
      <c r="F249" s="1344">
        <v>2.6610745803564428E-2</v>
      </c>
      <c r="G249" s="1288"/>
      <c r="H249" s="1288"/>
      <c r="I249" s="1288"/>
      <c r="J249" s="1288"/>
      <c r="K249" s="1288"/>
      <c r="L249" s="1288"/>
      <c r="M249" s="1288"/>
      <c r="N249" s="1288"/>
      <c r="O249" s="1288"/>
      <c r="P249" s="1288"/>
      <c r="Q249" s="1288"/>
      <c r="R249" s="1288"/>
      <c r="S249" s="1288"/>
      <c r="T249" s="1288"/>
      <c r="U249" s="1288"/>
      <c r="V249" s="1288"/>
      <c r="W249" s="1288"/>
      <c r="X249" s="1288"/>
      <c r="Y249" s="1288"/>
      <c r="Z249" s="1288"/>
      <c r="AA249" s="1288"/>
      <c r="AB249" s="1288"/>
      <c r="AC249" s="1288"/>
      <c r="AD249" s="1038"/>
      <c r="AE249" s="1038"/>
      <c r="AF249" s="1038"/>
      <c r="AG249" s="1038"/>
      <c r="AH249" s="1038"/>
      <c r="AI249" s="1038"/>
      <c r="AJ249" s="1038"/>
      <c r="AK249" s="1038"/>
      <c r="AL249" s="1038"/>
      <c r="AM249" s="1038"/>
      <c r="AN249" s="1038"/>
      <c r="AO249" s="1038"/>
      <c r="AP249" s="1038"/>
      <c r="AQ249" s="1038"/>
      <c r="AR249" s="1038"/>
      <c r="AS249" s="1038"/>
      <c r="AT249" s="1038"/>
      <c r="AU249" s="1038"/>
      <c r="AV249" s="1038"/>
      <c r="AW249" s="1038"/>
      <c r="AX249" s="1038"/>
      <c r="AY249" s="1038"/>
      <c r="AZ249" s="1038"/>
      <c r="BA249" s="1038"/>
      <c r="BB249" s="1038"/>
      <c r="BC249" s="1038"/>
      <c r="BD249" s="1038"/>
      <c r="BE249" s="1038"/>
    </row>
    <row r="250" spans="1:57" x14ac:dyDescent="0.25">
      <c r="A250" s="1288"/>
      <c r="B250" s="1429">
        <v>0.74</v>
      </c>
      <c r="C250" s="1697">
        <v>111280771.2667349</v>
      </c>
      <c r="D250" s="1287">
        <v>90621285.77097027</v>
      </c>
      <c r="E250" s="1309">
        <v>2.3320765185481079E-2</v>
      </c>
      <c r="F250" s="1344">
        <v>2.8025919602951827E-2</v>
      </c>
      <c r="G250" s="1288"/>
      <c r="H250" s="1288"/>
      <c r="I250" s="1288"/>
      <c r="J250" s="1288"/>
      <c r="K250" s="1288"/>
      <c r="L250" s="1288"/>
      <c r="M250" s="1288"/>
      <c r="N250" s="1288"/>
      <c r="O250" s="1288"/>
      <c r="P250" s="1288"/>
      <c r="Q250" s="1288"/>
      <c r="R250" s="1288"/>
      <c r="S250" s="1288"/>
      <c r="T250" s="1288"/>
      <c r="U250" s="1288"/>
      <c r="V250" s="1288"/>
      <c r="W250" s="1288"/>
      <c r="X250" s="1288"/>
      <c r="Y250" s="1288"/>
      <c r="Z250" s="1288"/>
      <c r="AA250" s="1288"/>
      <c r="AB250" s="1288"/>
      <c r="AC250" s="1288"/>
      <c r="AD250" s="1038"/>
      <c r="AE250" s="1038"/>
      <c r="AF250" s="1038"/>
      <c r="AG250" s="1038"/>
      <c r="AH250" s="1038"/>
      <c r="AI250" s="1038"/>
      <c r="AJ250" s="1038"/>
      <c r="AK250" s="1038"/>
      <c r="AL250" s="1038"/>
      <c r="AM250" s="1038"/>
      <c r="AN250" s="1038"/>
      <c r="AO250" s="1038"/>
      <c r="AP250" s="1038"/>
      <c r="AQ250" s="1038"/>
      <c r="AR250" s="1038"/>
      <c r="AS250" s="1038"/>
      <c r="AT250" s="1038"/>
      <c r="AU250" s="1038"/>
      <c r="AV250" s="1038"/>
      <c r="AW250" s="1038"/>
      <c r="AX250" s="1038"/>
      <c r="AY250" s="1038"/>
      <c r="AZ250" s="1038"/>
      <c r="BA250" s="1038"/>
      <c r="BB250" s="1038"/>
      <c r="BC250" s="1038"/>
      <c r="BD250" s="1038"/>
      <c r="BE250" s="1038"/>
    </row>
    <row r="251" spans="1:57" x14ac:dyDescent="0.25">
      <c r="A251" s="1288"/>
      <c r="B251" s="1429">
        <v>0.85</v>
      </c>
      <c r="C251" s="1697">
        <v>115446954.04566029</v>
      </c>
      <c r="D251" s="1287">
        <v>95892454.843455911</v>
      </c>
      <c r="E251" s="1309">
        <v>2.347044362126726E-2</v>
      </c>
      <c r="F251" s="1344">
        <v>2.6485346250437112E-2</v>
      </c>
      <c r="G251" s="1288"/>
      <c r="H251" s="1288"/>
      <c r="I251" s="1288"/>
      <c r="J251" s="1288"/>
      <c r="K251" s="1288"/>
      <c r="L251" s="1288"/>
      <c r="M251" s="1288"/>
      <c r="N251" s="1288"/>
      <c r="O251" s="1288"/>
      <c r="P251" s="1288"/>
      <c r="Q251" s="1288"/>
      <c r="R251" s="1288"/>
      <c r="S251" s="1288"/>
      <c r="T251" s="1288"/>
      <c r="U251" s="1288"/>
      <c r="V251" s="1288"/>
      <c r="W251" s="1288"/>
      <c r="X251" s="1288"/>
      <c r="Y251" s="1288"/>
      <c r="Z251" s="1288"/>
      <c r="AA251" s="1288"/>
      <c r="AB251" s="1288"/>
      <c r="AC251" s="1288"/>
      <c r="AD251" s="1038"/>
      <c r="AE251" s="1038"/>
      <c r="AF251" s="1038"/>
      <c r="AG251" s="1038"/>
      <c r="AH251" s="1038"/>
      <c r="AI251" s="1038"/>
      <c r="AJ251" s="1038"/>
      <c r="AK251" s="1038"/>
      <c r="AL251" s="1038"/>
      <c r="AM251" s="1038"/>
      <c r="AN251" s="1038"/>
      <c r="AO251" s="1038"/>
      <c r="AP251" s="1038"/>
      <c r="AQ251" s="1038"/>
      <c r="AR251" s="1038"/>
      <c r="AS251" s="1038"/>
      <c r="AT251" s="1038"/>
      <c r="AU251" s="1038"/>
      <c r="AV251" s="1038"/>
      <c r="AW251" s="1038"/>
      <c r="AX251" s="1038"/>
      <c r="AY251" s="1038"/>
      <c r="AZ251" s="1038"/>
      <c r="BA251" s="1038"/>
      <c r="BB251" s="1038"/>
      <c r="BC251" s="1038"/>
      <c r="BD251" s="1038"/>
      <c r="BE251" s="1038"/>
    </row>
    <row r="252" spans="1:57" x14ac:dyDescent="0.25">
      <c r="A252" s="1288"/>
      <c r="B252" s="1429">
        <v>0.96</v>
      </c>
      <c r="C252" s="1697">
        <v>123968286.57717459</v>
      </c>
      <c r="D252" s="1287">
        <v>105169256.89884396</v>
      </c>
      <c r="E252" s="1309">
        <v>2.3516863324812093E-2</v>
      </c>
      <c r="F252" s="1344">
        <v>2.688606397640542E-2</v>
      </c>
      <c r="G252" s="1288"/>
      <c r="H252" s="1288"/>
      <c r="I252" s="1288"/>
      <c r="J252" s="1288"/>
      <c r="K252" s="1288"/>
      <c r="L252" s="1288"/>
      <c r="M252" s="1288"/>
      <c r="N252" s="1288"/>
      <c r="O252" s="1288"/>
      <c r="P252" s="1288"/>
      <c r="Q252" s="1288"/>
      <c r="R252" s="1288"/>
      <c r="S252" s="1288"/>
      <c r="T252" s="1288"/>
      <c r="U252" s="1288"/>
      <c r="V252" s="1288"/>
      <c r="W252" s="1288"/>
      <c r="X252" s="1288"/>
      <c r="Y252" s="1288"/>
      <c r="Z252" s="1288"/>
      <c r="AA252" s="1288"/>
      <c r="AB252" s="1288"/>
      <c r="AC252" s="1288"/>
      <c r="AD252" s="1038"/>
      <c r="AE252" s="1038"/>
      <c r="AF252" s="1038"/>
      <c r="AG252" s="1038"/>
      <c r="AH252" s="1038"/>
      <c r="AI252" s="1038"/>
      <c r="AJ252" s="1038"/>
      <c r="AK252" s="1038"/>
      <c r="AL252" s="1038"/>
      <c r="AM252" s="1038"/>
      <c r="AN252" s="1038"/>
      <c r="AO252" s="1038"/>
      <c r="AP252" s="1038"/>
      <c r="AQ252" s="1038"/>
      <c r="AR252" s="1038"/>
      <c r="AS252" s="1038"/>
      <c r="AT252" s="1038"/>
      <c r="AU252" s="1038"/>
      <c r="AV252" s="1038"/>
      <c r="AW252" s="1038"/>
      <c r="AX252" s="1038"/>
      <c r="AY252" s="1038"/>
      <c r="AZ252" s="1038"/>
      <c r="BA252" s="1038"/>
      <c r="BB252" s="1038"/>
      <c r="BC252" s="1038"/>
      <c r="BD252" s="1038"/>
      <c r="BE252" s="1038"/>
    </row>
    <row r="253" spans="1:57" x14ac:dyDescent="0.25">
      <c r="A253" s="1288"/>
      <c r="B253" s="1429">
        <v>1.1000000000000001</v>
      </c>
      <c r="C253" s="1697">
        <v>132054903.86834562</v>
      </c>
      <c r="D253" s="1287">
        <v>111547603.89317225</v>
      </c>
      <c r="E253" s="1309">
        <v>2.3826137412277192E-2</v>
      </c>
      <c r="F253" s="1344">
        <v>2.7556216019459318E-2</v>
      </c>
      <c r="G253" s="1288"/>
      <c r="H253" s="1288"/>
      <c r="I253" s="1288"/>
      <c r="J253" s="1288"/>
      <c r="K253" s="1288"/>
      <c r="L253" s="1288"/>
      <c r="M253" s="1288"/>
      <c r="N253" s="1288"/>
      <c r="O253" s="1288"/>
      <c r="P253" s="1288"/>
      <c r="Q253" s="1288"/>
      <c r="R253" s="1288"/>
      <c r="S253" s="1288"/>
      <c r="T253" s="1288"/>
      <c r="U253" s="1288"/>
      <c r="V253" s="1288"/>
      <c r="W253" s="1288"/>
      <c r="X253" s="1288"/>
      <c r="Y253" s="1288"/>
      <c r="Z253" s="1288"/>
      <c r="AA253" s="1288"/>
      <c r="AB253" s="1288"/>
      <c r="AC253" s="1288"/>
      <c r="AD253" s="1038"/>
      <c r="AE253" s="1038"/>
      <c r="AF253" s="1038"/>
      <c r="AG253" s="1038"/>
      <c r="AH253" s="1038"/>
      <c r="AI253" s="1038"/>
      <c r="AJ253" s="1038"/>
      <c r="AK253" s="1038"/>
      <c r="AL253" s="1038"/>
      <c r="AM253" s="1038"/>
      <c r="AN253" s="1038"/>
      <c r="AO253" s="1038"/>
      <c r="AP253" s="1038"/>
      <c r="AQ253" s="1038"/>
      <c r="AR253" s="1038"/>
      <c r="AS253" s="1038"/>
      <c r="AT253" s="1038"/>
      <c r="AU253" s="1038"/>
      <c r="AV253" s="1038"/>
      <c r="AW253" s="1038"/>
      <c r="AX253" s="1038"/>
      <c r="AY253" s="1038"/>
      <c r="AZ253" s="1038"/>
      <c r="BA253" s="1038"/>
      <c r="BB253" s="1038"/>
      <c r="BC253" s="1038"/>
      <c r="BD253" s="1038"/>
      <c r="BE253" s="1038"/>
    </row>
    <row r="254" spans="1:57" x14ac:dyDescent="0.25">
      <c r="A254" s="1288"/>
      <c r="B254" s="1429">
        <v>1.25</v>
      </c>
      <c r="C254" s="1697">
        <v>138218851.13802677</v>
      </c>
      <c r="D254" s="1287">
        <v>118218203.26593877</v>
      </c>
      <c r="E254" s="1309">
        <v>2.4134227659898911E-2</v>
      </c>
      <c r="F254" s="1344">
        <v>2.6980826820367825E-2</v>
      </c>
      <c r="G254" s="1288"/>
      <c r="H254" s="1288"/>
      <c r="I254" s="1288"/>
      <c r="J254" s="1288"/>
      <c r="K254" s="1288"/>
      <c r="L254" s="1288"/>
      <c r="M254" s="1288"/>
      <c r="N254" s="1288"/>
      <c r="O254" s="1288"/>
      <c r="P254" s="1288"/>
      <c r="Q254" s="1288"/>
      <c r="R254" s="1288"/>
      <c r="S254" s="1288"/>
      <c r="T254" s="1288"/>
      <c r="U254" s="1288"/>
      <c r="V254" s="1288"/>
      <c r="W254" s="1288"/>
      <c r="X254" s="1288"/>
      <c r="Y254" s="1288"/>
      <c r="Z254" s="1288"/>
      <c r="AA254" s="1288"/>
      <c r="AB254" s="1288"/>
      <c r="AC254" s="1288"/>
      <c r="AD254" s="1038"/>
      <c r="AE254" s="1038"/>
      <c r="AF254" s="1038"/>
      <c r="AG254" s="1038"/>
      <c r="AH254" s="1038"/>
      <c r="AI254" s="1038"/>
      <c r="AJ254" s="1038"/>
      <c r="AK254" s="1038"/>
      <c r="AL254" s="1038"/>
      <c r="AM254" s="1038"/>
      <c r="AN254" s="1038"/>
      <c r="AO254" s="1038"/>
      <c r="AP254" s="1038"/>
      <c r="AQ254" s="1038"/>
      <c r="AR254" s="1038"/>
      <c r="AS254" s="1038"/>
      <c r="AT254" s="1038"/>
      <c r="AU254" s="1038"/>
      <c r="AV254" s="1038"/>
      <c r="AW254" s="1038"/>
      <c r="AX254" s="1038"/>
      <c r="AY254" s="1038"/>
      <c r="AZ254" s="1038"/>
      <c r="BA254" s="1038"/>
      <c r="BB254" s="1038"/>
      <c r="BC254" s="1038"/>
      <c r="BD254" s="1038"/>
      <c r="BE254" s="1038"/>
    </row>
    <row r="255" spans="1:57" x14ac:dyDescent="0.25">
      <c r="A255" s="1288"/>
      <c r="B255" s="1429">
        <v>1.43</v>
      </c>
      <c r="C255" s="1697">
        <v>148790150.92586643</v>
      </c>
      <c r="D255" s="1287">
        <v>130180160.96168636</v>
      </c>
      <c r="E255" s="1309">
        <v>2.4291599894042143E-2</v>
      </c>
      <c r="F255" s="1344">
        <v>2.6712729064429397E-2</v>
      </c>
      <c r="G255" s="1288"/>
      <c r="H255" s="1288"/>
      <c r="I255" s="1288"/>
      <c r="J255" s="1288"/>
      <c r="K255" s="1288"/>
      <c r="L255" s="1288"/>
      <c r="M255" s="1288"/>
      <c r="N255" s="1288"/>
      <c r="O255" s="1288"/>
      <c r="P255" s="1288"/>
      <c r="Q255" s="1288"/>
      <c r="R255" s="1288"/>
      <c r="S255" s="1288"/>
      <c r="T255" s="1288"/>
      <c r="U255" s="1288"/>
      <c r="V255" s="1288"/>
      <c r="W255" s="1288"/>
      <c r="X255" s="1288"/>
      <c r="Y255" s="1288"/>
      <c r="Z255" s="1288"/>
      <c r="AA255" s="1288"/>
      <c r="AB255" s="1288"/>
      <c r="AC255" s="1288"/>
      <c r="AD255" s="1038"/>
      <c r="AE255" s="1038"/>
      <c r="AF255" s="1038"/>
      <c r="AG255" s="1038"/>
      <c r="AH255" s="1038"/>
      <c r="AI255" s="1038"/>
      <c r="AJ255" s="1038"/>
      <c r="AK255" s="1038"/>
      <c r="AL255" s="1038"/>
      <c r="AM255" s="1038"/>
      <c r="AN255" s="1038"/>
      <c r="AO255" s="1038"/>
      <c r="AP255" s="1038"/>
      <c r="AQ255" s="1038"/>
      <c r="AR255" s="1038"/>
      <c r="AS255" s="1038"/>
      <c r="AT255" s="1038"/>
      <c r="AU255" s="1038"/>
      <c r="AV255" s="1038"/>
      <c r="AW255" s="1038"/>
      <c r="AX255" s="1038"/>
      <c r="AY255" s="1038"/>
      <c r="AZ255" s="1038"/>
      <c r="BA255" s="1038"/>
      <c r="BB255" s="1038"/>
      <c r="BC255" s="1038"/>
      <c r="BD255" s="1038"/>
      <c r="BE255" s="1038"/>
    </row>
    <row r="256" spans="1:57" x14ac:dyDescent="0.25">
      <c r="A256" s="1288"/>
      <c r="B256" s="1429">
        <v>1.63</v>
      </c>
      <c r="C256" s="1697">
        <v>156646304.3596887</v>
      </c>
      <c r="D256" s="1287">
        <v>138679145.23706797</v>
      </c>
      <c r="E256" s="1309">
        <v>2.457573592851504E-2</v>
      </c>
      <c r="F256" s="1344">
        <v>2.5910618090346307E-2</v>
      </c>
      <c r="G256" s="1288"/>
      <c r="H256" s="1288"/>
      <c r="I256" s="1288"/>
      <c r="J256" s="1288"/>
      <c r="K256" s="1288"/>
      <c r="L256" s="1288"/>
      <c r="M256" s="1288"/>
      <c r="N256" s="1288"/>
      <c r="O256" s="1288"/>
      <c r="P256" s="1288"/>
      <c r="Q256" s="1288"/>
      <c r="R256" s="1288"/>
      <c r="S256" s="1288"/>
      <c r="T256" s="1288"/>
      <c r="U256" s="1288"/>
      <c r="V256" s="1288"/>
      <c r="W256" s="1288"/>
      <c r="X256" s="1288"/>
      <c r="Y256" s="1288"/>
      <c r="Z256" s="1288"/>
      <c r="AA256" s="1288"/>
      <c r="AB256" s="1288"/>
      <c r="AC256" s="1288"/>
      <c r="AD256" s="1038"/>
      <c r="AE256" s="1038"/>
      <c r="AF256" s="1038"/>
      <c r="AG256" s="1038"/>
      <c r="AH256" s="1038"/>
      <c r="AI256" s="1038"/>
      <c r="AJ256" s="1038"/>
      <c r="AK256" s="1038"/>
      <c r="AL256" s="1038"/>
      <c r="AM256" s="1038"/>
      <c r="AN256" s="1038"/>
      <c r="AO256" s="1038"/>
      <c r="AP256" s="1038"/>
      <c r="AQ256" s="1038"/>
      <c r="AR256" s="1038"/>
      <c r="AS256" s="1038"/>
      <c r="AT256" s="1038"/>
      <c r="AU256" s="1038"/>
      <c r="AV256" s="1038"/>
      <c r="AW256" s="1038"/>
      <c r="AX256" s="1038"/>
      <c r="AY256" s="1038"/>
      <c r="AZ256" s="1038"/>
      <c r="BA256" s="1038"/>
      <c r="BB256" s="1038"/>
      <c r="BC256" s="1038"/>
      <c r="BD256" s="1038"/>
      <c r="BE256" s="1038"/>
    </row>
    <row r="257" spans="1:57" x14ac:dyDescent="0.25">
      <c r="A257" s="1288"/>
      <c r="B257" s="1429">
        <v>1.86</v>
      </c>
      <c r="C257" s="1697">
        <v>167246152.86965409</v>
      </c>
      <c r="D257" s="1287">
        <v>152388054.34049419</v>
      </c>
      <c r="E257" s="1309">
        <v>2.5063805723438852E-2</v>
      </c>
      <c r="F257" s="1344">
        <v>2.5468563701597228E-2</v>
      </c>
      <c r="G257" s="1288"/>
      <c r="H257" s="1288"/>
      <c r="I257" s="1288"/>
      <c r="J257" s="1288"/>
      <c r="K257" s="1288"/>
      <c r="L257" s="1288"/>
      <c r="M257" s="1288"/>
      <c r="N257" s="1288"/>
      <c r="O257" s="1288"/>
      <c r="P257" s="1288"/>
      <c r="Q257" s="1288"/>
      <c r="R257" s="1288"/>
      <c r="S257" s="1288"/>
      <c r="T257" s="1288"/>
      <c r="U257" s="1288"/>
      <c r="V257" s="1288"/>
      <c r="W257" s="1288"/>
      <c r="X257" s="1288"/>
      <c r="Y257" s="1288"/>
      <c r="Z257" s="1288"/>
      <c r="AA257" s="1288"/>
      <c r="AB257" s="1288"/>
      <c r="AC257" s="1288"/>
      <c r="AD257" s="1038"/>
      <c r="AE257" s="1038"/>
      <c r="AF257" s="1038"/>
      <c r="AG257" s="1038"/>
      <c r="AH257" s="1038"/>
      <c r="AI257" s="1038"/>
      <c r="AJ257" s="1038"/>
      <c r="AK257" s="1038"/>
      <c r="AL257" s="1038"/>
      <c r="AM257" s="1038"/>
      <c r="AN257" s="1038"/>
      <c r="AO257" s="1038"/>
      <c r="AP257" s="1038"/>
      <c r="AQ257" s="1038"/>
      <c r="AR257" s="1038"/>
      <c r="AS257" s="1038"/>
      <c r="AT257" s="1038"/>
      <c r="AU257" s="1038"/>
      <c r="AV257" s="1038"/>
      <c r="AW257" s="1038"/>
      <c r="AX257" s="1038"/>
      <c r="AY257" s="1038"/>
      <c r="AZ257" s="1038"/>
      <c r="BA257" s="1038"/>
      <c r="BB257" s="1038"/>
      <c r="BC257" s="1038"/>
      <c r="BD257" s="1038"/>
      <c r="BE257" s="1038"/>
    </row>
    <row r="258" spans="1:57" x14ac:dyDescent="0.25">
      <c r="A258" s="1288"/>
      <c r="B258" s="1429">
        <v>2.12</v>
      </c>
      <c r="C258" s="1697">
        <v>182282789.12653089</v>
      </c>
      <c r="D258" s="1287">
        <v>167128279.54632628</v>
      </c>
      <c r="E258" s="1309">
        <v>2.5213229256799818E-2</v>
      </c>
      <c r="F258" s="1344">
        <v>2.5637446762237802E-2</v>
      </c>
      <c r="G258" s="1288"/>
      <c r="H258" s="1288"/>
      <c r="I258" s="1288"/>
      <c r="J258" s="1288"/>
      <c r="K258" s="1288"/>
      <c r="L258" s="1288"/>
      <c r="M258" s="1288"/>
      <c r="N258" s="1288"/>
      <c r="O258" s="1288"/>
      <c r="P258" s="1288"/>
      <c r="Q258" s="1288"/>
      <c r="R258" s="1288"/>
      <c r="S258" s="1288"/>
      <c r="T258" s="1288"/>
      <c r="U258" s="1288"/>
      <c r="V258" s="1288"/>
      <c r="W258" s="1288"/>
      <c r="X258" s="1288"/>
      <c r="Y258" s="1288"/>
      <c r="Z258" s="1288"/>
      <c r="AA258" s="1288"/>
      <c r="AB258" s="1288"/>
      <c r="AC258" s="1288"/>
      <c r="AD258" s="1038"/>
      <c r="AE258" s="1038"/>
      <c r="AF258" s="1038"/>
      <c r="AG258" s="1038"/>
      <c r="AH258" s="1038"/>
      <c r="AI258" s="1038"/>
      <c r="AJ258" s="1038"/>
      <c r="AK258" s="1038"/>
      <c r="AL258" s="1038"/>
      <c r="AM258" s="1038"/>
      <c r="AN258" s="1038"/>
      <c r="AO258" s="1038"/>
      <c r="AP258" s="1038"/>
      <c r="AQ258" s="1038"/>
      <c r="AR258" s="1038"/>
      <c r="AS258" s="1038"/>
      <c r="AT258" s="1038"/>
      <c r="AU258" s="1038"/>
      <c r="AV258" s="1038"/>
      <c r="AW258" s="1038"/>
      <c r="AX258" s="1038"/>
      <c r="AY258" s="1038"/>
      <c r="AZ258" s="1038"/>
      <c r="BA258" s="1038"/>
      <c r="BB258" s="1038"/>
      <c r="BC258" s="1038"/>
      <c r="BD258" s="1038"/>
      <c r="BE258" s="1038"/>
    </row>
    <row r="259" spans="1:57" x14ac:dyDescent="0.25">
      <c r="A259" s="1288"/>
      <c r="B259" s="1429">
        <v>2.42</v>
      </c>
      <c r="C259" s="1697">
        <v>196977943.92104512</v>
      </c>
      <c r="D259" s="1287">
        <v>183264677.08103243</v>
      </c>
      <c r="E259" s="1309">
        <v>2.545787765564848E-2</v>
      </c>
      <c r="F259" s="1344">
        <v>2.5582561484340596E-2</v>
      </c>
      <c r="G259" s="1288"/>
      <c r="H259" s="1288"/>
      <c r="I259" s="1288"/>
      <c r="J259" s="1288"/>
      <c r="K259" s="1288"/>
      <c r="L259" s="1288"/>
      <c r="M259" s="1288"/>
      <c r="N259" s="1288"/>
      <c r="O259" s="1288"/>
      <c r="P259" s="1288"/>
      <c r="Q259" s="1288"/>
      <c r="R259" s="1288"/>
      <c r="S259" s="1288"/>
      <c r="T259" s="1288"/>
      <c r="U259" s="1288"/>
      <c r="V259" s="1288"/>
      <c r="W259" s="1288"/>
      <c r="X259" s="1288"/>
      <c r="Y259" s="1288"/>
      <c r="Z259" s="1288"/>
      <c r="AA259" s="1288"/>
      <c r="AB259" s="1288"/>
      <c r="AC259" s="1288"/>
      <c r="AD259" s="1038"/>
      <c r="AE259" s="1038"/>
      <c r="AF259" s="1038"/>
      <c r="AG259" s="1038"/>
      <c r="AH259" s="1038"/>
      <c r="AI259" s="1038"/>
      <c r="AJ259" s="1038"/>
      <c r="AK259" s="1038"/>
      <c r="AL259" s="1038"/>
      <c r="AM259" s="1038"/>
      <c r="AN259" s="1038"/>
      <c r="AO259" s="1038"/>
      <c r="AP259" s="1038"/>
      <c r="AQ259" s="1038"/>
      <c r="AR259" s="1038"/>
      <c r="AS259" s="1038"/>
      <c r="AT259" s="1038"/>
      <c r="AU259" s="1038"/>
      <c r="AV259" s="1038"/>
      <c r="AW259" s="1038"/>
      <c r="AX259" s="1038"/>
      <c r="AY259" s="1038"/>
      <c r="AZ259" s="1038"/>
      <c r="BA259" s="1038"/>
      <c r="BB259" s="1038"/>
      <c r="BC259" s="1038"/>
      <c r="BD259" s="1038"/>
      <c r="BE259" s="1038"/>
    </row>
    <row r="260" spans="1:57" x14ac:dyDescent="0.25">
      <c r="A260" s="1288"/>
      <c r="B260" s="1429">
        <v>2.76</v>
      </c>
      <c r="C260" s="1697">
        <v>212538114.72414896</v>
      </c>
      <c r="D260" s="1287">
        <v>200751116.84884009</v>
      </c>
      <c r="E260" s="1309">
        <v>2.5919318917591937E-2</v>
      </c>
      <c r="F260" s="1344">
        <v>2.5364827101646871E-2</v>
      </c>
      <c r="G260" s="1288"/>
      <c r="H260" s="1288"/>
      <c r="I260" s="1288"/>
      <c r="J260" s="1288"/>
      <c r="K260" s="1288"/>
      <c r="L260" s="1288"/>
      <c r="M260" s="1288"/>
      <c r="N260" s="1288"/>
      <c r="O260" s="1288"/>
      <c r="P260" s="1288"/>
      <c r="Q260" s="1288"/>
      <c r="R260" s="1288"/>
      <c r="S260" s="1288"/>
      <c r="T260" s="1288"/>
      <c r="U260" s="1288"/>
      <c r="V260" s="1288"/>
      <c r="W260" s="1288"/>
      <c r="X260" s="1288"/>
      <c r="Y260" s="1288"/>
      <c r="Z260" s="1288"/>
      <c r="AA260" s="1288"/>
      <c r="AB260" s="1288"/>
      <c r="AC260" s="1288"/>
      <c r="AD260" s="1038"/>
      <c r="AE260" s="1038"/>
      <c r="AF260" s="1038"/>
      <c r="AG260" s="1038"/>
      <c r="AH260" s="1038"/>
      <c r="AI260" s="1038"/>
      <c r="AJ260" s="1038"/>
      <c r="AK260" s="1038"/>
      <c r="AL260" s="1038"/>
      <c r="AM260" s="1038"/>
      <c r="AN260" s="1038"/>
      <c r="AO260" s="1038"/>
      <c r="AP260" s="1038"/>
      <c r="AQ260" s="1038"/>
      <c r="AR260" s="1038"/>
      <c r="AS260" s="1038"/>
      <c r="AT260" s="1038"/>
      <c r="AU260" s="1038"/>
      <c r="AV260" s="1038"/>
      <c r="AW260" s="1038"/>
      <c r="AX260" s="1038"/>
      <c r="AY260" s="1038"/>
      <c r="AZ260" s="1038"/>
      <c r="BA260" s="1038"/>
      <c r="BB260" s="1038"/>
      <c r="BC260" s="1038"/>
      <c r="BD260" s="1038"/>
      <c r="BE260" s="1038"/>
    </row>
    <row r="261" spans="1:57" x14ac:dyDescent="0.25">
      <c r="A261" s="1288"/>
      <c r="B261" s="1429">
        <v>3.15</v>
      </c>
      <c r="C261" s="1697">
        <v>229599236.25573727</v>
      </c>
      <c r="D261" s="1287">
        <v>219932490.63017336</v>
      </c>
      <c r="E261" s="1309">
        <v>2.6259854407995158E-2</v>
      </c>
      <c r="F261" s="1344">
        <v>2.4987917217627179E-2</v>
      </c>
      <c r="G261" s="1288"/>
      <c r="H261" s="1288"/>
      <c r="I261" s="1288"/>
      <c r="J261" s="1288"/>
      <c r="K261" s="1288"/>
      <c r="L261" s="1288"/>
      <c r="M261" s="1288"/>
      <c r="N261" s="1288"/>
      <c r="O261" s="1288"/>
      <c r="P261" s="1288"/>
      <c r="Q261" s="1288"/>
      <c r="R261" s="1288"/>
      <c r="S261" s="1288"/>
      <c r="T261" s="1288"/>
      <c r="U261" s="1288"/>
      <c r="V261" s="1288"/>
      <c r="W261" s="1288"/>
      <c r="X261" s="1288"/>
      <c r="Y261" s="1288"/>
      <c r="Z261" s="1288"/>
      <c r="AA261" s="1288"/>
      <c r="AB261" s="1288"/>
      <c r="AC261" s="1288"/>
      <c r="AD261" s="1038"/>
      <c r="AE261" s="1038"/>
      <c r="AF261" s="1038"/>
      <c r="AG261" s="1038"/>
      <c r="AH261" s="1038"/>
      <c r="AI261" s="1038"/>
      <c r="AJ261" s="1038"/>
      <c r="AK261" s="1038"/>
      <c r="AL261" s="1038"/>
      <c r="AM261" s="1038"/>
      <c r="AN261" s="1038"/>
      <c r="AO261" s="1038"/>
      <c r="AP261" s="1038"/>
      <c r="AQ261" s="1038"/>
      <c r="AR261" s="1038"/>
      <c r="AS261" s="1038"/>
      <c r="AT261" s="1038"/>
      <c r="AU261" s="1038"/>
      <c r="AV261" s="1038"/>
      <c r="AW261" s="1038"/>
      <c r="AX261" s="1038"/>
      <c r="AY261" s="1038"/>
      <c r="AZ261" s="1038"/>
      <c r="BA261" s="1038"/>
      <c r="BB261" s="1038"/>
      <c r="BC261" s="1038"/>
      <c r="BD261" s="1038"/>
      <c r="BE261" s="1038"/>
    </row>
    <row r="262" spans="1:57" x14ac:dyDescent="0.25">
      <c r="A262" s="1288"/>
      <c r="B262" s="1429">
        <v>3.59</v>
      </c>
      <c r="C262" s="1697">
        <v>249413492.02992871</v>
      </c>
      <c r="D262" s="1287">
        <v>240760221.82423592</v>
      </c>
      <c r="E262" s="1309">
        <v>2.6709664343673226E-2</v>
      </c>
      <c r="F262" s="1344">
        <v>2.4983725815490316E-2</v>
      </c>
      <c r="G262" s="1288"/>
      <c r="H262" s="1288"/>
      <c r="I262" s="1288"/>
      <c r="J262" s="1288"/>
      <c r="K262" s="1288"/>
      <c r="L262" s="1288"/>
      <c r="M262" s="1288"/>
      <c r="N262" s="1288"/>
      <c r="O262" s="1288"/>
      <c r="P262" s="1288"/>
      <c r="Q262" s="1288"/>
      <c r="R262" s="1288"/>
      <c r="S262" s="1288"/>
      <c r="T262" s="1288"/>
      <c r="U262" s="1288"/>
      <c r="V262" s="1288"/>
      <c r="W262" s="1288"/>
      <c r="X262" s="1288"/>
      <c r="Y262" s="1288"/>
      <c r="Z262" s="1288"/>
      <c r="AA262" s="1288"/>
      <c r="AB262" s="1288"/>
      <c r="AC262" s="1288"/>
      <c r="AD262" s="1038"/>
      <c r="AE262" s="1038"/>
      <c r="AF262" s="1038"/>
      <c r="AG262" s="1038"/>
      <c r="AH262" s="1038"/>
      <c r="AI262" s="1038"/>
      <c r="AJ262" s="1038"/>
      <c r="AK262" s="1038"/>
      <c r="AL262" s="1038"/>
      <c r="AM262" s="1038"/>
      <c r="AN262" s="1038"/>
      <c r="AO262" s="1038"/>
      <c r="AP262" s="1038"/>
      <c r="AQ262" s="1038"/>
      <c r="AR262" s="1038"/>
      <c r="AS262" s="1038"/>
      <c r="AT262" s="1038"/>
      <c r="AU262" s="1038"/>
      <c r="AV262" s="1038"/>
      <c r="AW262" s="1038"/>
      <c r="AX262" s="1038"/>
      <c r="AY262" s="1038"/>
      <c r="AZ262" s="1038"/>
      <c r="BA262" s="1038"/>
      <c r="BB262" s="1038"/>
      <c r="BC262" s="1038"/>
      <c r="BD262" s="1038"/>
      <c r="BE262" s="1038"/>
    </row>
    <row r="263" spans="1:57" x14ac:dyDescent="0.25">
      <c r="A263" s="1288"/>
      <c r="B263" s="1429">
        <v>4.09</v>
      </c>
      <c r="C263" s="1697">
        <v>270616575.46090251</v>
      </c>
      <c r="D263" s="1287">
        <v>263565382.15915081</v>
      </c>
      <c r="E263" s="1309">
        <v>2.7663901320999398E-2</v>
      </c>
      <c r="F263" s="1344">
        <v>2.4452053667054705E-2</v>
      </c>
      <c r="G263" s="1288"/>
      <c r="H263" s="1288"/>
      <c r="I263" s="1288"/>
      <c r="J263" s="1288"/>
      <c r="K263" s="1288"/>
      <c r="L263" s="1288"/>
      <c r="M263" s="1288"/>
      <c r="N263" s="1288"/>
      <c r="O263" s="1288"/>
      <c r="P263" s="1288"/>
      <c r="Q263" s="1288"/>
      <c r="R263" s="1288"/>
      <c r="S263" s="1288"/>
      <c r="T263" s="1288"/>
      <c r="U263" s="1288"/>
      <c r="V263" s="1288"/>
      <c r="W263" s="1288"/>
      <c r="X263" s="1288"/>
      <c r="Y263" s="1288"/>
      <c r="Z263" s="1288"/>
      <c r="AA263" s="1288"/>
      <c r="AB263" s="1288"/>
      <c r="AC263" s="1288"/>
      <c r="AD263" s="1038"/>
      <c r="AE263" s="1038"/>
      <c r="AF263" s="1038"/>
      <c r="AG263" s="1038"/>
      <c r="AH263" s="1038"/>
      <c r="AI263" s="1038"/>
      <c r="AJ263" s="1038"/>
      <c r="AK263" s="1038"/>
      <c r="AL263" s="1038"/>
      <c r="AM263" s="1038"/>
      <c r="AN263" s="1038"/>
      <c r="AO263" s="1038"/>
      <c r="AP263" s="1038"/>
      <c r="AQ263" s="1038"/>
      <c r="AR263" s="1038"/>
      <c r="AS263" s="1038"/>
      <c r="AT263" s="1038"/>
      <c r="AU263" s="1038"/>
      <c r="AV263" s="1038"/>
      <c r="AW263" s="1038"/>
      <c r="AX263" s="1038"/>
      <c r="AY263" s="1038"/>
      <c r="AZ263" s="1038"/>
      <c r="BA263" s="1038"/>
      <c r="BB263" s="1038"/>
      <c r="BC263" s="1038"/>
      <c r="BD263" s="1038"/>
      <c r="BE263" s="1038"/>
    </row>
    <row r="264" spans="1:57" x14ac:dyDescent="0.25">
      <c r="A264" s="1288"/>
      <c r="B264" s="1429">
        <v>4.67</v>
      </c>
      <c r="C264" s="1697">
        <v>299338716.5723958</v>
      </c>
      <c r="D264" s="1287">
        <v>293170609.14679205</v>
      </c>
      <c r="E264" s="1309">
        <v>2.7900487029317689E-2</v>
      </c>
      <c r="F264" s="1344">
        <v>2.4736415053468845E-2</v>
      </c>
      <c r="G264" s="1288"/>
      <c r="H264" s="1288"/>
      <c r="I264" s="1288"/>
      <c r="J264" s="1288"/>
      <c r="K264" s="1288"/>
      <c r="L264" s="1288"/>
      <c r="M264" s="1288"/>
      <c r="N264" s="1288"/>
      <c r="O264" s="1288"/>
      <c r="P264" s="1288"/>
      <c r="Q264" s="1288"/>
      <c r="R264" s="1288"/>
      <c r="S264" s="1288"/>
      <c r="T264" s="1288"/>
      <c r="U264" s="1288"/>
      <c r="V264" s="1288"/>
      <c r="W264" s="1288"/>
      <c r="X264" s="1288"/>
      <c r="Y264" s="1288"/>
      <c r="Z264" s="1288"/>
      <c r="AA264" s="1288"/>
      <c r="AB264" s="1288"/>
      <c r="AC264" s="1288"/>
      <c r="AD264" s="1038"/>
      <c r="AE264" s="1038"/>
      <c r="AF264" s="1038"/>
      <c r="AG264" s="1038"/>
      <c r="AH264" s="1038"/>
      <c r="AI264" s="1038"/>
      <c r="AJ264" s="1038"/>
      <c r="AK264" s="1038"/>
      <c r="AL264" s="1038"/>
      <c r="AM264" s="1038"/>
      <c r="AN264" s="1038"/>
      <c r="AO264" s="1038"/>
      <c r="AP264" s="1038"/>
      <c r="AQ264" s="1038"/>
      <c r="AR264" s="1038"/>
      <c r="AS264" s="1038"/>
      <c r="AT264" s="1038"/>
      <c r="AU264" s="1038"/>
      <c r="AV264" s="1038"/>
      <c r="AW264" s="1038"/>
      <c r="AX264" s="1038"/>
      <c r="AY264" s="1038"/>
      <c r="AZ264" s="1038"/>
      <c r="BA264" s="1038"/>
      <c r="BB264" s="1038"/>
      <c r="BC264" s="1038"/>
      <c r="BD264" s="1038"/>
      <c r="BE264" s="1038"/>
    </row>
    <row r="265" spans="1:57" x14ac:dyDescent="0.25">
      <c r="A265" s="1288"/>
      <c r="B265" s="1429">
        <v>5.32</v>
      </c>
      <c r="C265" s="1697">
        <v>329809742.70631826</v>
      </c>
      <c r="D265" s="1287">
        <v>325007390.47518396</v>
      </c>
      <c r="E265" s="1309">
        <v>2.8137614580023135E-2</v>
      </c>
      <c r="F265" s="1344">
        <v>2.4797174173639924E-2</v>
      </c>
      <c r="G265" s="1288"/>
      <c r="H265" s="1288"/>
      <c r="I265" s="1288"/>
      <c r="J265" s="1288"/>
      <c r="K265" s="1288"/>
      <c r="L265" s="1288"/>
      <c r="M265" s="1288"/>
      <c r="N265" s="1288"/>
      <c r="O265" s="1288"/>
      <c r="P265" s="1288"/>
      <c r="Q265" s="1288"/>
      <c r="R265" s="1288"/>
      <c r="S265" s="1288"/>
      <c r="T265" s="1288"/>
      <c r="U265" s="1288"/>
      <c r="V265" s="1288"/>
      <c r="W265" s="1288"/>
      <c r="X265" s="1288"/>
      <c r="Y265" s="1288"/>
      <c r="Z265" s="1288"/>
      <c r="AA265" s="1288"/>
      <c r="AB265" s="1288"/>
      <c r="AC265" s="1288"/>
      <c r="AD265" s="1038"/>
      <c r="AE265" s="1038"/>
      <c r="AF265" s="1038"/>
      <c r="AG265" s="1038"/>
      <c r="AH265" s="1038"/>
      <c r="AI265" s="1038"/>
      <c r="AJ265" s="1038"/>
      <c r="AK265" s="1038"/>
      <c r="AL265" s="1038"/>
      <c r="AM265" s="1038"/>
      <c r="AN265" s="1038"/>
      <c r="AO265" s="1038"/>
      <c r="AP265" s="1038"/>
      <c r="AQ265" s="1038"/>
      <c r="AR265" s="1038"/>
      <c r="AS265" s="1038"/>
      <c r="AT265" s="1038"/>
      <c r="AU265" s="1038"/>
      <c r="AV265" s="1038"/>
      <c r="AW265" s="1038"/>
      <c r="AX265" s="1038"/>
      <c r="AY265" s="1038"/>
      <c r="AZ265" s="1038"/>
      <c r="BA265" s="1038"/>
      <c r="BB265" s="1038"/>
      <c r="BC265" s="1038"/>
      <c r="BD265" s="1038"/>
      <c r="BE265" s="1038"/>
    </row>
    <row r="266" spans="1:57" x14ac:dyDescent="0.25">
      <c r="A266" s="1288"/>
      <c r="B266" s="1429">
        <v>6.07</v>
      </c>
      <c r="C266" s="1697">
        <v>363698274.95211822</v>
      </c>
      <c r="D266" s="1287">
        <v>360099398.93435419</v>
      </c>
      <c r="E266" s="1309">
        <v>2.8854296868855989E-2</v>
      </c>
      <c r="F266" s="1344">
        <v>2.4694653464152099E-2</v>
      </c>
      <c r="G266" s="1288"/>
      <c r="H266" s="1288"/>
      <c r="I266" s="1288"/>
      <c r="J266" s="1288"/>
      <c r="K266" s="1288"/>
      <c r="L266" s="1288"/>
      <c r="M266" s="1288"/>
      <c r="N266" s="1288"/>
      <c r="O266" s="1288"/>
      <c r="P266" s="1288"/>
      <c r="Q266" s="1288"/>
      <c r="R266" s="1288"/>
      <c r="S266" s="1288"/>
      <c r="T266" s="1288"/>
      <c r="U266" s="1288"/>
      <c r="V266" s="1288"/>
      <c r="W266" s="1288"/>
      <c r="X266" s="1288"/>
      <c r="Y266" s="1288"/>
      <c r="Z266" s="1288"/>
      <c r="AA266" s="1288"/>
      <c r="AB266" s="1288"/>
      <c r="AC266" s="1288"/>
      <c r="AD266" s="1038"/>
      <c r="AE266" s="1038"/>
      <c r="AF266" s="1038"/>
      <c r="AG266" s="1038"/>
      <c r="AH266" s="1038"/>
      <c r="AI266" s="1038"/>
      <c r="AJ266" s="1038"/>
      <c r="AK266" s="1038"/>
      <c r="AL266" s="1038"/>
      <c r="AM266" s="1038"/>
      <c r="AN266" s="1038"/>
      <c r="AO266" s="1038"/>
      <c r="AP266" s="1038"/>
      <c r="AQ266" s="1038"/>
      <c r="AR266" s="1038"/>
      <c r="AS266" s="1038"/>
      <c r="AT266" s="1038"/>
      <c r="AU266" s="1038"/>
      <c r="AV266" s="1038"/>
      <c r="AW266" s="1038"/>
      <c r="AX266" s="1038"/>
      <c r="AY266" s="1038"/>
      <c r="AZ266" s="1038"/>
      <c r="BA266" s="1038"/>
      <c r="BB266" s="1038"/>
      <c r="BC266" s="1038"/>
      <c r="BD266" s="1038"/>
      <c r="BE266" s="1038"/>
    </row>
    <row r="267" spans="1:57" x14ac:dyDescent="0.25">
      <c r="A267" s="1288"/>
      <c r="B267" s="1429">
        <v>6.92</v>
      </c>
      <c r="C267" s="1697">
        <v>406462974.30423987</v>
      </c>
      <c r="D267" s="1287">
        <v>402513834.69650584</v>
      </c>
      <c r="E267" s="1309">
        <v>2.9340485774483328E-2</v>
      </c>
      <c r="F267" s="1344">
        <v>2.4877747063982492E-2</v>
      </c>
      <c r="G267" s="1288"/>
      <c r="H267" s="1288"/>
      <c r="I267" s="1288"/>
      <c r="J267" s="1288"/>
      <c r="K267" s="1288"/>
      <c r="L267" s="1288"/>
      <c r="M267" s="1288"/>
      <c r="N267" s="1288"/>
      <c r="O267" s="1288"/>
      <c r="P267" s="1288"/>
      <c r="Q267" s="1288"/>
      <c r="R267" s="1288"/>
      <c r="S267" s="1288"/>
      <c r="T267" s="1288"/>
      <c r="U267" s="1288"/>
      <c r="V267" s="1288"/>
      <c r="W267" s="1288"/>
      <c r="X267" s="1288"/>
      <c r="Y267" s="1288"/>
      <c r="Z267" s="1288"/>
      <c r="AA267" s="1288"/>
      <c r="AB267" s="1288"/>
      <c r="AC267" s="1288"/>
      <c r="AD267" s="1038"/>
      <c r="AE267" s="1038"/>
      <c r="AF267" s="1038"/>
      <c r="AG267" s="1038"/>
      <c r="AH267" s="1038"/>
      <c r="AI267" s="1038"/>
      <c r="AJ267" s="1038"/>
      <c r="AK267" s="1038"/>
      <c r="AL267" s="1038"/>
      <c r="AM267" s="1038"/>
      <c r="AN267" s="1038"/>
      <c r="AO267" s="1038"/>
      <c r="AP267" s="1038"/>
      <c r="AQ267" s="1038"/>
      <c r="AR267" s="1038"/>
      <c r="AS267" s="1038"/>
      <c r="AT267" s="1038"/>
      <c r="AU267" s="1038"/>
      <c r="AV267" s="1038"/>
      <c r="AW267" s="1038"/>
      <c r="AX267" s="1038"/>
      <c r="AY267" s="1038"/>
      <c r="AZ267" s="1038"/>
      <c r="BA267" s="1038"/>
      <c r="BB267" s="1038"/>
      <c r="BC267" s="1038"/>
      <c r="BD267" s="1038"/>
      <c r="BE267" s="1038"/>
    </row>
    <row r="268" spans="1:57" x14ac:dyDescent="0.25">
      <c r="A268" s="1288"/>
      <c r="B268" s="1429">
        <v>7.89</v>
      </c>
      <c r="C268" s="1697">
        <v>450852304.33460402</v>
      </c>
      <c r="D268" s="1287">
        <v>448744393.51919061</v>
      </c>
      <c r="E268" s="1309">
        <v>2.9512122136720723E-2</v>
      </c>
      <c r="F268" s="1344">
        <v>2.5013237004048072E-2</v>
      </c>
      <c r="G268" s="1288"/>
      <c r="H268" s="1288"/>
      <c r="I268" s="1288"/>
      <c r="J268" s="1288"/>
      <c r="K268" s="1288"/>
      <c r="L268" s="1288"/>
      <c r="M268" s="1288"/>
      <c r="N268" s="1288"/>
      <c r="O268" s="1288"/>
      <c r="P268" s="1288"/>
      <c r="Q268" s="1288"/>
      <c r="R268" s="1288"/>
      <c r="S268" s="1288"/>
      <c r="T268" s="1288"/>
      <c r="U268" s="1288"/>
      <c r="V268" s="1288"/>
      <c r="W268" s="1288"/>
      <c r="X268" s="1288"/>
      <c r="Y268" s="1288"/>
      <c r="Z268" s="1288"/>
      <c r="AA268" s="1288"/>
      <c r="AB268" s="1288"/>
      <c r="AC268" s="1288"/>
      <c r="AD268" s="1038"/>
      <c r="AE268" s="1038"/>
      <c r="AF268" s="1038"/>
      <c r="AG268" s="1038"/>
      <c r="AH268" s="1038"/>
      <c r="AI268" s="1038"/>
      <c r="AJ268" s="1038"/>
      <c r="AK268" s="1038"/>
      <c r="AL268" s="1038"/>
      <c r="AM268" s="1038"/>
      <c r="AN268" s="1038"/>
      <c r="AO268" s="1038"/>
      <c r="AP268" s="1038"/>
      <c r="AQ268" s="1038"/>
      <c r="AR268" s="1038"/>
      <c r="AS268" s="1038"/>
      <c r="AT268" s="1038"/>
      <c r="AU268" s="1038"/>
      <c r="AV268" s="1038"/>
      <c r="AW268" s="1038"/>
      <c r="AX268" s="1038"/>
      <c r="AY268" s="1038"/>
      <c r="AZ268" s="1038"/>
      <c r="BA268" s="1038"/>
      <c r="BB268" s="1038"/>
      <c r="BC268" s="1038"/>
      <c r="BD268" s="1038"/>
      <c r="BE268" s="1038"/>
    </row>
    <row r="269" spans="1:57" ht="13.8" thickBot="1" x14ac:dyDescent="0.3">
      <c r="A269" s="1288"/>
      <c r="B269" s="1432">
        <v>9</v>
      </c>
      <c r="C269" s="1708">
        <v>476324394.82961422</v>
      </c>
      <c r="D269" s="1310">
        <v>474812241.05296791</v>
      </c>
      <c r="E269" s="1311">
        <v>3.0054253945978136E-2</v>
      </c>
      <c r="F269" s="1345">
        <v>2.4788687720501128E-2</v>
      </c>
      <c r="G269" s="1288"/>
      <c r="H269" s="1288"/>
      <c r="I269" s="1288"/>
      <c r="J269" s="1288"/>
      <c r="K269" s="1288"/>
      <c r="L269" s="1288"/>
      <c r="M269" s="1288"/>
      <c r="N269" s="1288"/>
      <c r="O269" s="1288"/>
      <c r="P269" s="1288"/>
      <c r="Q269" s="1288"/>
      <c r="R269" s="1288"/>
      <c r="S269" s="1288"/>
      <c r="T269" s="1288"/>
      <c r="U269" s="1288"/>
      <c r="V269" s="1288"/>
      <c r="W269" s="1288"/>
      <c r="X269" s="1288"/>
      <c r="Y269" s="1288"/>
      <c r="Z269" s="1288"/>
      <c r="AA269" s="1288"/>
      <c r="AB269" s="1288"/>
      <c r="AC269" s="1288"/>
      <c r="AD269" s="1038"/>
      <c r="AE269" s="1038"/>
      <c r="AF269" s="1038"/>
      <c r="AG269" s="1038"/>
      <c r="AH269" s="1038"/>
      <c r="AI269" s="1038"/>
      <c r="AJ269" s="1038"/>
      <c r="AK269" s="1038"/>
      <c r="AL269" s="1038"/>
      <c r="AM269" s="1038"/>
      <c r="AN269" s="1038"/>
      <c r="AO269" s="1038"/>
      <c r="AP269" s="1038"/>
      <c r="AQ269" s="1038"/>
      <c r="AR269" s="1038"/>
      <c r="AS269" s="1038"/>
      <c r="AT269" s="1038"/>
      <c r="AU269" s="1038"/>
      <c r="AV269" s="1038"/>
      <c r="AW269" s="1038"/>
      <c r="AX269" s="1038"/>
      <c r="AY269" s="1038"/>
      <c r="AZ269" s="1038"/>
      <c r="BA269" s="1038"/>
      <c r="BB269" s="1038"/>
      <c r="BC269" s="1038"/>
      <c r="BD269" s="1038"/>
      <c r="BE269" s="1038"/>
    </row>
    <row r="270" spans="1:57" ht="13.8" thickTop="1" x14ac:dyDescent="0.25">
      <c r="A270" s="1288"/>
      <c r="B270" s="1346" t="s">
        <v>1314</v>
      </c>
      <c r="C270" s="1697" t="e">
        <f ca="1">FORECAST($C$55,OFFSET(C247:C269,MATCH($C$55,$B$73:$B$95,1)-1,0,2), OFFSET($B$73:$B$95,MATCH($C$55,$B$73:$B$95,1)-1,0,2))</f>
        <v>#REF!</v>
      </c>
      <c r="D270" s="1287" t="e">
        <f ca="1">FORECAST($C$55,OFFSET(D247:D269,MATCH($C$55,$B$73:$B$95,1)-1,0,2), OFFSET($B$73:$B$95,MATCH($C$55,$B$73:$B$95,1)-1,0,2))</f>
        <v>#REF!</v>
      </c>
      <c r="E270" s="1309" t="e">
        <f ca="1">FORECAST($C$55,OFFSET(E247:E269,MATCH($C$55,$B$73:$B$95,1)-1,0,2), OFFSET($B$73:$B$95,MATCH($C$55,$B$73:$B$95,1)-1,0,2))</f>
        <v>#REF!</v>
      </c>
      <c r="F270" s="1344" t="e">
        <f ca="1">FORECAST($C$55,OFFSET(F247:F269,MATCH($C$55,$B$73:$B$95,1)-1,0,2), OFFSET($B$73:$B$95,MATCH($C$55,$B$73:$B$95,1)-1,0,2))</f>
        <v>#REF!</v>
      </c>
      <c r="G270" s="1288"/>
      <c r="H270" s="1288"/>
      <c r="I270" s="1288"/>
      <c r="J270" s="1288"/>
      <c r="K270" s="1288"/>
      <c r="L270" s="1288"/>
      <c r="M270" s="1288"/>
      <c r="N270" s="1288"/>
      <c r="O270" s="1288"/>
      <c r="P270" s="1288"/>
      <c r="Q270" s="1288"/>
      <c r="R270" s="1288"/>
      <c r="S270" s="1288"/>
      <c r="T270" s="1288"/>
      <c r="U270" s="1288"/>
      <c r="V270" s="1288"/>
      <c r="W270" s="1288"/>
      <c r="X270" s="1288"/>
      <c r="Y270" s="1288"/>
      <c r="Z270" s="1288"/>
      <c r="AA270" s="1288"/>
      <c r="AB270" s="1288"/>
      <c r="AC270" s="1288"/>
      <c r="AD270" s="1038"/>
      <c r="AE270" s="1038"/>
      <c r="AF270" s="1038"/>
      <c r="AG270" s="1038"/>
      <c r="AH270" s="1038"/>
      <c r="AI270" s="1038"/>
      <c r="AJ270" s="1038"/>
      <c r="AK270" s="1038"/>
      <c r="AL270" s="1038"/>
      <c r="AM270" s="1038"/>
      <c r="AN270" s="1038"/>
      <c r="AO270" s="1038"/>
      <c r="AP270" s="1038"/>
      <c r="AQ270" s="1038"/>
      <c r="AR270" s="1038"/>
      <c r="AS270" s="1038"/>
      <c r="AT270" s="1038"/>
      <c r="AU270" s="1038"/>
      <c r="AV270" s="1038"/>
      <c r="AW270" s="1038"/>
      <c r="AX270" s="1038"/>
      <c r="AY270" s="1038"/>
      <c r="AZ270" s="1038"/>
      <c r="BA270" s="1038"/>
      <c r="BB270" s="1038"/>
      <c r="BC270" s="1038"/>
      <c r="BD270" s="1038"/>
      <c r="BE270" s="1038"/>
    </row>
    <row r="271" spans="1:57" x14ac:dyDescent="0.25">
      <c r="A271" s="1288"/>
      <c r="B271" s="1347"/>
      <c r="C271" s="1704"/>
      <c r="D271" s="1409"/>
      <c r="E271" s="1409"/>
      <c r="F271" s="1405"/>
      <c r="G271" s="1288"/>
      <c r="H271" s="1288"/>
      <c r="I271" s="1288"/>
      <c r="J271" s="1288"/>
      <c r="K271" s="1288"/>
      <c r="L271" s="1288"/>
      <c r="M271" s="1288"/>
      <c r="N271" s="1288"/>
      <c r="O271" s="1288"/>
      <c r="P271" s="1288"/>
      <c r="Q271" s="1288"/>
      <c r="R271" s="1288"/>
      <c r="S271" s="1288"/>
      <c r="T271" s="1288"/>
      <c r="U271" s="1288"/>
      <c r="V271" s="1288"/>
      <c r="W271" s="1288"/>
      <c r="X271" s="1288"/>
      <c r="Y271" s="1288"/>
      <c r="Z271" s="1288"/>
      <c r="AA271" s="1288"/>
      <c r="AB271" s="1288"/>
      <c r="AC271" s="1288"/>
      <c r="AD271" s="1038"/>
      <c r="AE271" s="1038"/>
      <c r="AF271" s="1038"/>
      <c r="AG271" s="1038"/>
      <c r="AH271" s="1038"/>
      <c r="AI271" s="1038"/>
      <c r="AJ271" s="1038"/>
      <c r="AK271" s="1038"/>
      <c r="AL271" s="1038"/>
      <c r="AM271" s="1038"/>
      <c r="AN271" s="1038"/>
      <c r="AO271" s="1038"/>
      <c r="AP271" s="1038"/>
      <c r="AQ271" s="1038"/>
      <c r="AR271" s="1038"/>
      <c r="AS271" s="1038"/>
      <c r="AT271" s="1038"/>
      <c r="AU271" s="1038"/>
      <c r="AV271" s="1038"/>
      <c r="AW271" s="1038"/>
      <c r="AX271" s="1038"/>
      <c r="AY271" s="1038"/>
      <c r="AZ271" s="1038"/>
      <c r="BA271" s="1038"/>
      <c r="BB271" s="1038"/>
      <c r="BC271" s="1038"/>
      <c r="BD271" s="1038"/>
      <c r="BE271" s="1038"/>
    </row>
    <row r="272" spans="1:57" x14ac:dyDescent="0.25">
      <c r="A272" s="1288"/>
      <c r="B272" s="1296" t="s">
        <v>1297</v>
      </c>
      <c r="C272" s="1696">
        <f>VLOOKUP(2008,Tbl_PlantCostIndexes,2,FALSE)/VLOOKUP(2011,Tbl_PlantCostIndexes,2,FALSE)</f>
        <v>0.98241420522451761</v>
      </c>
      <c r="D272" s="1409"/>
      <c r="E272" s="1409"/>
      <c r="F272" s="1405"/>
      <c r="G272" s="1288"/>
      <c r="H272" s="1288"/>
      <c r="I272" s="1288"/>
      <c r="J272" s="1288"/>
      <c r="K272" s="1288"/>
      <c r="L272" s="1288"/>
      <c r="M272" s="1288"/>
      <c r="N272" s="1288"/>
      <c r="O272" s="1288"/>
      <c r="P272" s="1288"/>
      <c r="Q272" s="1288"/>
      <c r="R272" s="1288"/>
      <c r="S272" s="1288"/>
      <c r="T272" s="1288"/>
      <c r="U272" s="1288"/>
      <c r="V272" s="1288"/>
      <c r="W272" s="1288"/>
      <c r="X272" s="1288"/>
      <c r="Y272" s="1288"/>
      <c r="Z272" s="1288"/>
      <c r="AA272" s="1288"/>
      <c r="AB272" s="1288"/>
      <c r="AC272" s="1288"/>
      <c r="AD272" s="1038"/>
      <c r="AE272" s="1038"/>
      <c r="AF272" s="1038"/>
      <c r="AG272" s="1038"/>
      <c r="AH272" s="1038"/>
      <c r="AI272" s="1038"/>
      <c r="AJ272" s="1038"/>
      <c r="AK272" s="1038"/>
      <c r="AL272" s="1038"/>
      <c r="AM272" s="1038"/>
      <c r="AN272" s="1038"/>
      <c r="AO272" s="1038"/>
      <c r="AP272" s="1038"/>
      <c r="AQ272" s="1038"/>
      <c r="AR272" s="1038"/>
      <c r="AS272" s="1038"/>
      <c r="AT272" s="1038"/>
      <c r="AU272" s="1038"/>
      <c r="AV272" s="1038"/>
      <c r="AW272" s="1038"/>
      <c r="AX272" s="1038"/>
      <c r="AY272" s="1038"/>
      <c r="AZ272" s="1038"/>
      <c r="BA272" s="1038"/>
      <c r="BB272" s="1038"/>
      <c r="BC272" s="1038"/>
      <c r="BD272" s="1038"/>
      <c r="BE272" s="1038"/>
    </row>
    <row r="273" spans="1:57" x14ac:dyDescent="0.25">
      <c r="A273" s="1288"/>
      <c r="B273" s="1296" t="s">
        <v>1298</v>
      </c>
      <c r="C273" s="1696">
        <f>VLOOKUP(2011,DeflatorTable,2,FALSE)/VLOOKUP(2008,DeflatorTable,2,FALSE)</f>
        <v>1.0395933172707774</v>
      </c>
      <c r="D273" s="1409"/>
      <c r="E273" s="1409"/>
      <c r="F273" s="1405"/>
      <c r="G273" s="1288"/>
      <c r="H273" s="1288"/>
      <c r="I273" s="1288"/>
      <c r="J273" s="1288"/>
      <c r="K273" s="1288"/>
      <c r="L273" s="1288"/>
      <c r="M273" s="1288"/>
      <c r="N273" s="1288"/>
      <c r="O273" s="1288"/>
      <c r="P273" s="1288"/>
      <c r="Q273" s="1288"/>
      <c r="R273" s="1288"/>
      <c r="S273" s="1288"/>
      <c r="T273" s="1288"/>
      <c r="U273" s="1288"/>
      <c r="V273" s="1288"/>
      <c r="W273" s="1288"/>
      <c r="X273" s="1288"/>
      <c r="Y273" s="1288"/>
      <c r="Z273" s="1288"/>
      <c r="AA273" s="1288"/>
      <c r="AB273" s="1288"/>
      <c r="AC273" s="1288"/>
      <c r="AD273" s="1038"/>
      <c r="AE273" s="1038"/>
      <c r="AF273" s="1038"/>
      <c r="AG273" s="1038"/>
      <c r="AH273" s="1038"/>
      <c r="AI273" s="1038"/>
      <c r="AJ273" s="1038"/>
      <c r="AK273" s="1038"/>
      <c r="AL273" s="1038"/>
      <c r="AM273" s="1038"/>
      <c r="AN273" s="1038"/>
      <c r="AO273" s="1038"/>
      <c r="AP273" s="1038"/>
      <c r="AQ273" s="1038"/>
      <c r="AR273" s="1038"/>
      <c r="AS273" s="1038"/>
      <c r="AT273" s="1038"/>
      <c r="AU273" s="1038"/>
      <c r="AV273" s="1038"/>
      <c r="AW273" s="1038"/>
      <c r="AX273" s="1038"/>
      <c r="AY273" s="1038"/>
      <c r="AZ273" s="1038"/>
      <c r="BA273" s="1038"/>
      <c r="BB273" s="1038"/>
      <c r="BC273" s="1038"/>
      <c r="BD273" s="1038"/>
      <c r="BE273" s="1038"/>
    </row>
    <row r="274" spans="1:57" x14ac:dyDescent="0.25">
      <c r="A274" s="1288"/>
      <c r="B274" s="1348"/>
      <c r="C274" s="1709"/>
      <c r="D274" s="1409"/>
      <c r="E274" s="1409"/>
      <c r="F274" s="1405"/>
      <c r="G274" s="1288"/>
      <c r="H274" s="1288"/>
      <c r="I274" s="1288"/>
      <c r="J274" s="1288"/>
      <c r="K274" s="1288"/>
      <c r="L274" s="1288"/>
      <c r="M274" s="1288"/>
      <c r="N274" s="1288"/>
      <c r="O274" s="1288"/>
      <c r="P274" s="1288"/>
      <c r="Q274" s="1288"/>
      <c r="R274" s="1288"/>
      <c r="S274" s="1288"/>
      <c r="T274" s="1288"/>
      <c r="U274" s="1288"/>
      <c r="V274" s="1288"/>
      <c r="W274" s="1288"/>
      <c r="X274" s="1288"/>
      <c r="Y274" s="1288"/>
      <c r="Z274" s="1288"/>
      <c r="AA274" s="1288"/>
      <c r="AB274" s="1288"/>
      <c r="AC274" s="1288"/>
      <c r="AD274" s="1038"/>
      <c r="AE274" s="1038"/>
      <c r="AF274" s="1038"/>
      <c r="AG274" s="1038"/>
      <c r="AH274" s="1038"/>
      <c r="AI274" s="1038"/>
      <c r="AJ274" s="1038"/>
      <c r="AK274" s="1038"/>
      <c r="AL274" s="1038"/>
      <c r="AM274" s="1038"/>
      <c r="AN274" s="1038"/>
      <c r="AO274" s="1038"/>
      <c r="AP274" s="1038"/>
      <c r="AQ274" s="1038"/>
      <c r="AR274" s="1038"/>
      <c r="AS274" s="1038"/>
      <c r="AT274" s="1038"/>
      <c r="AU274" s="1038"/>
      <c r="AV274" s="1038"/>
      <c r="AW274" s="1038"/>
      <c r="AX274" s="1038"/>
      <c r="AY274" s="1038"/>
      <c r="AZ274" s="1038"/>
      <c r="BA274" s="1038"/>
      <c r="BB274" s="1038"/>
      <c r="BC274" s="1038"/>
      <c r="BD274" s="1038"/>
      <c r="BE274" s="1038"/>
    </row>
    <row r="275" spans="1:57" ht="13.8" thickBot="1" x14ac:dyDescent="0.3">
      <c r="A275" s="1288"/>
      <c r="B275" s="1349" t="s">
        <v>1315</v>
      </c>
      <c r="C275" s="1707" t="e">
        <f ca="1">+C270*$C$272*$C$273</f>
        <v>#REF!</v>
      </c>
      <c r="D275" s="1342" t="e">
        <f ca="1">+D270*$C$272*$C$273</f>
        <v>#REF!</v>
      </c>
      <c r="E275" s="1427"/>
      <c r="F275" s="1408"/>
      <c r="G275" s="1288"/>
      <c r="H275" s="1288"/>
      <c r="I275" s="1288"/>
      <c r="J275" s="1288"/>
      <c r="K275" s="1288"/>
      <c r="L275" s="1288"/>
      <c r="M275" s="1288"/>
      <c r="N275" s="1288"/>
      <c r="O275" s="1288"/>
      <c r="P275" s="1288"/>
      <c r="Q275" s="1288"/>
      <c r="R275" s="1288"/>
      <c r="S275" s="1288"/>
      <c r="T275" s="1288"/>
      <c r="U275" s="1288"/>
      <c r="V275" s="1288"/>
      <c r="W275" s="1288"/>
      <c r="X275" s="1288"/>
      <c r="Y275" s="1288"/>
      <c r="Z275" s="1288"/>
      <c r="AA275" s="1288"/>
      <c r="AB275" s="1288"/>
      <c r="AC275" s="1288"/>
      <c r="AD275" s="1038"/>
      <c r="AE275" s="1038"/>
      <c r="AF275" s="1038"/>
      <c r="AG275" s="1038"/>
      <c r="AH275" s="1038"/>
      <c r="AI275" s="1038"/>
      <c r="AJ275" s="1038"/>
      <c r="AK275" s="1038"/>
      <c r="AL275" s="1038"/>
      <c r="AM275" s="1038"/>
      <c r="AN275" s="1038"/>
      <c r="AO275" s="1038"/>
      <c r="AP275" s="1038"/>
      <c r="AQ275" s="1038"/>
      <c r="AR275" s="1038"/>
      <c r="AS275" s="1038"/>
      <c r="AT275" s="1038"/>
      <c r="AU275" s="1038"/>
      <c r="AV275" s="1038"/>
      <c r="AW275" s="1038"/>
      <c r="AX275" s="1038"/>
      <c r="AY275" s="1038"/>
      <c r="AZ275" s="1038"/>
      <c r="BA275" s="1038"/>
      <c r="BB275" s="1038"/>
      <c r="BC275" s="1038"/>
      <c r="BD275" s="1038"/>
      <c r="BE275" s="1038"/>
    </row>
    <row r="276" spans="1:57" x14ac:dyDescent="0.25">
      <c r="A276" s="1288"/>
      <c r="B276" s="1288"/>
      <c r="C276" s="1687"/>
      <c r="D276" s="1288"/>
      <c r="E276" s="1288"/>
      <c r="F276" s="1288"/>
      <c r="G276" s="1288"/>
      <c r="H276" s="1288"/>
      <c r="I276" s="1288"/>
      <c r="J276" s="1288"/>
      <c r="K276" s="1288"/>
      <c r="L276" s="1288"/>
      <c r="M276" s="1288"/>
      <c r="N276" s="1288"/>
      <c r="O276" s="1288"/>
      <c r="P276" s="1288"/>
      <c r="Q276" s="1288"/>
      <c r="R276" s="1288"/>
      <c r="S276" s="1288"/>
      <c r="T276" s="1288"/>
      <c r="U276" s="1288"/>
      <c r="V276" s="1288"/>
      <c r="W276" s="1288"/>
      <c r="X276" s="1288"/>
      <c r="Y276" s="1288"/>
      <c r="Z276" s="1288"/>
      <c r="AA276" s="1288"/>
      <c r="AB276" s="1288"/>
      <c r="AC276" s="1288"/>
      <c r="AD276" s="1038"/>
      <c r="AE276" s="1038"/>
      <c r="AF276" s="1038"/>
      <c r="AG276" s="1038"/>
      <c r="AH276" s="1038"/>
      <c r="AI276" s="1038"/>
      <c r="AJ276" s="1038"/>
      <c r="AK276" s="1038"/>
      <c r="AL276" s="1038"/>
      <c r="AM276" s="1038"/>
      <c r="AN276" s="1038"/>
      <c r="AO276" s="1038"/>
      <c r="AP276" s="1038"/>
      <c r="AQ276" s="1038"/>
      <c r="AR276" s="1038"/>
      <c r="AS276" s="1038"/>
      <c r="AT276" s="1038"/>
      <c r="AU276" s="1038"/>
      <c r="AV276" s="1038"/>
      <c r="AW276" s="1038"/>
      <c r="AX276" s="1038"/>
      <c r="AY276" s="1038"/>
      <c r="AZ276" s="1038"/>
      <c r="BA276" s="1038"/>
      <c r="BB276" s="1038"/>
      <c r="BC276" s="1038"/>
      <c r="BD276" s="1038"/>
      <c r="BE276" s="1038"/>
    </row>
    <row r="277" spans="1:57" x14ac:dyDescent="0.25">
      <c r="A277" s="1288"/>
      <c r="B277" s="1288"/>
      <c r="C277" s="1687"/>
      <c r="D277" s="1288"/>
      <c r="E277" s="1288"/>
      <c r="F277" s="1288"/>
      <c r="G277" s="1288"/>
      <c r="H277" s="1288"/>
      <c r="I277" s="1288"/>
      <c r="J277" s="1288"/>
      <c r="K277" s="1288"/>
      <c r="L277" s="1409"/>
      <c r="M277" s="1409"/>
      <c r="N277" s="1288"/>
      <c r="O277" s="1288"/>
      <c r="P277" s="1288"/>
      <c r="Q277" s="1288"/>
      <c r="R277" s="1288"/>
      <c r="S277" s="1288"/>
      <c r="T277" s="1288"/>
      <c r="U277" s="1288"/>
      <c r="V277" s="1288"/>
      <c r="W277" s="1288"/>
      <c r="X277" s="1288"/>
      <c r="Y277" s="1288"/>
      <c r="Z277" s="1288"/>
      <c r="AA277" s="1288"/>
      <c r="AB277" s="1288"/>
      <c r="AC277" s="1288"/>
      <c r="AD277" s="1038"/>
      <c r="AE277" s="1038"/>
      <c r="AF277" s="1038"/>
      <c r="AG277" s="1038"/>
      <c r="AH277" s="1038"/>
      <c r="AI277" s="1038"/>
      <c r="AJ277" s="1038"/>
      <c r="AK277" s="1038"/>
      <c r="AL277" s="1038"/>
      <c r="AM277" s="1038"/>
      <c r="AN277" s="1038"/>
      <c r="AO277" s="1038"/>
      <c r="AP277" s="1038"/>
      <c r="AQ277" s="1038"/>
      <c r="AR277" s="1038"/>
      <c r="AS277" s="1038"/>
      <c r="AT277" s="1038"/>
      <c r="AU277" s="1038"/>
      <c r="AV277" s="1038"/>
      <c r="AW277" s="1038"/>
      <c r="AX277" s="1038"/>
      <c r="AY277" s="1038"/>
      <c r="AZ277" s="1038"/>
      <c r="BA277" s="1038"/>
      <c r="BB277" s="1038"/>
      <c r="BC277" s="1038"/>
      <c r="BD277" s="1038"/>
      <c r="BE277" s="1038"/>
    </row>
    <row r="278" spans="1:57" x14ac:dyDescent="0.25">
      <c r="A278" s="1288"/>
      <c r="B278" s="1288"/>
      <c r="C278" s="1687"/>
      <c r="D278" s="1288"/>
      <c r="E278" s="1288"/>
      <c r="F278" s="1288"/>
      <c r="G278" s="1288"/>
      <c r="H278" s="1288"/>
      <c r="I278" s="1288"/>
      <c r="J278" s="1288"/>
      <c r="K278" s="1288"/>
      <c r="L278" s="1409"/>
      <c r="M278" s="1409"/>
      <c r="N278" s="1288"/>
      <c r="O278" s="1288"/>
      <c r="P278" s="1288"/>
      <c r="Q278" s="1288"/>
      <c r="R278" s="1288"/>
      <c r="S278" s="1288"/>
      <c r="T278" s="1288"/>
      <c r="U278" s="1288"/>
      <c r="V278" s="1288"/>
      <c r="W278" s="1288"/>
      <c r="X278" s="1288"/>
      <c r="Y278" s="1288"/>
      <c r="Z278" s="1288"/>
      <c r="AA278" s="1288"/>
      <c r="AB278" s="1288"/>
      <c r="AC278" s="1288"/>
      <c r="AD278" s="1038"/>
      <c r="AE278" s="1038"/>
      <c r="AF278" s="1038"/>
      <c r="AG278" s="1038"/>
      <c r="AH278" s="1038"/>
      <c r="AI278" s="1038"/>
      <c r="AJ278" s="1038"/>
      <c r="AK278" s="1038"/>
      <c r="AL278" s="1038"/>
      <c r="AM278" s="1038"/>
      <c r="AN278" s="1038"/>
      <c r="AO278" s="1038"/>
      <c r="AP278" s="1038"/>
      <c r="AQ278" s="1038"/>
      <c r="AR278" s="1038"/>
      <c r="AS278" s="1038"/>
      <c r="AT278" s="1038"/>
      <c r="AU278" s="1038"/>
      <c r="AV278" s="1038"/>
      <c r="AW278" s="1038"/>
      <c r="AX278" s="1038"/>
      <c r="AY278" s="1038"/>
      <c r="AZ278" s="1038"/>
      <c r="BA278" s="1038"/>
      <c r="BB278" s="1038"/>
      <c r="BC278" s="1038"/>
      <c r="BD278" s="1038"/>
      <c r="BE278" s="1038"/>
    </row>
    <row r="279" spans="1:57" x14ac:dyDescent="0.25">
      <c r="A279" s="1288"/>
      <c r="B279" s="1288"/>
      <c r="C279" s="1687"/>
      <c r="D279" s="1288"/>
      <c r="E279" s="1288"/>
      <c r="F279" s="1288"/>
      <c r="G279" s="1288"/>
      <c r="H279" s="1288"/>
      <c r="I279" s="1288"/>
      <c r="J279" s="1288"/>
      <c r="K279" s="1288"/>
      <c r="L279" s="1409"/>
      <c r="M279" s="1409"/>
      <c r="N279" s="1288"/>
      <c r="O279" s="1288"/>
      <c r="P279" s="1288"/>
      <c r="Q279" s="1288"/>
      <c r="R279" s="1288"/>
      <c r="S279" s="1288"/>
      <c r="T279" s="1288"/>
      <c r="U279" s="1288"/>
      <c r="V279" s="1288"/>
      <c r="W279" s="1288"/>
      <c r="X279" s="1288"/>
      <c r="Y279" s="1288"/>
      <c r="Z279" s="1288"/>
      <c r="AA279" s="1288"/>
      <c r="AB279" s="1288"/>
      <c r="AC279" s="1288"/>
      <c r="AD279" s="1038"/>
      <c r="AE279" s="1038"/>
      <c r="AF279" s="1038"/>
      <c r="AG279" s="1038"/>
      <c r="AH279" s="1038"/>
      <c r="AI279" s="1038"/>
      <c r="AJ279" s="1038"/>
      <c r="AK279" s="1038"/>
      <c r="AL279" s="1038"/>
      <c r="AM279" s="1038"/>
      <c r="AN279" s="1038"/>
      <c r="AO279" s="1038"/>
      <c r="AP279" s="1038"/>
      <c r="AQ279" s="1038"/>
      <c r="AR279" s="1038"/>
      <c r="AS279" s="1038"/>
      <c r="AT279" s="1038"/>
      <c r="AU279" s="1038"/>
      <c r="AV279" s="1038"/>
      <c r="AW279" s="1038"/>
      <c r="AX279" s="1038"/>
      <c r="AY279" s="1038"/>
      <c r="AZ279" s="1038"/>
      <c r="BA279" s="1038"/>
      <c r="BB279" s="1038"/>
      <c r="BC279" s="1038"/>
      <c r="BD279" s="1038"/>
      <c r="BE279" s="1038"/>
    </row>
    <row r="280" spans="1:57" x14ac:dyDescent="0.25">
      <c r="A280" s="1288"/>
      <c r="B280" s="1288"/>
      <c r="C280" s="1687"/>
      <c r="D280" s="1288"/>
      <c r="E280" s="1288"/>
      <c r="F280" s="1288"/>
      <c r="G280" s="1288"/>
      <c r="H280" s="1288"/>
      <c r="I280" s="1288"/>
      <c r="J280" s="1288"/>
      <c r="K280" s="1288"/>
      <c r="L280" s="1410"/>
      <c r="M280" s="1288"/>
      <c r="N280" s="1288"/>
      <c r="O280" s="1288"/>
      <c r="P280" s="1288"/>
      <c r="Q280" s="1288"/>
      <c r="R280" s="1288"/>
      <c r="S280" s="1288"/>
      <c r="T280" s="1288"/>
      <c r="U280" s="1288"/>
      <c r="V280" s="1288"/>
      <c r="W280" s="1288"/>
      <c r="X280" s="1288"/>
      <c r="Y280" s="1288"/>
      <c r="Z280" s="1288"/>
      <c r="AA280" s="1288"/>
      <c r="AB280" s="1288"/>
      <c r="AC280" s="1288"/>
      <c r="AD280" s="1038"/>
      <c r="AE280" s="1038"/>
      <c r="AF280" s="1038"/>
      <c r="AG280" s="1038"/>
      <c r="AH280" s="1038"/>
      <c r="AI280" s="1038"/>
      <c r="AJ280" s="1038"/>
      <c r="AK280" s="1038"/>
      <c r="AL280" s="1038"/>
      <c r="AM280" s="1038"/>
      <c r="AN280" s="1038"/>
      <c r="AO280" s="1038"/>
      <c r="AP280" s="1038"/>
      <c r="AQ280" s="1038"/>
      <c r="AR280" s="1038"/>
      <c r="AS280" s="1038"/>
      <c r="AT280" s="1038"/>
      <c r="AU280" s="1038"/>
      <c r="AV280" s="1038"/>
      <c r="AW280" s="1038"/>
      <c r="AX280" s="1038"/>
      <c r="AY280" s="1038"/>
      <c r="AZ280" s="1038"/>
      <c r="BA280" s="1038"/>
      <c r="BB280" s="1038"/>
      <c r="BC280" s="1038"/>
      <c r="BD280" s="1038"/>
      <c r="BE280" s="1038"/>
    </row>
    <row r="281" spans="1:57" x14ac:dyDescent="0.25">
      <c r="A281" s="1288"/>
      <c r="B281" s="1288"/>
      <c r="C281" s="1687"/>
      <c r="D281" s="1288"/>
      <c r="E281" s="1288"/>
      <c r="F281" s="1288"/>
      <c r="G281" s="1288"/>
      <c r="H281" s="1288"/>
      <c r="I281" s="1288"/>
      <c r="J281" s="1288"/>
      <c r="K281" s="1288"/>
      <c r="L281" s="1410"/>
      <c r="M281" s="1288"/>
      <c r="N281" s="1288"/>
      <c r="O281" s="1288"/>
      <c r="P281" s="1288"/>
      <c r="Q281" s="1288"/>
      <c r="R281" s="1288"/>
      <c r="S281" s="1288"/>
      <c r="T281" s="1288"/>
      <c r="U281" s="1288"/>
      <c r="V281" s="1288"/>
      <c r="W281" s="1288"/>
      <c r="X281" s="1288"/>
      <c r="Y281" s="1288"/>
      <c r="Z281" s="1288"/>
      <c r="AA281" s="1288"/>
      <c r="AB281" s="1288"/>
      <c r="AC281" s="1288"/>
      <c r="AD281" s="1038"/>
      <c r="AE281" s="1038"/>
      <c r="AF281" s="1038"/>
      <c r="AG281" s="1038"/>
      <c r="AH281" s="1038"/>
      <c r="AI281" s="1038"/>
      <c r="AJ281" s="1038"/>
      <c r="AK281" s="1038"/>
      <c r="AL281" s="1038"/>
      <c r="AM281" s="1038"/>
      <c r="AN281" s="1038"/>
      <c r="AO281" s="1038"/>
      <c r="AP281" s="1038"/>
      <c r="AQ281" s="1038"/>
      <c r="AR281" s="1038"/>
      <c r="AS281" s="1038"/>
      <c r="AT281" s="1038"/>
      <c r="AU281" s="1038"/>
      <c r="AV281" s="1038"/>
      <c r="AW281" s="1038"/>
      <c r="AX281" s="1038"/>
      <c r="AY281" s="1038"/>
      <c r="AZ281" s="1038"/>
      <c r="BA281" s="1038"/>
      <c r="BB281" s="1038"/>
      <c r="BC281" s="1038"/>
      <c r="BD281" s="1038"/>
      <c r="BE281" s="1038"/>
    </row>
    <row r="282" spans="1:57" x14ac:dyDescent="0.25">
      <c r="A282" s="1288"/>
      <c r="B282" s="1288"/>
      <c r="C282" s="1687"/>
      <c r="D282" s="1288"/>
      <c r="E282" s="1288"/>
      <c r="F282" s="1288"/>
      <c r="G282" s="1288"/>
      <c r="H282" s="1288"/>
      <c r="I282" s="1288"/>
      <c r="J282" s="1288"/>
      <c r="K282" s="1288"/>
      <c r="L282" s="1410"/>
      <c r="M282" s="1288"/>
      <c r="N282" s="1288"/>
      <c r="O282" s="1288"/>
      <c r="P282" s="1288"/>
      <c r="Q282" s="1288"/>
      <c r="R282" s="1288"/>
      <c r="S282" s="1288"/>
      <c r="T282" s="1288"/>
      <c r="U282" s="1288"/>
      <c r="V282" s="1288"/>
      <c r="W282" s="1288"/>
      <c r="X282" s="1288"/>
      <c r="Y282" s="1288"/>
      <c r="Z282" s="1288"/>
      <c r="AA282" s="1288"/>
      <c r="AB282" s="1288"/>
      <c r="AC282" s="1288"/>
      <c r="AD282" s="1038"/>
      <c r="AE282" s="1038"/>
      <c r="AF282" s="1038"/>
      <c r="AG282" s="1038"/>
      <c r="AH282" s="1038"/>
      <c r="AI282" s="1038"/>
      <c r="AJ282" s="1038"/>
      <c r="AK282" s="1038"/>
      <c r="AL282" s="1038"/>
      <c r="AM282" s="1038"/>
      <c r="AN282" s="1038"/>
      <c r="AO282" s="1038"/>
      <c r="AP282" s="1038"/>
      <c r="AQ282" s="1038"/>
      <c r="AR282" s="1038"/>
      <c r="AS282" s="1038"/>
      <c r="AT282" s="1038"/>
      <c r="AU282" s="1038"/>
      <c r="AV282" s="1038"/>
      <c r="AW282" s="1038"/>
      <c r="AX282" s="1038"/>
      <c r="AY282" s="1038"/>
      <c r="AZ282" s="1038"/>
      <c r="BA282" s="1038"/>
      <c r="BB282" s="1038"/>
      <c r="BC282" s="1038"/>
      <c r="BD282" s="1038"/>
      <c r="BE282" s="1038"/>
    </row>
    <row r="283" spans="1:57" x14ac:dyDescent="0.25">
      <c r="A283" s="1288"/>
      <c r="B283" s="1288"/>
      <c r="C283" s="1687"/>
      <c r="D283" s="1288"/>
      <c r="E283" s="1288"/>
      <c r="F283" s="1288"/>
      <c r="G283" s="1288"/>
      <c r="H283" s="1288"/>
      <c r="I283" s="1288"/>
      <c r="J283" s="1288"/>
      <c r="K283" s="1288"/>
      <c r="L283" s="1410"/>
      <c r="M283" s="1288"/>
      <c r="N283" s="1288"/>
      <c r="O283" s="1288"/>
      <c r="P283" s="1288"/>
      <c r="Q283" s="1288"/>
      <c r="R283" s="1288"/>
      <c r="S283" s="1288"/>
      <c r="T283" s="1288"/>
      <c r="U283" s="1288"/>
      <c r="V283" s="1288"/>
      <c r="W283" s="1288"/>
      <c r="X283" s="1288"/>
      <c r="Y283" s="1288"/>
      <c r="Z283" s="1288"/>
      <c r="AA283" s="1288"/>
      <c r="AB283" s="1288"/>
      <c r="AC283" s="1288"/>
      <c r="AD283" s="1038"/>
      <c r="AE283" s="1038"/>
      <c r="AF283" s="1038"/>
      <c r="AG283" s="1038"/>
      <c r="AH283" s="1038"/>
      <c r="AI283" s="1038"/>
      <c r="AJ283" s="1038"/>
      <c r="AK283" s="1038"/>
      <c r="AL283" s="1038"/>
      <c r="AM283" s="1038"/>
      <c r="AN283" s="1038"/>
      <c r="AO283" s="1038"/>
      <c r="AP283" s="1038"/>
      <c r="AQ283" s="1038"/>
      <c r="AR283" s="1038"/>
      <c r="AS283" s="1038"/>
      <c r="AT283" s="1038"/>
      <c r="AU283" s="1038"/>
      <c r="AV283" s="1038"/>
      <c r="AW283" s="1038"/>
      <c r="AX283" s="1038"/>
      <c r="AY283" s="1038"/>
      <c r="AZ283" s="1038"/>
      <c r="BA283" s="1038"/>
      <c r="BB283" s="1038"/>
      <c r="BC283" s="1038"/>
      <c r="BD283" s="1038"/>
      <c r="BE283" s="1038"/>
    </row>
    <row r="284" spans="1:57" x14ac:dyDescent="0.25">
      <c r="A284" s="1288"/>
      <c r="B284" s="1288"/>
      <c r="C284" s="1687"/>
      <c r="D284" s="1288"/>
      <c r="E284" s="1288"/>
      <c r="F284" s="1288"/>
      <c r="G284" s="1288"/>
      <c r="H284" s="1288"/>
      <c r="I284" s="1288"/>
      <c r="J284" s="1288"/>
      <c r="K284" s="1288"/>
      <c r="L284" s="1410"/>
      <c r="M284" s="1288"/>
      <c r="N284" s="1288"/>
      <c r="O284" s="1288"/>
      <c r="P284" s="1288"/>
      <c r="Q284" s="1288"/>
      <c r="R284" s="1288"/>
      <c r="S284" s="1288"/>
      <c r="T284" s="1288"/>
      <c r="U284" s="1288"/>
      <c r="V284" s="1288"/>
      <c r="W284" s="1288"/>
      <c r="X284" s="1288"/>
      <c r="Y284" s="1288"/>
      <c r="Z284" s="1288"/>
      <c r="AA284" s="1288"/>
      <c r="AB284" s="1288"/>
      <c r="AC284" s="1288"/>
      <c r="AD284" s="1038"/>
      <c r="AE284" s="1038"/>
      <c r="AF284" s="1038"/>
      <c r="AG284" s="1038"/>
      <c r="AH284" s="1038"/>
      <c r="AI284" s="1038"/>
      <c r="AJ284" s="1038"/>
      <c r="AK284" s="1038"/>
      <c r="AL284" s="1038"/>
      <c r="AM284" s="1038"/>
      <c r="AN284" s="1038"/>
      <c r="AO284" s="1038"/>
      <c r="AP284" s="1038"/>
      <c r="AQ284" s="1038"/>
      <c r="AR284" s="1038"/>
      <c r="AS284" s="1038"/>
      <c r="AT284" s="1038"/>
      <c r="AU284" s="1038"/>
      <c r="AV284" s="1038"/>
      <c r="AW284" s="1038"/>
      <c r="AX284" s="1038"/>
      <c r="AY284" s="1038"/>
      <c r="AZ284" s="1038"/>
      <c r="BA284" s="1038"/>
      <c r="BB284" s="1038"/>
      <c r="BC284" s="1038"/>
      <c r="BD284" s="1038"/>
      <c r="BE284" s="1038"/>
    </row>
    <row r="285" spans="1:57" x14ac:dyDescent="0.25">
      <c r="A285" s="1288"/>
      <c r="B285" s="1288"/>
      <c r="C285" s="1687"/>
      <c r="D285" s="1288"/>
      <c r="E285" s="1288"/>
      <c r="F285" s="1288"/>
      <c r="G285" s="1288"/>
      <c r="H285" s="1288"/>
      <c r="I285" s="1288"/>
      <c r="J285" s="1288"/>
      <c r="K285" s="1288"/>
      <c r="L285" s="1410"/>
      <c r="M285" s="1288"/>
      <c r="N285" s="1288"/>
      <c r="O285" s="1288"/>
      <c r="P285" s="1288"/>
      <c r="Q285" s="1288"/>
      <c r="R285" s="1288"/>
      <c r="S285" s="1288"/>
      <c r="T285" s="1288"/>
      <c r="U285" s="1288"/>
      <c r="V285" s="1288"/>
      <c r="W285" s="1288"/>
      <c r="X285" s="1288"/>
      <c r="Y285" s="1288"/>
      <c r="Z285" s="1288"/>
      <c r="AA285" s="1288"/>
      <c r="AB285" s="1288"/>
      <c r="AC285" s="1288"/>
      <c r="AD285" s="1038"/>
      <c r="AE285" s="1038"/>
      <c r="AF285" s="1038"/>
      <c r="AG285" s="1038"/>
      <c r="AH285" s="1038"/>
      <c r="AI285" s="1038"/>
      <c r="AJ285" s="1038"/>
      <c r="AK285" s="1038"/>
      <c r="AL285" s="1038"/>
      <c r="AM285" s="1038"/>
      <c r="AN285" s="1038"/>
      <c r="AO285" s="1038"/>
      <c r="AP285" s="1038"/>
      <c r="AQ285" s="1038"/>
      <c r="AR285" s="1038"/>
      <c r="AS285" s="1038"/>
      <c r="AT285" s="1038"/>
      <c r="AU285" s="1038"/>
      <c r="AV285" s="1038"/>
      <c r="AW285" s="1038"/>
      <c r="AX285" s="1038"/>
      <c r="AY285" s="1038"/>
      <c r="AZ285" s="1038"/>
      <c r="BA285" s="1038"/>
      <c r="BB285" s="1038"/>
      <c r="BC285" s="1038"/>
      <c r="BD285" s="1038"/>
      <c r="BE285" s="1038"/>
    </row>
    <row r="286" spans="1:57" x14ac:dyDescent="0.25">
      <c r="A286" s="1288"/>
      <c r="B286" s="1288"/>
      <c r="C286" s="1687"/>
      <c r="D286" s="1288"/>
      <c r="E286" s="1288"/>
      <c r="F286" s="1288"/>
      <c r="G286" s="1288"/>
      <c r="H286" s="1288"/>
      <c r="I286" s="1288"/>
      <c r="J286" s="1288"/>
      <c r="K286" s="1288"/>
      <c r="L286" s="1410"/>
      <c r="M286" s="1288"/>
      <c r="N286" s="1288"/>
      <c r="O286" s="1288"/>
      <c r="P286" s="1288"/>
      <c r="Q286" s="1288"/>
      <c r="R286" s="1288"/>
      <c r="S286" s="1288"/>
      <c r="T286" s="1288"/>
      <c r="U286" s="1288"/>
      <c r="V286" s="1288"/>
      <c r="W286" s="1288"/>
      <c r="X286" s="1288"/>
      <c r="Y286" s="1288"/>
      <c r="Z286" s="1288"/>
      <c r="AA286" s="1288"/>
      <c r="AB286" s="1288"/>
      <c r="AC286" s="1288"/>
      <c r="AD286" s="1038"/>
      <c r="AE286" s="1038"/>
      <c r="AF286" s="1038"/>
      <c r="AG286" s="1038"/>
      <c r="AH286" s="1038"/>
      <c r="AI286" s="1038"/>
      <c r="AJ286" s="1038"/>
      <c r="AK286" s="1038"/>
      <c r="AL286" s="1038"/>
      <c r="AM286" s="1038"/>
      <c r="AN286" s="1038"/>
      <c r="AO286" s="1038"/>
      <c r="AP286" s="1038"/>
      <c r="AQ286" s="1038"/>
      <c r="AR286" s="1038"/>
      <c r="AS286" s="1038"/>
      <c r="AT286" s="1038"/>
      <c r="AU286" s="1038"/>
      <c r="AV286" s="1038"/>
      <c r="AW286" s="1038"/>
      <c r="AX286" s="1038"/>
      <c r="AY286" s="1038"/>
      <c r="AZ286" s="1038"/>
      <c r="BA286" s="1038"/>
      <c r="BB286" s="1038"/>
      <c r="BC286" s="1038"/>
      <c r="BD286" s="1038"/>
      <c r="BE286" s="1038"/>
    </row>
    <row r="287" spans="1:57" x14ac:dyDescent="0.25">
      <c r="A287" s="1288"/>
      <c r="B287" s="1288"/>
      <c r="C287" s="1687"/>
      <c r="D287" s="1288"/>
      <c r="E287" s="1288"/>
      <c r="F287" s="1288"/>
      <c r="G287" s="1288"/>
      <c r="H287" s="1288"/>
      <c r="I287" s="1288"/>
      <c r="J287" s="1288"/>
      <c r="K287" s="1288"/>
      <c r="L287" s="1410"/>
      <c r="M287" s="1288"/>
      <c r="N287" s="1288"/>
      <c r="O287" s="1288"/>
      <c r="P287" s="1288"/>
      <c r="Q287" s="1288"/>
      <c r="R287" s="1288"/>
      <c r="S287" s="1288"/>
      <c r="T287" s="1288"/>
      <c r="U287" s="1288"/>
      <c r="V287" s="1288"/>
      <c r="W287" s="1288"/>
      <c r="X287" s="1288"/>
      <c r="Y287" s="1288"/>
      <c r="Z287" s="1288"/>
      <c r="AA287" s="1288"/>
      <c r="AB287" s="1288"/>
      <c r="AC287" s="1288"/>
      <c r="AD287" s="1038"/>
      <c r="AE287" s="1038"/>
      <c r="AF287" s="1038"/>
      <c r="AG287" s="1038"/>
      <c r="AH287" s="1038"/>
      <c r="AI287" s="1038"/>
      <c r="AJ287" s="1038"/>
      <c r="AK287" s="1038"/>
      <c r="AL287" s="1038"/>
      <c r="AM287" s="1038"/>
      <c r="AN287" s="1038"/>
      <c r="AO287" s="1038"/>
      <c r="AP287" s="1038"/>
      <c r="AQ287" s="1038"/>
      <c r="AR287" s="1038"/>
      <c r="AS287" s="1038"/>
      <c r="AT287" s="1038"/>
      <c r="AU287" s="1038"/>
      <c r="AV287" s="1038"/>
      <c r="AW287" s="1038"/>
      <c r="AX287" s="1038"/>
      <c r="AY287" s="1038"/>
      <c r="AZ287" s="1038"/>
      <c r="BA287" s="1038"/>
      <c r="BB287" s="1038"/>
      <c r="BC287" s="1038"/>
      <c r="BD287" s="1038"/>
      <c r="BE287" s="1038"/>
    </row>
    <row r="288" spans="1:57" x14ac:dyDescent="0.25">
      <c r="A288" s="1288"/>
      <c r="B288" s="1314"/>
      <c r="C288" s="1710"/>
      <c r="D288" s="1314"/>
      <c r="E288" s="1314"/>
      <c r="F288" s="1314"/>
      <c r="G288" s="1288"/>
      <c r="H288" s="1288"/>
      <c r="I288" s="1288"/>
      <c r="J288" s="1288"/>
      <c r="K288" s="1288"/>
      <c r="L288" s="1410"/>
      <c r="M288" s="1288"/>
      <c r="N288" s="1288"/>
      <c r="O288" s="1288"/>
      <c r="P288" s="1288"/>
      <c r="Q288" s="1288"/>
      <c r="R288" s="1288"/>
      <c r="S288" s="1288"/>
      <c r="T288" s="1288"/>
      <c r="U288" s="1288"/>
      <c r="V288" s="1288"/>
      <c r="W288" s="1288"/>
      <c r="X288" s="1288"/>
      <c r="Y288" s="1288"/>
      <c r="Z288" s="1288"/>
      <c r="AA288" s="1288"/>
      <c r="AB288" s="1288"/>
      <c r="AC288" s="1288"/>
      <c r="AD288" s="1038"/>
      <c r="AE288" s="1038"/>
      <c r="AF288" s="1038"/>
      <c r="AG288" s="1038"/>
      <c r="AH288" s="1038"/>
      <c r="AI288" s="1038"/>
      <c r="AJ288" s="1038"/>
      <c r="AK288" s="1038"/>
      <c r="AL288" s="1038"/>
      <c r="AM288" s="1038"/>
      <c r="AN288" s="1038"/>
      <c r="AO288" s="1038"/>
      <c r="AP288" s="1038"/>
      <c r="AQ288" s="1038"/>
      <c r="AR288" s="1038"/>
      <c r="AS288" s="1038"/>
      <c r="AT288" s="1038"/>
      <c r="AU288" s="1038"/>
      <c r="AV288" s="1038"/>
      <c r="AW288" s="1038"/>
      <c r="AX288" s="1038"/>
      <c r="AY288" s="1038"/>
      <c r="AZ288" s="1038"/>
      <c r="BA288" s="1038"/>
      <c r="BB288" s="1038"/>
      <c r="BC288" s="1038"/>
      <c r="BD288" s="1038"/>
      <c r="BE288" s="1038"/>
    </row>
    <row r="289" spans="1:57" x14ac:dyDescent="0.25">
      <c r="A289" s="1288"/>
      <c r="B289" s="1314"/>
      <c r="C289" s="1710"/>
      <c r="D289" s="1314"/>
      <c r="E289" s="1314"/>
      <c r="F289" s="1314"/>
      <c r="G289" s="1288"/>
      <c r="H289" s="1288"/>
      <c r="I289" s="1288"/>
      <c r="J289" s="1288"/>
      <c r="K289" s="1288"/>
      <c r="L289" s="1410"/>
      <c r="M289" s="1288"/>
      <c r="N289" s="1288"/>
      <c r="O289" s="1288"/>
      <c r="P289" s="1288"/>
      <c r="Q289" s="1288"/>
      <c r="R289" s="1288"/>
      <c r="S289" s="1288"/>
      <c r="T289" s="1288"/>
      <c r="U289" s="1288"/>
      <c r="V289" s="1288"/>
      <c r="W289" s="1288"/>
      <c r="X289" s="1288"/>
      <c r="Y289" s="1288"/>
      <c r="Z289" s="1288"/>
      <c r="AA289" s="1288"/>
      <c r="AB289" s="1288"/>
      <c r="AC289" s="1288"/>
      <c r="AD289" s="1038"/>
      <c r="AE289" s="1038"/>
      <c r="AF289" s="1038"/>
      <c r="AG289" s="1038"/>
      <c r="AH289" s="1038"/>
      <c r="AI289" s="1038"/>
      <c r="AJ289" s="1038"/>
      <c r="AK289" s="1038"/>
      <c r="AL289" s="1038"/>
      <c r="AM289" s="1038"/>
      <c r="AN289" s="1038"/>
      <c r="AO289" s="1038"/>
      <c r="AP289" s="1038"/>
      <c r="AQ289" s="1038"/>
      <c r="AR289" s="1038"/>
      <c r="AS289" s="1038"/>
      <c r="AT289" s="1038"/>
      <c r="AU289" s="1038"/>
      <c r="AV289" s="1038"/>
      <c r="AW289" s="1038"/>
      <c r="AX289" s="1038"/>
      <c r="AY289" s="1038"/>
      <c r="AZ289" s="1038"/>
      <c r="BA289" s="1038"/>
      <c r="BB289" s="1038"/>
      <c r="BC289" s="1038"/>
      <c r="BD289" s="1038"/>
      <c r="BE289" s="1038"/>
    </row>
    <row r="290" spans="1:57" x14ac:dyDescent="0.25">
      <c r="A290" s="1288"/>
      <c r="B290" s="1288"/>
      <c r="C290" s="1288"/>
      <c r="D290" s="1288"/>
      <c r="E290" s="1288"/>
      <c r="F290" s="1288"/>
      <c r="G290" s="1288"/>
      <c r="H290" s="1288"/>
      <c r="I290" s="1288"/>
      <c r="J290" s="1288"/>
      <c r="K290" s="1288"/>
      <c r="L290" s="1410"/>
      <c r="M290" s="1288"/>
      <c r="N290" s="1288"/>
      <c r="O290" s="1288"/>
      <c r="P290" s="1288"/>
      <c r="Q290" s="1288"/>
      <c r="R290" s="1288"/>
      <c r="S290" s="1288"/>
      <c r="T290" s="1288"/>
      <c r="U290" s="1288"/>
      <c r="V290" s="1288"/>
      <c r="W290" s="1288"/>
      <c r="X290" s="1288"/>
      <c r="Y290" s="1288"/>
      <c r="Z290" s="1288"/>
      <c r="AA290" s="1288"/>
      <c r="AB290" s="1288"/>
      <c r="AC290" s="1288"/>
      <c r="AD290" s="1038"/>
      <c r="AE290" s="1038"/>
      <c r="AF290" s="1038"/>
      <c r="AG290" s="1038"/>
      <c r="AH290" s="1038"/>
      <c r="AI290" s="1038"/>
      <c r="AJ290" s="1038"/>
      <c r="AK290" s="1038"/>
      <c r="AL290" s="1038"/>
      <c r="AM290" s="1038"/>
      <c r="AN290" s="1038"/>
      <c r="AO290" s="1038"/>
      <c r="AP290" s="1038"/>
      <c r="AQ290" s="1038"/>
      <c r="AR290" s="1038"/>
      <c r="AS290" s="1038"/>
      <c r="AT290" s="1038"/>
      <c r="AU290" s="1038"/>
      <c r="AV290" s="1038"/>
      <c r="AW290" s="1038"/>
      <c r="AX290" s="1038"/>
      <c r="AY290" s="1038"/>
      <c r="AZ290" s="1038"/>
      <c r="BA290" s="1038"/>
      <c r="BB290" s="1038"/>
      <c r="BC290" s="1038"/>
      <c r="BD290" s="1038"/>
      <c r="BE290" s="1038"/>
    </row>
    <row r="291" spans="1:57" x14ac:dyDescent="0.25">
      <c r="A291" s="1288"/>
      <c r="B291" s="1288"/>
      <c r="C291" s="1288"/>
      <c r="D291" s="1288"/>
      <c r="E291" s="1288"/>
      <c r="F291" s="1288"/>
      <c r="G291" s="1288"/>
      <c r="H291" s="1288"/>
      <c r="I291" s="1288"/>
      <c r="J291" s="1288"/>
      <c r="K291" s="1288"/>
      <c r="L291" s="1288"/>
      <c r="M291" s="1288"/>
      <c r="N291" s="1288"/>
      <c r="O291" s="1288"/>
      <c r="P291" s="1288"/>
      <c r="Q291" s="1288"/>
      <c r="R291" s="1288"/>
      <c r="S291" s="1288"/>
      <c r="T291" s="1288"/>
      <c r="U291" s="1288"/>
      <c r="V291" s="1288"/>
      <c r="W291" s="1288"/>
      <c r="X291" s="1288"/>
      <c r="Y291" s="1288"/>
      <c r="Z291" s="1288"/>
      <c r="AA291" s="1288"/>
      <c r="AB291" s="1288"/>
      <c r="AC291" s="1288"/>
      <c r="AD291" s="1038"/>
      <c r="AE291" s="1038"/>
      <c r="AF291" s="1038"/>
      <c r="AG291" s="1038"/>
      <c r="AH291" s="1038"/>
      <c r="AI291" s="1038"/>
      <c r="AJ291" s="1038"/>
      <c r="AK291" s="1038"/>
      <c r="AL291" s="1038"/>
      <c r="AM291" s="1038"/>
      <c r="AN291" s="1038"/>
      <c r="AO291" s="1038"/>
      <c r="AP291" s="1038"/>
      <c r="AQ291" s="1038"/>
      <c r="AR291" s="1038"/>
      <c r="AS291" s="1038"/>
      <c r="AT291" s="1038"/>
      <c r="AU291" s="1038"/>
      <c r="AV291" s="1038"/>
      <c r="AW291" s="1038"/>
      <c r="AX291" s="1038"/>
      <c r="AY291" s="1038"/>
      <c r="AZ291" s="1038"/>
      <c r="BA291" s="1038"/>
      <c r="BB291" s="1038"/>
      <c r="BC291" s="1038"/>
      <c r="BD291" s="1038"/>
      <c r="BE291" s="1038"/>
    </row>
    <row r="292" spans="1:57" x14ac:dyDescent="0.25">
      <c r="A292" s="1288"/>
      <c r="B292" s="1288"/>
      <c r="C292" s="1288"/>
      <c r="D292" s="1288"/>
      <c r="E292" s="1288"/>
      <c r="F292" s="1288"/>
      <c r="G292" s="1288"/>
      <c r="H292" s="1288"/>
      <c r="I292" s="1288"/>
      <c r="J292" s="1288"/>
      <c r="K292" s="1288"/>
      <c r="L292" s="1288"/>
      <c r="M292" s="1288"/>
      <c r="N292" s="1288"/>
      <c r="O292" s="1288"/>
      <c r="P292" s="1288"/>
      <c r="Q292" s="1288"/>
      <c r="R292" s="1288"/>
      <c r="S292" s="1288"/>
      <c r="T292" s="1288"/>
      <c r="U292" s="1288"/>
      <c r="V292" s="1288"/>
      <c r="W292" s="1288"/>
      <c r="X292" s="1288"/>
      <c r="Y292" s="1288"/>
      <c r="Z292" s="1288"/>
      <c r="AA292" s="1288"/>
      <c r="AB292" s="1288"/>
      <c r="AC292" s="1288"/>
      <c r="AD292" s="1038"/>
      <c r="AE292" s="1038"/>
      <c r="AF292" s="1038"/>
      <c r="AG292" s="1038"/>
      <c r="AH292" s="1038"/>
      <c r="AI292" s="1038"/>
      <c r="AJ292" s="1038"/>
      <c r="AK292" s="1038"/>
      <c r="AL292" s="1038"/>
      <c r="AM292" s="1038"/>
      <c r="AN292" s="1038"/>
      <c r="AO292" s="1038"/>
      <c r="AP292" s="1038"/>
      <c r="AQ292" s="1038"/>
      <c r="AR292" s="1038"/>
      <c r="AS292" s="1038"/>
      <c r="AT292" s="1038"/>
      <c r="AU292" s="1038"/>
      <c r="AV292" s="1038"/>
      <c r="AW292" s="1038"/>
      <c r="AX292" s="1038"/>
      <c r="AY292" s="1038"/>
      <c r="AZ292" s="1038"/>
      <c r="BA292" s="1038"/>
      <c r="BB292" s="1038"/>
      <c r="BC292" s="1038"/>
      <c r="BD292" s="1038"/>
      <c r="BE292" s="1038"/>
    </row>
    <row r="293" spans="1:57" x14ac:dyDescent="0.25">
      <c r="A293" s="1288"/>
      <c r="B293" s="1288"/>
      <c r="C293" s="1288"/>
      <c r="D293" s="1288"/>
      <c r="E293" s="1288"/>
      <c r="F293" s="1288"/>
      <c r="G293" s="1288"/>
      <c r="H293" s="1288"/>
      <c r="I293" s="1288"/>
      <c r="J293" s="1288"/>
      <c r="K293" s="1288"/>
      <c r="L293" s="1288"/>
      <c r="M293" s="1288"/>
      <c r="N293" s="1288"/>
      <c r="O293" s="1288"/>
      <c r="P293" s="1288"/>
      <c r="Q293" s="1288"/>
      <c r="R293" s="1288"/>
      <c r="S293" s="1288"/>
      <c r="T293" s="1288"/>
      <c r="U293" s="1288"/>
      <c r="V293" s="1288"/>
      <c r="W293" s="1288"/>
      <c r="X293" s="1288"/>
      <c r="Y293" s="1288"/>
      <c r="Z293" s="1288"/>
      <c r="AA293" s="1288"/>
      <c r="AB293" s="1288"/>
      <c r="AC293" s="1288"/>
      <c r="AD293" s="1038"/>
      <c r="AE293" s="1038"/>
      <c r="AF293" s="1038"/>
      <c r="AG293" s="1038"/>
      <c r="AH293" s="1038"/>
      <c r="AI293" s="1038"/>
      <c r="AJ293" s="1038"/>
      <c r="AK293" s="1038"/>
      <c r="AL293" s="1038"/>
      <c r="AM293" s="1038"/>
      <c r="AN293" s="1038"/>
      <c r="AO293" s="1038"/>
      <c r="AP293" s="1038"/>
      <c r="AQ293" s="1038"/>
      <c r="AR293" s="1038"/>
      <c r="AS293" s="1038"/>
      <c r="AT293" s="1038"/>
      <c r="AU293" s="1038"/>
      <c r="AV293" s="1038"/>
      <c r="AW293" s="1038"/>
      <c r="AX293" s="1038"/>
      <c r="AY293" s="1038"/>
      <c r="AZ293" s="1038"/>
      <c r="BA293" s="1038"/>
      <c r="BB293" s="1038"/>
      <c r="BC293" s="1038"/>
      <c r="BD293" s="1038"/>
      <c r="BE293" s="1038"/>
    </row>
  </sheetData>
  <mergeCells count="38">
    <mergeCell ref="B69:C69"/>
    <mergeCell ref="E39:F39"/>
    <mergeCell ref="E42:F42"/>
    <mergeCell ref="E43:F43"/>
    <mergeCell ref="E45:F45"/>
    <mergeCell ref="E41:F41"/>
    <mergeCell ref="E44:F44"/>
    <mergeCell ref="H37:I37"/>
    <mergeCell ref="H38:I38"/>
    <mergeCell ref="H43:J43"/>
    <mergeCell ref="H44:J44"/>
    <mergeCell ref="H45:J45"/>
    <mergeCell ref="H41:I41"/>
    <mergeCell ref="H27:I27"/>
    <mergeCell ref="H30:J30"/>
    <mergeCell ref="H34:J34"/>
    <mergeCell ref="H36:I36"/>
    <mergeCell ref="H31:I31"/>
    <mergeCell ref="H35:I35"/>
    <mergeCell ref="H28:I28"/>
    <mergeCell ref="E30:F30"/>
    <mergeCell ref="E40:F40"/>
    <mergeCell ref="E38:F38"/>
    <mergeCell ref="E37:F37"/>
    <mergeCell ref="E36:F36"/>
    <mergeCell ref="E33:F33"/>
    <mergeCell ref="B4:J4"/>
    <mergeCell ref="B5:J5"/>
    <mergeCell ref="H21:I21"/>
    <mergeCell ref="H22:I22"/>
    <mergeCell ref="D26:F26"/>
    <mergeCell ref="H20:K20"/>
    <mergeCell ref="H23:I23"/>
    <mergeCell ref="D21:F21"/>
    <mergeCell ref="D25:F25"/>
    <mergeCell ref="H24:I24"/>
    <mergeCell ref="H25:I25"/>
    <mergeCell ref="H26:I26"/>
  </mergeCells>
  <phoneticPr fontId="3" type="noConversion"/>
  <hyperlinks>
    <hyperlink ref="B15" location="'Carbon Sequestration'!B28" display="Carbon Sequestration Input Values" xr:uid="{00000000-0004-0000-0700-000000000000}"/>
    <hyperlink ref="B16" location="'Carbon Sequestration'!H21" display="Summary of Output Values" xr:uid="{00000000-0004-0000-0700-000001000000}"/>
    <hyperlink ref="B17" location="'Carbon Sequestration'!B41" display="Carbon Sequestration Calculations" xr:uid="{00000000-0004-0000-0700-000002000000}"/>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7605" r:id="rId4" name="Check Box 310">
              <controlPr defaultSize="0" autoFill="0" autoLine="0" autoPict="0" macro="[0]!CheckBox310_Click" altText="H2A default">
                <anchor moveWithCells="1">
                  <from>
                    <xdr:col>3</xdr:col>
                    <xdr:colOff>182880</xdr:colOff>
                    <xdr:row>30</xdr:row>
                    <xdr:rowOff>175260</xdr:rowOff>
                  </from>
                  <to>
                    <xdr:col>3</xdr:col>
                    <xdr:colOff>1097280</xdr:colOff>
                    <xdr:row>32</xdr:row>
                    <xdr:rowOff>7620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tabColor indexed="44"/>
    <pageSetUpPr fitToPage="1"/>
  </sheetPr>
  <dimension ref="B1:I122"/>
  <sheetViews>
    <sheetView topLeftCell="A34" workbookViewId="0">
      <selection activeCell="D72" sqref="D72"/>
    </sheetView>
  </sheetViews>
  <sheetFormatPr defaultRowHeight="13.2" x14ac:dyDescent="0.25"/>
  <cols>
    <col min="2" max="2" width="28.6640625" customWidth="1"/>
    <col min="3" max="3" width="25.33203125" customWidth="1"/>
    <col min="4" max="4" width="22.6640625" customWidth="1"/>
    <col min="5" max="5" width="22.33203125" customWidth="1"/>
    <col min="6" max="6" width="20.33203125" customWidth="1"/>
    <col min="7" max="7" width="18.5546875" customWidth="1"/>
    <col min="8" max="8" width="15.6640625" customWidth="1"/>
    <col min="9" max="9" width="16.33203125" customWidth="1"/>
  </cols>
  <sheetData>
    <row r="1" spans="2:9" ht="13.8" thickBot="1" x14ac:dyDescent="0.3"/>
    <row r="2" spans="2:9" ht="16.2" thickTop="1" x14ac:dyDescent="0.3">
      <c r="B2" s="642" t="s">
        <v>1049</v>
      </c>
      <c r="C2" s="643"/>
    </row>
    <row r="3" spans="2:9" x14ac:dyDescent="0.25">
      <c r="B3" s="644" t="s">
        <v>78</v>
      </c>
      <c r="C3" s="602"/>
    </row>
    <row r="4" spans="2:9" x14ac:dyDescent="0.25">
      <c r="B4" s="644" t="s">
        <v>906</v>
      </c>
      <c r="C4" s="602"/>
    </row>
    <row r="5" spans="2:9" x14ac:dyDescent="0.25">
      <c r="B5" s="644" t="s">
        <v>391</v>
      </c>
      <c r="C5" s="602"/>
    </row>
    <row r="6" spans="2:9" x14ac:dyDescent="0.25">
      <c r="B6" s="644" t="s">
        <v>1050</v>
      </c>
      <c r="C6" s="602"/>
    </row>
    <row r="7" spans="2:9" x14ac:dyDescent="0.25">
      <c r="B7" s="644" t="s">
        <v>399</v>
      </c>
      <c r="C7" s="602"/>
    </row>
    <row r="8" spans="2:9" x14ac:dyDescent="0.25">
      <c r="B8" s="644" t="s">
        <v>525</v>
      </c>
      <c r="C8" s="602"/>
    </row>
    <row r="9" spans="2:9" x14ac:dyDescent="0.25">
      <c r="B9" s="644" t="s">
        <v>1051</v>
      </c>
      <c r="C9" s="602"/>
    </row>
    <row r="10" spans="2:9" ht="13.8" thickBot="1" x14ac:dyDescent="0.3">
      <c r="B10" s="645" t="s">
        <v>1052</v>
      </c>
      <c r="C10" s="646"/>
    </row>
    <row r="11" spans="2:9" ht="13.8" thickTop="1" x14ac:dyDescent="0.25"/>
    <row r="12" spans="2:9" ht="24.6" x14ac:dyDescent="0.4">
      <c r="B12" s="411" t="s">
        <v>388</v>
      </c>
      <c r="C12" s="133"/>
      <c r="D12" s="133"/>
      <c r="E12" s="51"/>
      <c r="F12" s="51"/>
      <c r="G12" s="38"/>
      <c r="H12" s="39"/>
      <c r="I12" s="132"/>
    </row>
    <row r="13" spans="2:9" x14ac:dyDescent="0.25">
      <c r="D13" s="133"/>
      <c r="E13" s="134"/>
      <c r="F13" s="51"/>
      <c r="G13" s="38"/>
      <c r="H13" s="39"/>
      <c r="I13" s="132"/>
    </row>
    <row r="14" spans="2:9" ht="21.6" thickBot="1" x14ac:dyDescent="0.55000000000000004">
      <c r="B14" s="310" t="s">
        <v>389</v>
      </c>
      <c r="D14" s="133"/>
      <c r="E14" s="51"/>
      <c r="F14" s="51"/>
      <c r="G14" s="38"/>
      <c r="H14" s="39"/>
      <c r="I14" s="132"/>
    </row>
    <row r="15" spans="2:9" ht="15.6" thickBot="1" x14ac:dyDescent="0.3">
      <c r="B15" s="826" t="s">
        <v>1077</v>
      </c>
      <c r="C15" s="827" t="e">
        <f ca="1">total_cap/(ProcEqpCap+IF(CO2_Capture_Efficiency&gt;0,CCSEqpCap,0))</f>
        <v>#REF!</v>
      </c>
      <c r="D15" s="133"/>
      <c r="E15" s="51"/>
      <c r="F15" s="51"/>
      <c r="G15" s="38"/>
      <c r="H15" s="39"/>
      <c r="I15" s="132"/>
    </row>
    <row r="16" spans="2:9" ht="13.8" thickBot="1" x14ac:dyDescent="0.3">
      <c r="B16" s="51"/>
      <c r="C16" s="51"/>
      <c r="D16" s="51"/>
      <c r="E16" s="51"/>
      <c r="F16" s="51"/>
      <c r="G16" s="38"/>
      <c r="H16" s="39"/>
      <c r="I16" s="132"/>
    </row>
    <row r="17" spans="2:9" ht="16.8" thickTop="1" thickBot="1" x14ac:dyDescent="0.35">
      <c r="B17" s="47" t="s">
        <v>78</v>
      </c>
      <c r="C17" s="147"/>
      <c r="D17" s="148"/>
      <c r="E17" s="51"/>
      <c r="F17" s="1671" t="str">
        <f>IF(CO2_inUse = "Carbon Sequestration","Approximate Carbon Sequestration Costs*","Carbon Sequestration is not included in this case")</f>
        <v>Carbon Sequestration is not included in this case</v>
      </c>
      <c r="G17" s="1672"/>
      <c r="H17" s="1673"/>
      <c r="I17" s="132"/>
    </row>
    <row r="18" spans="2:9" ht="55.8" thickTop="1" x14ac:dyDescent="0.25">
      <c r="B18" s="150" t="s">
        <v>79</v>
      </c>
      <c r="C18" s="54" t="s">
        <v>80</v>
      </c>
      <c r="D18" s="410" t="s">
        <v>81</v>
      </c>
      <c r="E18" s="51"/>
      <c r="F18" s="1674" t="s">
        <v>79</v>
      </c>
      <c r="G18" s="1675" t="s">
        <v>1</v>
      </c>
      <c r="H18" s="1676" t="s">
        <v>2</v>
      </c>
      <c r="I18" s="132"/>
    </row>
    <row r="19" spans="2:9" ht="13.8" x14ac:dyDescent="0.25">
      <c r="B19" s="540" t="s">
        <v>82</v>
      </c>
      <c r="C19" s="700">
        <f ca="1">'Cash Flow Analysis'!D119</f>
        <v>0.35810699708563176</v>
      </c>
      <c r="D19" s="151">
        <f ca="1">'Cash Flow Analysis'!C119</f>
        <v>0.23832281587257742</v>
      </c>
      <c r="E19" s="51"/>
      <c r="F19" s="1677" t="s">
        <v>82</v>
      </c>
      <c r="G19" s="1678" t="str">
        <f>IF(CO2_inUse = "Carbon Sequestration",ROUND((Det_CO2_seq)*CO2_cap_charge_rate/output_kgyear,2),"")</f>
        <v/>
      </c>
      <c r="H19" s="1679" t="str">
        <f>IF(CO2_inUse = "Carbon Sequestration",CO2_capptonneCO2,"")</f>
        <v/>
      </c>
      <c r="I19" s="132"/>
    </row>
    <row r="20" spans="2:9" ht="13.8" x14ac:dyDescent="0.25">
      <c r="B20" s="540" t="s">
        <v>83</v>
      </c>
      <c r="C20" s="232">
        <f ca="1">'Cash Flow Analysis'!D120</f>
        <v>8.3985124791983966E-3</v>
      </c>
      <c r="D20" s="152">
        <f ca="1">'Cash Flow Analysis'!C120</f>
        <v>5.5892712498575503E-3</v>
      </c>
      <c r="E20" s="51"/>
      <c r="F20" s="1677" t="s">
        <v>3</v>
      </c>
      <c r="G20" s="1678" t="str">
        <f>IF(CO2_inUse = "Carbon Sequestration",ROUND(Det_CO2_OandMcost/output_kgyear,2),"")</f>
        <v/>
      </c>
      <c r="H20" s="1679" t="str">
        <f>IF(CO2_inUse = "Carbon Sequestration",CO2_OandMptonneCO2,"")</f>
        <v/>
      </c>
      <c r="I20" s="132"/>
    </row>
    <row r="21" spans="2:9" ht="13.8" x14ac:dyDescent="0.25">
      <c r="B21" s="540" t="s">
        <v>84</v>
      </c>
      <c r="C21" s="232">
        <f ca="1">'Cash Flow Analysis'!D121</f>
        <v>0.21707557110629896</v>
      </c>
      <c r="D21" s="152">
        <f ca="1">'Cash Flow Analysis'!C121</f>
        <v>0.14446537427145062</v>
      </c>
      <c r="E21" s="51"/>
      <c r="F21" s="1677" t="s">
        <v>4</v>
      </c>
      <c r="G21" s="1678" t="str">
        <f>IF(CO2_inUse = "Carbon Sequestration",ROUND(CO2_eCostpY/output_kgyear,2),"")</f>
        <v/>
      </c>
      <c r="H21" s="1679" t="str">
        <f>IF(CO2_inUse = "Carbon Sequestration",CO2_energyptonneCO2,"")</f>
        <v/>
      </c>
      <c r="I21" s="132"/>
    </row>
    <row r="22" spans="2:9" ht="14.4" thickBot="1" x14ac:dyDescent="0.3">
      <c r="B22" s="540" t="s">
        <v>986</v>
      </c>
      <c r="C22" s="232">
        <f ca="1">'Cash Flow Analysis'!D122</f>
        <v>0.89987697572220759</v>
      </c>
      <c r="D22" s="152">
        <f ca="1">'Cash Flow Analysis'!C122</f>
        <v>0.59887468420990608</v>
      </c>
      <c r="E22" s="51"/>
      <c r="F22" s="1680" t="s">
        <v>57</v>
      </c>
      <c r="G22" s="1681">
        <f>SUM(G19:G21)</f>
        <v>0</v>
      </c>
      <c r="H22" s="1682">
        <f>SUM(H19:H21)</f>
        <v>0</v>
      </c>
      <c r="I22" s="132"/>
    </row>
    <row r="23" spans="2:9" ht="27" customHeight="1" thickTop="1" x14ac:dyDescent="0.25">
      <c r="B23" s="540" t="s">
        <v>85</v>
      </c>
      <c r="C23" s="232">
        <f ca="1">'Cash Flow Analysis'!D123</f>
        <v>0</v>
      </c>
      <c r="D23" s="152">
        <f ca="1">'Cash Flow Analysis'!C123</f>
        <v>0</v>
      </c>
      <c r="E23" s="51"/>
      <c r="F23" s="1589" t="s">
        <v>5</v>
      </c>
      <c r="G23" s="1589"/>
      <c r="H23" s="1589"/>
      <c r="I23" s="132"/>
    </row>
    <row r="24" spans="2:9" x14ac:dyDescent="0.25">
      <c r="B24" s="540" t="s">
        <v>86</v>
      </c>
      <c r="C24" s="232">
        <f ca="1">'Cash Flow Analysis'!D124</f>
        <v>0</v>
      </c>
      <c r="D24" s="152">
        <f ca="1">'Cash Flow Analysis'!C124</f>
        <v>0</v>
      </c>
      <c r="E24" s="51"/>
      <c r="F24" s="51"/>
      <c r="I24" s="132"/>
    </row>
    <row r="25" spans="2:9" ht="26.4" x14ac:dyDescent="0.25">
      <c r="B25" s="541" t="s">
        <v>87</v>
      </c>
      <c r="C25" s="232">
        <f ca="1">'Cash Flow Analysis'!D125</f>
        <v>1.9155093650587728E-2</v>
      </c>
      <c r="D25" s="152">
        <f ca="1">'Cash Flow Analysis'!C125</f>
        <v>1.2747854396208222E-2</v>
      </c>
      <c r="E25" s="51"/>
      <c r="F25" s="51"/>
      <c r="I25" s="132"/>
    </row>
    <row r="26" spans="2:9" ht="13.8" thickBot="1" x14ac:dyDescent="0.3">
      <c r="B26" s="542" t="s">
        <v>57</v>
      </c>
      <c r="C26" s="701">
        <f ca="1">SUM(C19:C25)</f>
        <v>1.5026131500439246</v>
      </c>
      <c r="D26" s="483"/>
      <c r="E26" s="51"/>
      <c r="F26" s="51"/>
      <c r="I26" s="132"/>
    </row>
    <row r="27" spans="2:9" ht="13.8" thickTop="1" x14ac:dyDescent="0.25">
      <c r="B27" s="51"/>
      <c r="C27" s="51"/>
      <c r="D27" s="141"/>
      <c r="E27" s="51"/>
      <c r="F27" s="51"/>
      <c r="I27" s="132"/>
    </row>
    <row r="28" spans="2:9" ht="21" x14ac:dyDescent="0.5">
      <c r="B28" s="310" t="s">
        <v>390</v>
      </c>
      <c r="C28" s="51"/>
      <c r="D28" s="39"/>
      <c r="E28" s="51"/>
      <c r="F28" s="51"/>
      <c r="G28" s="51"/>
      <c r="H28" s="51"/>
      <c r="I28" s="132"/>
    </row>
    <row r="29" spans="2:9" ht="13.8" thickBot="1" x14ac:dyDescent="0.3">
      <c r="I29" s="132"/>
    </row>
    <row r="30" spans="2:9" ht="16.8" thickTop="1" thickBot="1" x14ac:dyDescent="0.35">
      <c r="B30" s="1581" t="s">
        <v>906</v>
      </c>
      <c r="C30" s="1582"/>
      <c r="D30" s="524"/>
      <c r="E30" s="524"/>
      <c r="F30" s="524"/>
      <c r="G30" s="525"/>
      <c r="H30" s="525"/>
      <c r="I30" s="529"/>
    </row>
    <row r="31" spans="2:9" ht="42" thickBot="1" x14ac:dyDescent="0.3">
      <c r="B31" s="530" t="s">
        <v>247</v>
      </c>
      <c r="C31" s="531" t="s">
        <v>910</v>
      </c>
      <c r="D31" s="531" t="s">
        <v>905</v>
      </c>
      <c r="E31" s="532" t="s">
        <v>697</v>
      </c>
      <c r="F31" s="532" t="s">
        <v>263</v>
      </c>
      <c r="G31" s="532" t="s">
        <v>904</v>
      </c>
      <c r="H31" s="532" t="s">
        <v>921</v>
      </c>
      <c r="I31" s="533" t="s">
        <v>1173</v>
      </c>
    </row>
    <row r="32" spans="2:9" x14ac:dyDescent="0.25">
      <c r="B32" s="619" t="str">
        <f>IF('Cash Flow Analysis'!$B$131=0,"",'Cash Flow Analysis'!$B$131)</f>
        <v>Industrial Natural Gas</v>
      </c>
      <c r="C32" s="620">
        <f ca="1">IF($B$32="","",$E$32*$F$32*$H$32)</f>
        <v>0.16436584807933297</v>
      </c>
      <c r="D32" s="620">
        <f ca="1">IF($B32="","",$C32*1000*MJ_to_kWh)</f>
        <v>45.65718002203694</v>
      </c>
      <c r="E32" s="621">
        <f ca="1">IF($B$32&lt;&gt;"",VLOOKUP($B$32,MASTER_PROPERTY_TABLE,MATCH("H2A LHV (GJ/ H2A usage input unit)",key_MPTable,0),FALSE),"")</f>
        <v>1.0549999999999999</v>
      </c>
      <c r="F32" s="621">
        <f>IF('Cash Flow Analysis'!$B$133="","",'Cash Flow Analysis'!$B$133)</f>
        <v>0.15579701239747201</v>
      </c>
      <c r="G32" s="622" t="str">
        <f ca="1">IF($B$32&lt;&gt;"",VLOOKUP($B$32,MASTER_PROPERTY_TABLE,MATCH("H2A Usage Input Unit/ kg H2",key_MPTable,0),FALSE),"")</f>
        <v>mmBtu</v>
      </c>
      <c r="H32" s="622">
        <f ca="1">IF($B32="","",IF(VLOOKUP($B32,MASTER_PROPERTY_TABLE,MATCH("Unit System",key_MPTable,0),FALSE)="English",mmBTU_to_GJ,1))</f>
        <v>1</v>
      </c>
      <c r="I32" s="1004">
        <f ca="1">+'Cash Flow Analysis'!$B$233</f>
        <v>5.0849129469196352</v>
      </c>
    </row>
    <row r="33" spans="2:9" x14ac:dyDescent="0.25">
      <c r="B33" s="573" t="str">
        <f>IF('Cash Flow Analysis'!$C$131=0,"",'Cash Flow Analysis'!$C$131)</f>
        <v>Commercial Electricity</v>
      </c>
      <c r="C33" s="623">
        <f ca="1">IF($B$33="","",$E$33*$F$33*$H$33)</f>
        <v>3.9959999999999996E-3</v>
      </c>
      <c r="D33" s="623">
        <f ca="1">IF($B33="","",$C33*1000*MJ_to_kWh)</f>
        <v>1.1099999999999999</v>
      </c>
      <c r="E33" s="577">
        <f ca="1">IF($B$33&lt;&gt;"",VLOOKUP($B$33,MASTER_PROPERTY_TABLE,MATCH("H2A LHV (GJ/ H2A usage input unit)",key_MPTable,0),FALSE),"")</f>
        <v>3.5999999999999995E-3</v>
      </c>
      <c r="F33" s="577">
        <f>IF('Cash Flow Analysis'!$C$133="","",'Cash Flow Analysis'!$C$133)</f>
        <v>1.1100000000000001</v>
      </c>
      <c r="G33" s="624" t="str">
        <f ca="1">IF($B$33&lt;&gt;"",VLOOKUP($B$33,MASTER_PROPERTY_TABLE,MATCH("H2A Usage Input Unit/ kg H2",key_MPTable,0),FALSE),"")</f>
        <v>kWh</v>
      </c>
      <c r="H33" s="624">
        <f ca="1">IF($B$33="","",IF(VLOOKUP($B$33,MASTER_PROPERTY_TABLE,MATCH("Unit System",key_MPTable,0),FALSE)="English",mmBTU_to_GJ,1))</f>
        <v>1</v>
      </c>
      <c r="I33" s="1005">
        <f ca="1">+'Cash Flow Analysis'!$C$233</f>
        <v>0.11239675029695968</v>
      </c>
    </row>
    <row r="34" spans="2:9" x14ac:dyDescent="0.25">
      <c r="B34" s="573" t="str">
        <f>IF('Cash Flow Analysis'!$D$131=0,"",'Cash Flow Analysis'!$D$131)</f>
        <v/>
      </c>
      <c r="C34" s="623" t="str">
        <f>IF($B$34="","",$E$34*$F$34*$H$34)</f>
        <v/>
      </c>
      <c r="D34" s="623" t="str">
        <f>IF($B34="","",$C34*1000*MJ_to_kWh)</f>
        <v/>
      </c>
      <c r="E34" s="577" t="str">
        <f>IF($B$34&lt;&gt;"",VLOOKUP($B$34,MASTER_PROPERTY_TABLE,MATCH("H2A LHV (GJ/ H2A usage input unit)",key_MPTable,0),FALSE),"")</f>
        <v/>
      </c>
      <c r="F34" s="577" t="str">
        <f>IF('Cash Flow Analysis'!$D$133="","",'Cash Flow Analysis'!$D$133)</f>
        <v/>
      </c>
      <c r="G34" s="624" t="str">
        <f>IF($B$34&lt;&gt;"",VLOOKUP($B$34,MASTER_PROPERTY_TABLE,MATCH("H2A Usage Input Unit/ kg H2",key_MPTable,0),FALSE),"")</f>
        <v/>
      </c>
      <c r="H34" s="624" t="str">
        <f>IF($B$34="","",IF(VLOOKUP($B$34,MASTER_PROPERTY_TABLE,MATCH("Unit System",key_MPTable,0),FALSE)="English",mmBTU_to_GJ,1))</f>
        <v/>
      </c>
      <c r="I34" s="1005" t="str">
        <f>+'Cash Flow Analysis'!$D$233</f>
        <v/>
      </c>
    </row>
    <row r="35" spans="2:9" ht="13.8" thickBot="1" x14ac:dyDescent="0.3">
      <c r="B35" s="626" t="str">
        <f>IF('Cash Flow Analysis'!$E$131=0,"",'Cash Flow Analysis'!$E$131)</f>
        <v/>
      </c>
      <c r="C35" s="627" t="str">
        <f>IF($B$35="","",$E$35*$F$35*$H$35)</f>
        <v/>
      </c>
      <c r="D35" s="627" t="str">
        <f>IF($B35="","",$C35*1000*MJ_to_kWh)</f>
        <v/>
      </c>
      <c r="E35" s="628" t="str">
        <f>IF($B$35&lt;&gt;"",VLOOKUP($B$35,MASTER_PROPERTY_TABLE,MATCH("H2A LHV (GJ/ H2A usage input unit)",key_MPTable,0),FALSE),"")</f>
        <v/>
      </c>
      <c r="F35" s="628" t="str">
        <f>IF('Cash Flow Analysis'!$E$133="","",'Cash Flow Analysis'!$E$133)</f>
        <v/>
      </c>
      <c r="G35" s="629" t="str">
        <f>IF($B$35&lt;&gt;"",VLOOKUP($B$35,MASTER_PROPERTY_TABLE,MATCH("H2A Usage Input Unit/ kg H2",key_MPTable,0),FALSE),"")</f>
        <v/>
      </c>
      <c r="H35" s="629" t="str">
        <f>IF($B$35="","",IF(VLOOKUP($B$35,MASTER_PROPERTY_TABLE,MATCH("Unit System",key_MPTable,0),FALSE)="English",mmBTU_to_GJ,1))</f>
        <v/>
      </c>
      <c r="I35" s="1006" t="str">
        <f>+'Cash Flow Analysis'!$E$233</f>
        <v/>
      </c>
    </row>
    <row r="36" spans="2:9" ht="13.8" x14ac:dyDescent="0.25">
      <c r="B36" s="630" t="s">
        <v>270</v>
      </c>
      <c r="C36" s="631"/>
      <c r="D36" s="631"/>
      <c r="E36" s="537"/>
      <c r="F36" s="537"/>
      <c r="G36" s="538"/>
      <c r="H36" s="538"/>
      <c r="I36" s="1007"/>
    </row>
    <row r="37" spans="2:9" x14ac:dyDescent="0.25">
      <c r="B37" s="573" t="str">
        <f>IF('Cash Flow Analysis'!$F$131=0,"",'Cash Flow Analysis'!$F$131)</f>
        <v/>
      </c>
      <c r="C37" s="623" t="str">
        <f>IF($B$37="","",$E$37*$F$37*$H$37)</f>
        <v/>
      </c>
      <c r="D37" s="623" t="str">
        <f>IF($B37="","",$C37*1000*MJ_to_kWh)</f>
        <v/>
      </c>
      <c r="E37" s="577" t="str">
        <f>IF($B37&lt;&gt;"",VLOOKUP($B37,MASTER_PROPERTY_TABLE,MATCH("H2A LHV (GJ/ H2A usage input unit)",key_MPTable,0),FALSE),"")</f>
        <v/>
      </c>
      <c r="F37" s="577" t="str">
        <f>IF('Cash Flow Analysis'!$F$133="","",'Cash Flow Analysis'!$F$133)</f>
        <v/>
      </c>
      <c r="G37" s="624" t="str">
        <f>IF($B$37&lt;&gt;"",VLOOKUP($B$37,MASTER_PROPERTY_TABLE,MATCH("H2A Usage Input Unit/ kg H2",key_MPTable,0),FALSE),"")</f>
        <v/>
      </c>
      <c r="H37" s="624" t="str">
        <f>IF($B$37="","",IF(VLOOKUP($B$37,MASTER_PROPERTY_TABLE,MATCH("Unit System",key_MPTable,0),FALSE)="English",mmBTU_to_GJ,1))</f>
        <v/>
      </c>
      <c r="I37" s="1005" t="str">
        <f>+'Cash Flow Analysis'!$F$233</f>
        <v/>
      </c>
    </row>
    <row r="38" spans="2:9" x14ac:dyDescent="0.25">
      <c r="B38" s="573" t="str">
        <f>IF('Cash Flow Analysis'!$G$131=0,"",'Cash Flow Analysis'!$G$131)</f>
        <v/>
      </c>
      <c r="C38" s="623" t="str">
        <f>IF($B$38="","",$E$38*$F$38*$H$38)</f>
        <v/>
      </c>
      <c r="D38" s="623" t="str">
        <f>IF($B38="","",$C38*1000*MJ_to_kWh)</f>
        <v/>
      </c>
      <c r="E38" s="577" t="str">
        <f>IF($B38&lt;&gt;"",VLOOKUP($B38,MASTER_PROPERTY_TABLE,MATCH("H2A LHV (GJ/ H2A usage input unit)",key_MPTable,0),FALSE),"")</f>
        <v/>
      </c>
      <c r="F38" s="577" t="str">
        <f>IF('Cash Flow Analysis'!$G$133="","",'Cash Flow Analysis'!$G$133)</f>
        <v/>
      </c>
      <c r="G38" s="624" t="str">
        <f>IF($B$38&lt;&gt;"",VLOOKUP($B$38,MASTER_PROPERTY_TABLE,MATCH("H2A Usage Input Unit/ kg H2",key_MPTable,0),FALSE),"")</f>
        <v/>
      </c>
      <c r="H38" s="624" t="str">
        <f>IF($B$38="","",IF(VLOOKUP($B$38,MASTER_PROPERTY_TABLE,MATCH("Unit System",key_MPTable,0),FALSE)="English",mmBTU_to_GJ,1))</f>
        <v/>
      </c>
      <c r="I38" s="1005" t="str">
        <f>+'Cash Flow Analysis'!$G$233</f>
        <v/>
      </c>
    </row>
    <row r="39" spans="2:9" x14ac:dyDescent="0.25">
      <c r="B39" s="573" t="str">
        <f>IF('Cash Flow Analysis'!$H$131=0,"",'Cash Flow Analysis'!$H$131)</f>
        <v/>
      </c>
      <c r="C39" s="623" t="str">
        <f>IF($B$39="","",$E$39*$F$39*$H$39)</f>
        <v/>
      </c>
      <c r="D39" s="623" t="str">
        <f>IF($B39="","",$C39*1000*MJ_to_kWh)</f>
        <v/>
      </c>
      <c r="E39" s="577" t="str">
        <f>IF($B39&lt;&gt;"",VLOOKUP($B39,MASTER_PROPERTY_TABLE,MATCH("H2A LHV (GJ/ H2A usage input unit)",key_MPTable,0),FALSE),"")</f>
        <v/>
      </c>
      <c r="F39" s="577" t="str">
        <f>IF('Cash Flow Analysis'!$H$133="","",'Cash Flow Analysis'!$H$133)</f>
        <v/>
      </c>
      <c r="G39" s="624" t="str">
        <f>IF($B$39&lt;&gt;"",VLOOKUP($B$39,MASTER_PROPERTY_TABLE,MATCH("H2A Usage Input Unit/ kg H2",key_MPTable,0),FALSE),"")</f>
        <v/>
      </c>
      <c r="H39" s="624" t="str">
        <f>IF($B$39="","",IF(VLOOKUP($B$39,MASTER_PROPERTY_TABLE,MATCH("Unit System",key_MPTable,0),FALSE)="English",mmBTU_to_GJ,1))</f>
        <v/>
      </c>
      <c r="I39" s="1005" t="str">
        <f>+'Cash Flow Analysis'!$H$233</f>
        <v/>
      </c>
    </row>
    <row r="40" spans="2:9" ht="13.8" thickBot="1" x14ac:dyDescent="0.3">
      <c r="B40" s="626" t="str">
        <f>IF('Cash Flow Analysis'!$I$131=0,"",'Cash Flow Analysis'!$I$131)</f>
        <v/>
      </c>
      <c r="C40" s="627" t="str">
        <f>IF($B$40="","",$E$40*$F$40*$H$40)</f>
        <v/>
      </c>
      <c r="D40" s="627" t="str">
        <f>IF($B40="","",$C40*1000*MJ_to_kWh)</f>
        <v/>
      </c>
      <c r="E40" s="628" t="str">
        <f>IF($B40&lt;&gt;"",VLOOKUP($B40,MASTER_PROPERTY_TABLE,MATCH("H2A LHV (GJ/ H2A usage input unit)",key_MPTable,0),FALSE),"")</f>
        <v/>
      </c>
      <c r="F40" s="628" t="str">
        <f>IF('Cash Flow Analysis'!$I$133="","",'Cash Flow Analysis'!$I$133)</f>
        <v/>
      </c>
      <c r="G40" s="629" t="str">
        <f>IF($B$40&lt;&gt;"",VLOOKUP($B$40,MASTER_PROPERTY_TABLE,MATCH("H2A Usage Input Unit/ kg H2",key_MPTable,0),FALSE),"")</f>
        <v/>
      </c>
      <c r="H40" s="629" t="str">
        <f>IF($B$40="","",IF(VLOOKUP($B$40,MASTER_PROPERTY_TABLE,MATCH("Unit System",key_MPTable,0),FALSE)="English",mmBTU_to_GJ,1))</f>
        <v/>
      </c>
      <c r="I40" s="1006" t="str">
        <f>+'Cash Flow Analysis'!$I$233</f>
        <v/>
      </c>
    </row>
    <row r="41" spans="2:9" ht="13.8" x14ac:dyDescent="0.25">
      <c r="B41" s="630" t="s">
        <v>397</v>
      </c>
      <c r="C41" s="631"/>
      <c r="D41" s="631"/>
      <c r="E41" s="537"/>
      <c r="F41" s="537"/>
      <c r="G41" s="538"/>
      <c r="H41" s="538"/>
      <c r="I41" s="539"/>
    </row>
    <row r="42" spans="2:9" ht="13.8" thickBot="1" x14ac:dyDescent="0.3">
      <c r="B42" s="526" t="str">
        <f>IF('Cash Flow Analysis'!$J$131=0,"",'Cash Flow Analysis'!$J$131)</f>
        <v/>
      </c>
      <c r="C42" s="595" t="str">
        <f>IF($B$42="","",$E$42*$F$42*$H$42)</f>
        <v/>
      </c>
      <c r="D42" s="595" t="str">
        <f>IF($B42="","",$C42*1000*MJ_to_kWh)</f>
        <v/>
      </c>
      <c r="E42" s="536" t="str">
        <f>IF($B42&lt;&gt;"",VLOOKUP($B42,MASTER_PROPERTY_TABLE,MATCH("H2A LHV (GJ/ H2A usage input unit)",key_MPTable,0),FALSE),"")</f>
        <v/>
      </c>
      <c r="F42" s="536">
        <f>CO2_CashFlow_eUse</f>
        <v>0</v>
      </c>
      <c r="G42" s="534" t="str">
        <f>IF($B$42&lt;&gt;"",VLOOKUP($B$42,MASTER_PROPERTY_TABLE,MATCH("H2A Usage Input Unit/ kg H2",key_MPTable,0),FALSE),"")</f>
        <v/>
      </c>
      <c r="H42" s="534" t="str">
        <f>IF($B42="","",IF(VLOOKUP($B42,MASTER_PROPERTY_TABLE,MATCH("Unit System",key_MPTable,0),FALSE)="English",mmBTU_to_GJ,1))</f>
        <v/>
      </c>
      <c r="I42" s="535"/>
    </row>
    <row r="43" spans="2:9" ht="42.6" thickTop="1" thickBot="1" x14ac:dyDescent="0.3">
      <c r="B43" s="614"/>
      <c r="C43" s="615" t="s">
        <v>911</v>
      </c>
      <c r="D43" s="616" t="s">
        <v>983</v>
      </c>
      <c r="E43" s="617" t="s">
        <v>697</v>
      </c>
      <c r="F43" s="615" t="s">
        <v>903</v>
      </c>
      <c r="G43" s="617" t="s">
        <v>904</v>
      </c>
      <c r="H43" s="617" t="s">
        <v>921</v>
      </c>
      <c r="I43" s="618"/>
    </row>
    <row r="44" spans="2:9" x14ac:dyDescent="0.25">
      <c r="B44" s="527" t="s">
        <v>912</v>
      </c>
      <c r="C44" s="595">
        <f>kgH2_to_GJ</f>
        <v>0.12021163829516093</v>
      </c>
      <c r="D44" s="595">
        <f>IF($B44="","",$C44*1000*MJ_to_kWh)</f>
        <v>33.392121748655818</v>
      </c>
      <c r="E44" s="536">
        <f>kgH2_to_GJ</f>
        <v>0.12021163829516093</v>
      </c>
      <c r="F44" s="536">
        <v>1</v>
      </c>
      <c r="G44" s="534" t="s">
        <v>267</v>
      </c>
      <c r="H44" s="534">
        <v>1</v>
      </c>
      <c r="I44" s="535"/>
    </row>
    <row r="45" spans="2:9" ht="13.8" thickBot="1" x14ac:dyDescent="0.3">
      <c r="B45" s="527"/>
      <c r="C45" s="596"/>
      <c r="D45" s="596"/>
      <c r="E45" s="536"/>
      <c r="F45" s="536"/>
      <c r="G45" s="534"/>
      <c r="H45" s="534"/>
      <c r="I45" s="535"/>
    </row>
    <row r="46" spans="2:9" ht="13.8" x14ac:dyDescent="0.25">
      <c r="B46" s="630" t="s">
        <v>907</v>
      </c>
      <c r="C46" s="631"/>
      <c r="D46" s="631"/>
      <c r="E46" s="537"/>
      <c r="F46" s="537"/>
      <c r="G46" s="538"/>
      <c r="H46" s="538"/>
      <c r="I46" s="539"/>
    </row>
    <row r="47" spans="2:9" x14ac:dyDescent="0.25">
      <c r="B47" s="573" t="str">
        <f>IF('Cash Flow Analysis'!$K$131=0,"",'Cash Flow Analysis'!$K$131)</f>
        <v/>
      </c>
      <c r="C47" s="623" t="str">
        <f>IF($B$47="","",$E$47*$F$47*$H$47)</f>
        <v/>
      </c>
      <c r="D47" s="623" t="str">
        <f>IF($B47="","",$C47*1000*MJ_to_kWh)</f>
        <v/>
      </c>
      <c r="E47" s="577" t="str">
        <f>IF($B47&lt;&gt;"",VLOOKUP($B47,MASTER_PROPERTY_TABLE,MATCH("H2A LHV (GJ/ H2A usage input unit)",key_MPTable,0),FALSE),"")</f>
        <v/>
      </c>
      <c r="F47" s="577" t="str">
        <f>IF('Cash Flow Analysis'!$K$133="","",'Cash Flow Analysis'!$K$133)</f>
        <v/>
      </c>
      <c r="G47" s="624" t="str">
        <f>IF($B$47&lt;&gt;"",VLOOKUP($B$47,MASTER_PROPERTY_TABLE,MATCH("H2A Usage Input Unit/ kg H2",key_MPTable,0),FALSE),"")</f>
        <v/>
      </c>
      <c r="H47" s="624" t="str">
        <f>IF($B$47="","",IF(VLOOKUP($B$47,MASTER_PROPERTY_TABLE,MATCH("Unit System",key_MPTable,0),FALSE)="English",mmBTU_to_GJ,1))</f>
        <v/>
      </c>
      <c r="I47" s="625" t="str">
        <f>+'Cash Flow Analysis'!$K$233</f>
        <v/>
      </c>
    </row>
    <row r="48" spans="2:9" x14ac:dyDescent="0.25">
      <c r="B48" s="573" t="str">
        <f>IF('Cash Flow Analysis'!$L$131=0,"",'Cash Flow Analysis'!$L$131)</f>
        <v/>
      </c>
      <c r="C48" s="623" t="str">
        <f>IF($B$48="","",$E$48*$F$48*$H$48)</f>
        <v/>
      </c>
      <c r="D48" s="623" t="str">
        <f>IF($B48="","",$C48*1000*MJ_to_kWh)</f>
        <v/>
      </c>
      <c r="E48" s="577" t="str">
        <f>IF($B48&lt;&gt;"",VLOOKUP($B48,MASTER_PROPERTY_TABLE,MATCH("H2A LHV (GJ/ H2A usage input unit)",key_MPTable,0),FALSE),"")</f>
        <v/>
      </c>
      <c r="F48" s="577" t="str">
        <f>IF('Cash Flow Analysis'!$L$133="","",'Cash Flow Analysis'!$L$133)</f>
        <v/>
      </c>
      <c r="G48" s="624" t="str">
        <f>IF($B$48&lt;&gt;"",VLOOKUP($B$48,MASTER_PROPERTY_TABLE,MATCH("H2A Usage Input Unit/ kg H2",key_MPTable,0),FALSE),"")</f>
        <v/>
      </c>
      <c r="H48" s="624" t="str">
        <f>IF($B$48="","",IF(VLOOKUP($B$48,MASTER_PROPERTY_TABLE,MATCH("Unit System",key_MPTable,0),FALSE)="English",mmBTU_to_GJ,1))</f>
        <v/>
      </c>
      <c r="I48" s="625" t="str">
        <f>+'Cash Flow Analysis'!$L$233</f>
        <v/>
      </c>
    </row>
    <row r="49" spans="2:9" x14ac:dyDescent="0.25">
      <c r="B49" s="573" t="str">
        <f>IF('Cash Flow Analysis'!$M$131=0,"",'Cash Flow Analysis'!$M$131)</f>
        <v/>
      </c>
      <c r="C49" s="623" t="str">
        <f>IF($B$49="","",$E$49*$F$49*$H$49)</f>
        <v/>
      </c>
      <c r="D49" s="623" t="str">
        <f>IF($B49="","",$C49*1000*MJ_to_kWh)</f>
        <v/>
      </c>
      <c r="E49" s="577" t="str">
        <f>IF($B49&lt;&gt;"",VLOOKUP($B49,MASTER_PROPERTY_TABLE,MATCH("H2A LHV (GJ/ H2A usage input unit)",key_MPTable,0),FALSE),"")</f>
        <v/>
      </c>
      <c r="F49" s="577" t="str">
        <f>IF('Cash Flow Analysis'!$M$133="","",'Cash Flow Analysis'!$M$133)</f>
        <v/>
      </c>
      <c r="G49" s="624" t="str">
        <f>IF($B$49&lt;&gt;"",VLOOKUP($B$49,MASTER_PROPERTY_TABLE,MATCH("H2A Usage Input Unit/ kg H2",key_MPTable,0),FALSE),"")</f>
        <v/>
      </c>
      <c r="H49" s="624" t="str">
        <f>IF($B$49="","",IF(VLOOKUP($B$49,MASTER_PROPERTY_TABLE,MATCH("Unit System",key_MPTable,0),FALSE)="English",mmBTU_to_GJ,1))</f>
        <v/>
      </c>
      <c r="I49" s="625" t="str">
        <f>+'Cash Flow Analysis'!$M$233</f>
        <v/>
      </c>
    </row>
    <row r="50" spans="2:9" ht="13.8" thickBot="1" x14ac:dyDescent="0.3">
      <c r="B50" s="574" t="str">
        <f>IF('Cash Flow Analysis'!$N$131=0,"",'Cash Flow Analysis'!$N$131)</f>
        <v/>
      </c>
      <c r="C50" s="632" t="str">
        <f>IF($B$50="","",$E$50*$F$50*$H$50)</f>
        <v/>
      </c>
      <c r="D50" s="632" t="str">
        <f>IF($B50="","",$C50*1000*MJ_to_kWh)</f>
        <v/>
      </c>
      <c r="E50" s="588" t="str">
        <f>IF($B50&lt;&gt;"",VLOOKUP($B50,MASTER_PROPERTY_TABLE,MATCH("H2A LHV (GJ/ H2A usage input unit)",key_MPTable,0),FALSE),"")</f>
        <v/>
      </c>
      <c r="F50" s="588" t="str">
        <f>IF('Cash Flow Analysis'!$N$133="","",'Cash Flow Analysis'!$N$133)</f>
        <v/>
      </c>
      <c r="G50" s="633" t="str">
        <f>IF($B$50&lt;&gt;"",VLOOKUP($B$50,MASTER_PROPERTY_TABLE,MATCH("H2A Usage Input Unit/ kg H2",key_MPTable,0),FALSE),"")</f>
        <v/>
      </c>
      <c r="H50" s="633" t="str">
        <f>IF($B$50="","",IF(VLOOKUP($B$50,MASTER_PROPERTY_TABLE,MATCH("Unit System",key_MPTable,0),FALSE)="English",mmBTU_to_GJ,1))</f>
        <v/>
      </c>
      <c r="I50" s="634" t="str">
        <f>+'Cash Flow Analysis'!$N$233</f>
        <v/>
      </c>
    </row>
    <row r="51" spans="2:9" ht="14.4" thickTop="1" thickBot="1" x14ac:dyDescent="0.3"/>
    <row r="52" spans="2:9" ht="16.2" thickBot="1" x14ac:dyDescent="0.35">
      <c r="B52" s="1590" t="s">
        <v>391</v>
      </c>
      <c r="C52" s="1591"/>
      <c r="D52" s="306">
        <f ca="1">(C56+C57)/(C53+C54+C55)</f>
        <v>0.71400759534616531</v>
      </c>
      <c r="F52" s="28"/>
    </row>
    <row r="53" spans="2:9" ht="26.4" x14ac:dyDescent="0.25">
      <c r="B53" s="484" t="s">
        <v>586</v>
      </c>
      <c r="C53" s="485">
        <f ca="1">SUM(C32:C35)</f>
        <v>0.16836184807933297</v>
      </c>
      <c r="D53" s="486"/>
    </row>
    <row r="54" spans="2:9" x14ac:dyDescent="0.25">
      <c r="B54" s="487" t="s">
        <v>587</v>
      </c>
      <c r="C54" s="488">
        <f>SUM(C37:C40)</f>
        <v>0</v>
      </c>
      <c r="D54" s="489"/>
    </row>
    <row r="55" spans="2:9" ht="26.4" x14ac:dyDescent="0.25">
      <c r="B55" s="487" t="s">
        <v>392</v>
      </c>
      <c r="C55" s="488">
        <f>IF(C42="",0,C42)</f>
        <v>0</v>
      </c>
      <c r="D55" s="489"/>
    </row>
    <row r="56" spans="2:9" x14ac:dyDescent="0.25">
      <c r="B56" s="487" t="s">
        <v>588</v>
      </c>
      <c r="C56" s="488">
        <f>C44</f>
        <v>0.12021163829516093</v>
      </c>
      <c r="D56" s="489"/>
    </row>
    <row r="57" spans="2:9" ht="27" thickBot="1" x14ac:dyDescent="0.3">
      <c r="B57" s="490" t="s">
        <v>589</v>
      </c>
      <c r="C57" s="491">
        <f>SUM(C47:C50)</f>
        <v>0</v>
      </c>
      <c r="D57" s="492"/>
    </row>
    <row r="58" spans="2:9" ht="13.8" thickBot="1" x14ac:dyDescent="0.3"/>
    <row r="59" spans="2:9" ht="16.8" thickTop="1" thickBot="1" x14ac:dyDescent="0.35">
      <c r="B59" s="1581" t="s">
        <v>393</v>
      </c>
      <c r="C59" s="1582"/>
      <c r="D59" s="524"/>
      <c r="E59" s="543"/>
    </row>
    <row r="60" spans="2:9" x14ac:dyDescent="0.25">
      <c r="B60" s="527" t="s">
        <v>247</v>
      </c>
      <c r="C60" s="493" t="s">
        <v>394</v>
      </c>
      <c r="D60" s="493" t="s">
        <v>395</v>
      </c>
      <c r="E60" s="544" t="s">
        <v>396</v>
      </c>
    </row>
    <row r="61" spans="2:9" x14ac:dyDescent="0.25">
      <c r="B61" s="526" t="str">
        <f>B32</f>
        <v>Industrial Natural Gas</v>
      </c>
      <c r="C61" s="591">
        <f ca="1">IF($B61="","",$C32/1000000*VLOOKUP($B61,Tbl_Emissions,3,FALSE))</f>
        <v>0.17958612561147919</v>
      </c>
      <c r="D61" s="591">
        <f ca="1">IF($B61="","",$C32/1000000*VLOOKUP($B61,Tbl_Emissions,4,FALSE))</f>
        <v>0.17948750610263159</v>
      </c>
      <c r="E61" s="592">
        <f ca="1">IF($B61="","",$C32/1000000*VLOOKUP($B61,Tbl_Emissions,5,FALSE))</f>
        <v>6.561155923630813E-4</v>
      </c>
    </row>
    <row r="62" spans="2:9" x14ac:dyDescent="0.25">
      <c r="B62" s="526" t="str">
        <f>B33</f>
        <v>Commercial Electricity</v>
      </c>
      <c r="C62" s="591">
        <f ca="1">IF($B62="","",$C33/1000000*VLOOKUP($B62,Tbl_Emissions,3,FALSE))</f>
        <v>7.3406519999999996E-3</v>
      </c>
      <c r="D62" s="591">
        <f ca="1">IF($B62="","",$C33/1000000*VLOOKUP($B62,Tbl_Emissions,4,FALSE))</f>
        <v>5.7158783999999999E-3</v>
      </c>
      <c r="E62" s="592">
        <f ca="1">IF($B62="","",$C33/1000000*VLOOKUP($B62,Tbl_Emissions,5,FALSE))</f>
        <v>1.0153836E-4</v>
      </c>
    </row>
    <row r="63" spans="2:9" x14ac:dyDescent="0.25">
      <c r="B63" s="526" t="str">
        <f>B34</f>
        <v/>
      </c>
      <c r="C63" s="591" t="str">
        <f>IF($B63="","",$C34/1000000*VLOOKUP($B63,Tbl_Emissions,3,FALSE))</f>
        <v/>
      </c>
      <c r="D63" s="591" t="str">
        <f>IF($B63="","",$C34/1000000*VLOOKUP($B63,Tbl_Emissions,4,FALSE))</f>
        <v/>
      </c>
      <c r="E63" s="592" t="str">
        <f>IF($B63="","",$C34/1000000*VLOOKUP($B63,Tbl_Emissions,5,FALSE))</f>
        <v/>
      </c>
    </row>
    <row r="64" spans="2:9" x14ac:dyDescent="0.25">
      <c r="B64" s="526" t="str">
        <f>B35</f>
        <v/>
      </c>
      <c r="C64" s="591" t="str">
        <f>IF($B64="","",$C35/1000000*VLOOKUP($B64,Tbl_Emissions,3,FALSE))</f>
        <v/>
      </c>
      <c r="D64" s="591" t="str">
        <f>IF($B64="","",$C35/1000000*VLOOKUP($B64,Tbl_Emissions,4,FALSE))</f>
        <v/>
      </c>
      <c r="E64" s="592" t="str">
        <f>IF($B64="","",$C35/1000000*VLOOKUP($B64,Tbl_Emissions,5,FALSE))</f>
        <v/>
      </c>
    </row>
    <row r="65" spans="2:7" x14ac:dyDescent="0.25">
      <c r="B65" s="527" t="s">
        <v>270</v>
      </c>
      <c r="C65" s="635"/>
      <c r="D65" s="635"/>
      <c r="E65" s="636"/>
    </row>
    <row r="66" spans="2:7" x14ac:dyDescent="0.25">
      <c r="B66" s="526" t="str">
        <f>B37</f>
        <v/>
      </c>
      <c r="C66" s="591" t="str">
        <f>IF($B66="","",$C37/1000000*VLOOKUP($B66,Tbl_Emissions,3,FALSE))</f>
        <v/>
      </c>
      <c r="D66" s="591" t="str">
        <f>IF($B66="","",$C37/1000000*VLOOKUP($B66,Tbl_Emissions,4,FALSE))</f>
        <v/>
      </c>
      <c r="E66" s="592" t="str">
        <f>IF($B66="","",$C37/1000000*VLOOKUP($B66,Tbl_Emissions,5,FALSE))</f>
        <v/>
      </c>
    </row>
    <row r="67" spans="2:7" x14ac:dyDescent="0.25">
      <c r="B67" s="526" t="str">
        <f>B38</f>
        <v/>
      </c>
      <c r="C67" s="591" t="str">
        <f>IF($B67="","",$C38/1000000*VLOOKUP($B67,Tbl_Emissions,3,FALSE))</f>
        <v/>
      </c>
      <c r="D67" s="591" t="str">
        <f>IF($B67="","",$C38/1000000*VLOOKUP($B67,Tbl_Emissions,4,FALSE))</f>
        <v/>
      </c>
      <c r="E67" s="592" t="str">
        <f>IF($B67="","",$C38/1000000*VLOOKUP($B67,Tbl_Emissions,5,FALSE))</f>
        <v/>
      </c>
    </row>
    <row r="68" spans="2:7" x14ac:dyDescent="0.25">
      <c r="B68" s="526" t="str">
        <f>B39</f>
        <v/>
      </c>
      <c r="C68" s="591" t="str">
        <f>IF($B68="","",$C39/1000000*VLOOKUP($B68,Tbl_Emissions,3,FALSE))</f>
        <v/>
      </c>
      <c r="D68" s="591" t="str">
        <f>IF($B68="","",$C39/1000000*VLOOKUP($B68,Tbl_Emissions,4,FALSE))</f>
        <v/>
      </c>
      <c r="E68" s="592" t="str">
        <f>IF($B68="","",$C39/1000000*VLOOKUP($B68,Tbl_Emissions,5,FALSE))</f>
        <v/>
      </c>
    </row>
    <row r="69" spans="2:7" x14ac:dyDescent="0.25">
      <c r="B69" s="526" t="str">
        <f>B40</f>
        <v/>
      </c>
      <c r="C69" s="591" t="str">
        <f>IF($B69="","",$C40/1000000*VLOOKUP($B69,Tbl_Emissions,3,FALSE))</f>
        <v/>
      </c>
      <c r="D69" s="591" t="str">
        <f>IF($B69="","",$C40/1000000*VLOOKUP($B69,Tbl_Emissions,4,FALSE))</f>
        <v/>
      </c>
      <c r="E69" s="592" t="str">
        <f>IF($B69="","",$C40/1000000*VLOOKUP($B69,Tbl_Emissions,5,FALSE))</f>
        <v/>
      </c>
    </row>
    <row r="70" spans="2:7" x14ac:dyDescent="0.25">
      <c r="B70" s="637" t="s">
        <v>397</v>
      </c>
      <c r="C70" s="635"/>
      <c r="D70" s="635"/>
      <c r="E70" s="636"/>
    </row>
    <row r="71" spans="2:7" ht="13.8" thickBot="1" x14ac:dyDescent="0.3">
      <c r="B71" s="528" t="str">
        <f>B42</f>
        <v/>
      </c>
      <c r="C71" s="593" t="str">
        <f>IF($B71="","",$C42/1000000*VLOOKUP($B71,Tbl_Emissions,3,FALSE))</f>
        <v/>
      </c>
      <c r="D71" s="593" t="str">
        <f>IF($B71="","",$C42/1000000*VLOOKUP($B71,Tbl_Emissions,4,FALSE))</f>
        <v/>
      </c>
      <c r="E71" s="594" t="str">
        <f>IF($B71="","",$C42/1000000*VLOOKUP($B71,Tbl_Emissions,5,FALSE))</f>
        <v/>
      </c>
    </row>
    <row r="72" spans="2:7" ht="13.8" thickTop="1" x14ac:dyDescent="0.25"/>
    <row r="74" spans="2:7" ht="21" x14ac:dyDescent="0.5">
      <c r="B74" s="310" t="s">
        <v>398</v>
      </c>
    </row>
    <row r="75" spans="2:7" ht="13.8" thickBot="1" x14ac:dyDescent="0.3"/>
    <row r="76" spans="2:7" ht="16.8" thickTop="1" thickBot="1" x14ac:dyDescent="0.35">
      <c r="B76" s="597" t="s">
        <v>399</v>
      </c>
      <c r="C76" s="598"/>
      <c r="D76" s="599" t="s">
        <v>400</v>
      </c>
      <c r="E76" s="600" t="s">
        <v>401</v>
      </c>
      <c r="F76" s="600" t="s">
        <v>402</v>
      </c>
      <c r="G76" s="601" t="s">
        <v>403</v>
      </c>
    </row>
    <row r="77" spans="2:7" x14ac:dyDescent="0.25">
      <c r="B77" s="1585" t="s">
        <v>529</v>
      </c>
      <c r="C77" s="1586"/>
      <c r="D77" s="603">
        <f ca="1">C121</f>
        <v>1.5536399657911644</v>
      </c>
      <c r="E77" s="607">
        <f ca="1">D121</f>
        <v>3.1224547405616122E-2</v>
      </c>
      <c r="F77" s="607">
        <f ca="1">E121</f>
        <v>1.5059655164084595E-4</v>
      </c>
      <c r="G77" s="608">
        <f ca="1">F121</f>
        <v>2.3791314233205396</v>
      </c>
    </row>
    <row r="78" spans="2:7" x14ac:dyDescent="0.25">
      <c r="B78" s="1583" t="s">
        <v>528</v>
      </c>
      <c r="C78" s="1584"/>
      <c r="D78" s="604">
        <f ca="1">D89</f>
        <v>9.2563183954344801</v>
      </c>
      <c r="E78" s="609">
        <f ca="1">E89</f>
        <v>0</v>
      </c>
      <c r="F78" s="609">
        <f ca="1">F89</f>
        <v>0</v>
      </c>
      <c r="G78" s="610">
        <f ca="1">G89</f>
        <v>9.2563183954344801</v>
      </c>
    </row>
    <row r="79" spans="2:7" x14ac:dyDescent="0.25">
      <c r="B79" s="1583"/>
      <c r="C79" s="1584"/>
      <c r="D79" s="605"/>
      <c r="E79" s="455"/>
      <c r="F79" s="455"/>
      <c r="G79" s="611"/>
    </row>
    <row r="80" spans="2:7" ht="13.8" thickBot="1" x14ac:dyDescent="0.3">
      <c r="B80" s="1587" t="s">
        <v>530</v>
      </c>
      <c r="C80" s="1588"/>
      <c r="D80" s="606">
        <f ca="1">SUM(D77:D79)</f>
        <v>10.809958361225645</v>
      </c>
      <c r="E80" s="612">
        <f ca="1">SUM(E77:E79)</f>
        <v>3.1224547405616122E-2</v>
      </c>
      <c r="F80" s="612">
        <f ca="1">SUM(F77:F79)</f>
        <v>1.5059655164084595E-4</v>
      </c>
      <c r="G80" s="613">
        <f ca="1">SUM(G77:G79)</f>
        <v>11.635449818755021</v>
      </c>
    </row>
    <row r="81" spans="2:7" ht="14.4" thickTop="1" thickBot="1" x14ac:dyDescent="0.3"/>
    <row r="82" spans="2:7" ht="16.8" thickTop="1" thickBot="1" x14ac:dyDescent="0.35">
      <c r="B82" s="408" t="s">
        <v>525</v>
      </c>
      <c r="C82" s="409"/>
      <c r="D82" s="561" t="s">
        <v>400</v>
      </c>
      <c r="E82" s="562" t="s">
        <v>401</v>
      </c>
      <c r="F82" s="562" t="s">
        <v>402</v>
      </c>
      <c r="G82" s="563" t="s">
        <v>403</v>
      </c>
    </row>
    <row r="83" spans="2:7" x14ac:dyDescent="0.25">
      <c r="B83" s="1585" t="s">
        <v>234</v>
      </c>
      <c r="C83" s="1586"/>
      <c r="D83" s="564">
        <f ca="1">SUM(C95:C105)</f>
        <v>9.2563183954344801</v>
      </c>
      <c r="E83" s="564">
        <f ca="1">SUM(D95:D105)</f>
        <v>0</v>
      </c>
      <c r="F83" s="564">
        <f ca="1">SUM(E95:E105)</f>
        <v>0</v>
      </c>
      <c r="G83" s="565">
        <f ca="1">SUM(F95:F105)</f>
        <v>9.2563183954344801</v>
      </c>
    </row>
    <row r="84" spans="2:7" x14ac:dyDescent="0.25">
      <c r="B84" s="1583" t="s">
        <v>235</v>
      </c>
      <c r="C84" s="1584"/>
      <c r="D84" s="566">
        <f ca="1">ROUND(D83*output_kgyear/1000,-2)</f>
        <v>4400</v>
      </c>
      <c r="E84" s="566">
        <f ca="1">ROUND(E83*output_kgyear/1000,-2)</f>
        <v>0</v>
      </c>
      <c r="F84" s="566">
        <f ca="1">ROUND(F83*output_kgyear/1000,-2)</f>
        <v>0</v>
      </c>
      <c r="G84" s="567">
        <f ca="1">ROUND(G83*output_kgyear/1000,-2)</f>
        <v>4400</v>
      </c>
    </row>
    <row r="85" spans="2:7" x14ac:dyDescent="0.25">
      <c r="B85" s="1583" t="s">
        <v>236</v>
      </c>
      <c r="C85" s="1584"/>
      <c r="D85" s="568">
        <f ca="1">SUM(C95:C98)</f>
        <v>9.2563183954344801</v>
      </c>
      <c r="E85" s="568">
        <f ca="1">SUM(D95:D98)</f>
        <v>0</v>
      </c>
      <c r="F85" s="568">
        <f ca="1">SUM(E95:E98)</f>
        <v>0</v>
      </c>
      <c r="G85" s="569">
        <f ca="1">SUM(F95:F98)</f>
        <v>9.2563183954344801</v>
      </c>
    </row>
    <row r="86" spans="2:7" x14ac:dyDescent="0.25">
      <c r="B86" s="1583" t="s">
        <v>237</v>
      </c>
      <c r="C86" s="1584"/>
      <c r="D86" s="566">
        <f ca="1">ROUND(D85*output_kgyear/1000,-2)</f>
        <v>4400</v>
      </c>
      <c r="E86" s="566">
        <f ca="1">ROUND(E85*output_kgyear/1000,-2)</f>
        <v>0</v>
      </c>
      <c r="F86" s="566">
        <f ca="1">ROUND(F85*output_kgyear/1000,-2)</f>
        <v>0</v>
      </c>
      <c r="G86" s="567">
        <f ca="1">ROUND(G85*output_kgyear/1000,-2)</f>
        <v>4400</v>
      </c>
    </row>
    <row r="87" spans="2:7" x14ac:dyDescent="0.25">
      <c r="B87" s="676" t="s">
        <v>239</v>
      </c>
      <c r="C87" s="677"/>
      <c r="D87" s="696">
        <f>IF(CO2_CashFlow_eUse&gt;0,D85*CO2_Capture_Efficiency,0)</f>
        <v>0</v>
      </c>
      <c r="E87" s="566"/>
      <c r="F87" s="566"/>
      <c r="G87" s="697"/>
    </row>
    <row r="88" spans="2:7" x14ac:dyDescent="0.25">
      <c r="B88" s="1583" t="s">
        <v>240</v>
      </c>
      <c r="C88" s="1584"/>
      <c r="D88" s="566">
        <f ca="1">ROUND(D87*output_kgyear/1000,-2)</f>
        <v>0</v>
      </c>
      <c r="E88" s="566"/>
      <c r="F88" s="566"/>
      <c r="G88" s="567"/>
    </row>
    <row r="89" spans="2:7" x14ac:dyDescent="0.25">
      <c r="B89" s="1583" t="s">
        <v>238</v>
      </c>
      <c r="C89" s="1584"/>
      <c r="D89" s="696">
        <f ca="1">D83-D87</f>
        <v>9.2563183954344801</v>
      </c>
      <c r="E89" s="566">
        <f ca="1">E83-E87</f>
        <v>0</v>
      </c>
      <c r="F89" s="566">
        <f ca="1">F83-F87</f>
        <v>0</v>
      </c>
      <c r="G89" s="697">
        <f ca="1">D89*GHG_CO2_factor + E89*GHG_CH4_factor + F89*GHG_N2O_factor</f>
        <v>9.2563183954344801</v>
      </c>
    </row>
    <row r="90" spans="2:7" ht="13.8" thickBot="1" x14ac:dyDescent="0.3">
      <c r="B90" s="1587" t="s">
        <v>1041</v>
      </c>
      <c r="C90" s="1588"/>
      <c r="D90" s="570">
        <f ca="1">ROUND(D89*output_kgyear/1000,-2)</f>
        <v>4400</v>
      </c>
      <c r="E90" s="570">
        <f ca="1">ROUND(E89*output_kgyear/1000,-2)</f>
        <v>0</v>
      </c>
      <c r="F90" s="570">
        <f ca="1">ROUND(F89*output_kgyear/1000,-2)</f>
        <v>0</v>
      </c>
      <c r="G90" s="571">
        <f ca="1">ROUND(G89*output_kgyear/1000,-2)</f>
        <v>4400</v>
      </c>
    </row>
    <row r="91" spans="2:7" ht="13.8" thickTop="1" x14ac:dyDescent="0.25">
      <c r="B91" t="s">
        <v>241</v>
      </c>
    </row>
    <row r="92" spans="2:7" ht="13.8" thickBot="1" x14ac:dyDescent="0.3"/>
    <row r="93" spans="2:7" ht="16.8" thickTop="1" thickBot="1" x14ac:dyDescent="0.35">
      <c r="B93" s="1581" t="s">
        <v>526</v>
      </c>
      <c r="C93" s="1582"/>
      <c r="D93" s="524"/>
      <c r="E93" s="524"/>
      <c r="F93" s="543"/>
    </row>
    <row r="94" spans="2:7" x14ac:dyDescent="0.25">
      <c r="B94" s="572" t="s">
        <v>247</v>
      </c>
      <c r="C94" s="575" t="s">
        <v>400</v>
      </c>
      <c r="D94" s="575" t="s">
        <v>401</v>
      </c>
      <c r="E94" s="575" t="s">
        <v>402</v>
      </c>
      <c r="F94" s="576" t="s">
        <v>403</v>
      </c>
    </row>
    <row r="95" spans="2:7" x14ac:dyDescent="0.25">
      <c r="B95" s="573" t="str">
        <f>B32</f>
        <v>Industrial Natural Gas</v>
      </c>
      <c r="C95" s="577">
        <f ca="1">IF($B95="","",VLOOKUP($B95,MASTER_PROPERTY_TABLE,MATCH("CO2 Emissions Factor (kg CO2 produced/GJ feed)",key_MPTable,0),FALSE)*$E32*$F32)</f>
        <v>9.2563183954344801</v>
      </c>
      <c r="D95" s="582">
        <f ca="1">IF($B95="","",VLOOKUP($B95,MASTER_PROPERTY_TABLE,MATCH("CH4 Emissions Factor (kg CH4 produced/GJ or mmBtu feed)",key_MPTable,0),FALSE)*$E32*$F32)</f>
        <v>0</v>
      </c>
      <c r="E95" s="582">
        <f ca="1">IF($B95="","",VLOOKUP($B95,MASTER_PROPERTY_TABLE,MATCH("N2O Emissions Factor (kg N2O produced/GJ or mmBtu feed)",key_MPTable,0),FALSE)*$E32*$F32)</f>
        <v>0</v>
      </c>
      <c r="F95" s="585">
        <f ca="1">IF($B95="","",$C95*GHG_CO2_factor+$D95*GHG_CH4_factor+$E95*GHG_N2O_factor)</f>
        <v>9.2563183954344801</v>
      </c>
    </row>
    <row r="96" spans="2:7" x14ac:dyDescent="0.25">
      <c r="B96" s="573" t="str">
        <f>B33</f>
        <v>Commercial Electricity</v>
      </c>
      <c r="C96" s="577">
        <f ca="1">IF($B96="","",VLOOKUP($B96,MASTER_PROPERTY_TABLE,MATCH("CO2 Emissions Factor (kg CO2 produced/GJ feed)",key_MPTable,0),FALSE)*$E33*$F33)</f>
        <v>0</v>
      </c>
      <c r="D96" s="582">
        <f ca="1">IF($B96="","",VLOOKUP($B96,MASTER_PROPERTY_TABLE,MATCH("CH4 Emissions Factor (kg CH4 produced/GJ or mmBtu feed)",key_MPTable,0),FALSE)*$E33*$F33)</f>
        <v>0</v>
      </c>
      <c r="E96" s="582">
        <f ca="1">IF($B96="","",VLOOKUP($B96,MASTER_PROPERTY_TABLE,MATCH("N2O Emissions Factor (kg N2O produced/GJ or mmBtu feed)",key_MPTable,0),FALSE)*$E33*$F33)</f>
        <v>0</v>
      </c>
      <c r="F96" s="585">
        <f ca="1">IF($B96="","",$C96*GHG_CO2_factor+$D96*GHG_CH4_factor+$E96*GHG_N2O_factor)</f>
        <v>0</v>
      </c>
    </row>
    <row r="97" spans="2:6" x14ac:dyDescent="0.25">
      <c r="B97" s="573" t="str">
        <f>B34</f>
        <v/>
      </c>
      <c r="C97" s="577" t="str">
        <f>IF($B97="","",VLOOKUP($B97,MASTER_PROPERTY_TABLE,MATCH("CO2 Emissions Factor (kg CO2 produced/GJ feed)",key_MPTable,0),FALSE)*$E34*$F34)</f>
        <v/>
      </c>
      <c r="D97" s="582" t="str">
        <f>IF($B97="","",VLOOKUP($B97,MASTER_PROPERTY_TABLE,MATCH("CH4 Emissions Factor (kg CH4 produced/GJ or mmBtu feed)",key_MPTable,0),FALSE)*$E34*$F34)</f>
        <v/>
      </c>
      <c r="E97" s="582" t="str">
        <f>IF($B97="","",VLOOKUP($B97,MASTER_PROPERTY_TABLE,MATCH("N2O Emissions Factor (kg N2O produced/GJ or mmBtu feed)",key_MPTable,0),FALSE)*$E34*$F34)</f>
        <v/>
      </c>
      <c r="F97" s="585" t="str">
        <f>IF($B97="","",$C97*GHG_CO2_factor+$D97*GHG_CH4_factor+$E97*GHG_N2O_factor)</f>
        <v/>
      </c>
    </row>
    <row r="98" spans="2:6" x14ac:dyDescent="0.25">
      <c r="B98" s="573" t="str">
        <f>B35</f>
        <v/>
      </c>
      <c r="C98" s="577" t="str">
        <f>IF($B98="","",VLOOKUP($B98,MASTER_PROPERTY_TABLE,MATCH("CO2 Emissions Factor (kg CO2 produced/GJ feed)",key_MPTable,0),FALSE)*$E35*$F35)</f>
        <v/>
      </c>
      <c r="D98" s="582" t="str">
        <f>IF($B98="","",VLOOKUP($B98,MASTER_PROPERTY_TABLE,MATCH("CH4 Emissions Factor (kg CH4 produced/GJ or mmBtu feed)",key_MPTable,0),FALSE)*$E35*$F35)</f>
        <v/>
      </c>
      <c r="E98" s="582" t="str">
        <f>IF($B98="","",VLOOKUP($B98,MASTER_PROPERTY_TABLE,MATCH("N2O Emissions Factor (kg N2O produced/GJ or mmBtu feed)",key_MPTable,0),FALSE)*$E35*$F35)</f>
        <v/>
      </c>
      <c r="F98" s="585" t="str">
        <f>IF($B98="","",$C98*GHG_CO2_factor+$D98*GHG_CH4_factor+$E98*GHG_N2O_factor)</f>
        <v/>
      </c>
    </row>
    <row r="99" spans="2:6" x14ac:dyDescent="0.25">
      <c r="B99" s="638" t="s">
        <v>270</v>
      </c>
      <c r="C99" s="639"/>
      <c r="D99" s="640"/>
      <c r="E99" s="640"/>
      <c r="F99" s="641"/>
    </row>
    <row r="100" spans="2:6" x14ac:dyDescent="0.25">
      <c r="B100" s="573" t="str">
        <f>B37</f>
        <v/>
      </c>
      <c r="C100" s="577" t="str">
        <f>IF($B100="","",VLOOKUP($B100,MASTER_PROPERTY_TABLE,MATCH("CO2 Emissions Factor (kg CO2 produced/GJ feed)",key_MPTable,0),FALSE)*$E37*$F37)</f>
        <v/>
      </c>
      <c r="D100" s="582" t="str">
        <f>IF($B100="","",VLOOKUP($B100,MASTER_PROPERTY_TABLE,MATCH("CH4 Emissions Factor (kg CH4 produced/GJ or mmBtu feed)",key_MPTable,0),FALSE)*$E37*$F37)</f>
        <v/>
      </c>
      <c r="E100" s="582" t="str">
        <f>IF($B100="","",VLOOKUP($B100,MASTER_PROPERTY_TABLE,MATCH("N2O Emissions Factor (kg N2O produced/GJ or mmBtu feed)",key_MPTable,0),FALSE)*$E37*$F37)</f>
        <v/>
      </c>
      <c r="F100" s="585" t="str">
        <f>IF($B100="","",$C100*GHG_CO2_factor+$D100*GHG_CH4_factor+$E100*GHG_N2O_factor)</f>
        <v/>
      </c>
    </row>
    <row r="101" spans="2:6" x14ac:dyDescent="0.25">
      <c r="B101" s="573" t="str">
        <f>B38</f>
        <v/>
      </c>
      <c r="C101" s="577" t="str">
        <f>IF($B101="","",VLOOKUP($B101,MASTER_PROPERTY_TABLE,MATCH("CO2 Emissions Factor (kg CO2 produced/GJ feed)",key_MPTable,0),FALSE)*$E38*$F38)</f>
        <v/>
      </c>
      <c r="D101" s="582" t="str">
        <f>IF($B101="","",VLOOKUP($B101,MASTER_PROPERTY_TABLE,MATCH("CH4 Emissions Factor (kg CH4 produced/GJ or mmBtu feed)",key_MPTable,0),FALSE)*$E38*$F38)</f>
        <v/>
      </c>
      <c r="E101" s="582" t="str">
        <f>IF($B101="","",VLOOKUP($B101,MASTER_PROPERTY_TABLE,MATCH("N2O Emissions Factor (kg N2O produced/GJ or mmBtu feed)",key_MPTable,0),FALSE)*$E38*$F38)</f>
        <v/>
      </c>
      <c r="F101" s="585" t="str">
        <f>IF($B101="","",$C101*GHG_CO2_factor+$D101*GHG_CH4_factor+$E101*GHG_N2O_factor)</f>
        <v/>
      </c>
    </row>
    <row r="102" spans="2:6" x14ac:dyDescent="0.25">
      <c r="B102" s="573" t="str">
        <f>B39</f>
        <v/>
      </c>
      <c r="C102" s="577" t="str">
        <f>IF($B102="","",VLOOKUP($B102,MASTER_PROPERTY_TABLE,MATCH("CO2 Emissions Factor (kg CO2 produced/GJ feed)",key_MPTable,0),FALSE)*$E39*$F39)</f>
        <v/>
      </c>
      <c r="D102" s="582" t="str">
        <f>IF($B102="","",VLOOKUP($B102,MASTER_PROPERTY_TABLE,MATCH("CH4 Emissions Factor (kg CH4 produced/GJ or mmBtu feed)",key_MPTable,0),FALSE)*$E39*$F39)</f>
        <v/>
      </c>
      <c r="E102" s="582" t="str">
        <f>IF($B102="","",VLOOKUP($B102,MASTER_PROPERTY_TABLE,MATCH("N2O Emissions Factor (kg N2O produced/GJ or mmBtu feed)",key_MPTable,0),FALSE)*$E39*$F39)</f>
        <v/>
      </c>
      <c r="F102" s="585" t="str">
        <f>IF($B102="","",$C102*GHG_CO2_factor+$D102*GHG_CH4_factor+$E102*GHG_N2O_factor)</f>
        <v/>
      </c>
    </row>
    <row r="103" spans="2:6" x14ac:dyDescent="0.25">
      <c r="B103" s="573" t="str">
        <f>B40</f>
        <v/>
      </c>
      <c r="C103" s="577" t="str">
        <f>IF($B103="","",VLOOKUP($B103,MASTER_PROPERTY_TABLE,MATCH("CO2 Emissions Factor (kg CO2 produced/GJ feed)",key_MPTable,0),FALSE)*$E40*$F40)</f>
        <v/>
      </c>
      <c r="D103" s="582" t="str">
        <f>IF($B103="","",VLOOKUP($B103,MASTER_PROPERTY_TABLE,MATCH("CH4 Emissions Factor (kg CH4 produced/GJ or mmBtu feed)",key_MPTable,0),FALSE)*$E40*$F40)</f>
        <v/>
      </c>
      <c r="E103" s="582" t="str">
        <f>IF($B103="","",VLOOKUP($B103,MASTER_PROPERTY_TABLE,MATCH("N2O Emissions Factor (kg N2O produced/GJ or mmBtu feed)",key_MPTable,0),FALSE)*$E40*$F40)</f>
        <v/>
      </c>
      <c r="F103" s="585" t="str">
        <f>IF($B103="","",$C103*GHG_CO2_factor+$D103*GHG_CH4_factor+$E103*GHG_N2O_factor)</f>
        <v/>
      </c>
    </row>
    <row r="104" spans="2:6" x14ac:dyDescent="0.25">
      <c r="B104" s="638" t="s">
        <v>397</v>
      </c>
      <c r="C104" s="639"/>
      <c r="D104" s="640"/>
      <c r="E104" s="640"/>
      <c r="F104" s="641"/>
    </row>
    <row r="105" spans="2:6" ht="13.8" thickBot="1" x14ac:dyDescent="0.3">
      <c r="B105" s="574" t="str">
        <f>B42</f>
        <v/>
      </c>
      <c r="C105" s="588" t="str">
        <f>IF($B105="","",VLOOKUP($B105,MASTER_PROPERTY_TABLE,MATCH("CO2 Emissions Factor (kg CO2 produced/GJ feed)",key_MPTable,0),FALSE)*$E42*$F42)</f>
        <v/>
      </c>
      <c r="D105" s="589" t="str">
        <f>IF($B105="","",VLOOKUP($B105,MASTER_PROPERTY_TABLE,MATCH("CH4 Emissions Factor (kg CH4 produced/GJ or mmBtu feed)",key_MPTable,0),FALSE)*$E42*$F42)</f>
        <v/>
      </c>
      <c r="E105" s="589" t="str">
        <f>IF($B105="","",VLOOKUP($B105,MASTER_PROPERTY_TABLE,MATCH("N2O Emissions Factor (kg N2O produced/GJ or mmBtu feed)",key_MPTable,0),FALSE)*$E42*$F42)</f>
        <v/>
      </c>
      <c r="F105" s="590" t="str">
        <f>IF($B105="","",$C105*GHG_CO2_factor+$D105*GHG_CH4_factor+$E105*GHG_N2O_factor)</f>
        <v/>
      </c>
    </row>
    <row r="106" spans="2:6" ht="13.8" thickTop="1" x14ac:dyDescent="0.25"/>
    <row r="107" spans="2:6" ht="13.8" thickBot="1" x14ac:dyDescent="0.3"/>
    <row r="108" spans="2:6" ht="16.8" thickTop="1" thickBot="1" x14ac:dyDescent="0.35">
      <c r="B108" s="1581" t="s">
        <v>1249</v>
      </c>
      <c r="C108" s="1582"/>
      <c r="D108" s="524"/>
      <c r="E108" s="524"/>
      <c r="F108" s="543"/>
    </row>
    <row r="109" spans="2:6" x14ac:dyDescent="0.25">
      <c r="B109" s="572" t="s">
        <v>247</v>
      </c>
      <c r="C109" s="575" t="s">
        <v>400</v>
      </c>
      <c r="D109" s="575" t="s">
        <v>401</v>
      </c>
      <c r="E109" s="575" t="s">
        <v>402</v>
      </c>
      <c r="F109" s="576" t="s">
        <v>403</v>
      </c>
    </row>
    <row r="110" spans="2:6" x14ac:dyDescent="0.25">
      <c r="B110" s="573" t="str">
        <f>B32</f>
        <v>Industrial Natural Gas</v>
      </c>
      <c r="C110" s="577">
        <f ca="1">IF($B110="","",$C32*VLOOKUP($B110,Tbl_Emissions,6,FALSE))</f>
        <v>0.95032388579116422</v>
      </c>
      <c r="D110" s="582">
        <f ca="1">IF($B110="","",$C32*VLOOKUP($B110,Tbl_Emissions,7,FALSE))</f>
        <v>3.0348674555216122E-2</v>
      </c>
      <c r="E110" s="582">
        <f ca="1">IF($B110="","",$C32*VLOOKUP($B110,Tbl_Emissions,8,FALSE))</f>
        <v>1.4164391324084595E-4</v>
      </c>
      <c r="F110" s="585">
        <f ca="1">IF($B110="","",$C110*GHG_CO2_factor+$D110*GHG_CH4_factor+$E110*GHG_N2O_factor)</f>
        <v>1.7512506358173394</v>
      </c>
    </row>
    <row r="111" spans="2:6" x14ac:dyDescent="0.25">
      <c r="B111" s="573" t="str">
        <f>B33</f>
        <v>Commercial Electricity</v>
      </c>
      <c r="C111" s="577">
        <f ca="1">IF($B111="","",$C33*VLOOKUP($B111,Tbl_Emissions,6,FALSE))</f>
        <v>0.60331608000000003</v>
      </c>
      <c r="D111" s="582">
        <f ca="1">IF($B111="","",$C33*VLOOKUP($B111,Tbl_Emissions,7,FALSE))</f>
        <v>8.7587285039999985E-4</v>
      </c>
      <c r="E111" s="582">
        <f ca="1">IF($B111="","",$C33*VLOOKUP($B111,Tbl_Emissions,8,FALSE))</f>
        <v>8.9526383999999983E-6</v>
      </c>
      <c r="F111" s="585">
        <f ca="1">IF($B111="","",$C111*GHG_CO2_factor+$D111*GHG_CH4_factor+$E111*GHG_N2O_factor)</f>
        <v>0.62788078750320009</v>
      </c>
    </row>
    <row r="112" spans="2:6" x14ac:dyDescent="0.25">
      <c r="B112" s="573" t="str">
        <f>B34</f>
        <v/>
      </c>
      <c r="C112" s="577" t="str">
        <f>IF($B112="","",$C34*VLOOKUP($B112,Tbl_Emissions,6,FALSE))</f>
        <v/>
      </c>
      <c r="D112" s="582" t="str">
        <f>IF($B112="","",$C34*VLOOKUP($B112,Tbl_Emissions,7,FALSE))</f>
        <v/>
      </c>
      <c r="E112" s="582" t="str">
        <f>IF($B112="","",$C34*VLOOKUP($B112,Tbl_Emissions,8,FALSE))</f>
        <v/>
      </c>
      <c r="F112" s="585" t="str">
        <f>IF($B112="","",$C112*GHG_CO2_factor+$D112*GHG_CH4_factor+$E112*GHG_N2O_factor)</f>
        <v/>
      </c>
    </row>
    <row r="113" spans="2:6" x14ac:dyDescent="0.25">
      <c r="B113" s="573" t="str">
        <f>B35</f>
        <v/>
      </c>
      <c r="C113" s="577" t="str">
        <f>IF($B113="","",$C35*VLOOKUP($B113,Tbl_Emissions,6,FALSE))</f>
        <v/>
      </c>
      <c r="D113" s="582" t="str">
        <f>IF($B113="","",$C35*VLOOKUP($B113,Tbl_Emissions,7,FALSE))</f>
        <v/>
      </c>
      <c r="E113" s="582" t="str">
        <f>IF($B113="","",$C35*VLOOKUP($B113,Tbl_Emissions,8,FALSE))</f>
        <v/>
      </c>
      <c r="F113" s="585" t="str">
        <f>IF($B113="","",$C113*GHG_CO2_factor+$D113*GHG_CH4_factor+$E113*GHG_N2O_factor)</f>
        <v/>
      </c>
    </row>
    <row r="114" spans="2:6" x14ac:dyDescent="0.25">
      <c r="B114" s="638" t="s">
        <v>270</v>
      </c>
      <c r="C114" s="639"/>
      <c r="D114" s="640"/>
      <c r="E114" s="640"/>
      <c r="F114" s="641"/>
    </row>
    <row r="115" spans="2:6" x14ac:dyDescent="0.25">
      <c r="B115" s="573" t="str">
        <f>B37</f>
        <v/>
      </c>
      <c r="C115" s="577" t="str">
        <f>IF($B115="","",$C37*VLOOKUP($B115,Tbl_Emissions,6,FALSE))</f>
        <v/>
      </c>
      <c r="D115" s="582" t="str">
        <f>IF($B115="","",$C37*VLOOKUP($B115,Tbl_Emissions,7,FALSE))</f>
        <v/>
      </c>
      <c r="E115" s="582" t="str">
        <f>IF($B115="","",$C37*VLOOKUP($B115,Tbl_Emissions,8,FALSE))</f>
        <v/>
      </c>
      <c r="F115" s="585" t="str">
        <f>IF($B115="","",$C115*GHG_CO2_factor+$D115*GHG_CH4_factor+$E115*GHG_N2O_factor)</f>
        <v/>
      </c>
    </row>
    <row r="116" spans="2:6" x14ac:dyDescent="0.25">
      <c r="B116" s="573" t="str">
        <f>B38</f>
        <v/>
      </c>
      <c r="C116" s="577" t="str">
        <f>IF($B116="","",$C38*VLOOKUP($B116,Tbl_Emissions,6,FALSE))</f>
        <v/>
      </c>
      <c r="D116" s="582" t="str">
        <f>IF($B116="","",$C38*VLOOKUP($B116,Tbl_Emissions,7,FALSE))</f>
        <v/>
      </c>
      <c r="E116" s="582" t="str">
        <f>IF($B116="","",$C38*VLOOKUP($B116,Tbl_Emissions,8,FALSE))</f>
        <v/>
      </c>
      <c r="F116" s="585" t="str">
        <f>IF($B116="","",$C116*GHG_CO2_factor+$D116*GHG_CH4_factor+$E116*GHG_N2O_factor)</f>
        <v/>
      </c>
    </row>
    <row r="117" spans="2:6" x14ac:dyDescent="0.25">
      <c r="B117" s="573" t="str">
        <f>B39</f>
        <v/>
      </c>
      <c r="C117" s="577" t="str">
        <f>IF($B117="","",$C39*VLOOKUP($B117,Tbl_Emissions,6,FALSE))</f>
        <v/>
      </c>
      <c r="D117" s="582" t="str">
        <f>IF($B117="","",$C39*VLOOKUP($B117,Tbl_Emissions,7,FALSE))</f>
        <v/>
      </c>
      <c r="E117" s="582" t="str">
        <f>IF($B117="","",$C39*VLOOKUP($B117,Tbl_Emissions,8,FALSE))</f>
        <v/>
      </c>
      <c r="F117" s="585" t="str">
        <f>IF($B117="","",$C117*GHG_CO2_factor+$D117*GHG_CH4_factor+$E117*GHG_N2O_factor)</f>
        <v/>
      </c>
    </row>
    <row r="118" spans="2:6" x14ac:dyDescent="0.25">
      <c r="B118" s="573" t="str">
        <f>B40</f>
        <v/>
      </c>
      <c r="C118" s="577" t="str">
        <f>IF($B118="","",$C40*VLOOKUP($B118,Tbl_Emissions,6,FALSE))</f>
        <v/>
      </c>
      <c r="D118" s="582" t="str">
        <f>IF($B118="","",$C40*VLOOKUP($B118,Tbl_Emissions,7,FALSE))</f>
        <v/>
      </c>
      <c r="E118" s="582" t="str">
        <f>IF($B118="","",$C40*VLOOKUP($B118,Tbl_Emissions,8,FALSE))</f>
        <v/>
      </c>
      <c r="F118" s="585" t="str">
        <f>IF($B118="","",$C118*GHG_CO2_factor+$D118*GHG_CH4_factor+$E118*GHG_N2O_factor)</f>
        <v/>
      </c>
    </row>
    <row r="119" spans="2:6" x14ac:dyDescent="0.25">
      <c r="B119" s="638" t="s">
        <v>397</v>
      </c>
      <c r="C119" s="639"/>
      <c r="D119" s="640"/>
      <c r="E119" s="640"/>
      <c r="F119" s="641"/>
    </row>
    <row r="120" spans="2:6" ht="13.8" thickBot="1" x14ac:dyDescent="0.3">
      <c r="B120" s="578" t="str">
        <f>B42</f>
        <v/>
      </c>
      <c r="C120" s="580" t="str">
        <f>IF($B120="","",$C42*VLOOKUP($B120,Tbl_Emissions,6,FALSE))</f>
        <v/>
      </c>
      <c r="D120" s="583" t="str">
        <f>IF($B120="","",$C42*VLOOKUP($B120,Tbl_Emissions,7,FALSE))</f>
        <v/>
      </c>
      <c r="E120" s="583" t="str">
        <f>IF($B120="","",$C42*VLOOKUP($B120,Tbl_Emissions,8,FALSE))</f>
        <v/>
      </c>
      <c r="F120" s="586" t="str">
        <f>IF($B120="","",$C120*GHG_CO2_factor+$D120*GHG_CH4_factor+$E120*GHG_N2O_factor)</f>
        <v/>
      </c>
    </row>
    <row r="121" spans="2:6" ht="13.8" thickBot="1" x14ac:dyDescent="0.3">
      <c r="B121" s="579" t="s">
        <v>531</v>
      </c>
      <c r="C121" s="581">
        <f ca="1">SUM(C110:C120)</f>
        <v>1.5536399657911644</v>
      </c>
      <c r="D121" s="584">
        <f ca="1">SUM(D110:D120)</f>
        <v>3.1224547405616122E-2</v>
      </c>
      <c r="E121" s="584">
        <f ca="1">SUM(E110:E120)</f>
        <v>1.5059655164084595E-4</v>
      </c>
      <c r="F121" s="587">
        <f ca="1">SUM(F110:F120)</f>
        <v>2.3791314233205396</v>
      </c>
    </row>
    <row r="122" spans="2:6" ht="13.8" thickTop="1" x14ac:dyDescent="0.25"/>
  </sheetData>
  <mergeCells count="18">
    <mergeCell ref="F17:H17"/>
    <mergeCell ref="F23:H23"/>
    <mergeCell ref="B30:C30"/>
    <mergeCell ref="B52:C52"/>
    <mergeCell ref="B93:C93"/>
    <mergeCell ref="B108:C108"/>
    <mergeCell ref="B86:C86"/>
    <mergeCell ref="B59:C59"/>
    <mergeCell ref="B77:C77"/>
    <mergeCell ref="B78:C78"/>
    <mergeCell ref="B79:C79"/>
    <mergeCell ref="B80:C80"/>
    <mergeCell ref="B90:C90"/>
    <mergeCell ref="B88:C88"/>
    <mergeCell ref="B83:C83"/>
    <mergeCell ref="B84:C84"/>
    <mergeCell ref="B85:C85"/>
    <mergeCell ref="B89:C89"/>
  </mergeCells>
  <phoneticPr fontId="3" type="noConversion"/>
  <conditionalFormatting sqref="F17:H17">
    <cfRule type="expression" dxfId="1" priority="1" stopIfTrue="1">
      <formula>"co2_inuse = ""Carbon Sequestration"""</formula>
    </cfRule>
    <cfRule type="expression" dxfId="0" priority="2" stopIfTrue="1">
      <formula>"if(co2_inuse = ""To Use Carbon Sequestration Click 'Link to Detail Sheet' in the Input Sheet Capital Cost Section"")"</formula>
    </cfRule>
  </conditionalFormatting>
  <hyperlinks>
    <hyperlink ref="B3" location="Results!B17" display="Specific Item Cost Calculation" xr:uid="{00000000-0004-0000-0800-000000000000}"/>
    <hyperlink ref="B4" location="Results!B30" display="Energy Data" xr:uid="{00000000-0004-0000-0800-000001000000}"/>
    <hyperlink ref="B5" location="Results!B52" display="Production Process Energy Efficiency" xr:uid="{00000000-0004-0000-0800-000002000000}"/>
    <hyperlink ref="B6" location="Results!B59" display="Upstream Energy Usage" xr:uid="{00000000-0004-0000-0800-000003000000}"/>
    <hyperlink ref="B7" location="Results!B76" display="Emissions Summary" xr:uid="{00000000-0004-0000-0800-000004000000}"/>
    <hyperlink ref="B8" location="Results!B82" display="Production Process GHG Emissions Summary" xr:uid="{00000000-0004-0000-0800-000005000000}"/>
    <hyperlink ref="B9" location="Results!B94" display="Production Process GHG Emissions" xr:uid="{00000000-0004-0000-0800-000006000000}"/>
    <hyperlink ref="B10" location="Results!B109" display="Upstream GHG Emissions" xr:uid="{00000000-0004-0000-0800-000007000000}"/>
  </hyperlinks>
  <printOptions horizontalCentered="1"/>
  <pageMargins left="0.75" right="0.75" top="0.75" bottom="0.75" header="0.5" footer="0.4"/>
  <pageSetup scale="80" orientation="landscape" r:id="rId1"/>
  <headerFooter alignWithMargins="0">
    <oddHeader>&amp;R&amp;D&amp;LCentral Biomass Gasification - Current Timeframe</oddHeader>
    <oddFooter>&amp;CPage 3 of 3</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rgb="FF99CCFF"/>
  </sheetPr>
  <dimension ref="A1:BU2250"/>
  <sheetViews>
    <sheetView workbookViewId="0"/>
  </sheetViews>
  <sheetFormatPr defaultRowHeight="13.2" x14ac:dyDescent="0.25"/>
  <cols>
    <col min="1" max="1" width="7.33203125" customWidth="1"/>
    <col min="2" max="2" width="35.5546875" customWidth="1"/>
    <col min="3" max="3" width="18.6640625" customWidth="1"/>
    <col min="4" max="6" width="20.6640625" customWidth="1"/>
    <col min="7" max="8" width="16.33203125" customWidth="1"/>
    <col min="9" max="9" width="16" bestFit="1" customWidth="1"/>
    <col min="10" max="15" width="12.33203125" customWidth="1"/>
    <col min="16" max="16" width="17.44140625" bestFit="1" customWidth="1"/>
    <col min="17" max="22" width="12.33203125" customWidth="1"/>
    <col min="23" max="23" width="18.44140625" customWidth="1"/>
    <col min="24" max="24" width="12.33203125" customWidth="1"/>
  </cols>
  <sheetData>
    <row r="1" spans="1:73" x14ac:dyDescent="0.25">
      <c r="A1" s="879"/>
      <c r="B1" s="879"/>
      <c r="C1" s="880"/>
      <c r="D1" s="879"/>
      <c r="E1" s="879"/>
      <c r="F1" s="880"/>
      <c r="G1" s="880"/>
      <c r="H1" s="879"/>
      <c r="I1" s="879"/>
      <c r="J1" s="879"/>
      <c r="K1" s="879"/>
      <c r="L1" s="879"/>
      <c r="M1" s="879"/>
      <c r="N1" s="879"/>
      <c r="O1" s="879"/>
      <c r="P1" s="879"/>
      <c r="Q1" s="879"/>
      <c r="R1" s="879"/>
      <c r="S1" s="879"/>
      <c r="T1" s="879"/>
      <c r="U1" s="879"/>
      <c r="V1" s="879"/>
      <c r="W1" s="879"/>
      <c r="X1" s="879"/>
      <c r="Y1" s="879"/>
      <c r="Z1" s="879"/>
      <c r="AA1" s="879"/>
      <c r="AB1" s="879"/>
      <c r="AC1" s="879"/>
      <c r="AD1" s="879"/>
      <c r="AE1" s="879"/>
      <c r="AF1" s="879"/>
      <c r="AG1" s="879"/>
      <c r="AH1" s="879"/>
      <c r="AI1" s="879"/>
      <c r="AJ1" s="879"/>
      <c r="AK1" s="879"/>
      <c r="AL1" s="879"/>
      <c r="AM1" s="879"/>
      <c r="AN1" s="879"/>
      <c r="AO1" s="879"/>
      <c r="AP1" s="879"/>
      <c r="AQ1" s="879"/>
      <c r="AR1" s="879"/>
      <c r="AS1" s="879"/>
      <c r="AT1" s="879"/>
      <c r="AU1" s="879"/>
      <c r="AV1" s="879"/>
      <c r="AW1" s="879"/>
      <c r="AX1" s="879"/>
      <c r="AY1" s="879"/>
      <c r="AZ1" s="879"/>
      <c r="BA1" s="879"/>
      <c r="BB1" s="879"/>
      <c r="BC1" s="879"/>
      <c r="BD1" s="879"/>
      <c r="BE1" s="879"/>
      <c r="BF1" s="879"/>
      <c r="BG1" s="879"/>
      <c r="BH1" s="879"/>
      <c r="BI1" s="879"/>
      <c r="BJ1" s="879"/>
      <c r="BK1" s="879"/>
      <c r="BL1" s="879"/>
      <c r="BM1" s="879"/>
      <c r="BN1" s="879"/>
      <c r="BO1" s="879"/>
      <c r="BP1" s="879"/>
      <c r="BQ1" s="879"/>
      <c r="BR1" s="879"/>
      <c r="BS1" s="879"/>
      <c r="BT1" s="879"/>
      <c r="BU1" s="879"/>
    </row>
    <row r="2" spans="1:73" ht="26.4" x14ac:dyDescent="0.25">
      <c r="A2" s="879"/>
      <c r="B2" s="890" t="s">
        <v>1116</v>
      </c>
      <c r="C2" s="890" t="s">
        <v>1115</v>
      </c>
      <c r="D2" s="890" t="s">
        <v>1182</v>
      </c>
      <c r="E2" s="890" t="s">
        <v>1183</v>
      </c>
      <c r="F2" s="890" t="s">
        <v>1119</v>
      </c>
      <c r="G2" s="890" t="s">
        <v>1120</v>
      </c>
      <c r="H2" s="890" t="s">
        <v>1121</v>
      </c>
      <c r="I2" s="890" t="s">
        <v>1122</v>
      </c>
      <c r="J2" s="880"/>
      <c r="K2" s="880"/>
      <c r="L2" s="879"/>
      <c r="M2" s="879"/>
      <c r="N2" s="879"/>
      <c r="O2" s="879"/>
      <c r="P2" s="879"/>
      <c r="Q2" s="879"/>
      <c r="R2" s="879"/>
      <c r="S2" s="879"/>
      <c r="T2" s="879"/>
      <c r="U2" s="879"/>
      <c r="V2" s="879"/>
      <c r="W2" s="879"/>
      <c r="X2" s="879"/>
      <c r="Y2" s="879"/>
      <c r="Z2" s="879"/>
      <c r="AA2" s="879"/>
      <c r="AB2" s="879"/>
      <c r="AC2" s="879"/>
      <c r="AD2" s="879"/>
      <c r="AE2" s="879"/>
      <c r="AF2" s="879"/>
      <c r="AG2" s="879"/>
      <c r="AH2" s="879"/>
      <c r="AI2" s="879"/>
      <c r="AJ2" s="879"/>
      <c r="AK2" s="879"/>
      <c r="AL2" s="879"/>
      <c r="AM2" s="879"/>
      <c r="AN2" s="879"/>
      <c r="AO2" s="879"/>
      <c r="AP2" s="879"/>
      <c r="AQ2" s="879"/>
      <c r="AR2" s="879"/>
      <c r="AS2" s="879"/>
      <c r="AT2" s="879"/>
      <c r="AU2" s="879"/>
      <c r="AV2" s="879"/>
      <c r="AW2" s="879"/>
      <c r="AX2" s="879"/>
      <c r="AY2" s="879"/>
      <c r="AZ2" s="879"/>
      <c r="BA2" s="879"/>
      <c r="BB2" s="879"/>
      <c r="BC2" s="879"/>
      <c r="BD2" s="879"/>
      <c r="BE2" s="879"/>
      <c r="BF2" s="879"/>
      <c r="BG2" s="879"/>
      <c r="BH2" s="879"/>
      <c r="BI2" s="879"/>
      <c r="BJ2" s="879"/>
      <c r="BK2" s="879"/>
      <c r="BL2" s="879"/>
      <c r="BM2" s="879"/>
      <c r="BN2" s="879"/>
      <c r="BO2" s="879"/>
      <c r="BP2" s="879"/>
      <c r="BQ2" s="879"/>
      <c r="BR2" s="879"/>
      <c r="BS2" s="879"/>
      <c r="BT2" s="879"/>
      <c r="BU2" s="879"/>
    </row>
    <row r="3" spans="1:73" x14ac:dyDescent="0.25">
      <c r="A3" s="879"/>
      <c r="B3" s="882" t="s">
        <v>1156</v>
      </c>
      <c r="C3" s="886">
        <f ca="1">+cap_factor</f>
        <v>0.86</v>
      </c>
      <c r="D3" s="885">
        <v>0.05</v>
      </c>
      <c r="E3" s="885">
        <v>0.05</v>
      </c>
      <c r="F3" s="895">
        <f>1+D3</f>
        <v>1.05</v>
      </c>
      <c r="G3" s="892">
        <f>1-E3</f>
        <v>0.95</v>
      </c>
      <c r="H3" s="884">
        <f t="shared" ref="H3:H9" ca="1" si="0">+C3*F3</f>
        <v>0.90300000000000002</v>
      </c>
      <c r="I3" s="884">
        <f t="shared" ref="I3:I9" ca="1" si="1">+C3*G3</f>
        <v>0.81699999999999995</v>
      </c>
      <c r="J3" s="1128"/>
      <c r="K3" s="1128"/>
      <c r="L3" s="879"/>
      <c r="M3" s="879"/>
      <c r="N3" s="879"/>
      <c r="O3" s="879"/>
      <c r="P3" s="879"/>
      <c r="Q3" s="879"/>
      <c r="R3" s="879"/>
      <c r="S3" s="879"/>
      <c r="T3" s="879"/>
      <c r="U3" s="879"/>
      <c r="V3" s="879"/>
      <c r="W3" s="879"/>
      <c r="X3" s="879"/>
      <c r="Y3" s="879"/>
      <c r="Z3" s="879"/>
      <c r="AA3" s="879"/>
      <c r="AB3" s="879"/>
      <c r="AC3" s="879"/>
      <c r="AD3" s="879"/>
      <c r="AE3" s="879"/>
      <c r="AF3" s="879"/>
      <c r="AG3" s="879"/>
      <c r="AH3" s="879"/>
      <c r="AI3" s="879"/>
      <c r="AJ3" s="879"/>
      <c r="AK3" s="879"/>
      <c r="AL3" s="879"/>
      <c r="AM3" s="879"/>
      <c r="AN3" s="879"/>
      <c r="AO3" s="879"/>
      <c r="AP3" s="879"/>
      <c r="AQ3" s="879"/>
      <c r="AR3" s="879"/>
      <c r="AS3" s="879"/>
      <c r="AT3" s="879"/>
      <c r="AU3" s="879"/>
      <c r="AV3" s="879"/>
      <c r="AW3" s="879"/>
      <c r="AX3" s="879"/>
      <c r="AY3" s="879"/>
      <c r="AZ3" s="879"/>
      <c r="BA3" s="879"/>
      <c r="BB3" s="879"/>
      <c r="BC3" s="879"/>
      <c r="BD3" s="879"/>
      <c r="BE3" s="879"/>
      <c r="BF3" s="879"/>
      <c r="BG3" s="879"/>
      <c r="BH3" s="879"/>
      <c r="BI3" s="879"/>
      <c r="BJ3" s="879"/>
      <c r="BK3" s="879"/>
      <c r="BL3" s="879"/>
      <c r="BM3" s="879"/>
      <c r="BN3" s="879"/>
      <c r="BO3" s="879"/>
      <c r="BP3" s="879"/>
      <c r="BQ3" s="879"/>
      <c r="BR3" s="879"/>
      <c r="BS3" s="879"/>
      <c r="BT3" s="879"/>
      <c r="BU3" s="879"/>
    </row>
    <row r="4" spans="1:73" x14ac:dyDescent="0.25">
      <c r="A4" s="879"/>
      <c r="B4" s="882" t="str">
        <f>+Input_Sheet_Template!B26</f>
        <v>Plant Design Capacity (kg of H2/day)</v>
      </c>
      <c r="C4" s="887">
        <f ca="1">+design_cap</f>
        <v>1500</v>
      </c>
      <c r="D4" s="885">
        <v>0.05</v>
      </c>
      <c r="E4" s="885">
        <v>0.05</v>
      </c>
      <c r="F4" s="895">
        <f>1+D4</f>
        <v>1.05</v>
      </c>
      <c r="G4" s="892">
        <f>1-E4</f>
        <v>0.95</v>
      </c>
      <c r="H4" s="889">
        <f t="shared" ca="1" si="0"/>
        <v>1575</v>
      </c>
      <c r="I4" s="889">
        <f t="shared" ca="1" si="1"/>
        <v>1425</v>
      </c>
      <c r="J4" s="1128"/>
      <c r="K4" s="1128"/>
      <c r="L4" s="879"/>
      <c r="M4" s="879"/>
      <c r="N4" s="879"/>
      <c r="O4" s="879"/>
      <c r="P4" s="879"/>
      <c r="Q4" s="879"/>
      <c r="R4" s="879"/>
      <c r="S4" s="879"/>
      <c r="T4" s="879"/>
      <c r="U4" s="879"/>
      <c r="V4" s="879"/>
      <c r="W4" s="879"/>
      <c r="X4" s="879"/>
      <c r="Y4" s="879"/>
      <c r="Z4" s="879"/>
      <c r="AA4" s="879"/>
      <c r="AB4" s="879"/>
      <c r="AC4" s="879"/>
      <c r="AD4" s="879"/>
      <c r="AE4" s="879"/>
      <c r="AF4" s="879"/>
      <c r="AG4" s="879"/>
      <c r="AH4" s="879"/>
      <c r="AI4" s="879"/>
      <c r="AJ4" s="879"/>
      <c r="AK4" s="879"/>
      <c r="AL4" s="879"/>
      <c r="AM4" s="879"/>
      <c r="AN4" s="879"/>
      <c r="AO4" s="879"/>
      <c r="AP4" s="879"/>
      <c r="AQ4" s="879"/>
      <c r="AR4" s="879"/>
      <c r="AS4" s="879"/>
      <c r="AT4" s="879"/>
      <c r="AU4" s="879"/>
      <c r="AV4" s="879"/>
      <c r="AW4" s="879"/>
      <c r="AX4" s="879"/>
      <c r="AY4" s="879"/>
      <c r="AZ4" s="879"/>
      <c r="BA4" s="879"/>
      <c r="BB4" s="879"/>
      <c r="BC4" s="879"/>
      <c r="BD4" s="879"/>
      <c r="BE4" s="879"/>
      <c r="BF4" s="879"/>
      <c r="BG4" s="879"/>
      <c r="BH4" s="879"/>
      <c r="BI4" s="879"/>
      <c r="BJ4" s="879"/>
      <c r="BK4" s="879"/>
      <c r="BL4" s="879"/>
      <c r="BM4" s="879"/>
      <c r="BN4" s="879"/>
      <c r="BO4" s="879"/>
      <c r="BP4" s="879"/>
      <c r="BQ4" s="879"/>
      <c r="BR4" s="879"/>
      <c r="BS4" s="879"/>
      <c r="BT4" s="879"/>
      <c r="BU4" s="879"/>
    </row>
    <row r="5" spans="1:73" x14ac:dyDescent="0.25">
      <c r="A5" s="879"/>
      <c r="B5" s="882" t="s">
        <v>1157</v>
      </c>
      <c r="C5" s="886">
        <f ca="1">+real_irr</f>
        <v>0.08</v>
      </c>
      <c r="D5" s="885">
        <v>0.05</v>
      </c>
      <c r="E5" s="885">
        <v>0.05</v>
      </c>
      <c r="F5" s="895">
        <f>1-D5</f>
        <v>0.95</v>
      </c>
      <c r="G5" s="892">
        <f>1+E5</f>
        <v>1.05</v>
      </c>
      <c r="H5" s="884">
        <f t="shared" ca="1" si="0"/>
        <v>7.5999999999999998E-2</v>
      </c>
      <c r="I5" s="884">
        <f t="shared" ca="1" si="1"/>
        <v>8.4000000000000005E-2</v>
      </c>
      <c r="J5" s="1128"/>
      <c r="K5" s="1128"/>
      <c r="L5" s="879"/>
      <c r="M5" s="879"/>
      <c r="N5" s="879"/>
      <c r="O5" s="879"/>
      <c r="P5" s="879"/>
      <c r="Q5" s="879"/>
      <c r="R5" s="879"/>
      <c r="S5" s="879"/>
      <c r="T5" s="879"/>
      <c r="U5" s="879"/>
      <c r="V5" s="879"/>
      <c r="W5" s="879"/>
      <c r="X5" s="879"/>
      <c r="Y5" s="879"/>
      <c r="Z5" s="879"/>
      <c r="AA5" s="879"/>
      <c r="AB5" s="879"/>
      <c r="AC5" s="879"/>
      <c r="AD5" s="879"/>
      <c r="AE5" s="879"/>
      <c r="AF5" s="879"/>
      <c r="AG5" s="879"/>
      <c r="AH5" s="879"/>
      <c r="AI5" s="879"/>
      <c r="AJ5" s="879"/>
      <c r="AK5" s="879"/>
      <c r="AL5" s="879"/>
      <c r="AM5" s="879"/>
      <c r="AN5" s="879"/>
      <c r="AO5" s="879"/>
      <c r="AP5" s="879"/>
      <c r="AQ5" s="879"/>
      <c r="AR5" s="879"/>
      <c r="AS5" s="879"/>
      <c r="AT5" s="879"/>
      <c r="AU5" s="879"/>
      <c r="AV5" s="879"/>
      <c r="AW5" s="879"/>
      <c r="AX5" s="879"/>
      <c r="AY5" s="879"/>
      <c r="AZ5" s="879"/>
      <c r="BA5" s="879"/>
      <c r="BB5" s="879"/>
      <c r="BC5" s="879"/>
      <c r="BD5" s="879"/>
      <c r="BE5" s="879"/>
      <c r="BF5" s="879"/>
      <c r="BG5" s="879"/>
      <c r="BH5" s="879"/>
      <c r="BI5" s="879"/>
      <c r="BJ5" s="879"/>
      <c r="BK5" s="879"/>
      <c r="BL5" s="879"/>
      <c r="BM5" s="879"/>
      <c r="BN5" s="879"/>
      <c r="BO5" s="879"/>
      <c r="BP5" s="879"/>
      <c r="BQ5" s="879"/>
      <c r="BR5" s="879"/>
      <c r="BS5" s="879"/>
      <c r="BT5" s="879"/>
      <c r="BU5" s="879"/>
    </row>
    <row r="6" spans="1:73" x14ac:dyDescent="0.25">
      <c r="A6" s="879"/>
      <c r="B6" s="882" t="s">
        <v>1166</v>
      </c>
      <c r="C6" s="979">
        <v>1</v>
      </c>
      <c r="D6" s="885">
        <v>0.05</v>
      </c>
      <c r="E6" s="885">
        <v>0.05</v>
      </c>
      <c r="F6" s="895">
        <f>1-D6</f>
        <v>0.95</v>
      </c>
      <c r="G6" s="892">
        <f t="shared" ref="G6:G9" si="2">1+E6</f>
        <v>1.05</v>
      </c>
      <c r="H6" s="977">
        <f t="shared" si="0"/>
        <v>0.95</v>
      </c>
      <c r="I6" s="977">
        <f t="shared" si="1"/>
        <v>1.05</v>
      </c>
      <c r="J6" s="1128"/>
      <c r="K6" s="1128"/>
      <c r="L6" s="879"/>
      <c r="M6" s="879"/>
      <c r="N6" s="879"/>
      <c r="O6" s="879"/>
      <c r="P6" s="879"/>
      <c r="Q6" s="879"/>
      <c r="R6" s="879"/>
      <c r="S6" s="879"/>
      <c r="T6" s="879"/>
      <c r="U6" s="879"/>
      <c r="V6" s="879"/>
      <c r="W6" s="879"/>
      <c r="X6" s="879"/>
      <c r="Y6" s="879"/>
      <c r="Z6" s="879"/>
      <c r="AA6" s="879"/>
      <c r="AB6" s="879"/>
      <c r="AC6" s="879"/>
      <c r="AD6" s="879"/>
      <c r="AE6" s="879"/>
      <c r="AF6" s="879"/>
      <c r="AG6" s="879"/>
      <c r="AH6" s="879"/>
      <c r="AI6" s="879"/>
      <c r="AJ6" s="879"/>
      <c r="AK6" s="879"/>
      <c r="AL6" s="879"/>
      <c r="AM6" s="879"/>
      <c r="AN6" s="879"/>
      <c r="AO6" s="879"/>
      <c r="AP6" s="879"/>
      <c r="AQ6" s="879"/>
      <c r="AR6" s="879"/>
      <c r="AS6" s="879"/>
      <c r="AT6" s="879"/>
      <c r="AU6" s="879"/>
      <c r="AV6" s="879"/>
      <c r="AW6" s="879"/>
      <c r="AX6" s="879"/>
      <c r="AY6" s="879"/>
      <c r="AZ6" s="879"/>
      <c r="BA6" s="879"/>
      <c r="BB6" s="879"/>
      <c r="BC6" s="879"/>
      <c r="BD6" s="879"/>
      <c r="BE6" s="879"/>
      <c r="BF6" s="879"/>
      <c r="BG6" s="879"/>
      <c r="BH6" s="879"/>
      <c r="BI6" s="879"/>
      <c r="BJ6" s="879"/>
      <c r="BK6" s="879"/>
      <c r="BL6" s="879"/>
      <c r="BM6" s="879"/>
      <c r="BN6" s="879"/>
      <c r="BO6" s="879"/>
      <c r="BP6" s="879"/>
      <c r="BQ6" s="879"/>
      <c r="BR6" s="879"/>
      <c r="BS6" s="879"/>
      <c r="BT6" s="879"/>
      <c r="BU6" s="879"/>
    </row>
    <row r="7" spans="1:73" x14ac:dyDescent="0.25">
      <c r="A7" s="879"/>
      <c r="B7" s="882" t="s">
        <v>1167</v>
      </c>
      <c r="C7" s="979">
        <v>1</v>
      </c>
      <c r="D7" s="885">
        <v>0.05</v>
      </c>
      <c r="E7" s="885">
        <v>0.05</v>
      </c>
      <c r="F7" s="895">
        <f>1-D7</f>
        <v>0.95</v>
      </c>
      <c r="G7" s="892">
        <f t="shared" si="2"/>
        <v>1.05</v>
      </c>
      <c r="H7" s="977">
        <f t="shared" si="0"/>
        <v>0.95</v>
      </c>
      <c r="I7" s="977">
        <f t="shared" si="1"/>
        <v>1.05</v>
      </c>
      <c r="J7" s="1128"/>
      <c r="K7" s="1128"/>
      <c r="L7" s="879"/>
      <c r="M7" s="879"/>
      <c r="N7" s="879"/>
      <c r="O7" s="879"/>
      <c r="P7" s="879"/>
      <c r="Q7" s="879"/>
      <c r="R7" s="879"/>
      <c r="S7" s="879"/>
      <c r="T7" s="879"/>
      <c r="U7" s="879"/>
      <c r="V7" s="879"/>
      <c r="W7" s="879"/>
      <c r="X7" s="879"/>
      <c r="Y7" s="879"/>
      <c r="Z7" s="879"/>
      <c r="AA7" s="879"/>
      <c r="AB7" s="879"/>
      <c r="AC7" s="879"/>
      <c r="AD7" s="879"/>
      <c r="AE7" s="879"/>
      <c r="AF7" s="879"/>
      <c r="AG7" s="879"/>
      <c r="AH7" s="879"/>
      <c r="AI7" s="879"/>
      <c r="AJ7" s="879"/>
      <c r="AK7" s="879"/>
      <c r="AL7" s="879"/>
      <c r="AM7" s="879"/>
      <c r="AN7" s="879"/>
      <c r="AO7" s="879"/>
      <c r="AP7" s="879"/>
      <c r="AQ7" s="879"/>
      <c r="AR7" s="879"/>
      <c r="AS7" s="879"/>
      <c r="AT7" s="879"/>
      <c r="AU7" s="879"/>
      <c r="AV7" s="879"/>
      <c r="AW7" s="879"/>
      <c r="AX7" s="879"/>
      <c r="AY7" s="879"/>
      <c r="AZ7" s="879"/>
      <c r="BA7" s="879"/>
      <c r="BB7" s="879"/>
      <c r="BC7" s="879"/>
      <c r="BD7" s="879"/>
      <c r="BE7" s="879"/>
      <c r="BF7" s="879"/>
      <c r="BG7" s="879"/>
      <c r="BH7" s="879"/>
      <c r="BI7" s="879"/>
      <c r="BJ7" s="879"/>
      <c r="BK7" s="879"/>
      <c r="BL7" s="879"/>
      <c r="BM7" s="879"/>
      <c r="BN7" s="879"/>
      <c r="BO7" s="879"/>
      <c r="BP7" s="879"/>
      <c r="BQ7" s="879"/>
      <c r="BR7" s="879"/>
      <c r="BS7" s="879"/>
      <c r="BT7" s="879"/>
      <c r="BU7" s="879"/>
    </row>
    <row r="8" spans="1:73" x14ac:dyDescent="0.25">
      <c r="A8" s="879"/>
      <c r="B8" s="882" t="s">
        <v>116</v>
      </c>
      <c r="C8" s="887">
        <f ca="1">+total_cap</f>
        <v>1760137.3187194187</v>
      </c>
      <c r="D8" s="885">
        <v>0.05</v>
      </c>
      <c r="E8" s="885">
        <v>0.05</v>
      </c>
      <c r="F8" s="895">
        <f>1-D8</f>
        <v>0.95</v>
      </c>
      <c r="G8" s="892">
        <f t="shared" si="2"/>
        <v>1.05</v>
      </c>
      <c r="H8" s="889">
        <f t="shared" ca="1" si="0"/>
        <v>1672130.4527834477</v>
      </c>
      <c r="I8" s="889">
        <f t="shared" ca="1" si="1"/>
        <v>1848144.1846553897</v>
      </c>
      <c r="J8" s="1128"/>
      <c r="K8" s="1128"/>
      <c r="L8" s="879"/>
      <c r="M8" s="879"/>
      <c r="N8" s="879"/>
      <c r="O8" s="879"/>
      <c r="P8" s="879"/>
      <c r="Q8" s="879"/>
      <c r="R8" s="879"/>
      <c r="S8" s="879"/>
      <c r="T8" s="879"/>
      <c r="U8" s="879"/>
      <c r="V8" s="879"/>
      <c r="W8" s="879"/>
      <c r="X8" s="879"/>
      <c r="Y8" s="879"/>
      <c r="Z8" s="879"/>
      <c r="AA8" s="879"/>
      <c r="AB8" s="879"/>
      <c r="AC8" s="879"/>
      <c r="AD8" s="879"/>
      <c r="AE8" s="879"/>
      <c r="AF8" s="879"/>
      <c r="AG8" s="879"/>
      <c r="AH8" s="879"/>
      <c r="AI8" s="879"/>
      <c r="AJ8" s="879"/>
      <c r="AK8" s="879"/>
      <c r="AL8" s="879"/>
      <c r="AM8" s="879"/>
      <c r="AN8" s="879"/>
      <c r="AO8" s="879"/>
      <c r="AP8" s="879"/>
      <c r="AQ8" s="879"/>
      <c r="AR8" s="879"/>
      <c r="AS8" s="879"/>
      <c r="AT8" s="879"/>
      <c r="AU8" s="879"/>
      <c r="AV8" s="879"/>
      <c r="AW8" s="879"/>
      <c r="AX8" s="879"/>
      <c r="AY8" s="879"/>
      <c r="AZ8" s="879"/>
      <c r="BA8" s="879"/>
      <c r="BB8" s="879"/>
      <c r="BC8" s="879"/>
      <c r="BD8" s="879"/>
      <c r="BE8" s="879"/>
      <c r="BF8" s="879"/>
      <c r="BG8" s="879"/>
      <c r="BH8" s="879"/>
      <c r="BI8" s="879"/>
      <c r="BJ8" s="879"/>
      <c r="BK8" s="879"/>
      <c r="BL8" s="879"/>
      <c r="BM8" s="879"/>
      <c r="BN8" s="879"/>
      <c r="BO8" s="879"/>
      <c r="BP8" s="879"/>
      <c r="BQ8" s="879"/>
      <c r="BR8" s="879"/>
      <c r="BS8" s="879"/>
      <c r="BT8" s="879"/>
      <c r="BU8" s="879"/>
    </row>
    <row r="9" spans="1:73" x14ac:dyDescent="0.25">
      <c r="A9" s="879"/>
      <c r="B9" s="882" t="s">
        <v>623</v>
      </c>
      <c r="C9" s="887">
        <f ca="1">+fixed</f>
        <v>100792.97340572911</v>
      </c>
      <c r="D9" s="885">
        <v>0.05</v>
      </c>
      <c r="E9" s="885">
        <v>0.05</v>
      </c>
      <c r="F9" s="895">
        <f>1-D9</f>
        <v>0.95</v>
      </c>
      <c r="G9" s="892">
        <f t="shared" si="2"/>
        <v>1.05</v>
      </c>
      <c r="H9" s="889">
        <f t="shared" ca="1" si="0"/>
        <v>95753.324735442642</v>
      </c>
      <c r="I9" s="889">
        <f t="shared" ca="1" si="1"/>
        <v>105832.62207601557</v>
      </c>
      <c r="J9" s="1128"/>
      <c r="K9" s="1128"/>
      <c r="L9" s="879"/>
      <c r="M9" s="879"/>
      <c r="N9" s="879"/>
      <c r="O9" s="879"/>
      <c r="P9" s="879"/>
      <c r="Q9" s="879"/>
      <c r="R9" s="879"/>
      <c r="S9" s="879"/>
      <c r="T9" s="879"/>
      <c r="U9" s="879"/>
      <c r="V9" s="879"/>
      <c r="W9" s="879"/>
      <c r="X9" s="879"/>
      <c r="Y9" s="879"/>
      <c r="Z9" s="879"/>
      <c r="AA9" s="879"/>
      <c r="AB9" s="879"/>
      <c r="AC9" s="879"/>
      <c r="AD9" s="879"/>
      <c r="AE9" s="879"/>
      <c r="AF9" s="879"/>
      <c r="AG9" s="879"/>
      <c r="AH9" s="879"/>
      <c r="AI9" s="879"/>
      <c r="AJ9" s="879"/>
      <c r="AK9" s="879"/>
      <c r="AL9" s="879"/>
      <c r="AM9" s="879"/>
      <c r="AN9" s="879"/>
      <c r="AO9" s="879"/>
      <c r="AP9" s="879"/>
      <c r="AQ9" s="879"/>
      <c r="AR9" s="879"/>
      <c r="AS9" s="879"/>
      <c r="AT9" s="879"/>
      <c r="AU9" s="879"/>
      <c r="AV9" s="879"/>
      <c r="AW9" s="879"/>
      <c r="AX9" s="879"/>
      <c r="AY9" s="879"/>
      <c r="AZ9" s="879"/>
      <c r="BA9" s="879"/>
      <c r="BB9" s="879"/>
      <c r="BC9" s="879"/>
      <c r="BD9" s="879"/>
      <c r="BE9" s="879"/>
      <c r="BF9" s="879"/>
      <c r="BG9" s="879"/>
      <c r="BH9" s="879"/>
      <c r="BI9" s="879"/>
      <c r="BJ9" s="879"/>
      <c r="BK9" s="879"/>
      <c r="BL9" s="879"/>
      <c r="BM9" s="879"/>
      <c r="BN9" s="879"/>
      <c r="BO9" s="879"/>
      <c r="BP9" s="879"/>
      <c r="BQ9" s="879"/>
      <c r="BR9" s="879"/>
      <c r="BS9" s="879"/>
      <c r="BT9" s="879"/>
      <c r="BU9" s="879"/>
    </row>
    <row r="10" spans="1:73" x14ac:dyDescent="0.25">
      <c r="A10" s="879"/>
      <c r="B10" s="879"/>
      <c r="C10" s="879"/>
      <c r="D10" s="879"/>
      <c r="E10" s="879"/>
      <c r="F10" s="879"/>
      <c r="G10" s="879"/>
      <c r="H10" s="879"/>
      <c r="I10" s="879"/>
      <c r="J10" s="879"/>
      <c r="K10" s="879"/>
      <c r="L10" s="879"/>
      <c r="M10" s="879"/>
      <c r="N10" s="879"/>
      <c r="O10" s="879"/>
      <c r="P10" s="879"/>
      <c r="Q10" s="879"/>
      <c r="R10" s="879"/>
      <c r="S10" s="879"/>
      <c r="T10" s="879"/>
      <c r="U10" s="879"/>
      <c r="V10" s="879"/>
      <c r="W10" s="879"/>
      <c r="X10" s="879"/>
      <c r="Y10" s="879"/>
      <c r="Z10" s="879"/>
      <c r="AA10" s="879"/>
      <c r="AB10" s="879"/>
      <c r="AC10" s="879"/>
      <c r="AD10" s="879"/>
      <c r="AE10" s="879"/>
      <c r="AF10" s="879"/>
      <c r="AG10" s="879"/>
      <c r="AH10" s="879"/>
      <c r="AI10" s="879"/>
      <c r="AJ10" s="879"/>
      <c r="AK10" s="879"/>
      <c r="AL10" s="879"/>
      <c r="AM10" s="879"/>
      <c r="AN10" s="879"/>
      <c r="AO10" s="879"/>
      <c r="AP10" s="879"/>
      <c r="AQ10" s="879"/>
      <c r="AR10" s="879"/>
      <c r="AS10" s="879"/>
      <c r="AT10" s="879"/>
      <c r="AU10" s="879"/>
      <c r="AV10" s="879"/>
      <c r="AW10" s="879"/>
      <c r="AX10" s="879"/>
      <c r="AY10" s="879"/>
      <c r="AZ10" s="879"/>
      <c r="BA10" s="879"/>
      <c r="BB10" s="879"/>
      <c r="BC10" s="879"/>
      <c r="BD10" s="879"/>
      <c r="BE10" s="879"/>
      <c r="BF10" s="879"/>
      <c r="BG10" s="879"/>
      <c r="BH10" s="879"/>
      <c r="BI10" s="879"/>
      <c r="BJ10" s="879"/>
      <c r="BK10" s="879"/>
      <c r="BL10" s="879"/>
      <c r="BM10" s="879"/>
      <c r="BN10" s="879"/>
      <c r="BO10" s="879"/>
      <c r="BP10" s="879"/>
      <c r="BQ10" s="879"/>
      <c r="BR10" s="879"/>
      <c r="BS10" s="879"/>
      <c r="BT10" s="879"/>
      <c r="BU10" s="879"/>
    </row>
    <row r="11" spans="1:73" x14ac:dyDescent="0.25">
      <c r="A11" s="879"/>
      <c r="B11" s="1592" t="s">
        <v>1259</v>
      </c>
      <c r="C11" s="1592"/>
      <c r="D11" s="885" t="s">
        <v>22</v>
      </c>
      <c r="E11" s="1140" t="str">
        <f>IF(RunRiskAnalysis="Yes","          Please click Update Charts and Risk Analysis button before using results below","")</f>
        <v xml:space="preserve">          Please click Update Charts and Risk Analysis button before using results below</v>
      </c>
      <c r="F11" s="879"/>
      <c r="H11" s="879"/>
      <c r="I11" s="879"/>
      <c r="J11" s="879"/>
      <c r="K11" s="879"/>
      <c r="L11" s="879"/>
      <c r="M11" s="879"/>
      <c r="N11" s="879"/>
      <c r="O11" s="879"/>
      <c r="P11" s="879"/>
      <c r="Q11" s="879"/>
      <c r="R11" s="879"/>
      <c r="S11" s="879"/>
      <c r="T11" s="879"/>
      <c r="U11" s="879"/>
      <c r="V11" s="879"/>
      <c r="W11" s="879"/>
      <c r="X11" s="879"/>
      <c r="Y11" s="879"/>
      <c r="Z11" s="879"/>
      <c r="AA11" s="879"/>
      <c r="AB11" s="879"/>
      <c r="AC11" s="879"/>
      <c r="AD11" s="879"/>
      <c r="AE11" s="879"/>
      <c r="AF11" s="879"/>
      <c r="AG11" s="879"/>
      <c r="AH11" s="879"/>
      <c r="AI11" s="879"/>
      <c r="AJ11" s="879"/>
      <c r="AK11" s="879"/>
      <c r="AL11" s="879"/>
      <c r="AM11" s="879"/>
      <c r="AN11" s="879"/>
      <c r="AO11" s="879"/>
      <c r="AP11" s="879"/>
      <c r="AQ11" s="879"/>
      <c r="AR11" s="879"/>
      <c r="AS11" s="879"/>
      <c r="AT11" s="879"/>
      <c r="AU11" s="879"/>
      <c r="AV11" s="879"/>
      <c r="AW11" s="879"/>
      <c r="AX11" s="879"/>
      <c r="AY11" s="879"/>
      <c r="AZ11" s="879"/>
      <c r="BA11" s="879"/>
      <c r="BB11" s="879"/>
      <c r="BC11" s="879"/>
      <c r="BD11" s="879"/>
      <c r="BE11" s="879"/>
      <c r="BF11" s="879"/>
      <c r="BG11" s="879"/>
      <c r="BH11" s="879"/>
      <c r="BI11" s="879"/>
      <c r="BJ11" s="879"/>
      <c r="BK11" s="879"/>
      <c r="BL11" s="879"/>
      <c r="BM11" s="879"/>
      <c r="BN11" s="879"/>
      <c r="BO11" s="879"/>
      <c r="BP11" s="879"/>
      <c r="BQ11" s="879"/>
      <c r="BR11" s="879"/>
      <c r="BS11" s="879"/>
      <c r="BT11" s="879"/>
      <c r="BU11" s="879"/>
    </row>
    <row r="12" spans="1:73" ht="12.75" customHeight="1" x14ac:dyDescent="0.25">
      <c r="A12" s="879"/>
      <c r="B12" s="879"/>
      <c r="C12" s="879"/>
      <c r="D12" s="879"/>
      <c r="E12" s="879"/>
      <c r="F12" s="879"/>
      <c r="G12" s="879"/>
      <c r="H12" s="879"/>
      <c r="I12" s="879"/>
      <c r="J12" s="879"/>
      <c r="K12" s="879"/>
      <c r="L12" s="879"/>
      <c r="M12" s="879"/>
      <c r="N12" s="879"/>
      <c r="P12" s="1592" t="s">
        <v>1225</v>
      </c>
      <c r="Q12" s="1592"/>
      <c r="R12" s="1593" t="s">
        <v>1248</v>
      </c>
      <c r="S12" s="1593"/>
      <c r="T12" s="1593"/>
      <c r="U12" s="1593"/>
      <c r="V12" s="879"/>
      <c r="W12" s="879"/>
      <c r="X12" s="879"/>
      <c r="Y12" s="879"/>
      <c r="Z12" s="879"/>
      <c r="AA12" s="879"/>
      <c r="AB12" s="879"/>
      <c r="AC12" s="879"/>
      <c r="AD12" s="879"/>
      <c r="AE12" s="879"/>
      <c r="AF12" s="879"/>
      <c r="AG12" s="879"/>
      <c r="AH12" s="879"/>
      <c r="AI12" s="879"/>
      <c r="AJ12" s="879"/>
      <c r="AK12" s="879"/>
      <c r="AL12" s="879"/>
      <c r="AM12" s="879"/>
      <c r="AN12" s="879"/>
      <c r="AO12" s="879"/>
      <c r="AP12" s="879"/>
      <c r="AQ12" s="879"/>
      <c r="AR12" s="879"/>
      <c r="AS12" s="879"/>
      <c r="AT12" s="879"/>
      <c r="AU12" s="879"/>
      <c r="AV12" s="879"/>
      <c r="AW12" s="879"/>
      <c r="AX12" s="879"/>
      <c r="AY12" s="879"/>
      <c r="AZ12" s="879"/>
      <c r="BA12" s="879"/>
      <c r="BB12" s="879"/>
      <c r="BC12" s="879"/>
      <c r="BD12" s="879"/>
      <c r="BE12" s="879"/>
      <c r="BF12" s="879"/>
      <c r="BG12" s="879"/>
      <c r="BH12" s="879"/>
      <c r="BI12" s="879"/>
      <c r="BJ12" s="879"/>
      <c r="BK12" s="879"/>
      <c r="BL12" s="879"/>
      <c r="BM12" s="879"/>
      <c r="BN12" s="879"/>
      <c r="BO12" s="879"/>
      <c r="BP12" s="879"/>
      <c r="BQ12" s="879"/>
      <c r="BR12" s="879"/>
      <c r="BS12" s="879"/>
      <c r="BT12" s="879"/>
      <c r="BU12" s="879"/>
    </row>
    <row r="13" spans="1:73" x14ac:dyDescent="0.25">
      <c r="A13" s="879"/>
      <c r="B13" s="879"/>
      <c r="C13" s="879"/>
      <c r="D13" s="879"/>
      <c r="E13" s="879"/>
      <c r="F13" s="879"/>
      <c r="G13" s="879"/>
      <c r="H13" s="879"/>
      <c r="I13" s="879"/>
      <c r="J13" s="879"/>
      <c r="K13" s="879"/>
      <c r="L13" s="879"/>
      <c r="M13" s="879"/>
      <c r="N13" s="879"/>
      <c r="O13" s="879"/>
      <c r="P13" s="879"/>
      <c r="Q13" s="879"/>
      <c r="R13" s="879"/>
      <c r="S13" s="879"/>
      <c r="T13" s="879"/>
      <c r="U13" s="879"/>
      <c r="V13" s="890" t="s">
        <v>1211</v>
      </c>
      <c r="W13" s="890" t="s">
        <v>1074</v>
      </c>
      <c r="X13" s="879"/>
      <c r="Y13" s="879"/>
      <c r="Z13" s="879"/>
      <c r="AA13" s="879"/>
      <c r="AB13" s="879"/>
      <c r="AC13" s="879"/>
      <c r="AD13" s="879"/>
      <c r="AE13" s="879"/>
      <c r="AF13" s="879"/>
      <c r="AG13" s="879"/>
      <c r="AH13" s="879"/>
      <c r="AI13" s="879"/>
      <c r="AJ13" s="879"/>
      <c r="AK13" s="879"/>
      <c r="AL13" s="879"/>
      <c r="AM13" s="879"/>
      <c r="AN13" s="879"/>
      <c r="AO13" s="879"/>
      <c r="AP13" s="879"/>
      <c r="AQ13" s="879"/>
      <c r="AR13" s="879"/>
      <c r="AS13" s="879"/>
      <c r="AT13" s="879"/>
      <c r="AU13" s="879"/>
      <c r="AV13" s="879"/>
      <c r="AW13" s="879"/>
      <c r="AX13" s="879"/>
      <c r="AY13" s="879"/>
      <c r="AZ13" s="879"/>
      <c r="BA13" s="879"/>
      <c r="BB13" s="879"/>
      <c r="BC13" s="879"/>
      <c r="BD13" s="879"/>
      <c r="BE13" s="879"/>
      <c r="BF13" s="879"/>
      <c r="BG13" s="879"/>
      <c r="BH13" s="879"/>
      <c r="BI13" s="879"/>
      <c r="BJ13" s="879"/>
      <c r="BK13" s="879"/>
      <c r="BL13" s="879"/>
      <c r="BM13" s="879"/>
      <c r="BN13" s="879"/>
      <c r="BO13" s="879"/>
      <c r="BP13" s="879"/>
      <c r="BQ13" s="879"/>
      <c r="BR13" s="879"/>
      <c r="BS13" s="879"/>
      <c r="BT13" s="879"/>
      <c r="BU13" s="879"/>
    </row>
    <row r="14" spans="1:73" ht="11.25" customHeight="1" x14ac:dyDescent="0.25">
      <c r="A14" s="879"/>
      <c r="B14" s="879"/>
      <c r="C14" s="879"/>
      <c r="D14" s="879"/>
      <c r="E14" s="879"/>
      <c r="F14" s="879"/>
      <c r="G14" s="879"/>
      <c r="H14" s="879"/>
      <c r="I14" s="879"/>
      <c r="J14" s="879"/>
      <c r="K14" s="879"/>
      <c r="L14" s="879"/>
      <c r="M14" s="879"/>
      <c r="N14" s="879"/>
      <c r="O14" s="879"/>
      <c r="P14" s="879"/>
      <c r="Q14" s="879"/>
      <c r="R14" s="879"/>
      <c r="S14" s="879"/>
      <c r="T14" s="879"/>
      <c r="U14" s="879"/>
      <c r="V14" s="892">
        <v>0</v>
      </c>
      <c r="W14" s="893">
        <f ca="1">+MIN(OFFSET($B$251:$B$2250,0,$C$194))*$C$198</f>
        <v>6.6948808964962101</v>
      </c>
      <c r="X14" s="879"/>
      <c r="Y14" s="879"/>
      <c r="Z14" s="879"/>
      <c r="AA14" s="879"/>
      <c r="AB14" s="879"/>
      <c r="AC14" s="879"/>
      <c r="AD14" s="879"/>
      <c r="AE14" s="879"/>
      <c r="AF14" s="879"/>
      <c r="AG14" s="879"/>
      <c r="AH14" s="879"/>
      <c r="AI14" s="879"/>
      <c r="AJ14" s="879"/>
      <c r="AK14" s="879"/>
      <c r="AL14" s="879"/>
      <c r="AM14" s="879"/>
      <c r="AN14" s="879"/>
      <c r="AO14" s="879"/>
      <c r="AP14" s="879"/>
      <c r="AQ14" s="879"/>
      <c r="AR14" s="879"/>
      <c r="AS14" s="879"/>
      <c r="AT14" s="879"/>
      <c r="AU14" s="879"/>
      <c r="AV14" s="879"/>
      <c r="AW14" s="879"/>
      <c r="AX14" s="879"/>
      <c r="AY14" s="879"/>
      <c r="AZ14" s="879"/>
      <c r="BA14" s="879"/>
      <c r="BB14" s="879"/>
      <c r="BC14" s="879"/>
      <c r="BD14" s="879"/>
      <c r="BE14" s="879"/>
      <c r="BF14" s="879"/>
      <c r="BG14" s="879"/>
      <c r="BH14" s="879"/>
      <c r="BI14" s="879"/>
      <c r="BJ14" s="879"/>
      <c r="BK14" s="879"/>
      <c r="BL14" s="879"/>
      <c r="BM14" s="879"/>
      <c r="BN14" s="879"/>
      <c r="BO14" s="879"/>
      <c r="BP14" s="879"/>
      <c r="BQ14" s="879"/>
      <c r="BR14" s="879"/>
      <c r="BS14" s="879"/>
      <c r="BT14" s="879"/>
      <c r="BU14" s="879"/>
    </row>
    <row r="15" spans="1:73" x14ac:dyDescent="0.25">
      <c r="A15" s="879"/>
      <c r="B15" s="879"/>
      <c r="C15" s="879"/>
      <c r="D15" s="879"/>
      <c r="E15" s="879"/>
      <c r="F15" s="879"/>
      <c r="G15" s="879"/>
      <c r="H15" s="879"/>
      <c r="I15" s="879"/>
      <c r="J15" s="879"/>
      <c r="K15" s="879"/>
      <c r="L15" s="879"/>
      <c r="M15" s="879"/>
      <c r="N15" s="879"/>
      <c r="O15" s="879"/>
      <c r="P15" s="879"/>
      <c r="Q15" s="879"/>
      <c r="R15" s="879"/>
      <c r="S15" s="879"/>
      <c r="T15" s="879"/>
      <c r="U15" s="879"/>
      <c r="V15" s="1138">
        <v>0.05</v>
      </c>
      <c r="W15" s="1139">
        <f t="shared" ref="W15:W33" ca="1" si="3">+PERCENTILE(OFFSET($B$251:$B$2250,0,$C$194),V15)*$C$198</f>
        <v>6.7155306956101715</v>
      </c>
      <c r="X15" s="879"/>
      <c r="Y15" s="879"/>
      <c r="Z15" s="879"/>
      <c r="AA15" s="879"/>
      <c r="AB15" s="879"/>
      <c r="AC15" s="879"/>
      <c r="AD15" s="879"/>
      <c r="AE15" s="879"/>
      <c r="AF15" s="879"/>
      <c r="AG15" s="879"/>
      <c r="AH15" s="879"/>
      <c r="AI15" s="879"/>
      <c r="AJ15" s="879"/>
      <c r="AK15" s="879"/>
      <c r="AL15" s="879"/>
      <c r="AM15" s="879"/>
      <c r="AN15" s="879"/>
      <c r="AO15" s="879"/>
      <c r="AP15" s="879"/>
      <c r="AQ15" s="879"/>
      <c r="AR15" s="879"/>
      <c r="AS15" s="879"/>
      <c r="AT15" s="879"/>
      <c r="AU15" s="879"/>
      <c r="AV15" s="879"/>
      <c r="AW15" s="879"/>
      <c r="AX15" s="879"/>
      <c r="AY15" s="879"/>
      <c r="AZ15" s="879"/>
      <c r="BA15" s="879"/>
      <c r="BB15" s="879"/>
      <c r="BC15" s="879"/>
      <c r="BD15" s="879"/>
      <c r="BE15" s="879"/>
      <c r="BF15" s="879"/>
      <c r="BG15" s="879"/>
      <c r="BH15" s="879"/>
      <c r="BI15" s="879"/>
      <c r="BJ15" s="879"/>
      <c r="BK15" s="879"/>
      <c r="BL15" s="879"/>
      <c r="BM15" s="879"/>
      <c r="BN15" s="879"/>
      <c r="BO15" s="879"/>
      <c r="BP15" s="879"/>
      <c r="BQ15" s="879"/>
      <c r="BR15" s="879"/>
      <c r="BS15" s="879"/>
      <c r="BT15" s="879"/>
      <c r="BU15" s="879"/>
    </row>
    <row r="16" spans="1:73" x14ac:dyDescent="0.25">
      <c r="A16" s="879"/>
      <c r="B16" s="880"/>
      <c r="C16" s="879"/>
      <c r="D16" s="879"/>
      <c r="E16" s="879"/>
      <c r="F16" s="879"/>
      <c r="G16" s="879"/>
      <c r="H16" s="879"/>
      <c r="I16" s="879"/>
      <c r="J16" s="879"/>
      <c r="K16" s="879"/>
      <c r="L16" s="879"/>
      <c r="M16" s="879"/>
      <c r="N16" s="879"/>
      <c r="O16" s="879"/>
      <c r="P16" s="879"/>
      <c r="Q16" s="879"/>
      <c r="R16" s="879"/>
      <c r="S16" s="879"/>
      <c r="T16" s="879"/>
      <c r="U16" s="879"/>
      <c r="V16" s="1137">
        <f t="shared" ref="V16:V33" si="4">+V15+0.05</f>
        <v>0.1</v>
      </c>
      <c r="W16" s="893">
        <f t="shared" ca="1" si="3"/>
        <v>6.7208272024941698</v>
      </c>
      <c r="X16" s="879"/>
      <c r="Y16" s="879"/>
      <c r="Z16" s="879"/>
      <c r="AA16" s="879"/>
      <c r="AB16" s="879"/>
      <c r="AC16" s="879"/>
      <c r="AD16" s="879"/>
      <c r="AE16" s="879"/>
      <c r="AF16" s="879"/>
      <c r="AG16" s="879"/>
      <c r="AH16" s="879"/>
      <c r="AI16" s="879"/>
      <c r="AJ16" s="879"/>
      <c r="AK16" s="879"/>
      <c r="AL16" s="879"/>
      <c r="AM16" s="879"/>
      <c r="AN16" s="879"/>
      <c r="AO16" s="879"/>
      <c r="AP16" s="879"/>
      <c r="AQ16" s="879"/>
      <c r="AR16" s="879"/>
      <c r="AS16" s="879"/>
      <c r="AT16" s="879"/>
      <c r="AU16" s="879"/>
      <c r="AV16" s="879"/>
      <c r="AW16" s="879"/>
      <c r="AX16" s="879"/>
      <c r="AY16" s="879"/>
      <c r="AZ16" s="879"/>
      <c r="BA16" s="879"/>
      <c r="BB16" s="879"/>
      <c r="BC16" s="879"/>
      <c r="BD16" s="879"/>
      <c r="BE16" s="879"/>
      <c r="BF16" s="879"/>
      <c r="BG16" s="879"/>
      <c r="BH16" s="879"/>
      <c r="BI16" s="879"/>
      <c r="BJ16" s="879"/>
      <c r="BK16" s="879"/>
      <c r="BL16" s="879"/>
      <c r="BM16" s="879"/>
      <c r="BN16" s="879"/>
      <c r="BO16" s="879"/>
      <c r="BP16" s="879"/>
      <c r="BQ16" s="879"/>
      <c r="BR16" s="879"/>
      <c r="BS16" s="879"/>
      <c r="BT16" s="879"/>
      <c r="BU16" s="879"/>
    </row>
    <row r="17" spans="1:73" x14ac:dyDescent="0.25">
      <c r="A17" s="879"/>
      <c r="B17" s="879"/>
      <c r="C17" s="879"/>
      <c r="D17" s="879"/>
      <c r="E17" s="879"/>
      <c r="F17" s="879"/>
      <c r="G17" s="879"/>
      <c r="H17" s="879"/>
      <c r="I17" s="879"/>
      <c r="J17" s="879"/>
      <c r="K17" s="879"/>
      <c r="L17" s="879"/>
      <c r="M17" s="879"/>
      <c r="N17" s="879"/>
      <c r="O17" s="879"/>
      <c r="P17" s="879"/>
      <c r="Q17" s="879"/>
      <c r="R17" s="879"/>
      <c r="S17" s="879"/>
      <c r="T17" s="879"/>
      <c r="U17" s="879"/>
      <c r="V17" s="1137">
        <f t="shared" si="4"/>
        <v>0.15000000000000002</v>
      </c>
      <c r="W17" s="893">
        <f t="shared" ca="1" si="3"/>
        <v>6.7249588056455307</v>
      </c>
      <c r="X17" s="879"/>
      <c r="Y17" s="879"/>
      <c r="Z17" s="879"/>
      <c r="AA17" s="879"/>
      <c r="AB17" s="879"/>
      <c r="AC17" s="879"/>
      <c r="AD17" s="879"/>
      <c r="AE17" s="879"/>
      <c r="AF17" s="879"/>
      <c r="AG17" s="879"/>
      <c r="AH17" s="879"/>
      <c r="AI17" s="879"/>
      <c r="AJ17" s="879"/>
      <c r="AK17" s="879"/>
      <c r="AL17" s="879"/>
      <c r="AM17" s="879"/>
      <c r="AN17" s="879"/>
      <c r="AO17" s="879"/>
      <c r="AP17" s="879"/>
      <c r="AQ17" s="879"/>
      <c r="AR17" s="879"/>
      <c r="AS17" s="879"/>
      <c r="AT17" s="879"/>
      <c r="AU17" s="879"/>
      <c r="AV17" s="879"/>
      <c r="AW17" s="879"/>
      <c r="AX17" s="879"/>
      <c r="AY17" s="879"/>
      <c r="AZ17" s="879"/>
      <c r="BA17" s="879"/>
      <c r="BB17" s="879"/>
      <c r="BC17" s="879"/>
      <c r="BD17" s="879"/>
      <c r="BE17" s="879"/>
      <c r="BF17" s="879"/>
      <c r="BG17" s="879"/>
      <c r="BH17" s="879"/>
      <c r="BI17" s="879"/>
      <c r="BJ17" s="879"/>
      <c r="BK17" s="879"/>
      <c r="BL17" s="879"/>
      <c r="BM17" s="879"/>
      <c r="BN17" s="879"/>
      <c r="BO17" s="879"/>
      <c r="BP17" s="879"/>
      <c r="BQ17" s="879"/>
      <c r="BR17" s="879"/>
      <c r="BS17" s="879"/>
      <c r="BT17" s="879"/>
      <c r="BU17" s="879"/>
    </row>
    <row r="18" spans="1:73" x14ac:dyDescent="0.25">
      <c r="A18" s="879"/>
      <c r="B18" s="879"/>
      <c r="C18" s="879"/>
      <c r="D18" s="879"/>
      <c r="E18" s="879"/>
      <c r="F18" s="879"/>
      <c r="G18" s="879"/>
      <c r="H18" s="879"/>
      <c r="I18" s="879"/>
      <c r="J18" s="879"/>
      <c r="K18" s="879"/>
      <c r="L18" s="879"/>
      <c r="M18" s="879"/>
      <c r="N18" s="879"/>
      <c r="O18" s="879"/>
      <c r="P18" s="879"/>
      <c r="Q18" s="879"/>
      <c r="R18" s="879"/>
      <c r="S18" s="879"/>
      <c r="T18" s="879"/>
      <c r="U18" s="879"/>
      <c r="V18" s="1137">
        <f t="shared" si="4"/>
        <v>0.2</v>
      </c>
      <c r="W18" s="893">
        <f t="shared" ca="1" si="3"/>
        <v>6.7286802320375312</v>
      </c>
      <c r="X18" s="879"/>
      <c r="Y18" s="879"/>
      <c r="Z18" s="879"/>
      <c r="AA18" s="879"/>
      <c r="AB18" s="879"/>
      <c r="AC18" s="879"/>
      <c r="AD18" s="879"/>
      <c r="AE18" s="879"/>
      <c r="AF18" s="879"/>
      <c r="AG18" s="879"/>
      <c r="AH18" s="879"/>
      <c r="AI18" s="879"/>
      <c r="AJ18" s="879"/>
      <c r="AK18" s="879"/>
      <c r="AL18" s="879"/>
      <c r="AM18" s="879"/>
      <c r="AN18" s="879"/>
      <c r="AO18" s="879"/>
      <c r="AP18" s="879"/>
      <c r="AQ18" s="879"/>
      <c r="AR18" s="879"/>
      <c r="AS18" s="879"/>
      <c r="AT18" s="879"/>
      <c r="AU18" s="879"/>
      <c r="AV18" s="879"/>
      <c r="AW18" s="879"/>
      <c r="AX18" s="879"/>
      <c r="AY18" s="879"/>
      <c r="AZ18" s="879"/>
      <c r="BA18" s="879"/>
      <c r="BB18" s="879"/>
      <c r="BC18" s="879"/>
      <c r="BD18" s="879"/>
      <c r="BE18" s="879"/>
      <c r="BF18" s="879"/>
      <c r="BG18" s="879"/>
      <c r="BH18" s="879"/>
      <c r="BI18" s="879"/>
      <c r="BJ18" s="879"/>
      <c r="BK18" s="879"/>
      <c r="BL18" s="879"/>
      <c r="BM18" s="879"/>
      <c r="BN18" s="879"/>
      <c r="BO18" s="879"/>
      <c r="BP18" s="879"/>
      <c r="BQ18" s="879"/>
      <c r="BR18" s="879"/>
      <c r="BS18" s="879"/>
      <c r="BT18" s="879"/>
      <c r="BU18" s="879"/>
    </row>
    <row r="19" spans="1:73" x14ac:dyDescent="0.25">
      <c r="A19" s="879"/>
      <c r="B19" s="879"/>
      <c r="C19" s="879"/>
      <c r="D19" s="879"/>
      <c r="E19" s="879"/>
      <c r="F19" s="879"/>
      <c r="G19" s="879"/>
      <c r="H19" s="879"/>
      <c r="I19" s="879"/>
      <c r="J19" s="879"/>
      <c r="K19" s="879"/>
      <c r="L19" s="879"/>
      <c r="M19" s="879"/>
      <c r="N19" s="879"/>
      <c r="O19" s="879"/>
      <c r="P19" s="879"/>
      <c r="Q19" s="879"/>
      <c r="R19" s="879"/>
      <c r="S19" s="879"/>
      <c r="T19" s="879"/>
      <c r="U19" s="879"/>
      <c r="V19" s="1137">
        <f t="shared" si="4"/>
        <v>0.25</v>
      </c>
      <c r="W19" s="893">
        <f t="shared" ca="1" si="3"/>
        <v>6.7316109862570332</v>
      </c>
      <c r="X19" s="879"/>
      <c r="Y19" s="879"/>
      <c r="Z19" s="879"/>
      <c r="AA19" s="879"/>
      <c r="AB19" s="879"/>
      <c r="AC19" s="879"/>
      <c r="AD19" s="879"/>
      <c r="AE19" s="879"/>
      <c r="AF19" s="879"/>
      <c r="AG19" s="879"/>
      <c r="AH19" s="879"/>
      <c r="AI19" s="879"/>
      <c r="AJ19" s="879"/>
      <c r="AK19" s="879"/>
      <c r="AL19" s="879"/>
      <c r="AM19" s="879"/>
      <c r="AN19" s="879"/>
      <c r="AO19" s="879"/>
      <c r="AP19" s="879"/>
      <c r="AQ19" s="879"/>
      <c r="AR19" s="879"/>
      <c r="AS19" s="879"/>
      <c r="AT19" s="879"/>
      <c r="AU19" s="879"/>
      <c r="AV19" s="879"/>
      <c r="AW19" s="879"/>
      <c r="AX19" s="879"/>
      <c r="AY19" s="879"/>
      <c r="AZ19" s="879"/>
      <c r="BA19" s="879"/>
      <c r="BB19" s="879"/>
      <c r="BC19" s="879"/>
      <c r="BD19" s="879"/>
      <c r="BE19" s="879"/>
      <c r="BF19" s="879"/>
      <c r="BG19" s="879"/>
      <c r="BH19" s="879"/>
      <c r="BI19" s="879"/>
      <c r="BJ19" s="879"/>
      <c r="BK19" s="879"/>
      <c r="BL19" s="879"/>
      <c r="BM19" s="879"/>
      <c r="BN19" s="879"/>
      <c r="BO19" s="879"/>
      <c r="BP19" s="879"/>
      <c r="BQ19" s="879"/>
      <c r="BR19" s="879"/>
      <c r="BS19" s="879"/>
      <c r="BT19" s="879"/>
      <c r="BU19" s="879"/>
    </row>
    <row r="20" spans="1:73" x14ac:dyDescent="0.25">
      <c r="A20" s="879"/>
      <c r="B20" s="879"/>
      <c r="C20" s="879"/>
      <c r="D20" s="879"/>
      <c r="E20" s="879"/>
      <c r="F20" s="879"/>
      <c r="G20" s="879"/>
      <c r="H20" s="879"/>
      <c r="I20" s="879"/>
      <c r="J20" s="879"/>
      <c r="K20" s="879"/>
      <c r="L20" s="879"/>
      <c r="M20" s="879"/>
      <c r="N20" s="879"/>
      <c r="O20" s="879"/>
      <c r="P20" s="879"/>
      <c r="Q20" s="879"/>
      <c r="R20" s="879"/>
      <c r="S20" s="879"/>
      <c r="T20" s="879"/>
      <c r="U20" s="879"/>
      <c r="V20" s="1137">
        <f t="shared" si="4"/>
        <v>0.3</v>
      </c>
      <c r="W20" s="893">
        <f t="shared" ca="1" si="3"/>
        <v>6.7342604274279596</v>
      </c>
      <c r="X20" s="879"/>
      <c r="Y20" s="879"/>
      <c r="Z20" s="879"/>
      <c r="AA20" s="879"/>
      <c r="AB20" s="879"/>
      <c r="AC20" s="879"/>
      <c r="AD20" s="879"/>
      <c r="AE20" s="879"/>
      <c r="AF20" s="879"/>
      <c r="AG20" s="879"/>
      <c r="AH20" s="879"/>
      <c r="AI20" s="879"/>
      <c r="AJ20" s="879"/>
      <c r="AK20" s="879"/>
      <c r="AL20" s="879"/>
      <c r="AM20" s="879"/>
      <c r="AN20" s="879"/>
      <c r="AO20" s="879"/>
      <c r="AP20" s="879"/>
      <c r="AQ20" s="879"/>
      <c r="AR20" s="879"/>
      <c r="AS20" s="879"/>
      <c r="AT20" s="879"/>
      <c r="AU20" s="879"/>
      <c r="AV20" s="879"/>
      <c r="AW20" s="879"/>
      <c r="AX20" s="879"/>
      <c r="AY20" s="879"/>
      <c r="AZ20" s="879"/>
      <c r="BA20" s="879"/>
      <c r="BB20" s="879"/>
      <c r="BC20" s="879"/>
      <c r="BD20" s="879"/>
      <c r="BE20" s="879"/>
      <c r="BF20" s="879"/>
      <c r="BG20" s="879"/>
      <c r="BH20" s="879"/>
      <c r="BI20" s="879"/>
      <c r="BJ20" s="879"/>
      <c r="BK20" s="879"/>
      <c r="BL20" s="879"/>
      <c r="BM20" s="879"/>
      <c r="BN20" s="879"/>
      <c r="BO20" s="879"/>
      <c r="BP20" s="879"/>
      <c r="BQ20" s="879"/>
      <c r="BR20" s="879"/>
      <c r="BS20" s="879"/>
      <c r="BT20" s="879"/>
      <c r="BU20" s="879"/>
    </row>
    <row r="21" spans="1:73" x14ac:dyDescent="0.25">
      <c r="A21" s="879"/>
      <c r="B21" s="879"/>
      <c r="C21" s="879"/>
      <c r="D21" s="879"/>
      <c r="E21" s="879"/>
      <c r="F21" s="879"/>
      <c r="G21" s="879"/>
      <c r="H21" s="879"/>
      <c r="I21" s="879"/>
      <c r="J21" s="879"/>
      <c r="K21" s="879"/>
      <c r="L21" s="879"/>
      <c r="M21" s="879"/>
      <c r="N21" s="879"/>
      <c r="O21" s="879"/>
      <c r="P21" s="879"/>
      <c r="Q21" s="879"/>
      <c r="R21" s="879"/>
      <c r="S21" s="879"/>
      <c r="T21" s="879"/>
      <c r="U21" s="879"/>
      <c r="V21" s="1137">
        <f t="shared" si="4"/>
        <v>0.35</v>
      </c>
      <c r="W21" s="893">
        <f t="shared" ca="1" si="3"/>
        <v>6.736823208068718</v>
      </c>
      <c r="X21" s="879"/>
      <c r="Y21" s="879"/>
      <c r="Z21" s="879"/>
      <c r="AA21" s="879"/>
      <c r="AB21" s="879"/>
      <c r="AC21" s="879"/>
      <c r="AD21" s="879"/>
      <c r="AE21" s="879"/>
      <c r="AF21" s="879"/>
      <c r="AG21" s="879"/>
      <c r="AH21" s="879"/>
      <c r="AI21" s="879"/>
      <c r="AJ21" s="879"/>
      <c r="AK21" s="879"/>
      <c r="AL21" s="879"/>
      <c r="AM21" s="879"/>
      <c r="AN21" s="879"/>
      <c r="AO21" s="879"/>
      <c r="AP21" s="879"/>
      <c r="AQ21" s="879"/>
      <c r="AR21" s="879"/>
      <c r="AS21" s="879"/>
      <c r="AT21" s="879"/>
      <c r="AU21" s="879"/>
      <c r="AV21" s="879"/>
      <c r="AW21" s="879"/>
      <c r="AX21" s="879"/>
      <c r="AY21" s="879"/>
      <c r="AZ21" s="879"/>
      <c r="BA21" s="879"/>
      <c r="BB21" s="879"/>
      <c r="BC21" s="879"/>
      <c r="BD21" s="879"/>
      <c r="BE21" s="879"/>
      <c r="BF21" s="879"/>
      <c r="BG21" s="879"/>
      <c r="BH21" s="879"/>
      <c r="BI21" s="879"/>
      <c r="BJ21" s="879"/>
      <c r="BK21" s="879"/>
      <c r="BL21" s="879"/>
      <c r="BM21" s="879"/>
      <c r="BN21" s="879"/>
      <c r="BO21" s="879"/>
      <c r="BP21" s="879"/>
      <c r="BQ21" s="879"/>
      <c r="BR21" s="879"/>
      <c r="BS21" s="879"/>
      <c r="BT21" s="879"/>
      <c r="BU21" s="879"/>
    </row>
    <row r="22" spans="1:73" x14ac:dyDescent="0.25">
      <c r="A22" s="879"/>
      <c r="B22" s="879"/>
      <c r="C22" s="879"/>
      <c r="D22" s="879"/>
      <c r="E22" s="879"/>
      <c r="F22" s="879"/>
      <c r="G22" s="879"/>
      <c r="H22" s="879"/>
      <c r="I22" s="879"/>
      <c r="J22" s="879"/>
      <c r="K22" s="879"/>
      <c r="L22" s="879"/>
      <c r="M22" s="879"/>
      <c r="N22" s="879"/>
      <c r="O22" s="879"/>
      <c r="P22" s="879"/>
      <c r="Q22" s="879"/>
      <c r="R22" s="879"/>
      <c r="S22" s="879"/>
      <c r="T22" s="879"/>
      <c r="U22" s="879"/>
      <c r="V22" s="1137">
        <f t="shared" si="4"/>
        <v>0.39999999999999997</v>
      </c>
      <c r="W22" s="893">
        <f t="shared" ca="1" si="3"/>
        <v>6.7394365053985021</v>
      </c>
      <c r="X22" s="879"/>
      <c r="Y22" s="879"/>
      <c r="Z22" s="879"/>
      <c r="AA22" s="879"/>
      <c r="AB22" s="879"/>
      <c r="AC22" s="879"/>
      <c r="AD22" s="879"/>
      <c r="AE22" s="879"/>
      <c r="AF22" s="879"/>
      <c r="AG22" s="879"/>
      <c r="AH22" s="879"/>
      <c r="AI22" s="879"/>
      <c r="AJ22" s="879"/>
      <c r="AK22" s="879"/>
      <c r="AL22" s="879"/>
      <c r="AM22" s="879"/>
      <c r="AN22" s="879"/>
      <c r="AO22" s="879"/>
      <c r="AP22" s="879"/>
      <c r="AQ22" s="879"/>
      <c r="AR22" s="879"/>
      <c r="AS22" s="879"/>
      <c r="AT22" s="879"/>
      <c r="AU22" s="879"/>
      <c r="AV22" s="879"/>
      <c r="AW22" s="879"/>
      <c r="AX22" s="879"/>
      <c r="AY22" s="879"/>
      <c r="AZ22" s="879"/>
      <c r="BA22" s="879"/>
      <c r="BB22" s="879"/>
      <c r="BC22" s="879"/>
      <c r="BD22" s="879"/>
      <c r="BE22" s="879"/>
      <c r="BF22" s="879"/>
      <c r="BG22" s="879"/>
      <c r="BH22" s="879"/>
      <c r="BI22" s="879"/>
      <c r="BJ22" s="879"/>
      <c r="BK22" s="879"/>
      <c r="BL22" s="879"/>
      <c r="BM22" s="879"/>
      <c r="BN22" s="879"/>
      <c r="BO22" s="879"/>
      <c r="BP22" s="879"/>
      <c r="BQ22" s="879"/>
      <c r="BR22" s="879"/>
      <c r="BS22" s="879"/>
      <c r="BT22" s="879"/>
      <c r="BU22" s="879"/>
    </row>
    <row r="23" spans="1:73" x14ac:dyDescent="0.25">
      <c r="A23" s="879"/>
      <c r="B23" s="879"/>
      <c r="C23" s="879"/>
      <c r="D23" s="879"/>
      <c r="E23" s="879"/>
      <c r="F23" s="879"/>
      <c r="G23" s="879"/>
      <c r="H23" s="879"/>
      <c r="I23" s="879"/>
      <c r="J23" s="879"/>
      <c r="K23" s="879"/>
      <c r="L23" s="879"/>
      <c r="M23" s="879"/>
      <c r="N23" s="879"/>
      <c r="O23" s="879"/>
      <c r="P23" s="879"/>
      <c r="Q23" s="879"/>
      <c r="R23" s="879"/>
      <c r="S23" s="879"/>
      <c r="T23" s="879"/>
      <c r="U23" s="879"/>
      <c r="V23" s="1137">
        <f t="shared" si="4"/>
        <v>0.44999999999999996</v>
      </c>
      <c r="W23" s="893">
        <f t="shared" ca="1" si="3"/>
        <v>6.741998742445853</v>
      </c>
      <c r="X23" s="879"/>
      <c r="Y23" s="879"/>
      <c r="Z23" s="879"/>
      <c r="AA23" s="879"/>
      <c r="AB23" s="879"/>
      <c r="AC23" s="879"/>
      <c r="AD23" s="879"/>
      <c r="AE23" s="879"/>
      <c r="AF23" s="879"/>
      <c r="AG23" s="879"/>
      <c r="AH23" s="879"/>
      <c r="AI23" s="879"/>
      <c r="AJ23" s="879"/>
      <c r="AK23" s="879"/>
      <c r="AL23" s="879"/>
      <c r="AM23" s="879"/>
      <c r="AN23" s="879"/>
      <c r="AO23" s="879"/>
      <c r="AP23" s="879"/>
      <c r="AQ23" s="879"/>
      <c r="AR23" s="879"/>
      <c r="AS23" s="879"/>
      <c r="AT23" s="879"/>
      <c r="AU23" s="879"/>
      <c r="AV23" s="879"/>
      <c r="AW23" s="879"/>
      <c r="AX23" s="879"/>
      <c r="AY23" s="879"/>
      <c r="AZ23" s="879"/>
      <c r="BA23" s="879"/>
      <c r="BB23" s="879"/>
      <c r="BC23" s="879"/>
      <c r="BD23" s="879"/>
      <c r="BE23" s="879"/>
      <c r="BF23" s="879"/>
      <c r="BG23" s="879"/>
      <c r="BH23" s="879"/>
      <c r="BI23" s="879"/>
      <c r="BJ23" s="879"/>
      <c r="BK23" s="879"/>
      <c r="BL23" s="879"/>
      <c r="BM23" s="879"/>
      <c r="BN23" s="879"/>
      <c r="BO23" s="879"/>
      <c r="BP23" s="879"/>
      <c r="BQ23" s="879"/>
      <c r="BR23" s="879"/>
      <c r="BS23" s="879"/>
      <c r="BT23" s="879"/>
      <c r="BU23" s="879"/>
    </row>
    <row r="24" spans="1:73" x14ac:dyDescent="0.25">
      <c r="A24" s="879"/>
      <c r="B24" s="879"/>
      <c r="C24" s="879"/>
      <c r="D24" s="879"/>
      <c r="E24" s="879"/>
      <c r="F24" s="879"/>
      <c r="G24" s="879"/>
      <c r="H24" s="879"/>
      <c r="I24" s="879"/>
      <c r="J24" s="879"/>
      <c r="K24" s="879"/>
      <c r="L24" s="879"/>
      <c r="M24" s="879"/>
      <c r="N24" s="879"/>
      <c r="O24" s="879"/>
      <c r="P24" s="879"/>
      <c r="Q24" s="879"/>
      <c r="R24" s="879"/>
      <c r="S24" s="879"/>
      <c r="T24" s="879"/>
      <c r="U24" s="879"/>
      <c r="V24" s="1138">
        <f t="shared" si="4"/>
        <v>0.49999999999999994</v>
      </c>
      <c r="W24" s="1139">
        <f t="shared" ca="1" si="3"/>
        <v>6.7443232249958589</v>
      </c>
      <c r="X24" s="879"/>
      <c r="Y24" s="879"/>
      <c r="Z24" s="879"/>
      <c r="AA24" s="879"/>
      <c r="AB24" s="879"/>
      <c r="AC24" s="879"/>
      <c r="AD24" s="879"/>
      <c r="AE24" s="879"/>
      <c r="AF24" s="879"/>
      <c r="AG24" s="879"/>
      <c r="AH24" s="879"/>
      <c r="AI24" s="879"/>
      <c r="AJ24" s="879"/>
      <c r="AK24" s="879"/>
      <c r="AL24" s="879"/>
      <c r="AM24" s="879"/>
      <c r="AN24" s="879"/>
      <c r="AO24" s="879"/>
      <c r="AP24" s="879"/>
      <c r="AQ24" s="879"/>
      <c r="AR24" s="879"/>
      <c r="AS24" s="879"/>
      <c r="AT24" s="879"/>
      <c r="AU24" s="879"/>
      <c r="AV24" s="879"/>
      <c r="AW24" s="879"/>
      <c r="AX24" s="879"/>
      <c r="AY24" s="879"/>
      <c r="AZ24" s="879"/>
      <c r="BA24" s="879"/>
      <c r="BB24" s="879"/>
      <c r="BC24" s="879"/>
      <c r="BD24" s="879"/>
      <c r="BE24" s="879"/>
      <c r="BF24" s="879"/>
      <c r="BG24" s="879"/>
      <c r="BH24" s="879"/>
      <c r="BI24" s="879"/>
      <c r="BJ24" s="879"/>
      <c r="BK24" s="879"/>
      <c r="BL24" s="879"/>
      <c r="BM24" s="879"/>
      <c r="BN24" s="879"/>
      <c r="BO24" s="879"/>
      <c r="BP24" s="879"/>
      <c r="BQ24" s="879"/>
      <c r="BR24" s="879"/>
      <c r="BS24" s="879"/>
      <c r="BT24" s="879"/>
      <c r="BU24" s="879"/>
    </row>
    <row r="25" spans="1:73" x14ac:dyDescent="0.25">
      <c r="A25" s="879"/>
      <c r="B25" s="879"/>
      <c r="C25" s="879"/>
      <c r="D25" s="879"/>
      <c r="E25" s="879"/>
      <c r="F25" s="879"/>
      <c r="G25" s="879"/>
      <c r="H25" s="879"/>
      <c r="I25" s="879"/>
      <c r="J25" s="879"/>
      <c r="K25" s="879"/>
      <c r="L25" s="879"/>
      <c r="M25" s="879"/>
      <c r="N25" s="879"/>
      <c r="O25" s="879"/>
      <c r="P25" s="879"/>
      <c r="Q25" s="879"/>
      <c r="R25" s="879"/>
      <c r="S25" s="879"/>
      <c r="T25" s="879"/>
      <c r="U25" s="879"/>
      <c r="V25" s="1137">
        <f t="shared" si="4"/>
        <v>0.54999999999999993</v>
      </c>
      <c r="W25" s="893">
        <f t="shared" ca="1" si="3"/>
        <v>6.7465262468460976</v>
      </c>
      <c r="X25" s="879"/>
      <c r="Y25" s="879"/>
      <c r="Z25" s="879"/>
      <c r="AA25" s="879"/>
      <c r="AB25" s="879"/>
      <c r="AC25" s="879"/>
      <c r="AD25" s="879"/>
      <c r="AE25" s="879"/>
      <c r="AF25" s="879"/>
      <c r="AG25" s="879"/>
      <c r="AH25" s="879"/>
      <c r="AI25" s="879"/>
      <c r="AJ25" s="879"/>
      <c r="AK25" s="879"/>
      <c r="AL25" s="879"/>
      <c r="AM25" s="879"/>
      <c r="AN25" s="879"/>
      <c r="AO25" s="879"/>
      <c r="AP25" s="879"/>
      <c r="AQ25" s="879"/>
      <c r="AR25" s="879"/>
      <c r="AS25" s="879"/>
      <c r="AT25" s="879"/>
      <c r="AU25" s="879"/>
      <c r="AV25" s="879"/>
      <c r="AW25" s="879"/>
      <c r="AX25" s="879"/>
      <c r="AY25" s="879"/>
      <c r="AZ25" s="879"/>
      <c r="BA25" s="879"/>
      <c r="BB25" s="879"/>
      <c r="BC25" s="879"/>
      <c r="BD25" s="879"/>
      <c r="BE25" s="879"/>
      <c r="BF25" s="879"/>
      <c r="BG25" s="879"/>
      <c r="BH25" s="879"/>
      <c r="BI25" s="879"/>
      <c r="BJ25" s="879"/>
      <c r="BK25" s="879"/>
      <c r="BL25" s="879"/>
      <c r="BM25" s="879"/>
      <c r="BN25" s="879"/>
      <c r="BO25" s="879"/>
      <c r="BP25" s="879"/>
      <c r="BQ25" s="879"/>
      <c r="BR25" s="879"/>
      <c r="BS25" s="879"/>
      <c r="BT25" s="879"/>
      <c r="BU25" s="879"/>
    </row>
    <row r="26" spans="1:73" x14ac:dyDescent="0.25">
      <c r="A26" s="879"/>
      <c r="B26" s="879"/>
      <c r="C26" s="879"/>
      <c r="D26" s="879"/>
      <c r="E26" s="879"/>
      <c r="F26" s="879"/>
      <c r="G26" s="879"/>
      <c r="H26" s="879"/>
      <c r="I26" s="879"/>
      <c r="J26" s="879"/>
      <c r="K26" s="879"/>
      <c r="L26" s="879"/>
      <c r="M26" s="879"/>
      <c r="N26" s="879"/>
      <c r="O26" s="879"/>
      <c r="P26" s="879"/>
      <c r="Q26" s="879"/>
      <c r="R26" s="879"/>
      <c r="S26" s="879"/>
      <c r="T26" s="879"/>
      <c r="U26" s="879"/>
      <c r="V26" s="1137">
        <f t="shared" si="4"/>
        <v>0.6</v>
      </c>
      <c r="W26" s="893">
        <f t="shared" ca="1" si="3"/>
        <v>6.748895539010924</v>
      </c>
      <c r="X26" s="879"/>
      <c r="Y26" s="879"/>
      <c r="Z26" s="879"/>
      <c r="AA26" s="879"/>
      <c r="AB26" s="879"/>
      <c r="AC26" s="879"/>
      <c r="AD26" s="879"/>
      <c r="AE26" s="879"/>
      <c r="AF26" s="879"/>
      <c r="AG26" s="879"/>
      <c r="AH26" s="879"/>
      <c r="AI26" s="879"/>
      <c r="AJ26" s="879"/>
      <c r="AK26" s="879"/>
      <c r="AL26" s="879"/>
      <c r="AM26" s="879"/>
      <c r="AN26" s="879"/>
      <c r="AO26" s="879"/>
      <c r="AP26" s="879"/>
      <c r="AQ26" s="879"/>
      <c r="AR26" s="879"/>
      <c r="AS26" s="879"/>
      <c r="AT26" s="879"/>
      <c r="AU26" s="879"/>
      <c r="AV26" s="879"/>
      <c r="AW26" s="879"/>
      <c r="AX26" s="879"/>
      <c r="AY26" s="879"/>
      <c r="AZ26" s="879"/>
      <c r="BA26" s="879"/>
      <c r="BB26" s="879"/>
      <c r="BC26" s="879"/>
      <c r="BD26" s="879"/>
      <c r="BE26" s="879"/>
      <c r="BF26" s="879"/>
      <c r="BG26" s="879"/>
      <c r="BH26" s="879"/>
      <c r="BI26" s="879"/>
      <c r="BJ26" s="879"/>
      <c r="BK26" s="879"/>
      <c r="BL26" s="879"/>
      <c r="BM26" s="879"/>
      <c r="BN26" s="879"/>
      <c r="BO26" s="879"/>
      <c r="BP26" s="879"/>
      <c r="BQ26" s="879"/>
      <c r="BR26" s="879"/>
      <c r="BS26" s="879"/>
      <c r="BT26" s="879"/>
      <c r="BU26" s="879"/>
    </row>
    <row r="27" spans="1:73" x14ac:dyDescent="0.25">
      <c r="A27" s="879"/>
      <c r="B27" s="879"/>
      <c r="C27" s="879"/>
      <c r="D27" s="879"/>
      <c r="E27" s="879"/>
      <c r="F27" s="879"/>
      <c r="G27" s="879"/>
      <c r="H27" s="879"/>
      <c r="I27" s="879"/>
      <c r="J27" s="879"/>
      <c r="K27" s="879"/>
      <c r="L27" s="879"/>
      <c r="M27" s="879"/>
      <c r="N27" s="879"/>
      <c r="O27" s="879"/>
      <c r="P27" s="879"/>
      <c r="Q27" s="879"/>
      <c r="R27" s="879"/>
      <c r="S27" s="879"/>
      <c r="T27" s="879"/>
      <c r="U27" s="879"/>
      <c r="V27" s="1137">
        <f t="shared" si="4"/>
        <v>0.65</v>
      </c>
      <c r="W27" s="893">
        <f t="shared" ca="1" si="3"/>
        <v>6.7512402601775383</v>
      </c>
      <c r="X27" s="879"/>
      <c r="Y27" s="879"/>
      <c r="Z27" s="879"/>
      <c r="AA27" s="879"/>
      <c r="AB27" s="879"/>
      <c r="AC27" s="879"/>
      <c r="AD27" s="879"/>
      <c r="AE27" s="879"/>
      <c r="AF27" s="879"/>
      <c r="AG27" s="879"/>
      <c r="AH27" s="879"/>
      <c r="AI27" s="879"/>
      <c r="AJ27" s="879"/>
      <c r="AK27" s="879"/>
      <c r="AL27" s="879"/>
      <c r="AM27" s="879"/>
      <c r="AN27" s="879"/>
      <c r="AO27" s="879"/>
      <c r="AP27" s="879"/>
      <c r="AQ27" s="879"/>
      <c r="AR27" s="879"/>
      <c r="AS27" s="879"/>
      <c r="AT27" s="879"/>
      <c r="AU27" s="879"/>
      <c r="AV27" s="879"/>
      <c r="AW27" s="879"/>
      <c r="AX27" s="879"/>
      <c r="AY27" s="879"/>
      <c r="AZ27" s="879"/>
      <c r="BA27" s="879"/>
      <c r="BB27" s="879"/>
      <c r="BC27" s="879"/>
      <c r="BD27" s="879"/>
      <c r="BE27" s="879"/>
      <c r="BF27" s="879"/>
      <c r="BG27" s="879"/>
      <c r="BH27" s="879"/>
      <c r="BI27" s="879"/>
      <c r="BJ27" s="879"/>
      <c r="BK27" s="879"/>
      <c r="BL27" s="879"/>
      <c r="BM27" s="879"/>
      <c r="BN27" s="879"/>
      <c r="BO27" s="879"/>
      <c r="BP27" s="879"/>
      <c r="BQ27" s="879"/>
      <c r="BR27" s="879"/>
      <c r="BS27" s="879"/>
      <c r="BT27" s="879"/>
      <c r="BU27" s="879"/>
    </row>
    <row r="28" spans="1:73" x14ac:dyDescent="0.25">
      <c r="A28" s="879"/>
      <c r="B28" s="879"/>
      <c r="C28" s="879"/>
      <c r="D28" s="879"/>
      <c r="E28" s="879"/>
      <c r="F28" s="879"/>
      <c r="G28" s="879"/>
      <c r="H28" s="879"/>
      <c r="I28" s="879"/>
      <c r="J28" s="879"/>
      <c r="K28" s="879"/>
      <c r="L28" s="879"/>
      <c r="M28" s="879"/>
      <c r="N28" s="879"/>
      <c r="O28" s="879"/>
      <c r="P28" s="879"/>
      <c r="Q28" s="879"/>
      <c r="R28" s="879"/>
      <c r="S28" s="879"/>
      <c r="T28" s="879"/>
      <c r="U28" s="879"/>
      <c r="V28" s="1137">
        <f t="shared" si="4"/>
        <v>0.70000000000000007</v>
      </c>
      <c r="W28" s="893">
        <f t="shared" ca="1" si="3"/>
        <v>6.7536745229719317</v>
      </c>
      <c r="X28" s="879"/>
      <c r="Y28" s="879"/>
      <c r="Z28" s="879"/>
      <c r="AA28" s="879"/>
      <c r="AB28" s="879"/>
      <c r="AC28" s="879"/>
      <c r="AD28" s="879"/>
      <c r="AE28" s="879"/>
      <c r="AF28" s="879"/>
      <c r="AG28" s="879"/>
      <c r="AH28" s="879"/>
      <c r="AI28" s="879"/>
      <c r="AJ28" s="879"/>
      <c r="AK28" s="879"/>
      <c r="AL28" s="879"/>
      <c r="AM28" s="879"/>
      <c r="AN28" s="879"/>
      <c r="AO28" s="879"/>
      <c r="AP28" s="879"/>
      <c r="AQ28" s="879"/>
      <c r="AR28" s="879"/>
      <c r="AS28" s="879"/>
      <c r="AT28" s="879"/>
      <c r="AU28" s="879"/>
      <c r="AV28" s="879"/>
      <c r="AW28" s="879"/>
      <c r="AX28" s="879"/>
      <c r="AY28" s="879"/>
      <c r="AZ28" s="879"/>
      <c r="BA28" s="879"/>
      <c r="BB28" s="879"/>
      <c r="BC28" s="879"/>
      <c r="BD28" s="879"/>
      <c r="BE28" s="879"/>
      <c r="BF28" s="879"/>
      <c r="BG28" s="879"/>
      <c r="BH28" s="879"/>
      <c r="BI28" s="879"/>
      <c r="BJ28" s="879"/>
      <c r="BK28" s="879"/>
      <c r="BL28" s="879"/>
      <c r="BM28" s="879"/>
      <c r="BN28" s="879"/>
      <c r="BO28" s="879"/>
      <c r="BP28" s="879"/>
      <c r="BQ28" s="879"/>
      <c r="BR28" s="879"/>
      <c r="BS28" s="879"/>
      <c r="BT28" s="879"/>
      <c r="BU28" s="879"/>
    </row>
    <row r="29" spans="1:73" x14ac:dyDescent="0.25">
      <c r="A29" s="879"/>
      <c r="B29" s="879"/>
      <c r="C29" s="879"/>
      <c r="D29" s="879"/>
      <c r="E29" s="879"/>
      <c r="F29" s="879"/>
      <c r="G29" s="879"/>
      <c r="H29" s="879"/>
      <c r="I29" s="879"/>
      <c r="J29" s="879"/>
      <c r="K29" s="879"/>
      <c r="L29" s="879"/>
      <c r="M29" s="879"/>
      <c r="N29" s="879"/>
      <c r="O29" s="879"/>
      <c r="P29" s="879"/>
      <c r="Q29" s="879"/>
      <c r="R29" s="879"/>
      <c r="S29" s="879"/>
      <c r="T29" s="879"/>
      <c r="U29" s="879"/>
      <c r="V29" s="1137">
        <f t="shared" si="4"/>
        <v>0.75000000000000011</v>
      </c>
      <c r="W29" s="893">
        <f t="shared" ca="1" si="3"/>
        <v>6.7560390042321821</v>
      </c>
      <c r="X29" s="879"/>
      <c r="Y29" s="879"/>
      <c r="Z29" s="879"/>
      <c r="AA29" s="879"/>
      <c r="AB29" s="879"/>
      <c r="AC29" s="879"/>
      <c r="AD29" s="879"/>
      <c r="AE29" s="879"/>
      <c r="AF29" s="879"/>
      <c r="AG29" s="879"/>
      <c r="AH29" s="879"/>
      <c r="AI29" s="879"/>
      <c r="AJ29" s="879"/>
      <c r="AK29" s="879"/>
      <c r="AL29" s="879"/>
      <c r="AM29" s="879"/>
      <c r="AN29" s="879"/>
      <c r="AO29" s="879"/>
      <c r="AP29" s="879"/>
      <c r="AQ29" s="879"/>
      <c r="AR29" s="879"/>
      <c r="AS29" s="879"/>
      <c r="AT29" s="879"/>
      <c r="AU29" s="879"/>
      <c r="AV29" s="879"/>
      <c r="AW29" s="879"/>
      <c r="AX29" s="879"/>
      <c r="AY29" s="879"/>
      <c r="AZ29" s="879"/>
      <c r="BA29" s="879"/>
      <c r="BB29" s="879"/>
      <c r="BC29" s="879"/>
      <c r="BD29" s="879"/>
      <c r="BE29" s="879"/>
      <c r="BF29" s="879"/>
      <c r="BG29" s="879"/>
      <c r="BH29" s="879"/>
      <c r="BI29" s="879"/>
      <c r="BJ29" s="879"/>
      <c r="BK29" s="879"/>
      <c r="BL29" s="879"/>
      <c r="BM29" s="879"/>
      <c r="BN29" s="879"/>
      <c r="BO29" s="879"/>
      <c r="BP29" s="879"/>
      <c r="BQ29" s="879"/>
      <c r="BR29" s="879"/>
      <c r="BS29" s="879"/>
      <c r="BT29" s="879"/>
      <c r="BU29" s="879"/>
    </row>
    <row r="30" spans="1:73" x14ac:dyDescent="0.25">
      <c r="A30" s="879"/>
      <c r="B30" s="879"/>
      <c r="C30" s="879"/>
      <c r="D30" s="879"/>
      <c r="E30" s="879"/>
      <c r="F30" s="880"/>
      <c r="G30" s="879"/>
      <c r="H30" s="879"/>
      <c r="I30" s="879"/>
      <c r="J30" s="879"/>
      <c r="K30" s="879"/>
      <c r="L30" s="879"/>
      <c r="M30" s="879"/>
      <c r="N30" s="879"/>
      <c r="O30" s="879"/>
      <c r="P30" s="879"/>
      <c r="Q30" s="879"/>
      <c r="R30" s="879"/>
      <c r="S30" s="879"/>
      <c r="T30" s="879"/>
      <c r="U30" s="879"/>
      <c r="V30" s="1137">
        <f t="shared" si="4"/>
        <v>0.80000000000000016</v>
      </c>
      <c r="W30" s="893">
        <f t="shared" ca="1" si="3"/>
        <v>6.7595930299057061</v>
      </c>
      <c r="X30" s="879"/>
      <c r="Y30" s="879"/>
      <c r="Z30" s="879"/>
      <c r="AA30" s="879"/>
      <c r="AB30" s="879"/>
      <c r="AC30" s="879"/>
      <c r="AD30" s="879"/>
      <c r="AE30" s="879"/>
      <c r="AF30" s="879"/>
      <c r="AG30" s="879"/>
      <c r="AH30" s="879"/>
      <c r="AI30" s="879"/>
      <c r="AJ30" s="879"/>
      <c r="AK30" s="879"/>
      <c r="AL30" s="879"/>
      <c r="AM30" s="879"/>
      <c r="AN30" s="879"/>
      <c r="AO30" s="879"/>
      <c r="AP30" s="879"/>
      <c r="AQ30" s="879"/>
      <c r="AR30" s="879"/>
      <c r="AS30" s="879"/>
      <c r="AT30" s="879"/>
      <c r="AU30" s="879"/>
      <c r="AV30" s="879"/>
      <c r="AW30" s="879"/>
      <c r="AX30" s="879"/>
      <c r="AY30" s="879"/>
      <c r="AZ30" s="879"/>
      <c r="BA30" s="879"/>
      <c r="BB30" s="879"/>
      <c r="BC30" s="879"/>
      <c r="BD30" s="879"/>
      <c r="BE30" s="879"/>
      <c r="BF30" s="879"/>
      <c r="BG30" s="879"/>
      <c r="BH30" s="879"/>
      <c r="BI30" s="879"/>
      <c r="BJ30" s="879"/>
      <c r="BK30" s="879"/>
      <c r="BL30" s="879"/>
      <c r="BM30" s="879"/>
      <c r="BN30" s="879"/>
      <c r="BO30" s="879"/>
      <c r="BP30" s="879"/>
      <c r="BQ30" s="879"/>
      <c r="BR30" s="879"/>
      <c r="BS30" s="879"/>
      <c r="BT30" s="879"/>
      <c r="BU30" s="879"/>
    </row>
    <row r="31" spans="1:73" x14ac:dyDescent="0.25">
      <c r="A31" s="879"/>
      <c r="B31" s="879"/>
      <c r="C31" s="879"/>
      <c r="D31" s="879"/>
      <c r="E31" s="879"/>
      <c r="F31" s="879"/>
      <c r="G31" s="879"/>
      <c r="H31" s="879"/>
      <c r="I31" s="879"/>
      <c r="J31" s="879"/>
      <c r="K31" s="879"/>
      <c r="L31" s="879"/>
      <c r="M31" s="879"/>
      <c r="N31" s="879"/>
      <c r="O31" s="879"/>
      <c r="P31" s="879"/>
      <c r="Q31" s="879"/>
      <c r="R31" s="879"/>
      <c r="S31" s="879"/>
      <c r="T31" s="879"/>
      <c r="U31" s="879"/>
      <c r="V31" s="1137">
        <f t="shared" si="4"/>
        <v>0.8500000000000002</v>
      </c>
      <c r="W31" s="893">
        <f t="shared" ca="1" si="3"/>
        <v>6.7635789827792925</v>
      </c>
      <c r="X31" s="879"/>
      <c r="Y31" s="879"/>
      <c r="Z31" s="879"/>
      <c r="AA31" s="879"/>
      <c r="AB31" s="879"/>
      <c r="AC31" s="879"/>
      <c r="AD31" s="879"/>
      <c r="AE31" s="879"/>
      <c r="AF31" s="879"/>
      <c r="AG31" s="879"/>
      <c r="AH31" s="879"/>
      <c r="AI31" s="879"/>
      <c r="AJ31" s="879"/>
      <c r="AK31" s="879"/>
      <c r="AL31" s="879"/>
      <c r="AM31" s="879"/>
      <c r="AN31" s="879"/>
      <c r="AO31" s="879"/>
      <c r="AP31" s="879"/>
      <c r="AQ31" s="879"/>
      <c r="AR31" s="879"/>
      <c r="AS31" s="879"/>
      <c r="AT31" s="879"/>
      <c r="AU31" s="879"/>
      <c r="AV31" s="879"/>
      <c r="AW31" s="879"/>
      <c r="AX31" s="879"/>
      <c r="AY31" s="879"/>
      <c r="AZ31" s="879"/>
      <c r="BA31" s="879"/>
      <c r="BB31" s="879"/>
      <c r="BC31" s="879"/>
      <c r="BD31" s="879"/>
      <c r="BE31" s="879"/>
      <c r="BF31" s="879"/>
      <c r="BG31" s="879"/>
      <c r="BH31" s="879"/>
      <c r="BI31" s="879"/>
      <c r="BJ31" s="879"/>
      <c r="BK31" s="879"/>
      <c r="BL31" s="879"/>
      <c r="BM31" s="879"/>
      <c r="BN31" s="879"/>
      <c r="BO31" s="879"/>
      <c r="BP31" s="879"/>
      <c r="BQ31" s="879"/>
      <c r="BR31" s="879"/>
      <c r="BS31" s="879"/>
      <c r="BT31" s="879"/>
      <c r="BU31" s="879"/>
    </row>
    <row r="32" spans="1:73" x14ac:dyDescent="0.25">
      <c r="A32" s="879"/>
      <c r="B32" s="879"/>
      <c r="C32" s="879"/>
      <c r="D32" s="879"/>
      <c r="E32" s="879"/>
      <c r="F32" s="879"/>
      <c r="G32" s="879"/>
      <c r="H32" s="879"/>
      <c r="I32" s="879"/>
      <c r="J32" s="879"/>
      <c r="K32" s="879"/>
      <c r="L32" s="879"/>
      <c r="M32" s="879"/>
      <c r="N32" s="879"/>
      <c r="O32" s="879"/>
      <c r="P32" s="879"/>
      <c r="Q32" s="879"/>
      <c r="R32" s="879"/>
      <c r="S32" s="879"/>
      <c r="T32" s="879"/>
      <c r="U32" s="879"/>
      <c r="V32" s="1137">
        <f t="shared" si="4"/>
        <v>0.90000000000000024</v>
      </c>
      <c r="W32" s="893">
        <f t="shared" ca="1" si="3"/>
        <v>6.7683182179649668</v>
      </c>
      <c r="X32" s="879"/>
      <c r="Y32" s="879"/>
      <c r="Z32" s="879"/>
      <c r="AA32" s="879"/>
      <c r="AB32" s="879"/>
      <c r="AC32" s="879"/>
      <c r="AD32" s="879"/>
      <c r="AE32" s="879"/>
      <c r="AF32" s="879"/>
      <c r="AG32" s="879"/>
      <c r="AH32" s="879"/>
      <c r="AI32" s="879"/>
      <c r="AJ32" s="879"/>
      <c r="AK32" s="879"/>
      <c r="AL32" s="879"/>
      <c r="AM32" s="879"/>
      <c r="AN32" s="879"/>
      <c r="AO32" s="879"/>
      <c r="AP32" s="879"/>
      <c r="AQ32" s="879"/>
      <c r="AR32" s="879"/>
      <c r="AS32" s="879"/>
      <c r="AT32" s="879"/>
      <c r="AU32" s="879"/>
      <c r="AV32" s="879"/>
      <c r="AW32" s="879"/>
      <c r="AX32" s="879"/>
      <c r="AY32" s="879"/>
      <c r="AZ32" s="879"/>
      <c r="BA32" s="879"/>
      <c r="BB32" s="879"/>
      <c r="BC32" s="879"/>
      <c r="BD32" s="879"/>
      <c r="BE32" s="879"/>
      <c r="BF32" s="879"/>
      <c r="BG32" s="879"/>
      <c r="BH32" s="879"/>
      <c r="BI32" s="879"/>
      <c r="BJ32" s="879"/>
      <c r="BK32" s="879"/>
      <c r="BL32" s="879"/>
      <c r="BM32" s="879"/>
      <c r="BN32" s="879"/>
      <c r="BO32" s="879"/>
      <c r="BP32" s="879"/>
      <c r="BQ32" s="879"/>
      <c r="BR32" s="879"/>
      <c r="BS32" s="879"/>
      <c r="BT32" s="879"/>
      <c r="BU32" s="879"/>
    </row>
    <row r="33" spans="1:73" x14ac:dyDescent="0.25">
      <c r="A33" s="879"/>
      <c r="B33" s="879"/>
      <c r="C33" s="879"/>
      <c r="D33" s="879"/>
      <c r="E33" s="879"/>
      <c r="F33" s="879"/>
      <c r="G33" s="879"/>
      <c r="H33" s="879"/>
      <c r="I33" s="879"/>
      <c r="J33" s="879"/>
      <c r="K33" s="879"/>
      <c r="L33" s="879"/>
      <c r="M33" s="879"/>
      <c r="N33" s="879"/>
      <c r="O33" s="879"/>
      <c r="P33" s="879"/>
      <c r="Q33" s="879"/>
      <c r="R33" s="879"/>
      <c r="S33" s="879"/>
      <c r="T33" s="879"/>
      <c r="U33" s="879"/>
      <c r="V33" s="1138">
        <f t="shared" si="4"/>
        <v>0.95000000000000029</v>
      </c>
      <c r="W33" s="1139">
        <f t="shared" ca="1" si="3"/>
        <v>6.7758327606418032</v>
      </c>
      <c r="X33" s="879"/>
      <c r="Y33" s="879"/>
      <c r="Z33" s="879"/>
      <c r="AA33" s="879"/>
      <c r="AB33" s="879"/>
      <c r="AC33" s="879"/>
      <c r="AD33" s="879"/>
      <c r="AE33" s="879"/>
      <c r="AF33" s="879"/>
      <c r="AG33" s="879"/>
      <c r="AH33" s="879"/>
      <c r="AI33" s="879"/>
      <c r="AJ33" s="879"/>
      <c r="AK33" s="879"/>
      <c r="AL33" s="879"/>
      <c r="AM33" s="879"/>
      <c r="AN33" s="879"/>
      <c r="AO33" s="879"/>
      <c r="AP33" s="879"/>
      <c r="AQ33" s="879"/>
      <c r="AR33" s="879"/>
      <c r="AS33" s="879"/>
      <c r="AT33" s="879"/>
      <c r="AU33" s="879"/>
      <c r="AV33" s="879"/>
      <c r="AW33" s="879"/>
      <c r="AX33" s="879"/>
      <c r="AY33" s="879"/>
      <c r="AZ33" s="879"/>
      <c r="BA33" s="879"/>
      <c r="BB33" s="879"/>
      <c r="BC33" s="879"/>
      <c r="BD33" s="879"/>
      <c r="BE33" s="879"/>
      <c r="BF33" s="879"/>
      <c r="BG33" s="879"/>
      <c r="BH33" s="879"/>
      <c r="BI33" s="879"/>
      <c r="BJ33" s="879"/>
      <c r="BK33" s="879"/>
      <c r="BL33" s="879"/>
      <c r="BM33" s="879"/>
      <c r="BN33" s="879"/>
      <c r="BO33" s="879"/>
      <c r="BP33" s="879"/>
      <c r="BQ33" s="879"/>
      <c r="BR33" s="879"/>
      <c r="BS33" s="879"/>
      <c r="BT33" s="879"/>
      <c r="BU33" s="879"/>
    </row>
    <row r="34" spans="1:73" x14ac:dyDescent="0.25">
      <c r="A34" s="879"/>
      <c r="B34" s="879"/>
      <c r="C34" s="879"/>
      <c r="D34" s="879"/>
      <c r="E34" s="879"/>
      <c r="F34" s="879"/>
      <c r="G34" s="879"/>
      <c r="H34" s="879"/>
      <c r="I34" s="879"/>
      <c r="J34" s="879"/>
      <c r="K34" s="879"/>
      <c r="L34" s="879"/>
      <c r="M34" s="879"/>
      <c r="N34" s="879"/>
      <c r="O34" s="879"/>
      <c r="P34" s="879"/>
      <c r="Q34" s="879"/>
      <c r="R34" s="879"/>
      <c r="S34" s="879"/>
      <c r="T34" s="879"/>
      <c r="U34" s="879"/>
      <c r="V34" s="1137">
        <v>1</v>
      </c>
      <c r="W34" s="893">
        <f ca="1">+MAX(OFFSET($B$251:$B$2250,0,$C$194))*$C$198</f>
        <v>6.8022060679148275</v>
      </c>
      <c r="X34" s="879"/>
      <c r="Y34" s="879"/>
      <c r="Z34" s="879"/>
      <c r="AA34" s="879"/>
      <c r="AB34" s="879"/>
      <c r="AC34" s="879"/>
      <c r="AD34" s="879"/>
      <c r="AE34" s="879"/>
      <c r="AF34" s="879"/>
      <c r="AG34" s="879"/>
      <c r="AH34" s="879"/>
      <c r="AI34" s="879"/>
      <c r="AJ34" s="879"/>
      <c r="AK34" s="879"/>
      <c r="AL34" s="879"/>
      <c r="AM34" s="879"/>
      <c r="AN34" s="879"/>
      <c r="AO34" s="879"/>
      <c r="AP34" s="879"/>
      <c r="AQ34" s="879"/>
      <c r="AR34" s="879"/>
      <c r="AS34" s="879"/>
      <c r="AT34" s="879"/>
      <c r="AU34" s="879"/>
      <c r="AV34" s="879"/>
      <c r="AW34" s="879"/>
      <c r="AX34" s="879"/>
      <c r="AY34" s="879"/>
      <c r="AZ34" s="879"/>
      <c r="BA34" s="879"/>
      <c r="BB34" s="879"/>
      <c r="BC34" s="879"/>
      <c r="BD34" s="879"/>
      <c r="BE34" s="879"/>
      <c r="BF34" s="879"/>
      <c r="BG34" s="879"/>
      <c r="BH34" s="879"/>
      <c r="BI34" s="879"/>
      <c r="BJ34" s="879"/>
      <c r="BK34" s="879"/>
      <c r="BL34" s="879"/>
      <c r="BM34" s="879"/>
      <c r="BN34" s="879"/>
      <c r="BO34" s="879"/>
      <c r="BP34" s="879"/>
      <c r="BQ34" s="879"/>
      <c r="BR34" s="879"/>
      <c r="BS34" s="879"/>
      <c r="BT34" s="879"/>
      <c r="BU34" s="879"/>
    </row>
    <row r="35" spans="1:73" ht="13.8" x14ac:dyDescent="0.3">
      <c r="A35" s="879"/>
      <c r="B35" s="879"/>
      <c r="C35" s="879"/>
      <c r="D35" s="879"/>
      <c r="E35" s="879"/>
      <c r="F35" s="879"/>
      <c r="G35" s="879"/>
      <c r="H35" s="879"/>
      <c r="I35" s="879"/>
      <c r="J35" s="879"/>
      <c r="K35" s="879"/>
      <c r="L35" s="879"/>
      <c r="M35" s="1009"/>
      <c r="N35" s="879"/>
      <c r="O35" s="879"/>
      <c r="P35" s="879"/>
      <c r="Q35" s="879"/>
      <c r="R35" s="879"/>
      <c r="S35" s="879"/>
      <c r="T35" s="879"/>
      <c r="U35" s="879"/>
      <c r="V35" s="879"/>
      <c r="W35" s="879"/>
      <c r="X35" s="879"/>
      <c r="Y35" s="879"/>
      <c r="Z35" s="879"/>
      <c r="AA35" s="879"/>
      <c r="AB35" s="879"/>
      <c r="AC35" s="879"/>
      <c r="AD35" s="879"/>
      <c r="AE35" s="879"/>
      <c r="AF35" s="879"/>
      <c r="AG35" s="879"/>
      <c r="AH35" s="879"/>
      <c r="AI35" s="879"/>
      <c r="AJ35" s="879"/>
      <c r="AK35" s="879"/>
      <c r="AL35" s="879"/>
      <c r="AM35" s="879"/>
      <c r="AN35" s="879"/>
      <c r="AO35" s="879"/>
      <c r="AP35" s="879"/>
      <c r="AQ35" s="879"/>
      <c r="AR35" s="879"/>
      <c r="AS35" s="879"/>
      <c r="AT35" s="879"/>
      <c r="AU35" s="879"/>
      <c r="AV35" s="879"/>
      <c r="AW35" s="879"/>
      <c r="AX35" s="879"/>
      <c r="AY35" s="879"/>
      <c r="AZ35" s="879"/>
      <c r="BA35" s="879"/>
      <c r="BB35" s="879"/>
      <c r="BC35" s="879"/>
      <c r="BD35" s="879"/>
      <c r="BE35" s="879"/>
      <c r="BF35" s="879"/>
      <c r="BG35" s="879"/>
      <c r="BH35" s="879"/>
      <c r="BI35" s="879"/>
      <c r="BJ35" s="879"/>
      <c r="BK35" s="879"/>
      <c r="BL35" s="879"/>
      <c r="BM35" s="879"/>
      <c r="BN35" s="879"/>
      <c r="BO35" s="879"/>
      <c r="BP35" s="879"/>
      <c r="BQ35" s="879"/>
      <c r="BR35" s="879"/>
      <c r="BS35" s="879"/>
      <c r="BT35" s="879"/>
      <c r="BU35" s="879"/>
    </row>
    <row r="36" spans="1:73" x14ac:dyDescent="0.25">
      <c r="A36" s="879"/>
      <c r="B36" s="879"/>
      <c r="C36" s="879"/>
      <c r="D36" s="879"/>
      <c r="E36" s="879"/>
      <c r="F36" s="879"/>
      <c r="G36" s="879"/>
      <c r="H36" s="879"/>
      <c r="I36" s="879"/>
      <c r="J36" s="879"/>
      <c r="K36" s="879"/>
      <c r="L36" s="879"/>
      <c r="M36" s="879"/>
      <c r="N36" s="879"/>
      <c r="O36" s="879"/>
      <c r="P36" s="879"/>
      <c r="Q36" s="879"/>
      <c r="R36" s="879"/>
      <c r="S36" s="879"/>
      <c r="T36" s="879"/>
      <c r="U36" s="879"/>
      <c r="V36" s="879"/>
      <c r="W36" s="879"/>
      <c r="X36" s="879"/>
      <c r="Y36" s="879"/>
      <c r="Z36" s="879"/>
      <c r="AA36" s="879"/>
      <c r="AB36" s="879"/>
      <c r="AC36" s="879"/>
      <c r="AD36" s="879"/>
      <c r="AE36" s="879"/>
      <c r="AF36" s="879"/>
      <c r="AG36" s="879"/>
      <c r="AH36" s="879"/>
      <c r="AI36" s="879"/>
      <c r="AJ36" s="879"/>
      <c r="AK36" s="879"/>
      <c r="AL36" s="879"/>
      <c r="AM36" s="879"/>
      <c r="AN36" s="879"/>
      <c r="AO36" s="879"/>
      <c r="AP36" s="879"/>
      <c r="AQ36" s="879"/>
      <c r="AR36" s="879"/>
      <c r="AS36" s="879"/>
      <c r="AT36" s="879"/>
      <c r="AU36" s="879"/>
      <c r="AV36" s="879"/>
      <c r="AW36" s="879"/>
      <c r="AX36" s="879"/>
      <c r="AY36" s="879"/>
      <c r="AZ36" s="879"/>
      <c r="BA36" s="879"/>
      <c r="BB36" s="879"/>
      <c r="BC36" s="879"/>
      <c r="BD36" s="879"/>
      <c r="BE36" s="879"/>
      <c r="BF36" s="879"/>
      <c r="BG36" s="879"/>
      <c r="BH36" s="879"/>
      <c r="BI36" s="879"/>
      <c r="BJ36" s="879"/>
      <c r="BK36" s="879"/>
      <c r="BL36" s="879"/>
      <c r="BM36" s="879"/>
      <c r="BN36" s="879"/>
      <c r="BO36" s="879"/>
      <c r="BP36" s="879"/>
      <c r="BQ36" s="879"/>
      <c r="BR36" s="879"/>
      <c r="BS36" s="879"/>
      <c r="BT36" s="879"/>
      <c r="BU36" s="879"/>
    </row>
    <row r="37" spans="1:73" x14ac:dyDescent="0.25">
      <c r="A37" s="879"/>
      <c r="B37" s="879"/>
      <c r="C37" s="879"/>
      <c r="D37" s="879"/>
      <c r="E37" s="879"/>
      <c r="F37" s="879"/>
      <c r="G37" s="879"/>
      <c r="H37" s="879"/>
      <c r="I37" s="879"/>
      <c r="J37" s="879"/>
      <c r="K37" s="879"/>
      <c r="L37" s="879"/>
      <c r="M37" s="879"/>
      <c r="N37" s="879"/>
      <c r="O37" s="879"/>
      <c r="P37" s="879"/>
      <c r="Q37" s="879"/>
      <c r="R37" s="879"/>
      <c r="S37" s="879"/>
      <c r="T37" s="879"/>
      <c r="U37" s="879"/>
      <c r="V37" s="879"/>
      <c r="W37" s="879"/>
      <c r="X37" s="879"/>
      <c r="Y37" s="879"/>
      <c r="Z37" s="879"/>
      <c r="AA37" s="879"/>
      <c r="AB37" s="879"/>
      <c r="AC37" s="879"/>
      <c r="AD37" s="879"/>
      <c r="AE37" s="879"/>
      <c r="AF37" s="879"/>
      <c r="AG37" s="879"/>
      <c r="AH37" s="879"/>
      <c r="AI37" s="879"/>
      <c r="AJ37" s="879"/>
      <c r="AK37" s="879"/>
      <c r="AL37" s="879"/>
      <c r="AM37" s="879"/>
      <c r="AN37" s="879"/>
      <c r="AO37" s="879"/>
      <c r="AP37" s="879"/>
      <c r="AQ37" s="879"/>
      <c r="AR37" s="879"/>
      <c r="AS37" s="879"/>
      <c r="AT37" s="879"/>
      <c r="AU37" s="879"/>
      <c r="AV37" s="879"/>
      <c r="AW37" s="879"/>
      <c r="AX37" s="879"/>
      <c r="AY37" s="879"/>
      <c r="AZ37" s="879"/>
      <c r="BA37" s="879"/>
      <c r="BB37" s="879"/>
      <c r="BC37" s="879"/>
      <c r="BD37" s="879"/>
      <c r="BE37" s="879"/>
      <c r="BF37" s="879"/>
      <c r="BG37" s="879"/>
      <c r="BH37" s="879"/>
      <c r="BI37" s="879"/>
      <c r="BJ37" s="879"/>
      <c r="BK37" s="879"/>
      <c r="BL37" s="879"/>
      <c r="BM37" s="879"/>
      <c r="BN37" s="879"/>
      <c r="BO37" s="879"/>
      <c r="BP37" s="879"/>
      <c r="BQ37" s="879"/>
      <c r="BR37" s="879"/>
      <c r="BS37" s="879"/>
      <c r="BT37" s="879"/>
      <c r="BU37" s="879"/>
    </row>
    <row r="38" spans="1:73" x14ac:dyDescent="0.25">
      <c r="A38" s="879"/>
      <c r="B38" s="879"/>
      <c r="C38" s="879"/>
      <c r="D38" s="879"/>
      <c r="E38" s="879"/>
      <c r="F38" s="879"/>
      <c r="G38" s="879"/>
      <c r="H38" s="879"/>
      <c r="I38" s="879"/>
      <c r="J38" s="879"/>
      <c r="K38" s="879"/>
      <c r="L38" s="879"/>
      <c r="M38" s="879"/>
      <c r="N38" s="879"/>
      <c r="O38" s="879"/>
      <c r="P38" s="879"/>
      <c r="Q38" s="879"/>
      <c r="R38" s="879"/>
      <c r="S38" s="879"/>
      <c r="T38" s="879"/>
      <c r="U38" s="879"/>
      <c r="V38" s="879"/>
      <c r="W38" s="879"/>
      <c r="X38" s="879"/>
      <c r="Y38" s="879"/>
      <c r="Z38" s="879"/>
      <c r="AA38" s="879"/>
      <c r="AB38" s="879"/>
      <c r="AC38" s="879"/>
      <c r="AD38" s="879"/>
      <c r="AE38" s="879"/>
      <c r="AF38" s="879"/>
      <c r="AG38" s="879"/>
      <c r="AH38" s="879"/>
      <c r="AI38" s="879"/>
      <c r="AJ38" s="879"/>
      <c r="AK38" s="879"/>
      <c r="AL38" s="879"/>
      <c r="AM38" s="879"/>
      <c r="AN38" s="879"/>
      <c r="AO38" s="879"/>
      <c r="AP38" s="879"/>
      <c r="AQ38" s="879"/>
      <c r="AR38" s="879"/>
      <c r="AS38" s="879"/>
      <c r="AT38" s="879"/>
      <c r="AU38" s="879"/>
      <c r="AV38" s="879"/>
      <c r="AW38" s="879"/>
      <c r="AX38" s="879"/>
      <c r="AY38" s="879"/>
      <c r="AZ38" s="879"/>
      <c r="BA38" s="879"/>
      <c r="BB38" s="879"/>
      <c r="BC38" s="879"/>
      <c r="BD38" s="879"/>
      <c r="BE38" s="879"/>
      <c r="BF38" s="879"/>
      <c r="BG38" s="879"/>
      <c r="BH38" s="879"/>
      <c r="BI38" s="879"/>
      <c r="BJ38" s="879"/>
      <c r="BK38" s="879"/>
      <c r="BL38" s="879"/>
      <c r="BM38" s="879"/>
      <c r="BN38" s="879"/>
      <c r="BO38" s="879"/>
      <c r="BP38" s="879"/>
      <c r="BQ38" s="879"/>
      <c r="BR38" s="879"/>
      <c r="BS38" s="879"/>
      <c r="BT38" s="879"/>
      <c r="BU38" s="879"/>
    </row>
    <row r="39" spans="1:73" x14ac:dyDescent="0.25">
      <c r="A39" s="879"/>
      <c r="B39" s="879"/>
      <c r="C39" s="879"/>
      <c r="D39" s="879"/>
      <c r="E39" s="879"/>
      <c r="F39" s="879"/>
      <c r="G39" s="879"/>
      <c r="H39" s="879"/>
      <c r="I39" s="879"/>
      <c r="J39" s="879"/>
      <c r="K39" s="879"/>
      <c r="L39" s="879"/>
      <c r="M39" s="879"/>
      <c r="N39" s="879"/>
      <c r="O39" s="879"/>
      <c r="P39" s="879"/>
      <c r="Q39" s="879"/>
      <c r="R39" s="879"/>
      <c r="S39" s="879"/>
      <c r="T39" s="879"/>
      <c r="U39" s="879"/>
      <c r="V39" s="879"/>
      <c r="W39" s="879"/>
      <c r="X39" s="879"/>
      <c r="Y39" s="879"/>
      <c r="Z39" s="879"/>
      <c r="AA39" s="879"/>
      <c r="AB39" s="879"/>
      <c r="AC39" s="879"/>
      <c r="AD39" s="879"/>
      <c r="AE39" s="879"/>
      <c r="AF39" s="879"/>
      <c r="AG39" s="879"/>
      <c r="AH39" s="879"/>
      <c r="AI39" s="879"/>
      <c r="AJ39" s="879"/>
      <c r="AK39" s="879"/>
      <c r="AL39" s="879"/>
      <c r="AM39" s="879"/>
      <c r="AN39" s="879"/>
      <c r="AO39" s="879"/>
      <c r="AP39" s="879"/>
      <c r="AQ39" s="879"/>
      <c r="AR39" s="879"/>
      <c r="AS39" s="879"/>
      <c r="AT39" s="879"/>
      <c r="AU39" s="879"/>
      <c r="AV39" s="879"/>
      <c r="AW39" s="879"/>
      <c r="AX39" s="879"/>
      <c r="AY39" s="879"/>
      <c r="AZ39" s="879"/>
      <c r="BA39" s="879"/>
      <c r="BB39" s="879"/>
      <c r="BC39" s="879"/>
      <c r="BD39" s="879"/>
      <c r="BE39" s="879"/>
      <c r="BF39" s="879"/>
      <c r="BG39" s="879"/>
      <c r="BH39" s="879"/>
      <c r="BI39" s="879"/>
      <c r="BJ39" s="879"/>
      <c r="BK39" s="879"/>
      <c r="BL39" s="879"/>
      <c r="BM39" s="879"/>
      <c r="BN39" s="879"/>
      <c r="BO39" s="879"/>
      <c r="BP39" s="879"/>
      <c r="BQ39" s="879"/>
      <c r="BR39" s="879"/>
      <c r="BS39" s="879"/>
      <c r="BT39" s="879"/>
      <c r="BU39" s="879"/>
    </row>
    <row r="40" spans="1:73" x14ac:dyDescent="0.25">
      <c r="A40" s="879"/>
      <c r="B40" s="879"/>
      <c r="C40" s="879"/>
      <c r="D40" s="879"/>
      <c r="E40" s="879"/>
      <c r="F40" s="879"/>
      <c r="G40" s="879"/>
      <c r="H40" s="879"/>
      <c r="I40" s="879"/>
      <c r="J40" s="879"/>
      <c r="K40" s="879"/>
      <c r="L40" s="879"/>
      <c r="M40" s="879"/>
      <c r="N40" s="879"/>
      <c r="O40" s="879"/>
      <c r="P40" s="879"/>
      <c r="Q40" s="879"/>
      <c r="R40" s="879"/>
      <c r="S40" s="879"/>
      <c r="T40" s="879"/>
      <c r="U40" s="879"/>
      <c r="V40" s="879"/>
      <c r="W40" s="879"/>
      <c r="X40" s="879"/>
      <c r="Y40" s="879"/>
      <c r="Z40" s="879"/>
      <c r="AA40" s="879"/>
      <c r="AB40" s="879"/>
      <c r="AC40" s="879"/>
      <c r="AD40" s="879"/>
      <c r="AE40" s="879"/>
      <c r="AF40" s="879"/>
      <c r="AG40" s="879"/>
      <c r="AH40" s="879"/>
      <c r="AI40" s="879"/>
      <c r="AJ40" s="879"/>
      <c r="AK40" s="879"/>
      <c r="AL40" s="879"/>
      <c r="AM40" s="879"/>
      <c r="AN40" s="879"/>
      <c r="AO40" s="879"/>
      <c r="AP40" s="879"/>
      <c r="AQ40" s="879"/>
      <c r="AR40" s="879"/>
      <c r="AS40" s="879"/>
      <c r="AT40" s="879"/>
      <c r="AU40" s="879"/>
      <c r="AV40" s="879"/>
      <c r="AW40" s="879"/>
      <c r="AX40" s="879"/>
      <c r="AY40" s="879"/>
      <c r="AZ40" s="879"/>
      <c r="BA40" s="879"/>
      <c r="BB40" s="879"/>
      <c r="BC40" s="879"/>
      <c r="BD40" s="879"/>
      <c r="BE40" s="879"/>
      <c r="BF40" s="879"/>
      <c r="BG40" s="879"/>
      <c r="BH40" s="879"/>
      <c r="BI40" s="879"/>
      <c r="BJ40" s="879"/>
      <c r="BK40" s="879"/>
      <c r="BL40" s="879"/>
      <c r="BM40" s="879"/>
      <c r="BN40" s="879"/>
      <c r="BO40" s="879"/>
      <c r="BP40" s="879"/>
      <c r="BQ40" s="879"/>
      <c r="BR40" s="879"/>
      <c r="BS40" s="879"/>
      <c r="BT40" s="879"/>
      <c r="BU40" s="879"/>
    </row>
    <row r="41" spans="1:73" x14ac:dyDescent="0.25">
      <c r="A41" s="879"/>
      <c r="B41" s="879"/>
      <c r="C41" s="879"/>
      <c r="D41" s="879"/>
      <c r="E41" s="879"/>
      <c r="F41" s="879"/>
      <c r="G41" s="879"/>
      <c r="H41" s="879"/>
      <c r="I41" s="879"/>
      <c r="J41" s="879"/>
      <c r="K41" s="879"/>
      <c r="L41" s="879"/>
      <c r="M41" s="879"/>
      <c r="N41" s="879"/>
      <c r="O41" s="879"/>
      <c r="P41" s="879"/>
      <c r="Q41" s="879"/>
      <c r="R41" s="879"/>
      <c r="S41" s="879"/>
      <c r="T41" s="879"/>
      <c r="U41" s="879"/>
      <c r="V41" s="879"/>
      <c r="W41" s="879"/>
      <c r="X41" s="879"/>
      <c r="Y41" s="879"/>
      <c r="Z41" s="879"/>
      <c r="AA41" s="879"/>
      <c r="AB41" s="879"/>
      <c r="AC41" s="879"/>
      <c r="AD41" s="879"/>
      <c r="AE41" s="879"/>
      <c r="AF41" s="879"/>
      <c r="AG41" s="879"/>
      <c r="AH41" s="879"/>
      <c r="AI41" s="879"/>
      <c r="AJ41" s="879"/>
      <c r="AK41" s="879"/>
      <c r="AL41" s="879"/>
      <c r="AM41" s="879"/>
      <c r="AN41" s="879"/>
      <c r="AO41" s="879"/>
      <c r="AP41" s="879"/>
      <c r="AQ41" s="879"/>
      <c r="AR41" s="879"/>
      <c r="AS41" s="879"/>
      <c r="AT41" s="879"/>
      <c r="AU41" s="879"/>
      <c r="AV41" s="879"/>
      <c r="AW41" s="879"/>
      <c r="AX41" s="879"/>
      <c r="AY41" s="879"/>
      <c r="AZ41" s="879"/>
      <c r="BA41" s="879"/>
      <c r="BB41" s="879"/>
      <c r="BC41" s="879"/>
      <c r="BD41" s="879"/>
      <c r="BE41" s="879"/>
      <c r="BF41" s="879"/>
      <c r="BG41" s="879"/>
      <c r="BH41" s="879"/>
      <c r="BI41" s="879"/>
      <c r="BJ41" s="879"/>
      <c r="BK41" s="879"/>
      <c r="BL41" s="879"/>
      <c r="BM41" s="879"/>
      <c r="BN41" s="879"/>
      <c r="BO41" s="879"/>
      <c r="BP41" s="879"/>
      <c r="BQ41" s="879"/>
      <c r="BR41" s="879"/>
      <c r="BS41" s="879"/>
      <c r="BT41" s="879"/>
      <c r="BU41" s="879"/>
    </row>
    <row r="42" spans="1:73" x14ac:dyDescent="0.25">
      <c r="A42" s="879"/>
      <c r="B42" s="879"/>
      <c r="C42" s="879"/>
      <c r="D42" s="879"/>
      <c r="E42" s="879"/>
      <c r="F42" s="879"/>
      <c r="G42" s="879"/>
      <c r="H42" s="879"/>
      <c r="I42" s="879"/>
      <c r="J42" s="879"/>
      <c r="K42" s="879"/>
      <c r="L42" s="879"/>
      <c r="M42" s="879"/>
      <c r="N42" s="879"/>
      <c r="O42" s="879"/>
      <c r="P42" s="879"/>
      <c r="Q42" s="879"/>
      <c r="R42" s="879"/>
      <c r="S42" s="879"/>
      <c r="T42" s="879"/>
      <c r="U42" s="879"/>
      <c r="V42" s="879"/>
      <c r="W42" s="879"/>
      <c r="X42" s="879"/>
      <c r="Y42" s="879"/>
      <c r="Z42" s="879"/>
      <c r="AA42" s="879"/>
      <c r="AB42" s="879"/>
      <c r="AC42" s="879"/>
      <c r="AD42" s="879"/>
      <c r="AE42" s="879"/>
      <c r="AF42" s="879"/>
      <c r="AG42" s="879"/>
      <c r="AH42" s="879"/>
      <c r="AI42" s="879"/>
      <c r="AJ42" s="879"/>
      <c r="AK42" s="879"/>
      <c r="AL42" s="879"/>
      <c r="AM42" s="879"/>
      <c r="AN42" s="879"/>
      <c r="AO42" s="879"/>
      <c r="AP42" s="879"/>
      <c r="AQ42" s="879"/>
      <c r="AR42" s="879"/>
      <c r="AS42" s="879"/>
      <c r="AT42" s="879"/>
      <c r="AU42" s="879"/>
      <c r="AV42" s="879"/>
      <c r="AW42" s="879"/>
      <c r="AX42" s="879"/>
      <c r="AY42" s="879"/>
      <c r="AZ42" s="879"/>
      <c r="BA42" s="879"/>
      <c r="BB42" s="879"/>
      <c r="BC42" s="879"/>
      <c r="BD42" s="879"/>
      <c r="BE42" s="879"/>
      <c r="BF42" s="879"/>
      <c r="BG42" s="879"/>
      <c r="BH42" s="879"/>
      <c r="BI42" s="879"/>
      <c r="BJ42" s="879"/>
      <c r="BK42" s="879"/>
      <c r="BL42" s="879"/>
      <c r="BM42" s="879"/>
      <c r="BN42" s="879"/>
      <c r="BO42" s="879"/>
      <c r="BP42" s="879"/>
      <c r="BQ42" s="879"/>
      <c r="BR42" s="879"/>
      <c r="BS42" s="879"/>
      <c r="BT42" s="879"/>
      <c r="BU42" s="879"/>
    </row>
    <row r="43" spans="1:73" x14ac:dyDescent="0.25">
      <c r="A43" s="879"/>
      <c r="B43" s="879"/>
      <c r="C43" s="879"/>
      <c r="D43" s="879"/>
      <c r="E43" s="879"/>
      <c r="F43" s="879"/>
      <c r="G43" s="879"/>
      <c r="H43" s="879"/>
      <c r="I43" s="879"/>
      <c r="J43" s="879"/>
      <c r="K43" s="879"/>
      <c r="L43" s="879"/>
      <c r="M43" s="879"/>
      <c r="N43" s="879"/>
      <c r="O43" s="879"/>
      <c r="P43" s="879"/>
      <c r="Q43" s="879"/>
      <c r="R43" s="879"/>
      <c r="S43" s="879"/>
      <c r="T43" s="879"/>
      <c r="U43" s="879"/>
      <c r="V43" s="879"/>
      <c r="W43" s="879"/>
      <c r="X43" s="879"/>
      <c r="Y43" s="879"/>
      <c r="Z43" s="879"/>
      <c r="AA43" s="879"/>
      <c r="AB43" s="879"/>
      <c r="AC43" s="879"/>
      <c r="AD43" s="879"/>
      <c r="AE43" s="879"/>
      <c r="AF43" s="879"/>
      <c r="AG43" s="879"/>
      <c r="AH43" s="879"/>
      <c r="AI43" s="879"/>
      <c r="AJ43" s="879"/>
      <c r="AK43" s="879"/>
      <c r="AL43" s="879"/>
      <c r="AM43" s="879"/>
      <c r="AN43" s="879"/>
      <c r="AO43" s="879"/>
      <c r="AP43" s="879"/>
      <c r="AQ43" s="879"/>
      <c r="AR43" s="879"/>
      <c r="AS43" s="879"/>
      <c r="AT43" s="879"/>
      <c r="AU43" s="879"/>
      <c r="AV43" s="879"/>
      <c r="AW43" s="879"/>
      <c r="AX43" s="879"/>
      <c r="AY43" s="879"/>
      <c r="AZ43" s="879"/>
      <c r="BA43" s="879"/>
      <c r="BB43" s="879"/>
      <c r="BC43" s="879"/>
      <c r="BD43" s="879"/>
      <c r="BE43" s="879"/>
      <c r="BF43" s="879"/>
      <c r="BG43" s="879"/>
      <c r="BH43" s="879"/>
      <c r="BI43" s="879"/>
      <c r="BJ43" s="879"/>
      <c r="BK43" s="879"/>
      <c r="BL43" s="879"/>
      <c r="BM43" s="879"/>
      <c r="BN43" s="879"/>
      <c r="BO43" s="879"/>
      <c r="BP43" s="879"/>
      <c r="BQ43" s="879"/>
      <c r="BR43" s="879"/>
      <c r="BS43" s="879"/>
      <c r="BT43" s="879"/>
      <c r="BU43" s="879"/>
    </row>
    <row r="44" spans="1:73" x14ac:dyDescent="0.25">
      <c r="A44" s="879"/>
      <c r="B44" s="879"/>
      <c r="C44" s="879"/>
      <c r="D44" s="879"/>
      <c r="E44" s="879"/>
      <c r="F44" s="879"/>
      <c r="G44" s="879"/>
      <c r="H44" s="879"/>
      <c r="I44" s="879"/>
      <c r="J44" s="879"/>
      <c r="K44" s="879"/>
      <c r="L44" s="879"/>
      <c r="M44" s="879"/>
      <c r="N44" s="879"/>
      <c r="O44" s="879"/>
      <c r="P44" s="879"/>
      <c r="Q44" s="879"/>
      <c r="R44" s="879"/>
      <c r="S44" s="879"/>
      <c r="T44" s="879"/>
      <c r="U44" s="879"/>
      <c r="V44" s="879"/>
      <c r="W44" s="879"/>
      <c r="X44" s="879"/>
      <c r="Y44" s="879"/>
      <c r="Z44" s="879"/>
      <c r="AA44" s="879"/>
      <c r="AB44" s="879"/>
      <c r="AC44" s="879"/>
      <c r="AD44" s="879"/>
      <c r="AE44" s="879"/>
      <c r="AF44" s="879"/>
      <c r="AG44" s="879"/>
      <c r="AH44" s="879"/>
      <c r="AI44" s="879"/>
      <c r="AJ44" s="879"/>
      <c r="AK44" s="879"/>
      <c r="AL44" s="879"/>
      <c r="AM44" s="879"/>
      <c r="AN44" s="879"/>
      <c r="AO44" s="879"/>
      <c r="AP44" s="879"/>
      <c r="AQ44" s="879"/>
      <c r="AR44" s="879"/>
      <c r="AS44" s="879"/>
      <c r="AT44" s="879"/>
      <c r="AU44" s="879"/>
      <c r="AV44" s="879"/>
      <c r="AW44" s="879"/>
      <c r="AX44" s="879"/>
      <c r="AY44" s="879"/>
      <c r="AZ44" s="879"/>
      <c r="BA44" s="879"/>
      <c r="BB44" s="879"/>
      <c r="BC44" s="879"/>
      <c r="BD44" s="879"/>
      <c r="BE44" s="879"/>
      <c r="BF44" s="879"/>
      <c r="BG44" s="879"/>
      <c r="BH44" s="879"/>
      <c r="BI44" s="879"/>
      <c r="BJ44" s="879"/>
      <c r="BK44" s="879"/>
      <c r="BL44" s="879"/>
      <c r="BM44" s="879"/>
      <c r="BN44" s="879"/>
      <c r="BO44" s="879"/>
      <c r="BP44" s="879"/>
      <c r="BQ44" s="879"/>
      <c r="BR44" s="879"/>
      <c r="BS44" s="879"/>
      <c r="BT44" s="879"/>
      <c r="BU44" s="879"/>
    </row>
    <row r="45" spans="1:73" ht="13.8" thickBot="1" x14ac:dyDescent="0.3">
      <c r="A45" s="879"/>
      <c r="B45" s="976" t="s">
        <v>1226</v>
      </c>
      <c r="C45" s="976"/>
      <c r="D45" s="976"/>
      <c r="E45" s="976"/>
      <c r="F45" s="976"/>
      <c r="G45" s="976"/>
      <c r="H45" s="976"/>
      <c r="I45" s="976"/>
      <c r="J45" s="976"/>
      <c r="K45" s="976"/>
      <c r="L45" s="976"/>
      <c r="M45" s="976"/>
      <c r="N45" s="976"/>
      <c r="O45" s="976"/>
      <c r="P45" s="976"/>
      <c r="Q45" s="976"/>
      <c r="R45" s="976"/>
      <c r="S45" s="976"/>
      <c r="T45" s="976"/>
      <c r="U45" s="976"/>
      <c r="V45" s="976"/>
      <c r="W45" s="976"/>
      <c r="X45" s="976"/>
      <c r="Y45" s="879"/>
      <c r="Z45" s="879"/>
      <c r="AA45" s="879"/>
      <c r="AB45" s="879"/>
      <c r="AC45" s="879"/>
      <c r="AD45" s="879"/>
      <c r="AE45" s="879"/>
      <c r="AF45" s="879"/>
      <c r="AG45" s="879"/>
      <c r="AH45" s="879"/>
      <c r="AI45" s="879"/>
      <c r="AJ45" s="879"/>
      <c r="AK45" s="879"/>
      <c r="AL45" s="879"/>
      <c r="AM45" s="879"/>
      <c r="AN45" s="879"/>
      <c r="AO45" s="879"/>
      <c r="AP45" s="879"/>
      <c r="AQ45" s="879"/>
      <c r="AR45" s="879"/>
      <c r="AS45" s="879"/>
      <c r="AT45" s="879"/>
      <c r="AU45" s="879"/>
      <c r="AV45" s="879"/>
      <c r="AW45" s="879"/>
      <c r="AX45" s="879"/>
      <c r="AY45" s="879"/>
      <c r="AZ45" s="879"/>
      <c r="BA45" s="879"/>
      <c r="BB45" s="879"/>
      <c r="BC45" s="879"/>
      <c r="BD45" s="879"/>
      <c r="BE45" s="879"/>
      <c r="BF45" s="879"/>
      <c r="BG45" s="879"/>
      <c r="BH45" s="879"/>
      <c r="BI45" s="879"/>
      <c r="BJ45" s="879"/>
      <c r="BK45" s="879"/>
      <c r="BL45" s="879"/>
      <c r="BM45" s="879"/>
      <c r="BN45" s="879"/>
      <c r="BO45" s="879"/>
      <c r="BP45" s="879"/>
      <c r="BQ45" s="879"/>
      <c r="BR45" s="879"/>
      <c r="BS45" s="879"/>
      <c r="BT45" s="879"/>
      <c r="BU45" s="879"/>
    </row>
    <row r="46" spans="1:73" ht="13.8" thickTop="1" x14ac:dyDescent="0.25">
      <c r="A46" s="879"/>
      <c r="B46" s="879"/>
      <c r="C46" s="879"/>
      <c r="D46" s="879"/>
      <c r="E46" s="879"/>
      <c r="F46" s="879"/>
      <c r="G46" s="879"/>
      <c r="H46" s="879"/>
      <c r="I46" s="879"/>
      <c r="J46" s="879"/>
      <c r="K46" s="879"/>
      <c r="L46" s="879"/>
      <c r="M46" s="879"/>
      <c r="N46" s="879"/>
      <c r="O46" s="879"/>
      <c r="P46" s="879"/>
      <c r="Q46" s="879"/>
      <c r="R46" s="879"/>
      <c r="S46" s="879"/>
      <c r="T46" s="879"/>
      <c r="U46" s="879"/>
      <c r="V46" s="879"/>
      <c r="W46" s="879"/>
      <c r="X46" s="879"/>
      <c r="Y46" s="879"/>
      <c r="Z46" s="879"/>
      <c r="AA46" s="879"/>
      <c r="AB46" s="879"/>
      <c r="AC46" s="879"/>
      <c r="AD46" s="879"/>
      <c r="AE46" s="879"/>
      <c r="AF46" s="879"/>
      <c r="AG46" s="879"/>
      <c r="AH46" s="879"/>
      <c r="AI46" s="879"/>
      <c r="AJ46" s="879"/>
      <c r="AK46" s="879"/>
      <c r="AL46" s="879"/>
      <c r="AM46" s="879"/>
      <c r="AN46" s="879"/>
      <c r="AO46" s="879"/>
      <c r="AP46" s="879"/>
      <c r="AQ46" s="879"/>
      <c r="AR46" s="879"/>
      <c r="AS46" s="879"/>
      <c r="AT46" s="879"/>
      <c r="AU46" s="879"/>
      <c r="AV46" s="879"/>
      <c r="AW46" s="879"/>
      <c r="AX46" s="879"/>
      <c r="AY46" s="879"/>
      <c r="AZ46" s="879"/>
      <c r="BA46" s="879"/>
      <c r="BB46" s="879"/>
      <c r="BC46" s="879"/>
      <c r="BD46" s="879"/>
      <c r="BE46" s="879"/>
      <c r="BF46" s="879"/>
      <c r="BG46" s="879"/>
      <c r="BH46" s="879"/>
      <c r="BI46" s="879"/>
      <c r="BJ46" s="879"/>
      <c r="BK46" s="879"/>
      <c r="BL46" s="879"/>
      <c r="BM46" s="879"/>
      <c r="BN46" s="879"/>
      <c r="BO46" s="879"/>
      <c r="BP46" s="879"/>
      <c r="BQ46" s="879"/>
      <c r="BR46" s="879"/>
      <c r="BS46" s="879"/>
      <c r="BT46" s="879"/>
      <c r="BU46" s="879"/>
    </row>
    <row r="47" spans="1:73" x14ac:dyDescent="0.25">
      <c r="A47" s="879"/>
      <c r="B47" s="894" t="s">
        <v>1133</v>
      </c>
      <c r="C47" s="879"/>
      <c r="D47" s="879"/>
      <c r="E47" s="879"/>
      <c r="F47" s="879"/>
      <c r="G47" s="879"/>
      <c r="H47" s="879"/>
      <c r="I47" s="879"/>
      <c r="J47" s="879"/>
      <c r="K47" s="879"/>
      <c r="L47" s="879"/>
      <c r="M47" s="879"/>
      <c r="N47" s="879"/>
      <c r="O47" s="879"/>
      <c r="P47" s="879"/>
      <c r="Q47" s="879"/>
      <c r="R47" s="879"/>
      <c r="S47" s="879"/>
      <c r="T47" s="879"/>
      <c r="U47" s="879"/>
      <c r="V47" s="879"/>
      <c r="W47" s="879"/>
      <c r="X47" s="879"/>
      <c r="Y47" s="879"/>
      <c r="Z47" s="879"/>
      <c r="AA47" s="879"/>
      <c r="AB47" s="879"/>
      <c r="AC47" s="879"/>
      <c r="AD47" s="879"/>
      <c r="AE47" s="879"/>
      <c r="AF47" s="879"/>
      <c r="AG47" s="879"/>
      <c r="AH47" s="879"/>
      <c r="AI47" s="879"/>
      <c r="AJ47" s="879"/>
      <c r="AK47" s="879"/>
      <c r="AL47" s="879"/>
      <c r="AM47" s="879"/>
      <c r="AN47" s="879"/>
      <c r="AO47" s="879"/>
      <c r="AP47" s="879"/>
      <c r="AQ47" s="879"/>
      <c r="AR47" s="879"/>
      <c r="AS47" s="879"/>
      <c r="AT47" s="879"/>
      <c r="AU47" s="879"/>
      <c r="AV47" s="879"/>
      <c r="AW47" s="879"/>
      <c r="AX47" s="879"/>
      <c r="AY47" s="879"/>
      <c r="AZ47" s="879"/>
      <c r="BA47" s="879"/>
      <c r="BB47" s="879"/>
      <c r="BC47" s="879"/>
      <c r="BD47" s="879"/>
      <c r="BE47" s="879"/>
      <c r="BF47" s="879"/>
      <c r="BG47" s="879"/>
      <c r="BH47" s="879"/>
      <c r="BI47" s="879"/>
      <c r="BJ47" s="879"/>
      <c r="BK47" s="879"/>
      <c r="BL47" s="879"/>
      <c r="BM47" s="879"/>
      <c r="BN47" s="879"/>
      <c r="BO47" s="879"/>
      <c r="BP47" s="879"/>
      <c r="BQ47" s="879"/>
      <c r="BR47" s="879"/>
      <c r="BS47" s="879"/>
      <c r="BT47" s="879"/>
      <c r="BU47" s="879"/>
    </row>
    <row r="48" spans="1:73" x14ac:dyDescent="0.25">
      <c r="A48" s="879"/>
      <c r="B48" s="882">
        <v>1</v>
      </c>
      <c r="C48" s="884">
        <f t="shared" ref="C48:E48" ca="1" si="5">+OFFSET(C50,$B$48,0)</f>
        <v>1</v>
      </c>
      <c r="D48" s="884">
        <f t="shared" ca="1" si="5"/>
        <v>1</v>
      </c>
      <c r="E48" s="884">
        <f t="shared" ca="1" si="5"/>
        <v>1</v>
      </c>
      <c r="F48" s="884">
        <f ca="1">+OFFSET(F50,$B$48,0)</f>
        <v>1</v>
      </c>
      <c r="G48" s="884">
        <f ca="1">+OFFSET(G50,$B$48,0)</f>
        <v>1</v>
      </c>
      <c r="H48" s="884">
        <f ca="1">+OFFSET(H50,$B$48,0)</f>
        <v>1</v>
      </c>
      <c r="I48" s="884">
        <f ca="1">+OFFSET(I50,$B$48,0)</f>
        <v>1</v>
      </c>
      <c r="J48" s="879"/>
      <c r="K48" s="896">
        <f ca="1">+'Cash Flow Analysis'!F118</f>
        <v>1.5026131500439255</v>
      </c>
      <c r="L48" s="896">
        <f ca="1">+'Cash Flow Analysis'!Q118</f>
        <v>0</v>
      </c>
      <c r="M48" s="896">
        <f ca="1">+'Cash Flow Analysis'!L118</f>
        <v>8.3985124791984E-3</v>
      </c>
      <c r="N48" s="896">
        <f ca="1">+'Cash Flow Analysis'!H117</f>
        <v>0.15658042695050911</v>
      </c>
      <c r="O48" s="896">
        <f ca="1">+'Cash Flow Analysis'!I117</f>
        <v>9.7098374803344725E-2</v>
      </c>
      <c r="P48" s="896">
        <f ca="1">+'Cash Flow Analysis'!J117</f>
        <v>1.5173573137579138E-2</v>
      </c>
      <c r="Q48" s="896">
        <f ca="1">+'Cash Flow Analysis'!K117</f>
        <v>0</v>
      </c>
      <c r="R48" s="896">
        <f ca="1">+'Cash Flow Analysis'!M117</f>
        <v>8.3985124791984E-3</v>
      </c>
      <c r="S48" s="896">
        <f ca="1">+'Cash Flow Analysis'!N117</f>
        <v>0.21707557110629894</v>
      </c>
      <c r="T48" s="896">
        <f ca="1">+'Cash Flow Analysis'!O117</f>
        <v>0.89987697572220759</v>
      </c>
      <c r="U48" s="896">
        <f ca="1">+'Cash Flow Analysis'!P117</f>
        <v>0</v>
      </c>
      <c r="V48" s="896">
        <f ca="1">+'Cash Flow Analysis'!R117</f>
        <v>1.9155093650587738E-2</v>
      </c>
      <c r="W48" s="896">
        <f ca="1">+'Cash Flow Analysis'!S117</f>
        <v>8.2413067395405215E-2</v>
      </c>
      <c r="X48" s="896">
        <f ca="1">+'Cash Flow Analysis'!X117</f>
        <v>-1.934351223185217E-2</v>
      </c>
      <c r="Y48" s="896">
        <f ca="1">+'Cash Flow Analysis'!Z117</f>
        <v>3.4583579509844455E-2</v>
      </c>
      <c r="Z48" s="879"/>
      <c r="AA48" s="879"/>
      <c r="AB48" s="879"/>
      <c r="AC48" s="879"/>
      <c r="AD48" s="879"/>
      <c r="AE48" s="879"/>
      <c r="AF48" s="879"/>
      <c r="AG48" s="879"/>
      <c r="AH48" s="879"/>
      <c r="AI48" s="879"/>
      <c r="AJ48" s="879"/>
      <c r="AK48" s="879"/>
      <c r="AL48" s="879"/>
      <c r="AM48" s="879"/>
      <c r="AN48" s="879"/>
      <c r="AO48" s="879"/>
      <c r="AP48" s="879"/>
      <c r="AQ48" s="879"/>
      <c r="AR48" s="879"/>
      <c r="AS48" s="879"/>
      <c r="AT48" s="879"/>
      <c r="AU48" s="879"/>
      <c r="AV48" s="879"/>
      <c r="AW48" s="879"/>
      <c r="AX48" s="879"/>
      <c r="AY48" s="879"/>
      <c r="AZ48" s="879"/>
      <c r="BA48" s="879"/>
      <c r="BB48" s="879"/>
      <c r="BC48" s="879"/>
      <c r="BD48" s="879"/>
      <c r="BE48" s="879"/>
      <c r="BF48" s="879"/>
      <c r="BG48" s="879"/>
      <c r="BH48" s="879"/>
      <c r="BI48" s="879"/>
      <c r="BJ48" s="879"/>
      <c r="BK48" s="879"/>
      <c r="BL48" s="879"/>
      <c r="BM48" s="879"/>
      <c r="BN48" s="879"/>
      <c r="BO48" s="879"/>
      <c r="BP48" s="879"/>
      <c r="BQ48" s="879"/>
      <c r="BR48" s="879"/>
      <c r="BS48" s="879"/>
      <c r="BT48" s="879"/>
      <c r="BU48" s="879"/>
    </row>
    <row r="49" spans="1:73" x14ac:dyDescent="0.25">
      <c r="A49" s="879"/>
      <c r="B49" s="881"/>
      <c r="C49" s="881"/>
      <c r="D49" s="881"/>
      <c r="E49" s="881"/>
      <c r="F49" s="881"/>
      <c r="G49" s="881"/>
      <c r="H49" s="881"/>
      <c r="I49" s="881"/>
      <c r="J49" s="881"/>
      <c r="K49" s="881"/>
      <c r="L49" s="881"/>
      <c r="M49" s="881"/>
      <c r="N49" s="879"/>
      <c r="O49" s="879"/>
      <c r="P49" s="879"/>
      <c r="Q49" s="879"/>
      <c r="R49" s="879"/>
      <c r="S49" s="879"/>
      <c r="T49" s="879"/>
      <c r="U49" s="879"/>
      <c r="V49" s="879"/>
      <c r="W49" s="879"/>
      <c r="X49" s="879"/>
      <c r="Y49" s="879"/>
      <c r="Z49" s="879"/>
      <c r="AA49" s="879"/>
      <c r="AB49" s="879"/>
      <c r="AC49" s="879"/>
      <c r="AD49" s="879"/>
      <c r="AE49" s="879"/>
      <c r="AF49" s="879"/>
      <c r="AG49" s="879"/>
      <c r="AH49" s="879"/>
      <c r="AI49" s="879"/>
      <c r="AJ49" s="879"/>
      <c r="AK49" s="879"/>
      <c r="AL49" s="879"/>
      <c r="AM49" s="879"/>
      <c r="AN49" s="879"/>
      <c r="AO49" s="879"/>
      <c r="AP49" s="879"/>
      <c r="AQ49" s="879"/>
      <c r="AR49" s="879"/>
      <c r="AS49" s="879"/>
      <c r="AT49" s="879"/>
      <c r="AU49" s="879"/>
      <c r="AV49" s="879"/>
      <c r="AW49" s="879"/>
      <c r="AX49" s="879"/>
      <c r="AY49" s="879"/>
      <c r="AZ49" s="879"/>
      <c r="BA49" s="879"/>
      <c r="BB49" s="879"/>
      <c r="BC49" s="879"/>
      <c r="BD49" s="879"/>
      <c r="BE49" s="879"/>
      <c r="BF49" s="879"/>
      <c r="BG49" s="879"/>
      <c r="BH49" s="879"/>
      <c r="BI49" s="879"/>
      <c r="BJ49" s="879"/>
      <c r="BK49" s="879"/>
      <c r="BL49" s="879"/>
      <c r="BM49" s="879"/>
      <c r="BN49" s="879"/>
      <c r="BO49" s="879"/>
      <c r="BP49" s="879"/>
      <c r="BQ49" s="879"/>
      <c r="BR49" s="879"/>
      <c r="BS49" s="879"/>
      <c r="BT49" s="879"/>
      <c r="BU49" s="879"/>
    </row>
    <row r="50" spans="1:73" ht="52.8" x14ac:dyDescent="0.25">
      <c r="A50" s="879"/>
      <c r="B50" s="890" t="s">
        <v>1117</v>
      </c>
      <c r="C50" s="890" t="s">
        <v>1227</v>
      </c>
      <c r="D50" s="890" t="s">
        <v>1228</v>
      </c>
      <c r="E50" s="890" t="s">
        <v>1229</v>
      </c>
      <c r="F50" s="890" t="s">
        <v>1230</v>
      </c>
      <c r="G50" s="890" t="s">
        <v>1231</v>
      </c>
      <c r="H50" s="890" t="s">
        <v>1247</v>
      </c>
      <c r="I50" s="890" t="s">
        <v>1246</v>
      </c>
      <c r="J50" s="879"/>
      <c r="K50" s="890" t="s">
        <v>1248</v>
      </c>
      <c r="L50" s="890" t="s">
        <v>1232</v>
      </c>
      <c r="M50" s="890" t="s">
        <v>1233</v>
      </c>
      <c r="N50" s="890" t="s">
        <v>1234</v>
      </c>
      <c r="O50" s="890" t="s">
        <v>1235</v>
      </c>
      <c r="P50" s="890" t="s">
        <v>1236</v>
      </c>
      <c r="Q50" s="890" t="s">
        <v>1237</v>
      </c>
      <c r="R50" s="890" t="s">
        <v>1238</v>
      </c>
      <c r="S50" s="890" t="s">
        <v>1239</v>
      </c>
      <c r="T50" s="890" t="s">
        <v>1240</v>
      </c>
      <c r="U50" s="890" t="s">
        <v>1241</v>
      </c>
      <c r="V50" s="890" t="s">
        <v>1242</v>
      </c>
      <c r="W50" s="890" t="s">
        <v>1243</v>
      </c>
      <c r="X50" s="890" t="s">
        <v>1244</v>
      </c>
      <c r="Y50" s="890" t="s">
        <v>1245</v>
      </c>
      <c r="Z50" s="879"/>
      <c r="AA50" s="879"/>
      <c r="AB50" s="879"/>
      <c r="AC50" s="879"/>
      <c r="AD50" s="879"/>
      <c r="AE50" s="879"/>
      <c r="AF50" s="879"/>
      <c r="AG50" s="879"/>
      <c r="AH50" s="879"/>
      <c r="AI50" s="879"/>
      <c r="AJ50" s="879"/>
      <c r="AK50" s="879"/>
      <c r="AL50" s="879"/>
      <c r="AM50" s="879"/>
      <c r="AN50" s="879"/>
      <c r="AO50" s="879"/>
      <c r="AP50" s="879"/>
      <c r="AQ50" s="879"/>
      <c r="AR50" s="879"/>
      <c r="AS50" s="879"/>
      <c r="AT50" s="879"/>
      <c r="AU50" s="879"/>
      <c r="AV50" s="879"/>
      <c r="AW50" s="879"/>
      <c r="AX50" s="879"/>
      <c r="AY50" s="879"/>
      <c r="AZ50" s="879"/>
      <c r="BA50" s="879"/>
      <c r="BB50" s="879"/>
      <c r="BC50" s="879"/>
      <c r="BD50" s="879"/>
      <c r="BE50" s="879"/>
      <c r="BF50" s="879"/>
      <c r="BG50" s="879"/>
      <c r="BH50" s="879"/>
      <c r="BI50" s="879"/>
      <c r="BJ50" s="879"/>
      <c r="BK50" s="879"/>
      <c r="BL50" s="879"/>
      <c r="BM50" s="879"/>
      <c r="BN50" s="879"/>
      <c r="BO50" s="879"/>
      <c r="BP50" s="879"/>
      <c r="BQ50" s="879"/>
      <c r="BR50" s="879"/>
      <c r="BS50" s="879"/>
      <c r="BT50" s="879"/>
      <c r="BU50" s="879"/>
    </row>
    <row r="51" spans="1:73" x14ac:dyDescent="0.25">
      <c r="A51" s="879"/>
      <c r="B51" s="891">
        <v>1</v>
      </c>
      <c r="C51" s="884">
        <v>1</v>
      </c>
      <c r="D51" s="884">
        <v>1</v>
      </c>
      <c r="E51" s="884">
        <v>1</v>
      </c>
      <c r="F51" s="884">
        <v>1</v>
      </c>
      <c r="G51" s="884">
        <v>1</v>
      </c>
      <c r="H51" s="884">
        <v>1</v>
      </c>
      <c r="I51" s="884">
        <v>1</v>
      </c>
      <c r="J51" s="879"/>
      <c r="K51" s="897">
        <v>6.744328582053198</v>
      </c>
      <c r="L51" s="898">
        <v>0</v>
      </c>
      <c r="M51" s="898">
        <v>1.0422448166438392E-2</v>
      </c>
      <c r="N51" s="898">
        <v>0.19431433695104025</v>
      </c>
      <c r="O51" s="898">
        <v>0.12198294571119789</v>
      </c>
      <c r="P51" s="898">
        <v>8.3164470953852682E-2</v>
      </c>
      <c r="Q51" s="898">
        <v>0</v>
      </c>
      <c r="R51" s="898">
        <v>1.0422448166438392E-2</v>
      </c>
      <c r="S51" s="898">
        <v>0.26998780784474952</v>
      </c>
      <c r="T51" s="898">
        <v>5.9121329147869046</v>
      </c>
      <c r="U51" s="898">
        <v>0</v>
      </c>
      <c r="V51" s="898">
        <v>1.9155093650587734E-2</v>
      </c>
      <c r="W51" s="898">
        <v>0.10227357824296371</v>
      </c>
      <c r="X51" s="898">
        <v>-1.6003525108757488E-3</v>
      </c>
      <c r="Y51" s="898">
        <v>4.2917786422775855E-2</v>
      </c>
      <c r="Z51" s="1008"/>
      <c r="AA51" s="879"/>
      <c r="AB51" s="879"/>
      <c r="AC51" s="879"/>
      <c r="AD51" s="879"/>
      <c r="AE51" s="879"/>
      <c r="AF51" s="879"/>
      <c r="AG51" s="879"/>
      <c r="AH51" s="879"/>
      <c r="AI51" s="879"/>
      <c r="AJ51" s="879"/>
      <c r="AK51" s="879"/>
      <c r="AL51" s="879"/>
      <c r="AM51" s="879"/>
      <c r="AN51" s="879"/>
      <c r="AO51" s="879"/>
      <c r="AP51" s="879"/>
      <c r="AQ51" s="879"/>
      <c r="AR51" s="879"/>
      <c r="AS51" s="879"/>
      <c r="AT51" s="879"/>
      <c r="AU51" s="879"/>
      <c r="AV51" s="879"/>
      <c r="AW51" s="879"/>
      <c r="AX51" s="879"/>
      <c r="AY51" s="879"/>
      <c r="AZ51" s="879"/>
      <c r="BA51" s="879"/>
      <c r="BB51" s="879"/>
      <c r="BC51" s="879"/>
      <c r="BD51" s="879"/>
      <c r="BE51" s="879"/>
      <c r="BF51" s="879"/>
      <c r="BG51" s="879"/>
      <c r="BH51" s="879"/>
      <c r="BI51" s="879"/>
      <c r="BJ51" s="879"/>
      <c r="BK51" s="879"/>
      <c r="BL51" s="879"/>
      <c r="BM51" s="879"/>
      <c r="BN51" s="879"/>
      <c r="BO51" s="879"/>
      <c r="BP51" s="879"/>
      <c r="BQ51" s="879"/>
      <c r="BR51" s="879"/>
      <c r="BS51" s="879"/>
      <c r="BT51" s="879"/>
      <c r="BU51" s="879"/>
    </row>
    <row r="52" spans="1:73" x14ac:dyDescent="0.25">
      <c r="A52" s="879"/>
      <c r="B52" s="899">
        <f>+B51+1</f>
        <v>2</v>
      </c>
      <c r="C52" s="900">
        <f>+F3</f>
        <v>1.05</v>
      </c>
      <c r="D52" s="900">
        <v>1</v>
      </c>
      <c r="E52" s="900">
        <v>1</v>
      </c>
      <c r="F52" s="900">
        <v>1</v>
      </c>
      <c r="G52" s="900">
        <v>1</v>
      </c>
      <c r="H52" s="900">
        <v>1</v>
      </c>
      <c r="I52" s="900">
        <v>1</v>
      </c>
      <c r="J52" s="879"/>
      <c r="K52" s="897">
        <v>6.7104490271023414</v>
      </c>
      <c r="L52" s="898">
        <v>0</v>
      </c>
      <c r="M52" s="898">
        <v>9.9261411108937068E-3</v>
      </c>
      <c r="N52" s="898">
        <v>0.18506127328670499</v>
      </c>
      <c r="O52" s="898">
        <v>0.11617423401066466</v>
      </c>
      <c r="P52" s="898">
        <v>8.2988743750131641E-2</v>
      </c>
      <c r="Q52" s="898">
        <v>0</v>
      </c>
      <c r="R52" s="898">
        <v>9.9261411108937068E-3</v>
      </c>
      <c r="S52" s="898">
        <v>0.25713124556642813</v>
      </c>
      <c r="T52" s="898">
        <v>5.9121329147869046</v>
      </c>
      <c r="U52" s="898">
        <v>0</v>
      </c>
      <c r="V52" s="898">
        <v>1.8895492420334489E-2</v>
      </c>
      <c r="W52" s="898">
        <v>9.7403407850441631E-2</v>
      </c>
      <c r="X52" s="898">
        <v>-2.1236687667544629E-4</v>
      </c>
      <c r="Y52" s="898">
        <v>4.0874082307405586E-2</v>
      </c>
      <c r="Z52" s="1008"/>
      <c r="AA52" s="879"/>
      <c r="AB52" s="879"/>
      <c r="AC52" s="879"/>
      <c r="AD52" s="879"/>
      <c r="AE52" s="879"/>
      <c r="AF52" s="879"/>
      <c r="AG52" s="879"/>
      <c r="AH52" s="879"/>
      <c r="AI52" s="879"/>
      <c r="AJ52" s="879"/>
      <c r="AK52" s="879"/>
      <c r="AL52" s="879"/>
      <c r="AM52" s="879"/>
      <c r="AN52" s="879"/>
      <c r="AO52" s="879"/>
      <c r="AP52" s="879"/>
      <c r="AQ52" s="879"/>
      <c r="AR52" s="879"/>
      <c r="AS52" s="879"/>
      <c r="AT52" s="879"/>
      <c r="AU52" s="879"/>
      <c r="AV52" s="879"/>
      <c r="AW52" s="879"/>
      <c r="AX52" s="879"/>
      <c r="AY52" s="879"/>
      <c r="AZ52" s="879"/>
      <c r="BA52" s="879"/>
      <c r="BB52" s="879"/>
      <c r="BC52" s="879"/>
      <c r="BD52" s="879"/>
      <c r="BE52" s="879"/>
      <c r="BF52" s="879"/>
      <c r="BG52" s="879"/>
      <c r="BH52" s="879"/>
      <c r="BI52" s="879"/>
      <c r="BJ52" s="879"/>
      <c r="BK52" s="879"/>
      <c r="BL52" s="879"/>
      <c r="BM52" s="879"/>
      <c r="BN52" s="879"/>
      <c r="BO52" s="879"/>
      <c r="BP52" s="879"/>
      <c r="BQ52" s="879"/>
      <c r="BR52" s="879"/>
      <c r="BS52" s="879"/>
      <c r="BT52" s="879"/>
      <c r="BU52" s="879"/>
    </row>
    <row r="53" spans="1:73" x14ac:dyDescent="0.25">
      <c r="A53" s="879"/>
      <c r="B53" s="899">
        <f t="shared" ref="B53:B70" si="6">+B52+1</f>
        <v>3</v>
      </c>
      <c r="C53" s="900">
        <f>+G3</f>
        <v>0.95</v>
      </c>
      <c r="D53" s="900">
        <v>1</v>
      </c>
      <c r="E53" s="900">
        <v>1</v>
      </c>
      <c r="F53" s="900">
        <v>1</v>
      </c>
      <c r="G53" s="900">
        <v>1</v>
      </c>
      <c r="H53" s="900">
        <v>1</v>
      </c>
      <c r="I53" s="900">
        <v>1</v>
      </c>
      <c r="J53" s="879"/>
      <c r="K53" s="897">
        <v>6.7817744059462539</v>
      </c>
      <c r="L53" s="898">
        <v>0</v>
      </c>
      <c r="M53" s="898">
        <v>1.0970998069935152E-2</v>
      </c>
      <c r="N53" s="898">
        <v>0.2045414073168845</v>
      </c>
      <c r="O53" s="898">
        <v>0.1284031007486294</v>
      </c>
      <c r="P53" s="898">
        <v>8.3358695757965437E-2</v>
      </c>
      <c r="Q53" s="898">
        <v>0</v>
      </c>
      <c r="R53" s="898">
        <v>1.0970998069935152E-2</v>
      </c>
      <c r="S53" s="898">
        <v>0.28419769246815746</v>
      </c>
      <c r="T53" s="898">
        <v>5.9121329147869064</v>
      </c>
      <c r="U53" s="898">
        <v>0</v>
      </c>
      <c r="V53" s="898">
        <v>1.9442021326130796E-2</v>
      </c>
      <c r="W53" s="898">
        <v>0.10765639815048815</v>
      </c>
      <c r="X53" s="898">
        <v>-3.1344418960442748E-3</v>
      </c>
      <c r="Y53" s="898">
        <v>4.5176617287132501E-2</v>
      </c>
      <c r="Z53" s="1008"/>
      <c r="AA53" s="879"/>
      <c r="AB53" s="879"/>
      <c r="AC53" s="879"/>
      <c r="AD53" s="879"/>
      <c r="AE53" s="879"/>
      <c r="AF53" s="879"/>
      <c r="AG53" s="879"/>
      <c r="AH53" s="879"/>
      <c r="AI53" s="879"/>
      <c r="AJ53" s="879"/>
      <c r="AK53" s="879"/>
      <c r="AL53" s="879"/>
      <c r="AM53" s="879"/>
      <c r="AN53" s="879"/>
      <c r="AO53" s="879"/>
      <c r="AP53" s="879"/>
      <c r="AQ53" s="879"/>
      <c r="AR53" s="879"/>
      <c r="AS53" s="879"/>
      <c r="AT53" s="879"/>
      <c r="AU53" s="879"/>
      <c r="AV53" s="879"/>
      <c r="AW53" s="879"/>
      <c r="AX53" s="879"/>
      <c r="AY53" s="879"/>
      <c r="AZ53" s="879"/>
      <c r="BA53" s="879"/>
      <c r="BB53" s="879"/>
      <c r="BC53" s="879"/>
      <c r="BD53" s="879"/>
      <c r="BE53" s="879"/>
      <c r="BF53" s="879"/>
      <c r="BG53" s="879"/>
      <c r="BH53" s="879"/>
      <c r="BI53" s="879"/>
      <c r="BJ53" s="879"/>
      <c r="BK53" s="879"/>
      <c r="BL53" s="879"/>
      <c r="BM53" s="879"/>
      <c r="BN53" s="879"/>
      <c r="BO53" s="879"/>
      <c r="BP53" s="879"/>
      <c r="BQ53" s="879"/>
      <c r="BR53" s="879"/>
      <c r="BS53" s="879"/>
      <c r="BT53" s="879"/>
      <c r="BU53" s="879"/>
    </row>
    <row r="54" spans="1:73" x14ac:dyDescent="0.25">
      <c r="A54" s="879"/>
      <c r="B54" s="891">
        <f t="shared" si="6"/>
        <v>4</v>
      </c>
      <c r="C54" s="884">
        <v>1</v>
      </c>
      <c r="D54" s="884">
        <f>+F4</f>
        <v>1.05</v>
      </c>
      <c r="E54" s="884">
        <v>1</v>
      </c>
      <c r="F54" s="884">
        <v>1</v>
      </c>
      <c r="G54" s="884">
        <v>1</v>
      </c>
      <c r="H54" s="884">
        <v>1</v>
      </c>
      <c r="I54" s="884">
        <v>1</v>
      </c>
      <c r="J54" s="879"/>
      <c r="K54" s="897">
        <v>6.7351314435808316</v>
      </c>
      <c r="L54" s="898">
        <v>0</v>
      </c>
      <c r="M54" s="898">
        <v>1.0207098838426626E-2</v>
      </c>
      <c r="N54" s="898">
        <v>0.1902994009957619</v>
      </c>
      <c r="O54" s="898">
        <v>0.11962539552399412</v>
      </c>
      <c r="P54" s="898">
        <v>8.3158352517765974E-2</v>
      </c>
      <c r="Q54" s="898">
        <v>0</v>
      </c>
      <c r="R54" s="898">
        <v>1.0207098838426626E-2</v>
      </c>
      <c r="S54" s="898">
        <v>0.26953113424613762</v>
      </c>
      <c r="T54" s="898">
        <v>5.9121329147869046</v>
      </c>
      <c r="U54" s="898">
        <v>0</v>
      </c>
      <c r="V54" s="898">
        <v>1.9155093650587731E-2</v>
      </c>
      <c r="W54" s="898">
        <v>0.10016039466111556</v>
      </c>
      <c r="X54" s="898">
        <v>-9.6225902221392496E-4</v>
      </c>
      <c r="Y54" s="898">
        <v>4.2031016220774882E-2</v>
      </c>
      <c r="Z54" s="1008"/>
      <c r="AA54" s="879"/>
      <c r="AB54" s="879"/>
      <c r="AC54" s="879"/>
      <c r="AD54" s="879"/>
      <c r="AE54" s="879"/>
      <c r="AF54" s="879"/>
      <c r="AG54" s="879"/>
      <c r="AH54" s="879"/>
      <c r="AI54" s="879"/>
      <c r="AJ54" s="879"/>
      <c r="AK54" s="879"/>
      <c r="AL54" s="879"/>
      <c r="AM54" s="879"/>
      <c r="AN54" s="879"/>
      <c r="AO54" s="879"/>
      <c r="AP54" s="879"/>
      <c r="AQ54" s="879"/>
      <c r="AR54" s="879"/>
      <c r="AS54" s="879"/>
      <c r="AT54" s="879"/>
      <c r="AU54" s="879"/>
      <c r="AV54" s="879"/>
      <c r="AW54" s="879"/>
      <c r="AX54" s="879"/>
      <c r="AY54" s="879"/>
      <c r="AZ54" s="879"/>
      <c r="BA54" s="879"/>
      <c r="BB54" s="879"/>
      <c r="BC54" s="879"/>
      <c r="BD54" s="879"/>
      <c r="BE54" s="879"/>
      <c r="BF54" s="879"/>
      <c r="BG54" s="879"/>
      <c r="BH54" s="879"/>
      <c r="BI54" s="879"/>
      <c r="BJ54" s="879"/>
      <c r="BK54" s="879"/>
      <c r="BL54" s="879"/>
      <c r="BM54" s="879"/>
      <c r="BN54" s="879"/>
      <c r="BO54" s="879"/>
      <c r="BP54" s="879"/>
      <c r="BQ54" s="879"/>
      <c r="BR54" s="879"/>
      <c r="BS54" s="879"/>
      <c r="BT54" s="879"/>
      <c r="BU54" s="879"/>
    </row>
    <row r="55" spans="1:73" x14ac:dyDescent="0.25">
      <c r="A55" s="879"/>
      <c r="B55" s="891">
        <f t="shared" si="6"/>
        <v>5</v>
      </c>
      <c r="C55" s="884">
        <v>1</v>
      </c>
      <c r="D55" s="884">
        <f>+G4</f>
        <v>0.95</v>
      </c>
      <c r="E55" s="884">
        <v>1</v>
      </c>
      <c r="F55" s="884">
        <v>1</v>
      </c>
      <c r="G55" s="884">
        <v>1</v>
      </c>
      <c r="H55" s="884">
        <v>1</v>
      </c>
      <c r="I55" s="884">
        <v>1</v>
      </c>
      <c r="J55" s="879"/>
      <c r="K55" s="897">
        <v>6.7542753417637762</v>
      </c>
      <c r="L55" s="898">
        <v>0</v>
      </c>
      <c r="M55" s="898">
        <v>1.0654189505982337E-2</v>
      </c>
      <c r="N55" s="898">
        <v>0.1986348827593305</v>
      </c>
      <c r="O55" s="898">
        <v>0.12451156328280535</v>
      </c>
      <c r="P55" s="898">
        <v>8.3171825395302337E-2</v>
      </c>
      <c r="Q55" s="898">
        <v>0</v>
      </c>
      <c r="R55" s="898">
        <v>1.0654189505982337E-2</v>
      </c>
      <c r="S55" s="898">
        <v>0.27053673557643676</v>
      </c>
      <c r="T55" s="898">
        <v>5.9121329147869064</v>
      </c>
      <c r="U55" s="898">
        <v>0</v>
      </c>
      <c r="V55" s="898">
        <v>1.9155093650587738E-2</v>
      </c>
      <c r="W55" s="898">
        <v>0.10454761363690285</v>
      </c>
      <c r="X55" s="898">
        <v>-2.2873433350939789E-3</v>
      </c>
      <c r="Y55" s="898">
        <v>4.3872056010597064E-2</v>
      </c>
      <c r="Z55" s="1008"/>
      <c r="AA55" s="879"/>
      <c r="AB55" s="879"/>
      <c r="AC55" s="879"/>
      <c r="AD55" s="879"/>
      <c r="AE55" s="879"/>
      <c r="AF55" s="879"/>
      <c r="AG55" s="879"/>
      <c r="AH55" s="879"/>
      <c r="AI55" s="879"/>
      <c r="AJ55" s="879"/>
      <c r="AK55" s="879"/>
      <c r="AL55" s="879"/>
      <c r="AM55" s="879"/>
      <c r="AN55" s="879"/>
      <c r="AO55" s="879"/>
      <c r="AP55" s="879"/>
      <c r="AQ55" s="879"/>
      <c r="AR55" s="879"/>
      <c r="AS55" s="879"/>
      <c r="AT55" s="879"/>
      <c r="AU55" s="879"/>
      <c r="AV55" s="879"/>
      <c r="AW55" s="879"/>
      <c r="AX55" s="879"/>
      <c r="AY55" s="879"/>
      <c r="AZ55" s="879"/>
      <c r="BA55" s="879"/>
      <c r="BB55" s="879"/>
      <c r="BC55" s="879"/>
      <c r="BD55" s="879"/>
      <c r="BE55" s="879"/>
      <c r="BF55" s="879"/>
      <c r="BG55" s="879"/>
      <c r="BH55" s="879"/>
      <c r="BI55" s="879"/>
      <c r="BJ55" s="879"/>
      <c r="BK55" s="879"/>
      <c r="BL55" s="879"/>
      <c r="BM55" s="879"/>
      <c r="BN55" s="879"/>
      <c r="BO55" s="879"/>
      <c r="BP55" s="879"/>
      <c r="BQ55" s="879"/>
      <c r="BR55" s="879"/>
      <c r="BS55" s="879"/>
      <c r="BT55" s="879"/>
      <c r="BU55" s="879"/>
    </row>
    <row r="56" spans="1:73" x14ac:dyDescent="0.25">
      <c r="A56" s="879"/>
      <c r="B56" s="899">
        <f t="shared" si="6"/>
        <v>6</v>
      </c>
      <c r="C56" s="900">
        <v>1</v>
      </c>
      <c r="D56" s="900">
        <v>1</v>
      </c>
      <c r="E56" s="900">
        <f>+F5</f>
        <v>0.95</v>
      </c>
      <c r="F56" s="900">
        <v>1</v>
      </c>
      <c r="G56" s="900">
        <v>1</v>
      </c>
      <c r="H56" s="900">
        <v>1</v>
      </c>
      <c r="I56" s="900">
        <v>1</v>
      </c>
      <c r="J56" s="879"/>
      <c r="K56" s="897">
        <v>6.7398361443768522</v>
      </c>
      <c r="L56" s="898">
        <v>0</v>
      </c>
      <c r="M56" s="898">
        <v>1.0886462769928731E-2</v>
      </c>
      <c r="N56" s="898">
        <v>0.188448293755897</v>
      </c>
      <c r="O56" s="898">
        <v>0.12290839424382713</v>
      </c>
      <c r="P56" s="898">
        <v>8.0046783020920872E-2</v>
      </c>
      <c r="Q56" s="898">
        <v>0</v>
      </c>
      <c r="R56" s="898">
        <v>1.0886462769928731E-2</v>
      </c>
      <c r="S56" s="898">
        <v>0.26990219128405518</v>
      </c>
      <c r="T56" s="898">
        <v>5.9148727670211576</v>
      </c>
      <c r="U56" s="898">
        <v>0</v>
      </c>
      <c r="V56" s="898">
        <v>1.9155093650587731E-2</v>
      </c>
      <c r="W56" s="898">
        <v>0.10170587558175297</v>
      </c>
      <c r="X56" s="898">
        <v>-2.0317701497742451E-3</v>
      </c>
      <c r="Y56" s="898">
        <v>4.4828515968428545E-2</v>
      </c>
      <c r="Z56" s="1008"/>
      <c r="AA56" s="879"/>
      <c r="AB56" s="879"/>
      <c r="AC56" s="879"/>
      <c r="AD56" s="879"/>
      <c r="AE56" s="879"/>
      <c r="AF56" s="879"/>
      <c r="AG56" s="879"/>
      <c r="AH56" s="879"/>
      <c r="AI56" s="879"/>
      <c r="AJ56" s="879"/>
      <c r="AK56" s="879"/>
      <c r="AL56" s="879"/>
      <c r="AM56" s="879"/>
      <c r="AN56" s="879"/>
      <c r="AO56" s="879"/>
      <c r="AP56" s="879"/>
      <c r="AQ56" s="879"/>
      <c r="AR56" s="879"/>
      <c r="AS56" s="879"/>
      <c r="AT56" s="879"/>
      <c r="AU56" s="879"/>
      <c r="AV56" s="879"/>
      <c r="AW56" s="879"/>
      <c r="AX56" s="879"/>
      <c r="AY56" s="879"/>
      <c r="AZ56" s="879"/>
      <c r="BA56" s="879"/>
      <c r="BB56" s="879"/>
      <c r="BC56" s="879"/>
      <c r="BD56" s="879"/>
      <c r="BE56" s="879"/>
      <c r="BF56" s="879"/>
      <c r="BG56" s="879"/>
      <c r="BH56" s="879"/>
      <c r="BI56" s="879"/>
      <c r="BJ56" s="879"/>
      <c r="BK56" s="879"/>
      <c r="BL56" s="879"/>
      <c r="BM56" s="879"/>
      <c r="BN56" s="879"/>
      <c r="BO56" s="879"/>
      <c r="BP56" s="879"/>
      <c r="BQ56" s="879"/>
      <c r="BR56" s="879"/>
      <c r="BS56" s="879"/>
      <c r="BT56" s="879"/>
      <c r="BU56" s="879"/>
    </row>
    <row r="57" spans="1:73" x14ac:dyDescent="0.25">
      <c r="A57" s="879"/>
      <c r="B57" s="899">
        <f t="shared" si="6"/>
        <v>7</v>
      </c>
      <c r="C57" s="900">
        <v>1</v>
      </c>
      <c r="D57" s="900">
        <v>1</v>
      </c>
      <c r="E57" s="900">
        <f>+G5</f>
        <v>1.05</v>
      </c>
      <c r="F57" s="900">
        <v>1</v>
      </c>
      <c r="G57" s="900">
        <v>1</v>
      </c>
      <c r="H57" s="900">
        <v>1</v>
      </c>
      <c r="I57" s="900">
        <v>1</v>
      </c>
      <c r="J57" s="879"/>
      <c r="K57" s="897">
        <v>6.7488329065114865</v>
      </c>
      <c r="L57" s="898">
        <v>0</v>
      </c>
      <c r="M57" s="898">
        <v>9.9758378652312855E-3</v>
      </c>
      <c r="N57" s="898">
        <v>0.20026037147306291</v>
      </c>
      <c r="O57" s="898">
        <v>0.1210349477733048</v>
      </c>
      <c r="P57" s="898">
        <v>8.6257605126148634E-2</v>
      </c>
      <c r="Q57" s="898">
        <v>0</v>
      </c>
      <c r="R57" s="898">
        <v>9.9758378652312855E-3</v>
      </c>
      <c r="S57" s="898">
        <v>0.27007411349004551</v>
      </c>
      <c r="T57" s="898">
        <v>5.9092542574910798</v>
      </c>
      <c r="U57" s="898">
        <v>0</v>
      </c>
      <c r="V57" s="898">
        <v>1.9155093650587745E-2</v>
      </c>
      <c r="W57" s="898">
        <v>0.10284394125693452</v>
      </c>
      <c r="X57" s="898">
        <v>-1.1261484457542712E-3</v>
      </c>
      <c r="Y57" s="898">
        <v>4.1078724696075208E-2</v>
      </c>
      <c r="Z57" s="1008"/>
      <c r="AA57" s="879"/>
      <c r="AB57" s="879"/>
      <c r="AC57" s="879"/>
      <c r="AD57" s="879"/>
      <c r="AE57" s="879"/>
      <c r="AF57" s="879"/>
      <c r="AG57" s="879"/>
      <c r="AH57" s="879"/>
      <c r="AI57" s="879"/>
      <c r="AJ57" s="879"/>
      <c r="AK57" s="879"/>
      <c r="AL57" s="879"/>
      <c r="AM57" s="879"/>
      <c r="AN57" s="879"/>
      <c r="AO57" s="879"/>
      <c r="AP57" s="879"/>
      <c r="AQ57" s="879"/>
      <c r="AR57" s="879"/>
      <c r="AS57" s="879"/>
      <c r="AT57" s="879"/>
      <c r="AU57" s="879"/>
      <c r="AV57" s="879"/>
      <c r="AW57" s="879"/>
      <c r="AX57" s="879"/>
      <c r="AY57" s="879"/>
      <c r="AZ57" s="879"/>
      <c r="BA57" s="879"/>
      <c r="BB57" s="879"/>
      <c r="BC57" s="879"/>
      <c r="BD57" s="879"/>
      <c r="BE57" s="879"/>
      <c r="BF57" s="879"/>
      <c r="BG57" s="879"/>
      <c r="BH57" s="879"/>
      <c r="BI57" s="879"/>
      <c r="BJ57" s="879"/>
      <c r="BK57" s="879"/>
      <c r="BL57" s="879"/>
      <c r="BM57" s="879"/>
      <c r="BN57" s="879"/>
      <c r="BO57" s="879"/>
      <c r="BP57" s="879"/>
      <c r="BQ57" s="879"/>
      <c r="BR57" s="879"/>
      <c r="BS57" s="879"/>
      <c r="BT57" s="879"/>
      <c r="BU57" s="879"/>
    </row>
    <row r="58" spans="1:73" x14ac:dyDescent="0.25">
      <c r="A58" s="879"/>
      <c r="B58" s="891">
        <f t="shared" si="6"/>
        <v>8</v>
      </c>
      <c r="C58" s="884">
        <v>1</v>
      </c>
      <c r="D58" s="884">
        <v>1</v>
      </c>
      <c r="E58" s="884">
        <v>1</v>
      </c>
      <c r="F58" s="884">
        <f>+F6</f>
        <v>0.95</v>
      </c>
      <c r="G58" s="884">
        <v>1</v>
      </c>
      <c r="H58" s="884">
        <v>1</v>
      </c>
      <c r="I58" s="884">
        <v>1</v>
      </c>
      <c r="J58" s="879"/>
      <c r="K58" s="897">
        <v>6.7415777638161085</v>
      </c>
      <c r="L58" s="898">
        <v>0</v>
      </c>
      <c r="M58" s="898">
        <v>1.0422448166438392E-2</v>
      </c>
      <c r="N58" s="898">
        <v>0.19431433695104025</v>
      </c>
      <c r="O58" s="898">
        <v>0.12198294571119789</v>
      </c>
      <c r="P58" s="898">
        <v>8.3128318302260501E-2</v>
      </c>
      <c r="Q58" s="898">
        <v>0</v>
      </c>
      <c r="R58" s="898">
        <v>1.0422448166438392E-2</v>
      </c>
      <c r="S58" s="898">
        <v>0.26998780784474952</v>
      </c>
      <c r="T58" s="898">
        <v>5.9094307804329169</v>
      </c>
      <c r="U58" s="898">
        <v>0</v>
      </c>
      <c r="V58" s="898">
        <v>1.9155093650587734E-2</v>
      </c>
      <c r="W58" s="898">
        <v>0.10227357824296371</v>
      </c>
      <c r="X58" s="898">
        <v>-1.612883742386806E-3</v>
      </c>
      <c r="Y58" s="898">
        <v>4.2917786422775855E-2</v>
      </c>
      <c r="Z58" s="1008"/>
      <c r="AA58" s="879"/>
      <c r="AB58" s="879"/>
      <c r="AC58" s="879"/>
      <c r="AD58" s="879"/>
      <c r="AE58" s="879"/>
      <c r="AF58" s="879"/>
      <c r="AG58" s="879"/>
      <c r="AH58" s="879"/>
      <c r="AI58" s="879"/>
      <c r="AJ58" s="879"/>
      <c r="AK58" s="879"/>
      <c r="AL58" s="879"/>
      <c r="AM58" s="879"/>
      <c r="AN58" s="879"/>
      <c r="AO58" s="879"/>
      <c r="AP58" s="879"/>
      <c r="AQ58" s="879"/>
      <c r="AR58" s="879"/>
      <c r="AS58" s="879"/>
      <c r="AT58" s="879"/>
      <c r="AU58" s="879"/>
      <c r="AV58" s="879"/>
      <c r="AW58" s="879"/>
      <c r="AX58" s="879"/>
      <c r="AY58" s="879"/>
      <c r="AZ58" s="879"/>
      <c r="BA58" s="879"/>
      <c r="BB58" s="879"/>
      <c r="BC58" s="879"/>
      <c r="BD58" s="879"/>
      <c r="BE58" s="879"/>
      <c r="BF58" s="879"/>
      <c r="BG58" s="879"/>
      <c r="BH58" s="879"/>
      <c r="BI58" s="879"/>
      <c r="BJ58" s="879"/>
      <c r="BK58" s="879"/>
      <c r="BL58" s="879"/>
      <c r="BM58" s="879"/>
      <c r="BN58" s="879"/>
      <c r="BO58" s="879"/>
      <c r="BP58" s="879"/>
      <c r="BQ58" s="879"/>
      <c r="BR58" s="879"/>
      <c r="BS58" s="879"/>
      <c r="BT58" s="879"/>
      <c r="BU58" s="879"/>
    </row>
    <row r="59" spans="1:73" x14ac:dyDescent="0.25">
      <c r="A59" s="879"/>
      <c r="B59" s="891">
        <f t="shared" si="6"/>
        <v>9</v>
      </c>
      <c r="C59" s="884">
        <v>1</v>
      </c>
      <c r="D59" s="884">
        <v>1</v>
      </c>
      <c r="E59" s="884">
        <v>1</v>
      </c>
      <c r="F59" s="884">
        <f>+G6</f>
        <v>1.05</v>
      </c>
      <c r="G59" s="884">
        <v>1</v>
      </c>
      <c r="H59" s="884">
        <v>1</v>
      </c>
      <c r="I59" s="884">
        <v>1</v>
      </c>
      <c r="J59" s="879"/>
      <c r="K59" s="897">
        <v>6.7470794002902874</v>
      </c>
      <c r="L59" s="898">
        <v>0</v>
      </c>
      <c r="M59" s="898">
        <v>1.0422448166438392E-2</v>
      </c>
      <c r="N59" s="898">
        <v>0.19431433695104025</v>
      </c>
      <c r="O59" s="898">
        <v>0.12198294571119789</v>
      </c>
      <c r="P59" s="898">
        <v>8.3200623605444862E-2</v>
      </c>
      <c r="Q59" s="898">
        <v>0</v>
      </c>
      <c r="R59" s="898">
        <v>1.0422448166438392E-2</v>
      </c>
      <c r="S59" s="898">
        <v>0.26998780784474952</v>
      </c>
      <c r="T59" s="898">
        <v>5.9148350491408914</v>
      </c>
      <c r="U59" s="898">
        <v>0</v>
      </c>
      <c r="V59" s="898">
        <v>1.9155093650587734E-2</v>
      </c>
      <c r="W59" s="898">
        <v>0.10227357824296371</v>
      </c>
      <c r="X59" s="898">
        <v>-1.5878212793650056E-3</v>
      </c>
      <c r="Y59" s="898">
        <v>4.2917786422775855E-2</v>
      </c>
      <c r="Z59" s="1008"/>
      <c r="AA59" s="879"/>
      <c r="AB59" s="879"/>
      <c r="AC59" s="879"/>
      <c r="AD59" s="879"/>
      <c r="AE59" s="879"/>
      <c r="AF59" s="879"/>
      <c r="AG59" s="879"/>
      <c r="AH59" s="879"/>
      <c r="AI59" s="879"/>
      <c r="AJ59" s="879"/>
      <c r="AK59" s="879"/>
      <c r="AL59" s="879"/>
      <c r="AM59" s="879"/>
      <c r="AN59" s="879"/>
      <c r="AO59" s="879"/>
      <c r="AP59" s="879"/>
      <c r="AQ59" s="879"/>
      <c r="AR59" s="879"/>
      <c r="AS59" s="879"/>
      <c r="AT59" s="879"/>
      <c r="AU59" s="879"/>
      <c r="AV59" s="879"/>
      <c r="AW59" s="879"/>
      <c r="AX59" s="879"/>
      <c r="AY59" s="879"/>
      <c r="AZ59" s="879"/>
      <c r="BA59" s="879"/>
      <c r="BB59" s="879"/>
      <c r="BC59" s="879"/>
      <c r="BD59" s="879"/>
      <c r="BE59" s="879"/>
      <c r="BF59" s="879"/>
      <c r="BG59" s="879"/>
      <c r="BH59" s="879"/>
      <c r="BI59" s="879"/>
      <c r="BJ59" s="879"/>
      <c r="BK59" s="879"/>
      <c r="BL59" s="879"/>
      <c r="BM59" s="879"/>
      <c r="BN59" s="879"/>
      <c r="BO59" s="879"/>
      <c r="BP59" s="879"/>
      <c r="BQ59" s="879"/>
      <c r="BR59" s="879"/>
      <c r="BS59" s="879"/>
      <c r="BT59" s="879"/>
      <c r="BU59" s="879"/>
    </row>
    <row r="60" spans="1:73" x14ac:dyDescent="0.25">
      <c r="A60" s="879"/>
      <c r="B60" s="899">
        <f t="shared" si="6"/>
        <v>10</v>
      </c>
      <c r="C60" s="900">
        <v>1</v>
      </c>
      <c r="D60" s="900">
        <v>1</v>
      </c>
      <c r="E60" s="900">
        <v>1</v>
      </c>
      <c r="F60" s="900">
        <v>1</v>
      </c>
      <c r="G60" s="900">
        <f>+F7</f>
        <v>0.95</v>
      </c>
      <c r="H60" s="900">
        <v>1</v>
      </c>
      <c r="I60" s="900">
        <v>1</v>
      </c>
      <c r="J60" s="879"/>
      <c r="K60" s="897">
        <v>6.744328582053198</v>
      </c>
      <c r="L60" s="898">
        <v>0</v>
      </c>
      <c r="M60" s="898">
        <v>1.0422448166438392E-2</v>
      </c>
      <c r="N60" s="898">
        <v>0.19431433695104025</v>
      </c>
      <c r="O60" s="898">
        <v>0.12198294571119789</v>
      </c>
      <c r="P60" s="898">
        <v>8.3164470953852682E-2</v>
      </c>
      <c r="Q60" s="898">
        <v>0</v>
      </c>
      <c r="R60" s="898">
        <v>1.0422448166438392E-2</v>
      </c>
      <c r="S60" s="898">
        <v>0.26998780784474952</v>
      </c>
      <c r="T60" s="898">
        <v>5.9121329147869046</v>
      </c>
      <c r="U60" s="898">
        <v>0</v>
      </c>
      <c r="V60" s="898">
        <v>1.9155093650587734E-2</v>
      </c>
      <c r="W60" s="898">
        <v>0.10227357824296371</v>
      </c>
      <c r="X60" s="898">
        <v>-1.6003525108757488E-3</v>
      </c>
      <c r="Y60" s="898">
        <v>4.2917786422775855E-2</v>
      </c>
      <c r="Z60" s="1008"/>
      <c r="AA60" s="879"/>
      <c r="AB60" s="879"/>
      <c r="AC60" s="879"/>
      <c r="AD60" s="879"/>
      <c r="AE60" s="879"/>
      <c r="AF60" s="879"/>
      <c r="AG60" s="879"/>
      <c r="AH60" s="879"/>
      <c r="AI60" s="879"/>
      <c r="AJ60" s="879"/>
      <c r="AK60" s="879"/>
      <c r="AL60" s="879"/>
      <c r="AM60" s="879"/>
      <c r="AN60" s="879"/>
      <c r="AO60" s="879"/>
      <c r="AP60" s="879"/>
      <c r="AQ60" s="879"/>
      <c r="AR60" s="879"/>
      <c r="AS60" s="879"/>
      <c r="AT60" s="879"/>
      <c r="AU60" s="879"/>
      <c r="AV60" s="879"/>
      <c r="AW60" s="879"/>
      <c r="AX60" s="879"/>
      <c r="AY60" s="879"/>
      <c r="AZ60" s="879"/>
      <c r="BA60" s="879"/>
      <c r="BB60" s="879"/>
      <c r="BC60" s="879"/>
      <c r="BD60" s="879"/>
      <c r="BE60" s="879"/>
      <c r="BF60" s="879"/>
      <c r="BG60" s="879"/>
      <c r="BH60" s="879"/>
      <c r="BI60" s="879"/>
      <c r="BJ60" s="879"/>
      <c r="BK60" s="879"/>
      <c r="BL60" s="879"/>
      <c r="BM60" s="879"/>
      <c r="BN60" s="879"/>
      <c r="BO60" s="879"/>
      <c r="BP60" s="879"/>
      <c r="BQ60" s="879"/>
      <c r="BR60" s="879"/>
      <c r="BS60" s="879"/>
      <c r="BT60" s="879"/>
      <c r="BU60" s="879"/>
    </row>
    <row r="61" spans="1:73" x14ac:dyDescent="0.25">
      <c r="A61" s="879"/>
      <c r="B61" s="899">
        <f t="shared" si="6"/>
        <v>11</v>
      </c>
      <c r="C61" s="900">
        <v>1</v>
      </c>
      <c r="D61" s="900">
        <v>1</v>
      </c>
      <c r="E61" s="900">
        <v>1</v>
      </c>
      <c r="F61" s="900">
        <v>1</v>
      </c>
      <c r="G61" s="900">
        <f>+G6</f>
        <v>1.05</v>
      </c>
      <c r="H61" s="900">
        <v>1</v>
      </c>
      <c r="I61" s="900">
        <v>1</v>
      </c>
      <c r="J61" s="879"/>
      <c r="K61" s="897">
        <v>6.744328582053198</v>
      </c>
      <c r="L61" s="898">
        <v>0</v>
      </c>
      <c r="M61" s="898">
        <v>1.0422448166438392E-2</v>
      </c>
      <c r="N61" s="898">
        <v>0.19431433695104025</v>
      </c>
      <c r="O61" s="898">
        <v>0.12198294571119789</v>
      </c>
      <c r="P61" s="898">
        <v>8.3164470953852682E-2</v>
      </c>
      <c r="Q61" s="898">
        <v>0</v>
      </c>
      <c r="R61" s="898">
        <v>1.0422448166438392E-2</v>
      </c>
      <c r="S61" s="898">
        <v>0.26998780784474952</v>
      </c>
      <c r="T61" s="898">
        <v>5.9121329147869046</v>
      </c>
      <c r="U61" s="898">
        <v>0</v>
      </c>
      <c r="V61" s="898">
        <v>1.9155093650587734E-2</v>
      </c>
      <c r="W61" s="898">
        <v>0.10227357824296371</v>
      </c>
      <c r="X61" s="898">
        <v>-1.6003525108757488E-3</v>
      </c>
      <c r="Y61" s="898">
        <v>4.2917786422775855E-2</v>
      </c>
      <c r="Z61" s="1008"/>
      <c r="AA61" s="879"/>
      <c r="AB61" s="879"/>
      <c r="AC61" s="879"/>
      <c r="AD61" s="879"/>
      <c r="AE61" s="879"/>
      <c r="AF61" s="879"/>
      <c r="AG61" s="879"/>
      <c r="AH61" s="879"/>
      <c r="AI61" s="879"/>
      <c r="AJ61" s="879"/>
      <c r="AK61" s="879"/>
      <c r="AL61" s="879"/>
      <c r="AM61" s="879"/>
      <c r="AN61" s="879"/>
      <c r="AO61" s="879"/>
      <c r="AP61" s="879"/>
      <c r="AQ61" s="879"/>
      <c r="AR61" s="879"/>
      <c r="AS61" s="879"/>
      <c r="AT61" s="879"/>
      <c r="AU61" s="879"/>
      <c r="AV61" s="879"/>
      <c r="AW61" s="879"/>
      <c r="AX61" s="879"/>
      <c r="AY61" s="879"/>
      <c r="AZ61" s="879"/>
      <c r="BA61" s="879"/>
      <c r="BB61" s="879"/>
      <c r="BC61" s="879"/>
      <c r="BD61" s="879"/>
      <c r="BE61" s="879"/>
      <c r="BF61" s="879"/>
      <c r="BG61" s="879"/>
      <c r="BH61" s="879"/>
      <c r="BI61" s="879"/>
      <c r="BJ61" s="879"/>
      <c r="BK61" s="879"/>
      <c r="BL61" s="879"/>
      <c r="BM61" s="879"/>
      <c r="BN61" s="879"/>
      <c r="BO61" s="879"/>
      <c r="BP61" s="879"/>
      <c r="BQ61" s="879"/>
      <c r="BR61" s="879"/>
      <c r="BS61" s="879"/>
      <c r="BT61" s="879"/>
      <c r="BU61" s="879"/>
    </row>
    <row r="62" spans="1:73" x14ac:dyDescent="0.25">
      <c r="A62" s="879"/>
      <c r="B62" s="891">
        <f t="shared" si="6"/>
        <v>12</v>
      </c>
      <c r="C62" s="884">
        <v>1</v>
      </c>
      <c r="D62" s="884">
        <v>1</v>
      </c>
      <c r="E62" s="884">
        <v>1</v>
      </c>
      <c r="F62" s="884">
        <v>1</v>
      </c>
      <c r="G62" s="884">
        <v>1</v>
      </c>
      <c r="H62" s="884">
        <f>+F8</f>
        <v>0.95</v>
      </c>
      <c r="I62" s="884">
        <v>1</v>
      </c>
      <c r="J62" s="879"/>
      <c r="K62" s="897">
        <v>6.7245082073347655</v>
      </c>
      <c r="L62" s="898">
        <v>0</v>
      </c>
      <c r="M62" s="898">
        <v>9.9013257581164714E-3</v>
      </c>
      <c r="N62" s="898">
        <v>0.18459862010348826</v>
      </c>
      <c r="O62" s="898">
        <v>0.12198294571119789</v>
      </c>
      <c r="P62" s="898">
        <v>8.3101323062891461E-2</v>
      </c>
      <c r="Q62" s="898">
        <v>0</v>
      </c>
      <c r="R62" s="898">
        <v>9.9013257581164714E-3</v>
      </c>
      <c r="S62" s="898">
        <v>0.26527451604907248</v>
      </c>
      <c r="T62" s="898">
        <v>5.9121329147869046</v>
      </c>
      <c r="U62" s="898">
        <v>0</v>
      </c>
      <c r="V62" s="898">
        <v>1.9155093650587734E-2</v>
      </c>
      <c r="W62" s="898">
        <v>9.7159899330815536E-2</v>
      </c>
      <c r="X62" s="898">
        <v>3.3099753817008036E-4</v>
      </c>
      <c r="Y62" s="898">
        <v>4.0771897101637068E-2</v>
      </c>
      <c r="Z62" s="1008"/>
      <c r="AA62" s="879"/>
      <c r="AB62" s="879"/>
      <c r="AC62" s="879"/>
      <c r="AD62" s="879"/>
      <c r="AE62" s="879"/>
      <c r="AF62" s="879"/>
      <c r="AG62" s="879"/>
      <c r="AH62" s="879"/>
      <c r="AI62" s="879"/>
      <c r="AJ62" s="879"/>
      <c r="AK62" s="879"/>
      <c r="AL62" s="879"/>
      <c r="AM62" s="879"/>
      <c r="AN62" s="879"/>
      <c r="AO62" s="879"/>
      <c r="AP62" s="879"/>
      <c r="AQ62" s="879"/>
      <c r="AR62" s="879"/>
      <c r="AS62" s="879"/>
      <c r="AT62" s="879"/>
      <c r="AU62" s="879"/>
      <c r="AV62" s="879"/>
      <c r="AW62" s="879"/>
      <c r="AX62" s="879"/>
      <c r="AY62" s="879"/>
      <c r="AZ62" s="879"/>
      <c r="BA62" s="879"/>
      <c r="BB62" s="879"/>
      <c r="BC62" s="879"/>
      <c r="BD62" s="879"/>
      <c r="BE62" s="879"/>
      <c r="BF62" s="879"/>
      <c r="BG62" s="879"/>
      <c r="BH62" s="879"/>
      <c r="BI62" s="879"/>
      <c r="BJ62" s="879"/>
      <c r="BK62" s="879"/>
      <c r="BL62" s="879"/>
      <c r="BM62" s="879"/>
      <c r="BN62" s="879"/>
      <c r="BO62" s="879"/>
      <c r="BP62" s="879"/>
      <c r="BQ62" s="879"/>
      <c r="BR62" s="879"/>
      <c r="BS62" s="879"/>
      <c r="BT62" s="879"/>
      <c r="BU62" s="879"/>
    </row>
    <row r="63" spans="1:73" x14ac:dyDescent="0.25">
      <c r="A63" s="879"/>
      <c r="B63" s="891">
        <f t="shared" si="6"/>
        <v>13</v>
      </c>
      <c r="C63" s="884">
        <v>1</v>
      </c>
      <c r="D63" s="884">
        <v>1</v>
      </c>
      <c r="E63" s="884">
        <v>1</v>
      </c>
      <c r="F63" s="884">
        <v>1</v>
      </c>
      <c r="G63" s="884">
        <v>1</v>
      </c>
      <c r="H63" s="884">
        <f>+G8</f>
        <v>1.05</v>
      </c>
      <c r="I63" s="884">
        <v>1</v>
      </c>
      <c r="J63" s="879"/>
      <c r="K63" s="897">
        <v>6.7641489567716313</v>
      </c>
      <c r="L63" s="898">
        <v>0</v>
      </c>
      <c r="M63" s="898">
        <v>1.0943570574760312E-2</v>
      </c>
      <c r="N63" s="898">
        <v>0.20403005379859224</v>
      </c>
      <c r="O63" s="898">
        <v>0.12198294571119789</v>
      </c>
      <c r="P63" s="898">
        <v>8.322761884481393E-2</v>
      </c>
      <c r="Q63" s="898">
        <v>0</v>
      </c>
      <c r="R63" s="898">
        <v>1.0943570574760312E-2</v>
      </c>
      <c r="S63" s="898">
        <v>0.27470109964042666</v>
      </c>
      <c r="T63" s="898">
        <v>5.9121329147869046</v>
      </c>
      <c r="U63" s="898">
        <v>0</v>
      </c>
      <c r="V63" s="898">
        <v>1.9155093650587734E-2</v>
      </c>
      <c r="W63" s="898">
        <v>0.1073872571551119</v>
      </c>
      <c r="X63" s="898">
        <v>-3.5317025599214246E-3</v>
      </c>
      <c r="Y63" s="898">
        <v>4.5063675743914657E-2</v>
      </c>
      <c r="Z63" s="1008"/>
      <c r="AA63" s="879"/>
      <c r="AB63" s="879"/>
      <c r="AC63" s="879"/>
      <c r="AD63" s="879"/>
      <c r="AE63" s="879"/>
      <c r="AF63" s="879"/>
      <c r="AG63" s="879"/>
      <c r="AH63" s="879"/>
      <c r="AI63" s="879"/>
      <c r="AJ63" s="879"/>
      <c r="AK63" s="879"/>
      <c r="AL63" s="879"/>
      <c r="AM63" s="879"/>
      <c r="AN63" s="879"/>
      <c r="AO63" s="879"/>
      <c r="AP63" s="879"/>
      <c r="AQ63" s="879"/>
      <c r="AR63" s="879"/>
      <c r="AS63" s="879"/>
      <c r="AT63" s="879"/>
      <c r="AU63" s="879"/>
      <c r="AV63" s="879"/>
      <c r="AW63" s="879"/>
      <c r="AX63" s="879"/>
      <c r="AY63" s="879"/>
      <c r="AZ63" s="879"/>
      <c r="BA63" s="879"/>
      <c r="BB63" s="879"/>
      <c r="BC63" s="879"/>
      <c r="BD63" s="879"/>
      <c r="BE63" s="879"/>
      <c r="BF63" s="879"/>
      <c r="BG63" s="879"/>
      <c r="BH63" s="879"/>
      <c r="BI63" s="879"/>
      <c r="BJ63" s="879"/>
      <c r="BK63" s="879"/>
      <c r="BL63" s="879"/>
      <c r="BM63" s="879"/>
      <c r="BN63" s="879"/>
      <c r="BO63" s="879"/>
      <c r="BP63" s="879"/>
      <c r="BQ63" s="879"/>
      <c r="BR63" s="879"/>
      <c r="BS63" s="879"/>
      <c r="BT63" s="879"/>
      <c r="BU63" s="879"/>
    </row>
    <row r="64" spans="1:73" x14ac:dyDescent="0.25">
      <c r="A64" s="879"/>
      <c r="B64" s="899">
        <f t="shared" si="6"/>
        <v>14</v>
      </c>
      <c r="C64" s="884">
        <v>1</v>
      </c>
      <c r="D64" s="884">
        <v>1</v>
      </c>
      <c r="E64" s="884">
        <v>1</v>
      </c>
      <c r="F64" s="884">
        <v>1</v>
      </c>
      <c r="G64" s="884">
        <v>1</v>
      </c>
      <c r="H64" s="884">
        <v>1</v>
      </c>
      <c r="I64" s="884">
        <f>+F9</f>
        <v>0.95</v>
      </c>
      <c r="J64" s="879"/>
      <c r="K64" s="897">
        <v>6.7305856385198117</v>
      </c>
      <c r="L64" s="898">
        <v>0</v>
      </c>
      <c r="M64" s="898">
        <v>1.0422448166438392E-2</v>
      </c>
      <c r="N64" s="898">
        <v>0.19431433695104025</v>
      </c>
      <c r="O64" s="898">
        <v>0.12198294571119789</v>
      </c>
      <c r="P64" s="898">
        <v>8.2983608391234712E-2</v>
      </c>
      <c r="Q64" s="898">
        <v>0</v>
      </c>
      <c r="R64" s="898">
        <v>1.0422448166438392E-2</v>
      </c>
      <c r="S64" s="898">
        <v>0.25648841745251211</v>
      </c>
      <c r="T64" s="898">
        <v>5.9121329147869046</v>
      </c>
      <c r="U64" s="898">
        <v>0</v>
      </c>
      <c r="V64" s="898">
        <v>1.9155093650587734E-2</v>
      </c>
      <c r="W64" s="898">
        <v>0.10227357824296371</v>
      </c>
      <c r="X64" s="898">
        <v>-1.6630430894075646E-3</v>
      </c>
      <c r="Y64" s="898">
        <v>4.2917786422775855E-2</v>
      </c>
      <c r="Z64" s="1008"/>
      <c r="AA64" s="879"/>
      <c r="AB64" s="879"/>
      <c r="AC64" s="879"/>
      <c r="AD64" s="879"/>
      <c r="AE64" s="879"/>
      <c r="AF64" s="879"/>
      <c r="AG64" s="879"/>
      <c r="AH64" s="879"/>
      <c r="AI64" s="879"/>
      <c r="AJ64" s="879"/>
      <c r="AK64" s="879"/>
      <c r="AL64" s="879"/>
      <c r="AM64" s="879"/>
      <c r="AN64" s="879"/>
      <c r="AO64" s="879"/>
      <c r="AP64" s="879"/>
      <c r="AQ64" s="879"/>
      <c r="AR64" s="879"/>
      <c r="AS64" s="879"/>
      <c r="AT64" s="879"/>
      <c r="AU64" s="879"/>
      <c r="AV64" s="879"/>
      <c r="AW64" s="879"/>
      <c r="AX64" s="879"/>
      <c r="AY64" s="879"/>
      <c r="AZ64" s="879"/>
      <c r="BA64" s="879"/>
      <c r="BB64" s="879"/>
      <c r="BC64" s="879"/>
      <c r="BD64" s="879"/>
      <c r="BE64" s="879"/>
      <c r="BF64" s="879"/>
      <c r="BG64" s="879"/>
      <c r="BH64" s="879"/>
      <c r="BI64" s="879"/>
      <c r="BJ64" s="879"/>
      <c r="BK64" s="879"/>
      <c r="BL64" s="879"/>
      <c r="BM64" s="879"/>
      <c r="BN64" s="879"/>
      <c r="BO64" s="879"/>
      <c r="BP64" s="879"/>
      <c r="BQ64" s="879"/>
      <c r="BR64" s="879"/>
      <c r="BS64" s="879"/>
      <c r="BT64" s="879"/>
      <c r="BU64" s="879"/>
    </row>
    <row r="65" spans="1:73" ht="13.8" thickBot="1" x14ac:dyDescent="0.3">
      <c r="A65" s="879"/>
      <c r="B65" s="997">
        <f t="shared" si="6"/>
        <v>15</v>
      </c>
      <c r="C65" s="998">
        <v>1</v>
      </c>
      <c r="D65" s="998">
        <v>1</v>
      </c>
      <c r="E65" s="998">
        <v>1</v>
      </c>
      <c r="F65" s="998">
        <v>1</v>
      </c>
      <c r="G65" s="998">
        <v>1</v>
      </c>
      <c r="H65" s="998">
        <v>1</v>
      </c>
      <c r="I65" s="998">
        <f>+G9</f>
        <v>1.05</v>
      </c>
      <c r="J65" s="999"/>
      <c r="K65" s="1000">
        <v>6.7580715255865851</v>
      </c>
      <c r="L65" s="1001">
        <v>0</v>
      </c>
      <c r="M65" s="1001">
        <v>1.0422448166438392E-2</v>
      </c>
      <c r="N65" s="1001">
        <v>0.19431433695104025</v>
      </c>
      <c r="O65" s="1001">
        <v>0.12198294571119789</v>
      </c>
      <c r="P65" s="1001">
        <v>8.3345333516470665E-2</v>
      </c>
      <c r="Q65" s="1001">
        <v>0</v>
      </c>
      <c r="R65" s="1001">
        <v>1.0422448166438392E-2</v>
      </c>
      <c r="S65" s="1001">
        <v>0.28348719823698704</v>
      </c>
      <c r="T65" s="1001">
        <v>5.9121329147869046</v>
      </c>
      <c r="U65" s="1001">
        <v>0</v>
      </c>
      <c r="V65" s="1001">
        <v>1.9155093650587734E-2</v>
      </c>
      <c r="W65" s="1001">
        <v>0.10227357824296371</v>
      </c>
      <c r="X65" s="1001">
        <v>-1.537661932343935E-3</v>
      </c>
      <c r="Y65" s="1001">
        <v>4.2917786422775855E-2</v>
      </c>
      <c r="Z65" s="1008"/>
      <c r="AA65" s="879"/>
      <c r="AB65" s="879"/>
      <c r="AC65" s="879"/>
      <c r="AD65" s="879"/>
      <c r="AE65" s="879"/>
      <c r="AF65" s="879"/>
      <c r="AG65" s="879"/>
      <c r="AH65" s="879"/>
      <c r="AI65" s="879"/>
      <c r="AJ65" s="879"/>
      <c r="AK65" s="879"/>
      <c r="AL65" s="879"/>
      <c r="AM65" s="879"/>
      <c r="AN65" s="879"/>
      <c r="AO65" s="879"/>
      <c r="AP65" s="879"/>
      <c r="AQ65" s="879"/>
      <c r="AR65" s="879"/>
      <c r="AS65" s="879"/>
      <c r="AT65" s="879"/>
      <c r="AU65" s="879"/>
      <c r="AV65" s="879"/>
      <c r="AW65" s="879"/>
      <c r="AX65" s="879"/>
      <c r="AY65" s="879"/>
      <c r="AZ65" s="879"/>
      <c r="BA65" s="879"/>
      <c r="BB65" s="879"/>
      <c r="BC65" s="879"/>
      <c r="BD65" s="879"/>
      <c r="BE65" s="879"/>
      <c r="BF65" s="879"/>
      <c r="BG65" s="879"/>
      <c r="BH65" s="879"/>
      <c r="BI65" s="879"/>
      <c r="BJ65" s="879"/>
      <c r="BK65" s="879"/>
      <c r="BL65" s="879"/>
      <c r="BM65" s="879"/>
      <c r="BN65" s="879"/>
      <c r="BO65" s="879"/>
      <c r="BP65" s="879"/>
      <c r="BQ65" s="879"/>
      <c r="BR65" s="879"/>
      <c r="BS65" s="879"/>
      <c r="BT65" s="879"/>
      <c r="BU65" s="879"/>
    </row>
    <row r="66" spans="1:73" ht="13.8" thickTop="1" x14ac:dyDescent="0.25">
      <c r="A66" s="879"/>
      <c r="B66" s="993">
        <f t="shared" si="6"/>
        <v>16</v>
      </c>
      <c r="C66" s="994">
        <f>(C$72=1)*$F$3
+(C$72=2)
+(C$72=3)
+(C$72=4)
+(C$72=5)</f>
        <v>1.05</v>
      </c>
      <c r="D66" s="994">
        <v>1</v>
      </c>
      <c r="E66" s="994">
        <v>1</v>
      </c>
      <c r="F66" s="994">
        <f>(F$72=1)*$F$6
+(F$72=2)
+(F$72=3)
+(F$72=4)
+(F$72=5)</f>
        <v>1</v>
      </c>
      <c r="G66" s="994">
        <f>(G$72=1)*$F$7
+(G$72=2)
+(G$72=3)
+(G$72=4)
+(G$72=5)</f>
        <v>1</v>
      </c>
      <c r="H66" s="994">
        <f>(H$72=1)*$F$8
+(H$72=2)
+(H$72=3)
+(H$72=4)
+(H$72=5)</f>
        <v>1</v>
      </c>
      <c r="I66" s="994">
        <f>(I$72=1)*$F$9
+(I$72=2)
+(I$72=3)
+(I$72=4)
+(I$72=5)</f>
        <v>1</v>
      </c>
      <c r="J66" s="879"/>
      <c r="K66" s="995">
        <v>6.7104490271023414</v>
      </c>
      <c r="L66" s="996">
        <v>0</v>
      </c>
      <c r="M66" s="996">
        <v>9.9261411108937068E-3</v>
      </c>
      <c r="N66" s="996">
        <v>0.18506127328670499</v>
      </c>
      <c r="O66" s="996">
        <v>0.11617423401066466</v>
      </c>
      <c r="P66" s="996">
        <v>8.2988743750131641E-2</v>
      </c>
      <c r="Q66" s="996">
        <v>0</v>
      </c>
      <c r="R66" s="996">
        <v>9.9261411108937068E-3</v>
      </c>
      <c r="S66" s="996">
        <v>0.25713124556642813</v>
      </c>
      <c r="T66" s="996">
        <v>5.9121329147869046</v>
      </c>
      <c r="U66" s="996">
        <v>0</v>
      </c>
      <c r="V66" s="996">
        <v>1.8895492420334489E-2</v>
      </c>
      <c r="W66" s="996">
        <v>9.7403407850441631E-2</v>
      </c>
      <c r="X66" s="996">
        <v>-2.1236687667544629E-4</v>
      </c>
      <c r="Y66" s="996">
        <v>4.0874082307405586E-2</v>
      </c>
      <c r="Z66" s="1008"/>
      <c r="AA66" s="879"/>
      <c r="AB66" s="879"/>
      <c r="AC66" s="879"/>
      <c r="AD66" s="879"/>
      <c r="AE66" s="879"/>
      <c r="AF66" s="879"/>
      <c r="AG66" s="879"/>
      <c r="AH66" s="879"/>
      <c r="AI66" s="879"/>
      <c r="AJ66" s="879"/>
      <c r="AK66" s="879"/>
      <c r="AL66" s="879"/>
      <c r="AM66" s="879"/>
      <c r="AN66" s="879"/>
      <c r="AO66" s="879"/>
      <c r="AP66" s="879"/>
      <c r="AQ66" s="879"/>
      <c r="AR66" s="879"/>
      <c r="AS66" s="879"/>
      <c r="AT66" s="879"/>
      <c r="AU66" s="879"/>
      <c r="AV66" s="879"/>
      <c r="AW66" s="879"/>
      <c r="AX66" s="879"/>
      <c r="AY66" s="879"/>
      <c r="AZ66" s="879"/>
      <c r="BA66" s="879"/>
      <c r="BB66" s="879"/>
      <c r="BC66" s="879"/>
      <c r="BD66" s="879"/>
      <c r="BE66" s="879"/>
      <c r="BF66" s="879"/>
      <c r="BG66" s="879"/>
      <c r="BH66" s="879"/>
      <c r="BI66" s="879"/>
      <c r="BJ66" s="879"/>
      <c r="BK66" s="879"/>
      <c r="BL66" s="879"/>
      <c r="BM66" s="879"/>
      <c r="BN66" s="879"/>
      <c r="BO66" s="879"/>
      <c r="BP66" s="879"/>
      <c r="BQ66" s="879"/>
      <c r="BR66" s="879"/>
      <c r="BS66" s="879"/>
      <c r="BT66" s="879"/>
      <c r="BU66" s="879"/>
    </row>
    <row r="67" spans="1:73" x14ac:dyDescent="0.25">
      <c r="A67" s="879"/>
      <c r="B67" s="891">
        <f t="shared" si="6"/>
        <v>17</v>
      </c>
      <c r="C67" s="994">
        <f>(C$72=1)*$F$3
+(C$72=2)*$F$3
+(C$72=3)
+(C$72=4)
+(C$72=5)</f>
        <v>1.05</v>
      </c>
      <c r="D67" s="884">
        <v>1</v>
      </c>
      <c r="E67" s="884">
        <v>1</v>
      </c>
      <c r="F67" s="994">
        <f>(F$72=1)*$F$6
+(F$72=2)*$F$6
+(F$72=3)
+(F$72=4)
+(F$72=5)</f>
        <v>1</v>
      </c>
      <c r="G67" s="994">
        <f>(G$72=1)*$F$7
+(G$72=2)*$F$7
+(G$72=3)
+(G$72=4)
+(G$72=5)</f>
        <v>1</v>
      </c>
      <c r="H67" s="994">
        <f>(H$72=1)*$F$8
+(H$72=2)*$F$8
+(H$72=3)
+(H$72=4)
+(H$72=5)</f>
        <v>0.95</v>
      </c>
      <c r="I67" s="994">
        <f>(I$72=1)*$F$9
+(I$72=2)*$F$9
+(I$72=3)
+(I$72=4)
+(I$72=5)</f>
        <v>1</v>
      </c>
      <c r="J67" s="879"/>
      <c r="K67" s="897">
        <v>6.6915724797514544</v>
      </c>
      <c r="L67" s="898">
        <v>0</v>
      </c>
      <c r="M67" s="898">
        <v>9.4298340553490203E-3</v>
      </c>
      <c r="N67" s="898">
        <v>0.17580820962236976</v>
      </c>
      <c r="O67" s="898">
        <v>0.11617423401066466</v>
      </c>
      <c r="P67" s="898">
        <v>8.2928602901597093E-2</v>
      </c>
      <c r="Q67" s="898">
        <v>0</v>
      </c>
      <c r="R67" s="898">
        <v>9.4298340553490203E-3</v>
      </c>
      <c r="S67" s="898">
        <v>0.25264239623721185</v>
      </c>
      <c r="T67" s="898">
        <v>5.9121329147869046</v>
      </c>
      <c r="U67" s="898">
        <v>0</v>
      </c>
      <c r="V67" s="898">
        <v>1.8895492420334489E-2</v>
      </c>
      <c r="W67" s="898">
        <v>9.2533237457919568E-2</v>
      </c>
      <c r="X67" s="898">
        <v>1.6270141224155809E-3</v>
      </c>
      <c r="Y67" s="898">
        <v>3.8830378192035303E-2</v>
      </c>
      <c r="Z67" s="1008"/>
      <c r="AA67" s="879"/>
      <c r="AB67" s="879"/>
      <c r="AC67" s="879"/>
      <c r="AD67" s="879"/>
      <c r="AE67" s="879"/>
      <c r="AF67" s="879"/>
      <c r="AG67" s="879"/>
      <c r="AH67" s="879"/>
      <c r="AI67" s="879"/>
      <c r="AJ67" s="879"/>
      <c r="AK67" s="879"/>
      <c r="AL67" s="879"/>
      <c r="AM67" s="879"/>
      <c r="AN67" s="879"/>
      <c r="AO67" s="879"/>
      <c r="AP67" s="879"/>
      <c r="AQ67" s="879"/>
      <c r="AR67" s="879"/>
      <c r="AS67" s="879"/>
      <c r="AT67" s="879"/>
      <c r="AU67" s="879"/>
      <c r="AV67" s="879"/>
      <c r="AW67" s="879"/>
      <c r="AX67" s="879"/>
      <c r="AY67" s="879"/>
      <c r="AZ67" s="879"/>
      <c r="BA67" s="879"/>
      <c r="BB67" s="879"/>
      <c r="BC67" s="879"/>
      <c r="BD67" s="879"/>
      <c r="BE67" s="879"/>
      <c r="BF67" s="879"/>
      <c r="BG67" s="879"/>
      <c r="BH67" s="879"/>
      <c r="BI67" s="879"/>
      <c r="BJ67" s="879"/>
      <c r="BK67" s="879"/>
      <c r="BL67" s="879"/>
      <c r="BM67" s="879"/>
      <c r="BN67" s="879"/>
      <c r="BO67" s="879"/>
      <c r="BP67" s="879"/>
      <c r="BQ67" s="879"/>
      <c r="BR67" s="879"/>
      <c r="BS67" s="879"/>
      <c r="BT67" s="879"/>
      <c r="BU67" s="879"/>
    </row>
    <row r="68" spans="1:73" x14ac:dyDescent="0.25">
      <c r="A68" s="879"/>
      <c r="B68" s="899">
        <f t="shared" si="6"/>
        <v>18</v>
      </c>
      <c r="C68" s="994">
        <f>(C$72=1)*$F$3
+(C$72=2)*$F$3
+(C$72=3)*$F$3
+(C$72=4)
+(C$72=5)</f>
        <v>1.05</v>
      </c>
      <c r="D68" s="884">
        <v>1</v>
      </c>
      <c r="E68" s="884">
        <v>1</v>
      </c>
      <c r="F68" s="994">
        <f>(F$72=1)*$F$6
+(F$72=2)*$F$6
+(F$72=3)*$F$6
+(F$72=4)
+(F$72=5)</f>
        <v>1</v>
      </c>
      <c r="G68" s="994">
        <f>(G$72=1)*$F$7
+(G$72=2)*$F$7
+(G$72=3)*$F$7
+(G$72=4)
+(G$72=5)</f>
        <v>1</v>
      </c>
      <c r="H68" s="994">
        <f>(H$72=1)*$F$8
+(H$72=2)*$F$8
+(H$72=3)*$F$8
+(H$72=4)
+(H$72=5)</f>
        <v>0.95</v>
      </c>
      <c r="I68" s="994">
        <f>(I$72=1)*$F$9
+(I$72=2)*$F$9
+(I$72=3)*$F$9
+(I$72=4)
+(I$72=5)</f>
        <v>0.95</v>
      </c>
      <c r="J68" s="879"/>
      <c r="K68" s="897">
        <v>6.6787124539104976</v>
      </c>
      <c r="L68" s="898">
        <v>0</v>
      </c>
      <c r="M68" s="898">
        <v>9.4298340553490203E-3</v>
      </c>
      <c r="N68" s="898">
        <v>0.17580820962236976</v>
      </c>
      <c r="O68" s="898">
        <v>0.11617423401066466</v>
      </c>
      <c r="P68" s="898">
        <v>8.2759359884387665E-2</v>
      </c>
      <c r="Q68" s="898">
        <v>0</v>
      </c>
      <c r="R68" s="898">
        <v>9.4298340553490203E-3</v>
      </c>
      <c r="S68" s="898">
        <v>0.2400102764253513</v>
      </c>
      <c r="T68" s="898">
        <v>5.9121329147869046</v>
      </c>
      <c r="U68" s="898">
        <v>0</v>
      </c>
      <c r="V68" s="898">
        <v>1.8895492420334489E-2</v>
      </c>
      <c r="W68" s="898">
        <v>9.2533237457919568E-2</v>
      </c>
      <c r="X68" s="898">
        <v>1.5683511105260258E-3</v>
      </c>
      <c r="Y68" s="898">
        <v>3.8830378192035303E-2</v>
      </c>
      <c r="Z68" s="1008"/>
      <c r="AA68" s="879"/>
      <c r="AB68" s="879"/>
      <c r="AC68" s="879"/>
      <c r="AD68" s="879"/>
      <c r="AE68" s="879"/>
      <c r="AF68" s="879"/>
      <c r="AG68" s="879"/>
      <c r="AH68" s="879"/>
      <c r="AI68" s="879"/>
      <c r="AJ68" s="879"/>
      <c r="AK68" s="879"/>
      <c r="AL68" s="879"/>
      <c r="AM68" s="879"/>
      <c r="AN68" s="879"/>
      <c r="AO68" s="879"/>
      <c r="AP68" s="879"/>
      <c r="AQ68" s="879"/>
      <c r="AR68" s="879"/>
      <c r="AS68" s="879"/>
      <c r="AT68" s="879"/>
      <c r="AU68" s="879"/>
      <c r="AV68" s="879"/>
      <c r="AW68" s="879"/>
      <c r="AX68" s="879"/>
      <c r="AY68" s="879"/>
      <c r="AZ68" s="879"/>
      <c r="BA68" s="879"/>
      <c r="BB68" s="879"/>
      <c r="BC68" s="879"/>
      <c r="BD68" s="879"/>
      <c r="BE68" s="879"/>
      <c r="BF68" s="879"/>
      <c r="BG68" s="879"/>
      <c r="BH68" s="879"/>
      <c r="BI68" s="879"/>
      <c r="BJ68" s="879"/>
      <c r="BK68" s="879"/>
      <c r="BL68" s="879"/>
      <c r="BM68" s="879"/>
      <c r="BN68" s="879"/>
      <c r="BO68" s="879"/>
      <c r="BP68" s="879"/>
      <c r="BQ68" s="879"/>
      <c r="BR68" s="879"/>
      <c r="BS68" s="879"/>
      <c r="BT68" s="879"/>
      <c r="BU68" s="879"/>
    </row>
    <row r="69" spans="1:73" x14ac:dyDescent="0.25">
      <c r="A69" s="879"/>
      <c r="B69" s="899">
        <f t="shared" si="6"/>
        <v>19</v>
      </c>
      <c r="C69" s="994">
        <f>(C$72=1)*$F$3
+(C$72=2)*$F$3
+(C$72=3)*$F$3
+(C$72=4)*$F$3
+(C$72=5)</f>
        <v>1.05</v>
      </c>
      <c r="D69" s="884">
        <v>1</v>
      </c>
      <c r="E69" s="884">
        <v>1</v>
      </c>
      <c r="F69" s="994">
        <f>(F$72=1)*$F$6
+(F$72=2)*$F$6
+(F$72=3)*$F$6
+(F$72=4)*$F$6
+(F$72=5)</f>
        <v>0.95</v>
      </c>
      <c r="G69" s="994">
        <f>(G$72=1)*$F$7
+(G$72=2)*$F$7
+(G$72=3)*$F$7
+(G$72=4)*$F$7
+(G$72=5)</f>
        <v>1</v>
      </c>
      <c r="H69" s="994">
        <f>(H$72=1)*$F$8
+(H$72=2)*$F$8
+(H$72=3)*$F$8
+(H$72=4)*$F$8
+(H$72=5)</f>
        <v>0.95</v>
      </c>
      <c r="I69" s="994">
        <f>(I$72=1)*$F$9
+(I$72=2)*$F$9
+(I$72=3)*$F$9
+(I$72=4)*$F$9
+(I$72=5)</f>
        <v>0.95</v>
      </c>
      <c r="J69" s="879"/>
      <c r="K69" s="897">
        <v>6.6759616356734073</v>
      </c>
      <c r="L69" s="898">
        <v>0</v>
      </c>
      <c r="M69" s="898">
        <v>9.4298340553490203E-3</v>
      </c>
      <c r="N69" s="898">
        <v>0.17580820962236976</v>
      </c>
      <c r="O69" s="898">
        <v>0.11617423401066466</v>
      </c>
      <c r="P69" s="898">
        <v>8.2723207232795498E-2</v>
      </c>
      <c r="Q69" s="898">
        <v>0</v>
      </c>
      <c r="R69" s="898">
        <v>9.4298340553490203E-3</v>
      </c>
      <c r="S69" s="898">
        <v>0.2400102764253513</v>
      </c>
      <c r="T69" s="898">
        <v>5.9094307804329178</v>
      </c>
      <c r="U69" s="898">
        <v>0</v>
      </c>
      <c r="V69" s="898">
        <v>1.8895492420334489E-2</v>
      </c>
      <c r="W69" s="898">
        <v>9.2533237457919568E-2</v>
      </c>
      <c r="X69" s="898">
        <v>1.5558198790151716E-3</v>
      </c>
      <c r="Y69" s="898">
        <v>3.8830378192035303E-2</v>
      </c>
      <c r="Z69" s="1008"/>
      <c r="AA69" s="879"/>
      <c r="AB69" s="879"/>
      <c r="AC69" s="879"/>
      <c r="AD69" s="879"/>
      <c r="AE69" s="879"/>
      <c r="AF69" s="879"/>
      <c r="AG69" s="879"/>
      <c r="AH69" s="879"/>
      <c r="AI69" s="879"/>
      <c r="AJ69" s="879"/>
      <c r="AK69" s="879"/>
      <c r="AL69" s="879"/>
      <c r="AM69" s="879"/>
      <c r="AN69" s="879"/>
      <c r="AO69" s="879"/>
      <c r="AP69" s="879"/>
      <c r="AQ69" s="879"/>
      <c r="AR69" s="879"/>
      <c r="AS69" s="879"/>
      <c r="AT69" s="879"/>
      <c r="AU69" s="879"/>
      <c r="AV69" s="879"/>
      <c r="AW69" s="879"/>
      <c r="AX69" s="879"/>
      <c r="AY69" s="879"/>
      <c r="AZ69" s="879"/>
      <c r="BA69" s="879"/>
      <c r="BB69" s="879"/>
      <c r="BC69" s="879"/>
      <c r="BD69" s="879"/>
      <c r="BE69" s="879"/>
      <c r="BF69" s="879"/>
      <c r="BG69" s="879"/>
      <c r="BH69" s="879"/>
      <c r="BI69" s="879"/>
      <c r="BJ69" s="879"/>
      <c r="BK69" s="879"/>
      <c r="BL69" s="879"/>
      <c r="BM69" s="879"/>
      <c r="BN69" s="879"/>
      <c r="BO69" s="879"/>
      <c r="BP69" s="879"/>
      <c r="BQ69" s="879"/>
      <c r="BR69" s="879"/>
      <c r="BS69" s="879"/>
      <c r="BT69" s="879"/>
      <c r="BU69" s="879"/>
    </row>
    <row r="70" spans="1:73" x14ac:dyDescent="0.25">
      <c r="A70" s="879"/>
      <c r="B70" s="891">
        <f t="shared" si="6"/>
        <v>20</v>
      </c>
      <c r="C70" s="994">
        <f>(C$72=1)*$F$3
+(C$72=2)*$F$3
+(C$72=3)*$F$3
+(C$72=4)*$F$3
+(C$72=5)*$F$3</f>
        <v>1.05</v>
      </c>
      <c r="D70" s="884">
        <v>1</v>
      </c>
      <c r="E70" s="884">
        <v>1</v>
      </c>
      <c r="F70" s="994">
        <f>(F$72=1)*$F$6
+(F$72=2)*$F$6
+(F$72=3)*$F$6
+(F$72=4)*$F$6
+(F$72=5)*$F$6</f>
        <v>0.95</v>
      </c>
      <c r="G70" s="994">
        <f>(G$72=1)*$F$7
+(G$72=2)*$F$7
+(G$72=3)*$F$7
+(G$72=4)*$F$7
+(G$72=5)*$F$7</f>
        <v>0.95</v>
      </c>
      <c r="H70" s="994">
        <f>(H$72=1)*$F$8
+(H$72=2)*$F$8
+(H$72=3)*$F$8
+(H$72=4)*$F$8
+(H$72=5)*$F$8</f>
        <v>0.95</v>
      </c>
      <c r="I70" s="994">
        <f>(I$72=1)*$F$9
+(I$72=2)*$F$9
+(I$72=3)*$F$9
+(I$72=4)*$F$9
+(I$72=5)*$F$9</f>
        <v>0.95</v>
      </c>
      <c r="J70" s="879"/>
      <c r="K70" s="897">
        <v>6.6759616356734073</v>
      </c>
      <c r="L70" s="898">
        <v>0</v>
      </c>
      <c r="M70" s="898">
        <v>9.4298340553490203E-3</v>
      </c>
      <c r="N70" s="898">
        <v>0.17580820962236976</v>
      </c>
      <c r="O70" s="898">
        <v>0.11617423401066466</v>
      </c>
      <c r="P70" s="898">
        <v>8.2723207232795498E-2</v>
      </c>
      <c r="Q70" s="898">
        <v>0</v>
      </c>
      <c r="R70" s="898">
        <v>9.4298340553490203E-3</v>
      </c>
      <c r="S70" s="898">
        <v>0.2400102764253513</v>
      </c>
      <c r="T70" s="898">
        <v>5.9094307804329178</v>
      </c>
      <c r="U70" s="898">
        <v>0</v>
      </c>
      <c r="V70" s="898">
        <v>1.8895492420334489E-2</v>
      </c>
      <c r="W70" s="898">
        <v>9.2533237457919568E-2</v>
      </c>
      <c r="X70" s="898">
        <v>1.5558198790151716E-3</v>
      </c>
      <c r="Y70" s="898">
        <v>3.8830378192035303E-2</v>
      </c>
      <c r="Z70" s="1008"/>
      <c r="AA70" s="879"/>
      <c r="AB70" s="879"/>
      <c r="AC70" s="879"/>
      <c r="AD70" s="879"/>
      <c r="AE70" s="879"/>
      <c r="AF70" s="879"/>
      <c r="AG70" s="879"/>
      <c r="AH70" s="879"/>
      <c r="AI70" s="879"/>
      <c r="AJ70" s="879"/>
      <c r="AK70" s="879"/>
      <c r="AL70" s="879"/>
      <c r="AM70" s="879"/>
      <c r="AN70" s="879"/>
      <c r="AO70" s="879"/>
      <c r="AP70" s="879"/>
      <c r="AQ70" s="879"/>
      <c r="AR70" s="879"/>
      <c r="AS70" s="879"/>
      <c r="AT70" s="879"/>
      <c r="AU70" s="879"/>
      <c r="AV70" s="879"/>
      <c r="AW70" s="879"/>
      <c r="AX70" s="879"/>
      <c r="AY70" s="879"/>
      <c r="AZ70" s="879"/>
      <c r="BA70" s="879"/>
      <c r="BB70" s="879"/>
      <c r="BC70" s="879"/>
      <c r="BD70" s="879"/>
      <c r="BE70" s="879"/>
      <c r="BF70" s="879"/>
      <c r="BG70" s="879"/>
      <c r="BH70" s="879"/>
      <c r="BI70" s="879"/>
      <c r="BJ70" s="879"/>
      <c r="BK70" s="879"/>
      <c r="BL70" s="879"/>
      <c r="BM70" s="879"/>
      <c r="BN70" s="879"/>
      <c r="BO70" s="879"/>
      <c r="BP70" s="879"/>
      <c r="BQ70" s="879"/>
      <c r="BR70" s="879"/>
      <c r="BS70" s="879"/>
      <c r="BT70" s="879"/>
      <c r="BU70" s="879"/>
    </row>
    <row r="71" spans="1:73" x14ac:dyDescent="0.25">
      <c r="A71" s="879"/>
      <c r="B71" s="879"/>
      <c r="C71" s="879"/>
      <c r="D71" s="879"/>
      <c r="E71" s="879"/>
      <c r="F71" s="879"/>
      <c r="G71" s="879"/>
      <c r="H71" s="879"/>
      <c r="I71" s="879"/>
      <c r="J71" s="879"/>
      <c r="K71" s="879"/>
      <c r="L71" s="879"/>
      <c r="M71" s="879"/>
      <c r="N71" s="879"/>
      <c r="O71" s="879"/>
      <c r="P71" s="879"/>
      <c r="Q71" s="879"/>
      <c r="R71" s="879"/>
      <c r="S71" s="879"/>
      <c r="T71" s="879"/>
      <c r="U71" s="879"/>
      <c r="V71" s="879"/>
      <c r="W71" s="879"/>
      <c r="X71" s="879"/>
      <c r="Y71" s="879"/>
      <c r="Z71" s="879"/>
      <c r="AA71" s="879"/>
      <c r="AB71" s="879"/>
      <c r="AC71" s="879"/>
      <c r="AD71" s="879"/>
      <c r="AE71" s="879"/>
      <c r="AF71" s="879"/>
      <c r="AG71" s="879"/>
      <c r="AH71" s="879"/>
      <c r="AI71" s="879"/>
      <c r="AJ71" s="879"/>
      <c r="AK71" s="879"/>
      <c r="AL71" s="879"/>
      <c r="AM71" s="879"/>
      <c r="AN71" s="879"/>
      <c r="AO71" s="879"/>
      <c r="AP71" s="879"/>
      <c r="AQ71" s="879"/>
      <c r="AR71" s="879"/>
      <c r="AS71" s="879"/>
      <c r="AT71" s="879"/>
      <c r="AU71" s="879"/>
      <c r="AV71" s="879"/>
      <c r="AW71" s="879"/>
      <c r="AX71" s="879"/>
      <c r="AY71" s="879"/>
      <c r="AZ71" s="879"/>
      <c r="BA71" s="879"/>
      <c r="BB71" s="879"/>
      <c r="BC71" s="879"/>
      <c r="BD71" s="879"/>
      <c r="BE71" s="879"/>
      <c r="BF71" s="879"/>
      <c r="BG71" s="879"/>
      <c r="BH71" s="879"/>
      <c r="BI71" s="879"/>
      <c r="BJ71" s="879"/>
      <c r="BK71" s="879"/>
      <c r="BL71" s="879"/>
      <c r="BM71" s="879"/>
      <c r="BN71" s="879"/>
      <c r="BO71" s="879"/>
      <c r="BP71" s="879"/>
      <c r="BQ71" s="879"/>
      <c r="BR71" s="879"/>
      <c r="BS71" s="879"/>
      <c r="BT71" s="879"/>
      <c r="BU71" s="879"/>
    </row>
    <row r="72" spans="1:73" x14ac:dyDescent="0.25">
      <c r="A72" s="879"/>
      <c r="B72" s="1002" t="s">
        <v>1163</v>
      </c>
      <c r="C72" s="883">
        <f>6-RANK($N$101,($N$101,$N$104:$N$107))</f>
        <v>1</v>
      </c>
      <c r="D72" s="1003"/>
      <c r="E72" s="1003"/>
      <c r="F72" s="883">
        <f>6-RANK($N$104,($N$101,$N$104:$N$107))</f>
        <v>4</v>
      </c>
      <c r="G72" s="883">
        <f>6-RANK($N$105,($N$101,$N$104:$N$107))</f>
        <v>5</v>
      </c>
      <c r="H72" s="883">
        <f>6-RANK($N$106,($N$101,$N$104:$N$107))</f>
        <v>2</v>
      </c>
      <c r="I72" s="883">
        <f>6-RANK($N$107,($N$101,$N$104:$N$107))</f>
        <v>3</v>
      </c>
      <c r="J72" s="879"/>
      <c r="K72" s="879"/>
      <c r="L72" s="879"/>
      <c r="M72" s="879"/>
      <c r="N72" s="879"/>
      <c r="O72" s="879"/>
      <c r="P72" s="879"/>
      <c r="Q72" s="879"/>
      <c r="R72" s="879"/>
      <c r="S72" s="879"/>
      <c r="T72" s="879"/>
      <c r="U72" s="879"/>
      <c r="V72" s="879"/>
      <c r="W72" s="879"/>
      <c r="X72" s="879"/>
      <c r="Y72" s="879"/>
      <c r="Z72" s="879"/>
      <c r="AA72" s="879"/>
      <c r="AB72" s="879"/>
      <c r="AC72" s="879"/>
      <c r="AD72" s="879"/>
      <c r="AE72" s="879"/>
      <c r="AF72" s="879"/>
      <c r="AG72" s="879"/>
      <c r="AH72" s="879"/>
      <c r="AI72" s="879"/>
      <c r="AJ72" s="879"/>
      <c r="AK72" s="879"/>
      <c r="AL72" s="879"/>
      <c r="AM72" s="879"/>
      <c r="AN72" s="879"/>
      <c r="AO72" s="879"/>
      <c r="AP72" s="879"/>
      <c r="AQ72" s="879"/>
      <c r="AR72" s="879"/>
      <c r="AS72" s="879"/>
      <c r="AT72" s="879"/>
      <c r="AU72" s="879"/>
      <c r="AV72" s="879"/>
      <c r="AW72" s="879"/>
      <c r="AX72" s="879"/>
      <c r="AY72" s="879"/>
      <c r="AZ72" s="879"/>
      <c r="BA72" s="879"/>
      <c r="BB72" s="879"/>
      <c r="BC72" s="879"/>
      <c r="BD72" s="879"/>
      <c r="BE72" s="879"/>
      <c r="BF72" s="879"/>
      <c r="BG72" s="879"/>
      <c r="BH72" s="879"/>
      <c r="BI72" s="879"/>
      <c r="BJ72" s="879"/>
      <c r="BK72" s="879"/>
      <c r="BL72" s="879"/>
      <c r="BM72" s="879"/>
      <c r="BN72" s="879"/>
      <c r="BO72" s="879"/>
      <c r="BP72" s="879"/>
      <c r="BQ72" s="879"/>
      <c r="BR72" s="879"/>
      <c r="BS72" s="879"/>
      <c r="BT72" s="879"/>
      <c r="BU72" s="879"/>
    </row>
    <row r="73" spans="1:73" x14ac:dyDescent="0.25">
      <c r="A73" s="879"/>
      <c r="B73" s="879"/>
      <c r="C73" s="879"/>
      <c r="D73" s="879"/>
      <c r="E73" s="879"/>
      <c r="F73" s="879"/>
      <c r="G73" s="879"/>
      <c r="H73" s="879"/>
      <c r="I73" s="879"/>
      <c r="J73" s="879"/>
      <c r="K73" s="879"/>
      <c r="L73" s="879"/>
      <c r="M73" s="879"/>
      <c r="N73" s="879"/>
      <c r="O73" s="879"/>
      <c r="P73" s="879"/>
      <c r="Q73" s="879"/>
      <c r="R73" s="879"/>
      <c r="S73" s="879"/>
      <c r="T73" s="879"/>
      <c r="U73" s="879"/>
      <c r="V73" s="879"/>
      <c r="W73" s="879"/>
      <c r="X73" s="879"/>
      <c r="Y73" s="879"/>
      <c r="Z73" s="879"/>
      <c r="AA73" s="879"/>
      <c r="AB73" s="879"/>
      <c r="AC73" s="879"/>
      <c r="AD73" s="879"/>
      <c r="AE73" s="879"/>
      <c r="AF73" s="879"/>
      <c r="AG73" s="879"/>
      <c r="AH73" s="879"/>
      <c r="AI73" s="879"/>
      <c r="AJ73" s="879"/>
      <c r="AK73" s="879"/>
      <c r="AL73" s="879"/>
      <c r="AM73" s="879"/>
      <c r="AN73" s="879"/>
      <c r="AO73" s="879"/>
      <c r="AP73" s="879"/>
      <c r="AQ73" s="879"/>
      <c r="AR73" s="879"/>
      <c r="AS73" s="879"/>
      <c r="AT73" s="879"/>
      <c r="AU73" s="879"/>
      <c r="AV73" s="879"/>
      <c r="AW73" s="879"/>
      <c r="AX73" s="879"/>
      <c r="AY73" s="879"/>
      <c r="AZ73" s="879"/>
      <c r="BA73" s="879"/>
      <c r="BB73" s="879"/>
      <c r="BC73" s="879"/>
      <c r="BD73" s="879"/>
      <c r="BE73" s="879"/>
      <c r="BF73" s="879"/>
      <c r="BG73" s="879"/>
      <c r="BH73" s="879"/>
      <c r="BI73" s="879"/>
      <c r="BJ73" s="879"/>
      <c r="BK73" s="879"/>
      <c r="BL73" s="879"/>
      <c r="BM73" s="879"/>
      <c r="BN73" s="879"/>
      <c r="BO73" s="879"/>
      <c r="BP73" s="879"/>
      <c r="BQ73" s="879"/>
      <c r="BR73" s="879"/>
      <c r="BS73" s="879"/>
      <c r="BT73" s="879"/>
      <c r="BU73" s="879"/>
    </row>
    <row r="74" spans="1:73" x14ac:dyDescent="0.25">
      <c r="A74" s="879"/>
      <c r="B74" s="881" t="s">
        <v>1127</v>
      </c>
      <c r="C74" s="879"/>
      <c r="D74" s="879"/>
      <c r="E74" s="879"/>
      <c r="F74" s="879"/>
      <c r="G74" s="879"/>
      <c r="H74" s="879"/>
      <c r="I74" s="879"/>
      <c r="J74" s="879"/>
      <c r="K74" s="879"/>
      <c r="L74" s="879"/>
      <c r="M74" s="879"/>
      <c r="N74" s="879"/>
      <c r="O74" s="879"/>
      <c r="P74" s="879"/>
      <c r="Q74" s="879"/>
      <c r="R74" s="879"/>
      <c r="S74" s="879"/>
      <c r="T74" s="879"/>
      <c r="U74" s="879"/>
      <c r="V74" s="879"/>
      <c r="W74" s="879"/>
      <c r="X74" s="879"/>
      <c r="Y74" s="879"/>
      <c r="Z74" s="879"/>
      <c r="AA74" s="879"/>
      <c r="AB74" s="879"/>
      <c r="AC74" s="879"/>
      <c r="AD74" s="879"/>
      <c r="AE74" s="879"/>
      <c r="AF74" s="879"/>
      <c r="AG74" s="879"/>
      <c r="AH74" s="879"/>
      <c r="AI74" s="879"/>
      <c r="AJ74" s="879"/>
      <c r="AK74" s="879"/>
      <c r="AL74" s="879"/>
      <c r="AM74" s="879"/>
      <c r="AN74" s="879"/>
      <c r="AO74" s="879"/>
      <c r="AP74" s="879"/>
      <c r="AQ74" s="879"/>
      <c r="AR74" s="879"/>
      <c r="AS74" s="879"/>
      <c r="AT74" s="879"/>
      <c r="AU74" s="879"/>
      <c r="AV74" s="879"/>
      <c r="AW74" s="879"/>
      <c r="AX74" s="879"/>
      <c r="AY74" s="879"/>
      <c r="AZ74" s="879"/>
      <c r="BA74" s="879"/>
      <c r="BB74" s="879"/>
      <c r="BC74" s="879"/>
      <c r="BD74" s="879"/>
      <c r="BE74" s="879"/>
      <c r="BF74" s="879"/>
      <c r="BG74" s="879"/>
      <c r="BH74" s="879"/>
      <c r="BI74" s="879"/>
      <c r="BJ74" s="879"/>
      <c r="BK74" s="879"/>
      <c r="BL74" s="879"/>
      <c r="BM74" s="879"/>
      <c r="BN74" s="879"/>
      <c r="BO74" s="879"/>
      <c r="BP74" s="879"/>
      <c r="BQ74" s="879"/>
      <c r="BR74" s="879"/>
      <c r="BS74" s="879"/>
      <c r="BT74" s="879"/>
      <c r="BU74" s="879"/>
    </row>
    <row r="75" spans="1:73" x14ac:dyDescent="0.25">
      <c r="A75" s="879"/>
      <c r="B75" s="879"/>
      <c r="C75" s="879"/>
      <c r="D75" s="879"/>
      <c r="E75" s="879"/>
      <c r="F75" s="879"/>
      <c r="G75" s="879"/>
      <c r="H75" s="879"/>
      <c r="I75" s="879"/>
      <c r="J75" s="879"/>
      <c r="K75" s="879"/>
      <c r="L75" s="879"/>
      <c r="M75" s="879"/>
      <c r="N75" s="879"/>
      <c r="O75" s="879"/>
      <c r="P75" s="879"/>
      <c r="Q75" s="879"/>
      <c r="R75" s="879"/>
      <c r="S75" s="879"/>
      <c r="T75" s="879"/>
      <c r="U75" s="879"/>
      <c r="V75" s="879"/>
      <c r="W75" s="879"/>
      <c r="X75" s="879"/>
      <c r="Y75" s="879"/>
      <c r="Z75" s="879"/>
      <c r="AA75" s="879"/>
      <c r="AB75" s="879"/>
      <c r="AC75" s="879"/>
      <c r="AD75" s="879"/>
      <c r="AE75" s="879"/>
      <c r="AF75" s="879"/>
      <c r="AG75" s="879"/>
      <c r="AH75" s="879"/>
      <c r="AI75" s="879"/>
      <c r="AJ75" s="879"/>
      <c r="AK75" s="879"/>
      <c r="AL75" s="879"/>
      <c r="AM75" s="879"/>
      <c r="AN75" s="879"/>
      <c r="AO75" s="879"/>
      <c r="AP75" s="879"/>
      <c r="AQ75" s="879"/>
      <c r="AR75" s="879"/>
      <c r="AS75" s="879"/>
      <c r="AT75" s="879"/>
      <c r="AU75" s="879"/>
      <c r="AV75" s="879"/>
      <c r="AW75" s="879"/>
      <c r="AX75" s="879"/>
      <c r="AY75" s="879"/>
      <c r="AZ75" s="879"/>
      <c r="BA75" s="879"/>
      <c r="BB75" s="879"/>
      <c r="BC75" s="879"/>
      <c r="BD75" s="879"/>
      <c r="BE75" s="879"/>
      <c r="BF75" s="879"/>
      <c r="BG75" s="879"/>
      <c r="BH75" s="879"/>
      <c r="BI75" s="879"/>
      <c r="BJ75" s="879"/>
      <c r="BK75" s="879"/>
      <c r="BL75" s="879"/>
      <c r="BM75" s="879"/>
      <c r="BN75" s="879"/>
      <c r="BO75" s="879"/>
      <c r="BP75" s="879"/>
      <c r="BQ75" s="879"/>
      <c r="BR75" s="879"/>
      <c r="BS75" s="879"/>
      <c r="BT75" s="879"/>
      <c r="BU75" s="879"/>
    </row>
    <row r="76" spans="1:73" ht="52.8" x14ac:dyDescent="0.25">
      <c r="A76" s="879"/>
      <c r="B76" s="890" t="s">
        <v>1124</v>
      </c>
      <c r="C76" s="890" t="s">
        <v>1125</v>
      </c>
      <c r="D76" s="890" t="s">
        <v>1126</v>
      </c>
      <c r="E76" s="890" t="s">
        <v>1113</v>
      </c>
      <c r="F76" s="890" t="s">
        <v>1114</v>
      </c>
      <c r="G76" s="890" t="s">
        <v>976</v>
      </c>
      <c r="H76" s="890" t="s">
        <v>121</v>
      </c>
      <c r="I76" s="890" t="s">
        <v>122</v>
      </c>
      <c r="J76" s="890" t="s">
        <v>1152</v>
      </c>
      <c r="K76" s="890" t="s">
        <v>134</v>
      </c>
      <c r="L76" s="890" t="s">
        <v>83</v>
      </c>
      <c r="M76" s="890" t="s">
        <v>135</v>
      </c>
      <c r="N76" s="890" t="s">
        <v>1112</v>
      </c>
      <c r="O76" s="890" t="s">
        <v>136</v>
      </c>
      <c r="P76" s="890" t="s">
        <v>137</v>
      </c>
      <c r="Q76" s="890" t="s">
        <v>138</v>
      </c>
      <c r="R76" s="890" t="s">
        <v>1118</v>
      </c>
      <c r="S76" s="890" t="s">
        <v>44</v>
      </c>
      <c r="T76" s="879"/>
      <c r="U76" s="879"/>
      <c r="V76" s="879"/>
      <c r="W76" s="879"/>
      <c r="X76" s="879"/>
      <c r="Y76" s="879"/>
      <c r="Z76" s="879"/>
      <c r="AA76" s="879"/>
      <c r="AB76" s="879"/>
      <c r="AC76" s="879"/>
      <c r="AD76" s="879"/>
      <c r="AE76" s="879"/>
      <c r="AF76" s="879"/>
      <c r="AG76" s="879"/>
      <c r="AH76" s="879"/>
      <c r="AI76" s="879"/>
      <c r="AJ76" s="879"/>
      <c r="AK76" s="879"/>
      <c r="AL76" s="879"/>
      <c r="AM76" s="879"/>
      <c r="AN76" s="879"/>
      <c r="AO76" s="879"/>
      <c r="AP76" s="879"/>
      <c r="AQ76" s="879"/>
      <c r="AR76" s="879"/>
      <c r="AS76" s="879"/>
      <c r="AT76" s="879"/>
      <c r="AU76" s="879"/>
      <c r="AV76" s="879"/>
      <c r="AW76" s="879"/>
      <c r="AX76" s="879"/>
      <c r="AY76" s="879"/>
      <c r="AZ76" s="879"/>
      <c r="BA76" s="879"/>
      <c r="BB76" s="879"/>
      <c r="BC76" s="879"/>
      <c r="BD76" s="879"/>
      <c r="BE76" s="879"/>
      <c r="BF76" s="879"/>
      <c r="BG76" s="879"/>
      <c r="BH76" s="879"/>
      <c r="BI76" s="879"/>
      <c r="BJ76" s="879"/>
      <c r="BK76" s="879"/>
      <c r="BL76" s="879"/>
      <c r="BM76" s="879"/>
      <c r="BN76" s="879"/>
      <c r="BO76" s="879"/>
      <c r="BP76" s="879"/>
      <c r="BQ76" s="879"/>
      <c r="BR76" s="879"/>
      <c r="BS76" s="879"/>
      <c r="BT76" s="879"/>
      <c r="BU76" s="879"/>
    </row>
    <row r="77" spans="1:73" x14ac:dyDescent="0.25">
      <c r="A77" s="879"/>
      <c r="B77" s="883" t="str">
        <f>+$B$3</f>
        <v>Operating Capacity Factor</v>
      </c>
      <c r="C77" s="892">
        <f ca="1">+H3</f>
        <v>0.90300000000000002</v>
      </c>
      <c r="D77" s="892" t="str">
        <f ca="1">+B77&amp;" = "&amp;C77*100&amp;"%"</f>
        <v>Operating Capacity Factor = 90.3%</v>
      </c>
      <c r="E77" s="896">
        <f t="shared" ref="E77:S77" si="7">+K52</f>
        <v>6.7104490271023414</v>
      </c>
      <c r="F77" s="896">
        <f t="shared" si="7"/>
        <v>0</v>
      </c>
      <c r="G77" s="896">
        <f t="shared" si="7"/>
        <v>9.9261411108937068E-3</v>
      </c>
      <c r="H77" s="896">
        <f t="shared" si="7"/>
        <v>0.18506127328670499</v>
      </c>
      <c r="I77" s="896">
        <f t="shared" si="7"/>
        <v>0.11617423401066466</v>
      </c>
      <c r="J77" s="896">
        <f t="shared" si="7"/>
        <v>8.2988743750131641E-2</v>
      </c>
      <c r="K77" s="896">
        <f t="shared" si="7"/>
        <v>0</v>
      </c>
      <c r="L77" s="896">
        <f t="shared" si="7"/>
        <v>9.9261411108937068E-3</v>
      </c>
      <c r="M77" s="896">
        <f t="shared" si="7"/>
        <v>0.25713124556642813</v>
      </c>
      <c r="N77" s="896">
        <f t="shared" si="7"/>
        <v>5.9121329147869046</v>
      </c>
      <c r="O77" s="896">
        <f t="shared" si="7"/>
        <v>0</v>
      </c>
      <c r="P77" s="896">
        <f t="shared" si="7"/>
        <v>1.8895492420334489E-2</v>
      </c>
      <c r="Q77" s="896">
        <f t="shared" si="7"/>
        <v>9.7403407850441631E-2</v>
      </c>
      <c r="R77" s="896">
        <f t="shared" si="7"/>
        <v>-2.1236687667544629E-4</v>
      </c>
      <c r="S77" s="896">
        <f t="shared" si="7"/>
        <v>4.0874082307405586E-2</v>
      </c>
      <c r="T77" s="879"/>
      <c r="U77" s="879"/>
      <c r="V77" s="879"/>
      <c r="W77" s="879"/>
      <c r="X77" s="879"/>
      <c r="Y77" s="879"/>
      <c r="Z77" s="879"/>
      <c r="AA77" s="879"/>
      <c r="AB77" s="879"/>
      <c r="AC77" s="879"/>
      <c r="AD77" s="879"/>
      <c r="AE77" s="879"/>
      <c r="AF77" s="879"/>
      <c r="AG77" s="879"/>
      <c r="AH77" s="879"/>
      <c r="AI77" s="879"/>
      <c r="AJ77" s="879"/>
      <c r="AK77" s="879"/>
      <c r="AL77" s="879"/>
      <c r="AM77" s="879"/>
      <c r="AN77" s="879"/>
      <c r="AO77" s="879"/>
      <c r="AP77" s="879"/>
      <c r="AQ77" s="879"/>
      <c r="AR77" s="879"/>
      <c r="AS77" s="879"/>
      <c r="AT77" s="879"/>
      <c r="AU77" s="879"/>
      <c r="AV77" s="879"/>
      <c r="AW77" s="879"/>
      <c r="AX77" s="879"/>
      <c r="AY77" s="879"/>
      <c r="AZ77" s="879"/>
      <c r="BA77" s="879"/>
      <c r="BB77" s="879"/>
      <c r="BC77" s="879"/>
      <c r="BD77" s="879"/>
      <c r="BE77" s="879"/>
      <c r="BF77" s="879"/>
      <c r="BG77" s="879"/>
      <c r="BH77" s="879"/>
      <c r="BI77" s="879"/>
      <c r="BJ77" s="879"/>
      <c r="BK77" s="879"/>
      <c r="BL77" s="879"/>
      <c r="BM77" s="879"/>
      <c r="BN77" s="879"/>
      <c r="BO77" s="879"/>
      <c r="BP77" s="879"/>
      <c r="BQ77" s="879"/>
      <c r="BR77" s="879"/>
      <c r="BS77" s="879"/>
      <c r="BT77" s="879"/>
      <c r="BU77" s="879"/>
    </row>
    <row r="78" spans="1:73" x14ac:dyDescent="0.25">
      <c r="A78" s="879"/>
      <c r="B78" s="883" t="str">
        <f t="shared" ref="B78:B79" si="8">+$B$3</f>
        <v>Operating Capacity Factor</v>
      </c>
      <c r="C78" s="892">
        <f ca="1">+C3</f>
        <v>0.86</v>
      </c>
      <c r="D78" s="883" t="str">
        <f t="shared" ref="D78:D79" ca="1" si="9">+B78&amp;" = "&amp;C78*100&amp;"%"</f>
        <v>Operating Capacity Factor = 86%</v>
      </c>
      <c r="E78" s="896">
        <f t="shared" ref="E78:S78" si="10">+K$51</f>
        <v>6.744328582053198</v>
      </c>
      <c r="F78" s="896">
        <f t="shared" si="10"/>
        <v>0</v>
      </c>
      <c r="G78" s="896">
        <f t="shared" si="10"/>
        <v>1.0422448166438392E-2</v>
      </c>
      <c r="H78" s="896">
        <f t="shared" si="10"/>
        <v>0.19431433695104025</v>
      </c>
      <c r="I78" s="896">
        <f t="shared" si="10"/>
        <v>0.12198294571119789</v>
      </c>
      <c r="J78" s="896">
        <f t="shared" si="10"/>
        <v>8.3164470953852682E-2</v>
      </c>
      <c r="K78" s="896">
        <f t="shared" si="10"/>
        <v>0</v>
      </c>
      <c r="L78" s="896">
        <f t="shared" si="10"/>
        <v>1.0422448166438392E-2</v>
      </c>
      <c r="M78" s="896">
        <f t="shared" si="10"/>
        <v>0.26998780784474952</v>
      </c>
      <c r="N78" s="896">
        <f t="shared" si="10"/>
        <v>5.9121329147869046</v>
      </c>
      <c r="O78" s="896">
        <f t="shared" si="10"/>
        <v>0</v>
      </c>
      <c r="P78" s="896">
        <f t="shared" si="10"/>
        <v>1.9155093650587734E-2</v>
      </c>
      <c r="Q78" s="896">
        <f t="shared" si="10"/>
        <v>0.10227357824296371</v>
      </c>
      <c r="R78" s="896">
        <f t="shared" si="10"/>
        <v>-1.6003525108757488E-3</v>
      </c>
      <c r="S78" s="896">
        <f t="shared" si="10"/>
        <v>4.2917786422775855E-2</v>
      </c>
      <c r="T78" s="879"/>
      <c r="U78" s="879"/>
      <c r="V78" s="879"/>
      <c r="W78" s="879"/>
      <c r="X78" s="879"/>
      <c r="Y78" s="879"/>
      <c r="Z78" s="879"/>
      <c r="AA78" s="879"/>
      <c r="AB78" s="879"/>
      <c r="AC78" s="879"/>
      <c r="AD78" s="879"/>
      <c r="AE78" s="879"/>
      <c r="AF78" s="879"/>
      <c r="AG78" s="879"/>
      <c r="AH78" s="879"/>
      <c r="AI78" s="879"/>
      <c r="AJ78" s="879"/>
      <c r="AK78" s="879"/>
      <c r="AL78" s="879"/>
      <c r="AM78" s="879"/>
      <c r="AN78" s="879"/>
      <c r="AO78" s="879"/>
      <c r="AP78" s="879"/>
      <c r="AQ78" s="879"/>
      <c r="AR78" s="879"/>
      <c r="AS78" s="879"/>
      <c r="AT78" s="879"/>
      <c r="AU78" s="879"/>
      <c r="AV78" s="879"/>
      <c r="AW78" s="879"/>
      <c r="AX78" s="879"/>
      <c r="AY78" s="879"/>
      <c r="AZ78" s="879"/>
      <c r="BA78" s="879"/>
      <c r="BB78" s="879"/>
      <c r="BC78" s="879"/>
      <c r="BD78" s="879"/>
      <c r="BE78" s="879"/>
      <c r="BF78" s="879"/>
      <c r="BG78" s="879"/>
      <c r="BH78" s="879"/>
      <c r="BI78" s="879"/>
      <c r="BJ78" s="879"/>
      <c r="BK78" s="879"/>
      <c r="BL78" s="879"/>
      <c r="BM78" s="879"/>
      <c r="BN78" s="879"/>
      <c r="BO78" s="879"/>
      <c r="BP78" s="879"/>
      <c r="BQ78" s="879"/>
      <c r="BR78" s="879"/>
      <c r="BS78" s="879"/>
      <c r="BT78" s="879"/>
      <c r="BU78" s="879"/>
    </row>
    <row r="79" spans="1:73" x14ac:dyDescent="0.25">
      <c r="A79" s="879"/>
      <c r="B79" s="883" t="str">
        <f t="shared" si="8"/>
        <v>Operating Capacity Factor</v>
      </c>
      <c r="C79" s="892">
        <f ca="1">+I3</f>
        <v>0.81699999999999995</v>
      </c>
      <c r="D79" s="883" t="str">
        <f t="shared" ca="1" si="9"/>
        <v>Operating Capacity Factor = 81.7%</v>
      </c>
      <c r="E79" s="896">
        <f t="shared" ref="E79:S80" si="11">+K53</f>
        <v>6.7817744059462539</v>
      </c>
      <c r="F79" s="896">
        <f t="shared" si="11"/>
        <v>0</v>
      </c>
      <c r="G79" s="896">
        <f t="shared" si="11"/>
        <v>1.0970998069935152E-2</v>
      </c>
      <c r="H79" s="896">
        <f t="shared" si="11"/>
        <v>0.2045414073168845</v>
      </c>
      <c r="I79" s="896">
        <f t="shared" si="11"/>
        <v>0.1284031007486294</v>
      </c>
      <c r="J79" s="896">
        <f t="shared" si="11"/>
        <v>8.3358695757965437E-2</v>
      </c>
      <c r="K79" s="896">
        <f t="shared" si="11"/>
        <v>0</v>
      </c>
      <c r="L79" s="896">
        <f t="shared" si="11"/>
        <v>1.0970998069935152E-2</v>
      </c>
      <c r="M79" s="896">
        <f t="shared" si="11"/>
        <v>0.28419769246815746</v>
      </c>
      <c r="N79" s="896">
        <f t="shared" si="11"/>
        <v>5.9121329147869064</v>
      </c>
      <c r="O79" s="896">
        <f t="shared" si="11"/>
        <v>0</v>
      </c>
      <c r="P79" s="896">
        <f t="shared" si="11"/>
        <v>1.9442021326130796E-2</v>
      </c>
      <c r="Q79" s="896">
        <f t="shared" si="11"/>
        <v>0.10765639815048815</v>
      </c>
      <c r="R79" s="896">
        <f t="shared" si="11"/>
        <v>-3.1344418960442748E-3</v>
      </c>
      <c r="S79" s="896">
        <f t="shared" si="11"/>
        <v>4.5176617287132501E-2</v>
      </c>
      <c r="T79" s="879"/>
      <c r="U79" s="879"/>
      <c r="V79" s="879"/>
      <c r="W79" s="879"/>
      <c r="X79" s="879"/>
      <c r="Y79" s="879"/>
      <c r="Z79" s="879"/>
      <c r="AA79" s="879"/>
      <c r="AB79" s="879"/>
      <c r="AC79" s="879"/>
      <c r="AD79" s="879"/>
      <c r="AE79" s="879"/>
      <c r="AF79" s="879"/>
      <c r="AG79" s="879"/>
      <c r="AH79" s="879"/>
      <c r="AI79" s="879"/>
      <c r="AJ79" s="879"/>
      <c r="AK79" s="879"/>
      <c r="AL79" s="879"/>
      <c r="AM79" s="879"/>
      <c r="AN79" s="879"/>
      <c r="AO79" s="879"/>
      <c r="AP79" s="879"/>
      <c r="AQ79" s="879"/>
      <c r="AR79" s="879"/>
      <c r="AS79" s="879"/>
      <c r="AT79" s="879"/>
      <c r="AU79" s="879"/>
      <c r="AV79" s="879"/>
      <c r="AW79" s="879"/>
      <c r="AX79" s="879"/>
      <c r="AY79" s="879"/>
      <c r="AZ79" s="879"/>
      <c r="BA79" s="879"/>
      <c r="BB79" s="879"/>
      <c r="BC79" s="879"/>
      <c r="BD79" s="879"/>
      <c r="BE79" s="879"/>
      <c r="BF79" s="879"/>
      <c r="BG79" s="879"/>
      <c r="BH79" s="879"/>
      <c r="BI79" s="879"/>
      <c r="BJ79" s="879"/>
      <c r="BK79" s="879"/>
      <c r="BL79" s="879"/>
      <c r="BM79" s="879"/>
      <c r="BN79" s="879"/>
      <c r="BO79" s="879"/>
      <c r="BP79" s="879"/>
      <c r="BQ79" s="879"/>
      <c r="BR79" s="879"/>
      <c r="BS79" s="879"/>
      <c r="BT79" s="879"/>
      <c r="BU79" s="879"/>
    </row>
    <row r="80" spans="1:73" x14ac:dyDescent="0.25">
      <c r="A80" s="879"/>
      <c r="B80" s="883" t="str">
        <f>+$B$4</f>
        <v>Plant Design Capacity (kg of H2/day)</v>
      </c>
      <c r="C80" s="901">
        <f ca="1">ROUND(H4,0)</f>
        <v>1575</v>
      </c>
      <c r="D80" s="883" t="str">
        <f ca="1">+B80&amp;" = "&amp;TEXT(C80,"0,000")</f>
        <v>Plant Design Capacity (kg of H2/day) = 1,575</v>
      </c>
      <c r="E80" s="896">
        <f t="shared" si="11"/>
        <v>6.7351314435808316</v>
      </c>
      <c r="F80" s="896">
        <f t="shared" si="11"/>
        <v>0</v>
      </c>
      <c r="G80" s="896">
        <f t="shared" si="11"/>
        <v>1.0207098838426626E-2</v>
      </c>
      <c r="H80" s="896">
        <f t="shared" si="11"/>
        <v>0.1902994009957619</v>
      </c>
      <c r="I80" s="896">
        <f t="shared" si="11"/>
        <v>0.11962539552399412</v>
      </c>
      <c r="J80" s="896">
        <f t="shared" si="11"/>
        <v>8.3158352517765974E-2</v>
      </c>
      <c r="K80" s="896">
        <f t="shared" si="11"/>
        <v>0</v>
      </c>
      <c r="L80" s="896">
        <f t="shared" si="11"/>
        <v>1.0207098838426626E-2</v>
      </c>
      <c r="M80" s="896">
        <f t="shared" si="11"/>
        <v>0.26953113424613762</v>
      </c>
      <c r="N80" s="896">
        <f t="shared" si="11"/>
        <v>5.9121329147869046</v>
      </c>
      <c r="O80" s="896">
        <f t="shared" si="11"/>
        <v>0</v>
      </c>
      <c r="P80" s="896">
        <f t="shared" si="11"/>
        <v>1.9155093650587731E-2</v>
      </c>
      <c r="Q80" s="896">
        <f t="shared" si="11"/>
        <v>0.10016039466111556</v>
      </c>
      <c r="R80" s="896">
        <f t="shared" si="11"/>
        <v>-9.6225902221392496E-4</v>
      </c>
      <c r="S80" s="896">
        <f t="shared" si="11"/>
        <v>4.2031016220774882E-2</v>
      </c>
      <c r="T80" s="879"/>
      <c r="U80" s="879"/>
      <c r="V80" s="879"/>
      <c r="W80" s="879"/>
      <c r="X80" s="879"/>
      <c r="Y80" s="879"/>
      <c r="Z80" s="879"/>
      <c r="AA80" s="879"/>
      <c r="AB80" s="879"/>
      <c r="AC80" s="879"/>
      <c r="AD80" s="879"/>
      <c r="AE80" s="879"/>
      <c r="AF80" s="879"/>
      <c r="AG80" s="879"/>
      <c r="AH80" s="879"/>
      <c r="AI80" s="879"/>
      <c r="AJ80" s="879"/>
      <c r="AK80" s="879"/>
      <c r="AL80" s="879"/>
      <c r="AM80" s="879"/>
      <c r="AN80" s="879"/>
      <c r="AO80" s="879"/>
      <c r="AP80" s="879"/>
      <c r="AQ80" s="879"/>
      <c r="AR80" s="879"/>
      <c r="AS80" s="879"/>
      <c r="AT80" s="879"/>
      <c r="AU80" s="879"/>
      <c r="AV80" s="879"/>
      <c r="AW80" s="879"/>
      <c r="AX80" s="879"/>
      <c r="AY80" s="879"/>
      <c r="AZ80" s="879"/>
      <c r="BA80" s="879"/>
      <c r="BB80" s="879"/>
      <c r="BC80" s="879"/>
      <c r="BD80" s="879"/>
      <c r="BE80" s="879"/>
      <c r="BF80" s="879"/>
      <c r="BG80" s="879"/>
      <c r="BH80" s="879"/>
      <c r="BI80" s="879"/>
      <c r="BJ80" s="879"/>
      <c r="BK80" s="879"/>
      <c r="BL80" s="879"/>
      <c r="BM80" s="879"/>
      <c r="BN80" s="879"/>
      <c r="BO80" s="879"/>
      <c r="BP80" s="879"/>
      <c r="BQ80" s="879"/>
      <c r="BR80" s="879"/>
      <c r="BS80" s="879"/>
      <c r="BT80" s="879"/>
      <c r="BU80" s="879"/>
    </row>
    <row r="81" spans="1:73" x14ac:dyDescent="0.25">
      <c r="A81" s="879"/>
      <c r="B81" s="883" t="str">
        <f t="shared" ref="B81:B82" si="12">+$B$4</f>
        <v>Plant Design Capacity (kg of H2/day)</v>
      </c>
      <c r="C81" s="901">
        <f ca="1">+ROUND(C4,0)</f>
        <v>1500</v>
      </c>
      <c r="D81" s="883" t="str">
        <f t="shared" ref="D81:D82" ca="1" si="13">+B81&amp;" = "&amp;TEXT(C81,"0,000")</f>
        <v>Plant Design Capacity (kg of H2/day) = 1,500</v>
      </c>
      <c r="E81" s="896">
        <f t="shared" ref="E81:S81" si="14">+K$51</f>
        <v>6.744328582053198</v>
      </c>
      <c r="F81" s="896">
        <f t="shared" si="14"/>
        <v>0</v>
      </c>
      <c r="G81" s="896">
        <f t="shared" si="14"/>
        <v>1.0422448166438392E-2</v>
      </c>
      <c r="H81" s="896">
        <f t="shared" si="14"/>
        <v>0.19431433695104025</v>
      </c>
      <c r="I81" s="896">
        <f t="shared" si="14"/>
        <v>0.12198294571119789</v>
      </c>
      <c r="J81" s="896">
        <f t="shared" si="14"/>
        <v>8.3164470953852682E-2</v>
      </c>
      <c r="K81" s="896">
        <f t="shared" si="14"/>
        <v>0</v>
      </c>
      <c r="L81" s="896">
        <f t="shared" si="14"/>
        <v>1.0422448166438392E-2</v>
      </c>
      <c r="M81" s="896">
        <f t="shared" si="14"/>
        <v>0.26998780784474952</v>
      </c>
      <c r="N81" s="896">
        <f t="shared" si="14"/>
        <v>5.9121329147869046</v>
      </c>
      <c r="O81" s="896">
        <f t="shared" si="14"/>
        <v>0</v>
      </c>
      <c r="P81" s="896">
        <f t="shared" si="14"/>
        <v>1.9155093650587734E-2</v>
      </c>
      <c r="Q81" s="896">
        <f t="shared" si="14"/>
        <v>0.10227357824296371</v>
      </c>
      <c r="R81" s="896">
        <f t="shared" si="14"/>
        <v>-1.6003525108757488E-3</v>
      </c>
      <c r="S81" s="896">
        <f t="shared" si="14"/>
        <v>4.2917786422775855E-2</v>
      </c>
      <c r="T81" s="879"/>
      <c r="U81" s="879"/>
      <c r="V81" s="879"/>
      <c r="W81" s="879"/>
      <c r="X81" s="879"/>
      <c r="Y81" s="879"/>
      <c r="Z81" s="879"/>
      <c r="AA81" s="879"/>
      <c r="AB81" s="879"/>
      <c r="AC81" s="879"/>
      <c r="AD81" s="879"/>
      <c r="AE81" s="879"/>
      <c r="AF81" s="879"/>
      <c r="AG81" s="879"/>
      <c r="AH81" s="879"/>
      <c r="AI81" s="879"/>
      <c r="AJ81" s="879"/>
      <c r="AK81" s="879"/>
      <c r="AL81" s="879"/>
      <c r="AM81" s="879"/>
      <c r="AN81" s="879"/>
      <c r="AO81" s="879"/>
      <c r="AP81" s="879"/>
      <c r="AQ81" s="879"/>
      <c r="AR81" s="879"/>
      <c r="AS81" s="879"/>
      <c r="AT81" s="879"/>
      <c r="AU81" s="879"/>
      <c r="AV81" s="879"/>
      <c r="AW81" s="879"/>
      <c r="AX81" s="879"/>
      <c r="AY81" s="879"/>
      <c r="AZ81" s="879"/>
      <c r="BA81" s="879"/>
      <c r="BB81" s="879"/>
      <c r="BC81" s="879"/>
      <c r="BD81" s="879"/>
      <c r="BE81" s="879"/>
      <c r="BF81" s="879"/>
      <c r="BG81" s="879"/>
      <c r="BH81" s="879"/>
      <c r="BI81" s="879"/>
      <c r="BJ81" s="879"/>
      <c r="BK81" s="879"/>
      <c r="BL81" s="879"/>
      <c r="BM81" s="879"/>
      <c r="BN81" s="879"/>
      <c r="BO81" s="879"/>
      <c r="BP81" s="879"/>
      <c r="BQ81" s="879"/>
      <c r="BR81" s="879"/>
      <c r="BS81" s="879"/>
      <c r="BT81" s="879"/>
      <c r="BU81" s="879"/>
    </row>
    <row r="82" spans="1:73" x14ac:dyDescent="0.25">
      <c r="A82" s="879"/>
      <c r="B82" s="883" t="str">
        <f t="shared" si="12"/>
        <v>Plant Design Capacity (kg of H2/day)</v>
      </c>
      <c r="C82" s="901">
        <f ca="1">ROUND(I4,0)</f>
        <v>1425</v>
      </c>
      <c r="D82" s="883" t="str">
        <f t="shared" ca="1" si="13"/>
        <v>Plant Design Capacity (kg of H2/day) = 1,425</v>
      </c>
      <c r="E82" s="896">
        <f t="shared" ref="E82:S83" si="15">+K55</f>
        <v>6.7542753417637762</v>
      </c>
      <c r="F82" s="896">
        <f t="shared" si="15"/>
        <v>0</v>
      </c>
      <c r="G82" s="896">
        <f t="shared" si="15"/>
        <v>1.0654189505982337E-2</v>
      </c>
      <c r="H82" s="896">
        <f t="shared" si="15"/>
        <v>0.1986348827593305</v>
      </c>
      <c r="I82" s="896">
        <f t="shared" si="15"/>
        <v>0.12451156328280535</v>
      </c>
      <c r="J82" s="896">
        <f t="shared" si="15"/>
        <v>8.3171825395302337E-2</v>
      </c>
      <c r="K82" s="896">
        <f t="shared" si="15"/>
        <v>0</v>
      </c>
      <c r="L82" s="896">
        <f t="shared" si="15"/>
        <v>1.0654189505982337E-2</v>
      </c>
      <c r="M82" s="896">
        <f t="shared" si="15"/>
        <v>0.27053673557643676</v>
      </c>
      <c r="N82" s="896">
        <f t="shared" si="15"/>
        <v>5.9121329147869064</v>
      </c>
      <c r="O82" s="896">
        <f t="shared" si="15"/>
        <v>0</v>
      </c>
      <c r="P82" s="896">
        <f t="shared" si="15"/>
        <v>1.9155093650587738E-2</v>
      </c>
      <c r="Q82" s="896">
        <f t="shared" si="15"/>
        <v>0.10454761363690285</v>
      </c>
      <c r="R82" s="896">
        <f t="shared" si="15"/>
        <v>-2.2873433350939789E-3</v>
      </c>
      <c r="S82" s="896">
        <f t="shared" si="15"/>
        <v>4.3872056010597064E-2</v>
      </c>
      <c r="T82" s="879"/>
      <c r="U82" s="879"/>
      <c r="V82" s="879"/>
      <c r="W82" s="879"/>
      <c r="X82" s="879"/>
      <c r="Y82" s="879"/>
      <c r="Z82" s="879"/>
      <c r="AA82" s="879"/>
      <c r="AB82" s="879"/>
      <c r="AC82" s="879"/>
      <c r="AD82" s="879"/>
      <c r="AE82" s="879"/>
      <c r="AF82" s="879"/>
      <c r="AG82" s="879"/>
      <c r="AH82" s="879"/>
      <c r="AI82" s="879"/>
      <c r="AJ82" s="879"/>
      <c r="AK82" s="879"/>
      <c r="AL82" s="879"/>
      <c r="AM82" s="879"/>
      <c r="AN82" s="879"/>
      <c r="AO82" s="879"/>
      <c r="AP82" s="879"/>
      <c r="AQ82" s="879"/>
      <c r="AR82" s="879"/>
      <c r="AS82" s="879"/>
      <c r="AT82" s="879"/>
      <c r="AU82" s="879"/>
      <c r="AV82" s="879"/>
      <c r="AW82" s="879"/>
      <c r="AX82" s="879"/>
      <c r="AY82" s="879"/>
      <c r="AZ82" s="879"/>
      <c r="BA82" s="879"/>
      <c r="BB82" s="879"/>
      <c r="BC82" s="879"/>
      <c r="BD82" s="879"/>
      <c r="BE82" s="879"/>
      <c r="BF82" s="879"/>
      <c r="BG82" s="879"/>
      <c r="BH82" s="879"/>
      <c r="BI82" s="879"/>
      <c r="BJ82" s="879"/>
      <c r="BK82" s="879"/>
      <c r="BL82" s="879"/>
      <c r="BM82" s="879"/>
      <c r="BN82" s="879"/>
      <c r="BO82" s="879"/>
      <c r="BP82" s="879"/>
      <c r="BQ82" s="879"/>
      <c r="BR82" s="879"/>
      <c r="BS82" s="879"/>
      <c r="BT82" s="879"/>
      <c r="BU82" s="879"/>
    </row>
    <row r="83" spans="1:73" x14ac:dyDescent="0.25">
      <c r="A83" s="879"/>
      <c r="B83" s="883" t="str">
        <f>+$B$5</f>
        <v>After-tax Real IRR</v>
      </c>
      <c r="C83" s="892">
        <f ca="1">+ROUND(H5,2)</f>
        <v>0.08</v>
      </c>
      <c r="D83" s="883" t="str">
        <f t="shared" ref="D83:D85" ca="1" si="16">+B83&amp;" = "&amp;C83*100&amp;"%"</f>
        <v>After-tax Real IRR = 8%</v>
      </c>
      <c r="E83" s="896">
        <f t="shared" si="15"/>
        <v>6.7398361443768522</v>
      </c>
      <c r="F83" s="896">
        <f t="shared" si="15"/>
        <v>0</v>
      </c>
      <c r="G83" s="896">
        <f t="shared" si="15"/>
        <v>1.0886462769928731E-2</v>
      </c>
      <c r="H83" s="896">
        <f t="shared" si="15"/>
        <v>0.188448293755897</v>
      </c>
      <c r="I83" s="896">
        <f t="shared" si="15"/>
        <v>0.12290839424382713</v>
      </c>
      <c r="J83" s="896">
        <f t="shared" si="15"/>
        <v>8.0046783020920872E-2</v>
      </c>
      <c r="K83" s="896">
        <f t="shared" si="15"/>
        <v>0</v>
      </c>
      <c r="L83" s="896">
        <f t="shared" si="15"/>
        <v>1.0886462769928731E-2</v>
      </c>
      <c r="M83" s="896">
        <f t="shared" si="15"/>
        <v>0.26990219128405518</v>
      </c>
      <c r="N83" s="896">
        <f t="shared" si="15"/>
        <v>5.9148727670211576</v>
      </c>
      <c r="O83" s="896">
        <f t="shared" si="15"/>
        <v>0</v>
      </c>
      <c r="P83" s="896">
        <f t="shared" si="15"/>
        <v>1.9155093650587731E-2</v>
      </c>
      <c r="Q83" s="896">
        <f t="shared" si="15"/>
        <v>0.10170587558175297</v>
      </c>
      <c r="R83" s="896">
        <f t="shared" si="15"/>
        <v>-2.0317701497742451E-3</v>
      </c>
      <c r="S83" s="896">
        <f t="shared" si="15"/>
        <v>4.4828515968428545E-2</v>
      </c>
      <c r="T83" s="879"/>
      <c r="U83" s="879"/>
      <c r="V83" s="879"/>
      <c r="W83" s="879"/>
      <c r="X83" s="879"/>
      <c r="Y83" s="879"/>
      <c r="Z83" s="879"/>
      <c r="AA83" s="879"/>
      <c r="AB83" s="879"/>
      <c r="AC83" s="879"/>
      <c r="AD83" s="879"/>
      <c r="AE83" s="879"/>
      <c r="AF83" s="879"/>
      <c r="AG83" s="879"/>
      <c r="AH83" s="879"/>
      <c r="AI83" s="879"/>
      <c r="AJ83" s="879"/>
      <c r="AK83" s="879"/>
      <c r="AL83" s="879"/>
      <c r="AM83" s="879"/>
      <c r="AN83" s="879"/>
      <c r="AO83" s="879"/>
      <c r="AP83" s="879"/>
      <c r="AQ83" s="879"/>
      <c r="AR83" s="879"/>
      <c r="AS83" s="879"/>
      <c r="AT83" s="879"/>
      <c r="AU83" s="879"/>
      <c r="AV83" s="879"/>
      <c r="AW83" s="879"/>
      <c r="AX83" s="879"/>
      <c r="AY83" s="879"/>
      <c r="AZ83" s="879"/>
      <c r="BA83" s="879"/>
      <c r="BB83" s="879"/>
      <c r="BC83" s="879"/>
      <c r="BD83" s="879"/>
      <c r="BE83" s="879"/>
      <c r="BF83" s="879"/>
      <c r="BG83" s="879"/>
      <c r="BH83" s="879"/>
      <c r="BI83" s="879"/>
      <c r="BJ83" s="879"/>
      <c r="BK83" s="879"/>
      <c r="BL83" s="879"/>
      <c r="BM83" s="879"/>
      <c r="BN83" s="879"/>
      <c r="BO83" s="879"/>
      <c r="BP83" s="879"/>
      <c r="BQ83" s="879"/>
      <c r="BR83" s="879"/>
      <c r="BS83" s="879"/>
      <c r="BT83" s="879"/>
      <c r="BU83" s="879"/>
    </row>
    <row r="84" spans="1:73" x14ac:dyDescent="0.25">
      <c r="A84" s="879"/>
      <c r="B84" s="883" t="str">
        <f t="shared" ref="B84:B85" si="17">+$B$5</f>
        <v>After-tax Real IRR</v>
      </c>
      <c r="C84" s="892">
        <f ca="1">ROUND(C5,2)</f>
        <v>0.08</v>
      </c>
      <c r="D84" s="883" t="str">
        <f t="shared" ca="1" si="16"/>
        <v>After-tax Real IRR = 8%</v>
      </c>
      <c r="E84" s="896">
        <f t="shared" ref="E84:S84" si="18">+K$51</f>
        <v>6.744328582053198</v>
      </c>
      <c r="F84" s="896">
        <f t="shared" si="18"/>
        <v>0</v>
      </c>
      <c r="G84" s="896">
        <f t="shared" si="18"/>
        <v>1.0422448166438392E-2</v>
      </c>
      <c r="H84" s="896">
        <f t="shared" si="18"/>
        <v>0.19431433695104025</v>
      </c>
      <c r="I84" s="896">
        <f t="shared" si="18"/>
        <v>0.12198294571119789</v>
      </c>
      <c r="J84" s="896">
        <f t="shared" si="18"/>
        <v>8.3164470953852682E-2</v>
      </c>
      <c r="K84" s="896">
        <f t="shared" si="18"/>
        <v>0</v>
      </c>
      <c r="L84" s="896">
        <f t="shared" si="18"/>
        <v>1.0422448166438392E-2</v>
      </c>
      <c r="M84" s="896">
        <f t="shared" si="18"/>
        <v>0.26998780784474952</v>
      </c>
      <c r="N84" s="896">
        <f t="shared" si="18"/>
        <v>5.9121329147869046</v>
      </c>
      <c r="O84" s="896">
        <f t="shared" si="18"/>
        <v>0</v>
      </c>
      <c r="P84" s="896">
        <f t="shared" si="18"/>
        <v>1.9155093650587734E-2</v>
      </c>
      <c r="Q84" s="896">
        <f t="shared" si="18"/>
        <v>0.10227357824296371</v>
      </c>
      <c r="R84" s="896">
        <f t="shared" si="18"/>
        <v>-1.6003525108757488E-3</v>
      </c>
      <c r="S84" s="896">
        <f t="shared" si="18"/>
        <v>4.2917786422775855E-2</v>
      </c>
      <c r="T84" s="879"/>
      <c r="U84" s="879"/>
      <c r="V84" s="879"/>
      <c r="W84" s="879"/>
      <c r="X84" s="879"/>
      <c r="Y84" s="879"/>
      <c r="Z84" s="879"/>
      <c r="AA84" s="879"/>
      <c r="AB84" s="879"/>
      <c r="AC84" s="879"/>
      <c r="AD84" s="879"/>
      <c r="AE84" s="879"/>
      <c r="AF84" s="879"/>
      <c r="AG84" s="879"/>
      <c r="AH84" s="879"/>
      <c r="AI84" s="879"/>
      <c r="AJ84" s="879"/>
      <c r="AK84" s="879"/>
      <c r="AL84" s="879"/>
      <c r="AM84" s="879"/>
      <c r="AN84" s="879"/>
      <c r="AO84" s="879"/>
      <c r="AP84" s="879"/>
      <c r="AQ84" s="879"/>
      <c r="AR84" s="879"/>
      <c r="AS84" s="879"/>
      <c r="AT84" s="879"/>
      <c r="AU84" s="879"/>
      <c r="AV84" s="879"/>
      <c r="AW84" s="879"/>
      <c r="AX84" s="879"/>
      <c r="AY84" s="879"/>
      <c r="AZ84" s="879"/>
      <c r="BA84" s="879"/>
      <c r="BB84" s="879"/>
      <c r="BC84" s="879"/>
      <c r="BD84" s="879"/>
      <c r="BE84" s="879"/>
      <c r="BF84" s="879"/>
      <c r="BG84" s="879"/>
      <c r="BH84" s="879"/>
      <c r="BI84" s="879"/>
      <c r="BJ84" s="879"/>
      <c r="BK84" s="879"/>
      <c r="BL84" s="879"/>
      <c r="BM84" s="879"/>
      <c r="BN84" s="879"/>
      <c r="BO84" s="879"/>
      <c r="BP84" s="879"/>
      <c r="BQ84" s="879"/>
      <c r="BR84" s="879"/>
      <c r="BS84" s="879"/>
      <c r="BT84" s="879"/>
      <c r="BU84" s="879"/>
    </row>
    <row r="85" spans="1:73" x14ac:dyDescent="0.25">
      <c r="A85" s="879"/>
      <c r="B85" s="883" t="str">
        <f t="shared" si="17"/>
        <v>After-tax Real IRR</v>
      </c>
      <c r="C85" s="892">
        <f ca="1">ROUND(I5,2)</f>
        <v>0.08</v>
      </c>
      <c r="D85" s="883" t="str">
        <f t="shared" ca="1" si="16"/>
        <v>After-tax Real IRR = 8%</v>
      </c>
      <c r="E85" s="896">
        <f t="shared" ref="E85:S86" si="19">+K57</f>
        <v>6.7488329065114865</v>
      </c>
      <c r="F85" s="896">
        <f t="shared" si="19"/>
        <v>0</v>
      </c>
      <c r="G85" s="896">
        <f t="shared" si="19"/>
        <v>9.9758378652312855E-3</v>
      </c>
      <c r="H85" s="896">
        <f t="shared" si="19"/>
        <v>0.20026037147306291</v>
      </c>
      <c r="I85" s="896">
        <f t="shared" si="19"/>
        <v>0.1210349477733048</v>
      </c>
      <c r="J85" s="896">
        <f t="shared" si="19"/>
        <v>8.6257605126148634E-2</v>
      </c>
      <c r="K85" s="896">
        <f t="shared" si="19"/>
        <v>0</v>
      </c>
      <c r="L85" s="896">
        <f t="shared" si="19"/>
        <v>9.9758378652312855E-3</v>
      </c>
      <c r="M85" s="896">
        <f t="shared" si="19"/>
        <v>0.27007411349004551</v>
      </c>
      <c r="N85" s="896">
        <f t="shared" si="19"/>
        <v>5.9092542574910798</v>
      </c>
      <c r="O85" s="896">
        <f t="shared" si="19"/>
        <v>0</v>
      </c>
      <c r="P85" s="896">
        <f t="shared" si="19"/>
        <v>1.9155093650587745E-2</v>
      </c>
      <c r="Q85" s="896">
        <f t="shared" si="19"/>
        <v>0.10284394125693452</v>
      </c>
      <c r="R85" s="896">
        <f t="shared" si="19"/>
        <v>-1.1261484457542712E-3</v>
      </c>
      <c r="S85" s="896">
        <f t="shared" si="19"/>
        <v>4.1078724696075208E-2</v>
      </c>
      <c r="T85" s="879"/>
      <c r="U85" s="879"/>
      <c r="V85" s="879"/>
      <c r="W85" s="879"/>
      <c r="X85" s="879"/>
      <c r="Y85" s="879"/>
      <c r="Z85" s="879"/>
      <c r="AA85" s="879"/>
      <c r="AB85" s="879"/>
      <c r="AC85" s="879"/>
      <c r="AD85" s="879"/>
      <c r="AE85" s="879"/>
      <c r="AF85" s="879"/>
      <c r="AG85" s="879"/>
      <c r="AH85" s="879"/>
      <c r="AI85" s="879"/>
      <c r="AJ85" s="879"/>
      <c r="AK85" s="879"/>
      <c r="AL85" s="879"/>
      <c r="AM85" s="879"/>
      <c r="AN85" s="879"/>
      <c r="AO85" s="879"/>
      <c r="AP85" s="879"/>
      <c r="AQ85" s="879"/>
      <c r="AR85" s="879"/>
      <c r="AS85" s="879"/>
      <c r="AT85" s="879"/>
      <c r="AU85" s="879"/>
      <c r="AV85" s="879"/>
      <c r="AW85" s="879"/>
      <c r="AX85" s="879"/>
      <c r="AY85" s="879"/>
      <c r="AZ85" s="879"/>
      <c r="BA85" s="879"/>
      <c r="BB85" s="879"/>
      <c r="BC85" s="879"/>
      <c r="BD85" s="879"/>
      <c r="BE85" s="879"/>
      <c r="BF85" s="879"/>
      <c r="BG85" s="879"/>
      <c r="BH85" s="879"/>
      <c r="BI85" s="879"/>
      <c r="BJ85" s="879"/>
      <c r="BK85" s="879"/>
      <c r="BL85" s="879"/>
      <c r="BM85" s="879"/>
      <c r="BN85" s="879"/>
      <c r="BO85" s="879"/>
      <c r="BP85" s="879"/>
      <c r="BQ85" s="879"/>
      <c r="BR85" s="879"/>
      <c r="BS85" s="879"/>
      <c r="BT85" s="879"/>
      <c r="BU85" s="879"/>
    </row>
    <row r="86" spans="1:73" x14ac:dyDescent="0.25">
      <c r="A86" s="879"/>
      <c r="B86" s="883" t="str">
        <f>+$B$6</f>
        <v>Feedstock Consumption (% of baseline)</v>
      </c>
      <c r="C86" s="883">
        <f>+ROUND(H6,3)</f>
        <v>0.95</v>
      </c>
      <c r="D86" s="882" t="str">
        <f>+B86&amp;" = "&amp;C86*100&amp;"%"</f>
        <v>Feedstock Consumption (% of baseline) = 95%</v>
      </c>
      <c r="E86" s="904">
        <f t="shared" si="19"/>
        <v>6.7415777638161085</v>
      </c>
      <c r="F86" s="896">
        <f t="shared" si="19"/>
        <v>0</v>
      </c>
      <c r="G86" s="896">
        <f t="shared" si="19"/>
        <v>1.0422448166438392E-2</v>
      </c>
      <c r="H86" s="896">
        <f t="shared" si="19"/>
        <v>0.19431433695104025</v>
      </c>
      <c r="I86" s="896">
        <f t="shared" si="19"/>
        <v>0.12198294571119789</v>
      </c>
      <c r="J86" s="896">
        <f t="shared" si="19"/>
        <v>8.3128318302260501E-2</v>
      </c>
      <c r="K86" s="896">
        <f t="shared" si="19"/>
        <v>0</v>
      </c>
      <c r="L86" s="896">
        <f t="shared" si="19"/>
        <v>1.0422448166438392E-2</v>
      </c>
      <c r="M86" s="896">
        <f t="shared" si="19"/>
        <v>0.26998780784474952</v>
      </c>
      <c r="N86" s="896">
        <f t="shared" si="19"/>
        <v>5.9094307804329169</v>
      </c>
      <c r="O86" s="896">
        <f t="shared" si="19"/>
        <v>0</v>
      </c>
      <c r="P86" s="896">
        <f t="shared" si="19"/>
        <v>1.9155093650587734E-2</v>
      </c>
      <c r="Q86" s="896">
        <f t="shared" si="19"/>
        <v>0.10227357824296371</v>
      </c>
      <c r="R86" s="896">
        <f t="shared" si="19"/>
        <v>-1.612883742386806E-3</v>
      </c>
      <c r="S86" s="896">
        <f t="shared" si="19"/>
        <v>4.2917786422775855E-2</v>
      </c>
      <c r="T86" s="879"/>
      <c r="U86" s="879"/>
      <c r="V86" s="879"/>
      <c r="W86" s="879"/>
      <c r="X86" s="879"/>
      <c r="Y86" s="879"/>
      <c r="Z86" s="879"/>
      <c r="AA86" s="879"/>
      <c r="AB86" s="879"/>
      <c r="AC86" s="879"/>
      <c r="AD86" s="879"/>
      <c r="AE86" s="879"/>
      <c r="AF86" s="879"/>
      <c r="AG86" s="879"/>
      <c r="AH86" s="879"/>
      <c r="AI86" s="879"/>
      <c r="AJ86" s="879"/>
      <c r="AK86" s="879"/>
      <c r="AL86" s="879"/>
      <c r="AM86" s="879"/>
      <c r="AN86" s="879"/>
      <c r="AO86" s="879"/>
      <c r="AP86" s="879"/>
      <c r="AQ86" s="879"/>
      <c r="AR86" s="879"/>
      <c r="AS86" s="879"/>
      <c r="AT86" s="879"/>
      <c r="AU86" s="879"/>
      <c r="AV86" s="879"/>
      <c r="AW86" s="879"/>
      <c r="AX86" s="879"/>
      <c r="AY86" s="879"/>
      <c r="AZ86" s="879"/>
      <c r="BA86" s="879"/>
      <c r="BB86" s="879"/>
      <c r="BC86" s="879"/>
      <c r="BD86" s="879"/>
      <c r="BE86" s="879"/>
      <c r="BF86" s="879"/>
      <c r="BG86" s="879"/>
      <c r="BH86" s="879"/>
      <c r="BI86" s="879"/>
      <c r="BJ86" s="879"/>
      <c r="BK86" s="879"/>
      <c r="BL86" s="879"/>
      <c r="BM86" s="879"/>
      <c r="BN86" s="879"/>
      <c r="BO86" s="879"/>
      <c r="BP86" s="879"/>
      <c r="BQ86" s="879"/>
      <c r="BR86" s="879"/>
      <c r="BS86" s="879"/>
      <c r="BT86" s="879"/>
      <c r="BU86" s="879"/>
    </row>
    <row r="87" spans="1:73" x14ac:dyDescent="0.25">
      <c r="A87" s="879"/>
      <c r="B87" s="883" t="str">
        <f t="shared" ref="B87:B88" si="20">+$B$6</f>
        <v>Feedstock Consumption (% of baseline)</v>
      </c>
      <c r="C87" s="883">
        <f>+ROUND(C6,3)</f>
        <v>1</v>
      </c>
      <c r="D87" s="882" t="str">
        <f>+B87&amp;" = "&amp;C87*100&amp;"%"</f>
        <v>Feedstock Consumption (% of baseline) = 100%</v>
      </c>
      <c r="E87" s="904">
        <f t="shared" ref="E87:S87" si="21">+K$51</f>
        <v>6.744328582053198</v>
      </c>
      <c r="F87" s="896">
        <f t="shared" si="21"/>
        <v>0</v>
      </c>
      <c r="G87" s="896">
        <f t="shared" si="21"/>
        <v>1.0422448166438392E-2</v>
      </c>
      <c r="H87" s="896">
        <f t="shared" si="21"/>
        <v>0.19431433695104025</v>
      </c>
      <c r="I87" s="896">
        <f t="shared" si="21"/>
        <v>0.12198294571119789</v>
      </c>
      <c r="J87" s="896">
        <f t="shared" si="21"/>
        <v>8.3164470953852682E-2</v>
      </c>
      <c r="K87" s="896">
        <f t="shared" si="21"/>
        <v>0</v>
      </c>
      <c r="L87" s="896">
        <f t="shared" si="21"/>
        <v>1.0422448166438392E-2</v>
      </c>
      <c r="M87" s="896">
        <f t="shared" si="21"/>
        <v>0.26998780784474952</v>
      </c>
      <c r="N87" s="896">
        <f t="shared" si="21"/>
        <v>5.9121329147869046</v>
      </c>
      <c r="O87" s="896">
        <f t="shared" si="21"/>
        <v>0</v>
      </c>
      <c r="P87" s="896">
        <f t="shared" si="21"/>
        <v>1.9155093650587734E-2</v>
      </c>
      <c r="Q87" s="896">
        <f t="shared" si="21"/>
        <v>0.10227357824296371</v>
      </c>
      <c r="R87" s="896">
        <f t="shared" si="21"/>
        <v>-1.6003525108757488E-3</v>
      </c>
      <c r="S87" s="896">
        <f t="shared" si="21"/>
        <v>4.2917786422775855E-2</v>
      </c>
      <c r="T87" s="879"/>
      <c r="U87" s="879"/>
      <c r="V87" s="879"/>
      <c r="W87" s="879"/>
      <c r="X87" s="879"/>
      <c r="Y87" s="879"/>
      <c r="Z87" s="879"/>
      <c r="AA87" s="879"/>
      <c r="AB87" s="879"/>
      <c r="AC87" s="879"/>
      <c r="AD87" s="879"/>
      <c r="AE87" s="879"/>
      <c r="AF87" s="879"/>
      <c r="AG87" s="879"/>
      <c r="AH87" s="879"/>
      <c r="AI87" s="879"/>
      <c r="AJ87" s="879"/>
      <c r="AK87" s="879"/>
      <c r="AL87" s="879"/>
      <c r="AM87" s="879"/>
      <c r="AN87" s="879"/>
      <c r="AO87" s="879"/>
      <c r="AP87" s="879"/>
      <c r="AQ87" s="879"/>
      <c r="AR87" s="879"/>
      <c r="AS87" s="879"/>
      <c r="AT87" s="879"/>
      <c r="AU87" s="879"/>
      <c r="AV87" s="879"/>
      <c r="AW87" s="879"/>
      <c r="AX87" s="879"/>
      <c r="AY87" s="879"/>
      <c r="AZ87" s="879"/>
      <c r="BA87" s="879"/>
      <c r="BB87" s="879"/>
      <c r="BC87" s="879"/>
      <c r="BD87" s="879"/>
      <c r="BE87" s="879"/>
      <c r="BF87" s="879"/>
      <c r="BG87" s="879"/>
      <c r="BH87" s="879"/>
      <c r="BI87" s="879"/>
      <c r="BJ87" s="879"/>
      <c r="BK87" s="879"/>
      <c r="BL87" s="879"/>
      <c r="BM87" s="879"/>
      <c r="BN87" s="879"/>
      <c r="BO87" s="879"/>
      <c r="BP87" s="879"/>
      <c r="BQ87" s="879"/>
      <c r="BR87" s="879"/>
      <c r="BS87" s="879"/>
      <c r="BT87" s="879"/>
      <c r="BU87" s="879"/>
    </row>
    <row r="88" spans="1:73" x14ac:dyDescent="0.25">
      <c r="A88" s="879"/>
      <c r="B88" s="883" t="str">
        <f t="shared" si="20"/>
        <v>Feedstock Consumption (% of baseline)</v>
      </c>
      <c r="C88" s="883">
        <f>+ROUND(I6,3)</f>
        <v>1.05</v>
      </c>
      <c r="D88" s="882" t="str">
        <f>+B88&amp;" = "&amp;C88*100&amp;"%"</f>
        <v>Feedstock Consumption (% of baseline) = 105%</v>
      </c>
      <c r="E88" s="904">
        <f t="shared" ref="E88:S89" si="22">+K59</f>
        <v>6.7470794002902874</v>
      </c>
      <c r="F88" s="896">
        <f t="shared" si="22"/>
        <v>0</v>
      </c>
      <c r="G88" s="896">
        <f t="shared" si="22"/>
        <v>1.0422448166438392E-2</v>
      </c>
      <c r="H88" s="896">
        <f t="shared" si="22"/>
        <v>0.19431433695104025</v>
      </c>
      <c r="I88" s="896">
        <f t="shared" si="22"/>
        <v>0.12198294571119789</v>
      </c>
      <c r="J88" s="896">
        <f t="shared" si="22"/>
        <v>8.3200623605444862E-2</v>
      </c>
      <c r="K88" s="896">
        <f t="shared" si="22"/>
        <v>0</v>
      </c>
      <c r="L88" s="896">
        <f t="shared" si="22"/>
        <v>1.0422448166438392E-2</v>
      </c>
      <c r="M88" s="896">
        <f t="shared" si="22"/>
        <v>0.26998780784474952</v>
      </c>
      <c r="N88" s="896">
        <f t="shared" si="22"/>
        <v>5.9148350491408914</v>
      </c>
      <c r="O88" s="896">
        <f t="shared" si="22"/>
        <v>0</v>
      </c>
      <c r="P88" s="896">
        <f t="shared" si="22"/>
        <v>1.9155093650587734E-2</v>
      </c>
      <c r="Q88" s="896">
        <f t="shared" si="22"/>
        <v>0.10227357824296371</v>
      </c>
      <c r="R88" s="896">
        <f t="shared" si="22"/>
        <v>-1.5878212793650056E-3</v>
      </c>
      <c r="S88" s="896">
        <f t="shared" si="22"/>
        <v>4.2917786422775855E-2</v>
      </c>
      <c r="T88" s="879"/>
      <c r="U88" s="879"/>
      <c r="V88" s="879"/>
      <c r="W88" s="879"/>
      <c r="X88" s="879"/>
      <c r="Y88" s="879"/>
      <c r="Z88" s="879"/>
      <c r="AA88" s="879"/>
      <c r="AB88" s="879"/>
      <c r="AC88" s="879"/>
      <c r="AD88" s="879"/>
      <c r="AE88" s="879"/>
      <c r="AF88" s="879"/>
      <c r="AG88" s="879"/>
      <c r="AH88" s="879"/>
      <c r="AI88" s="879"/>
      <c r="AJ88" s="879"/>
      <c r="AK88" s="879"/>
      <c r="AL88" s="879"/>
      <c r="AM88" s="879"/>
      <c r="AN88" s="879"/>
      <c r="AO88" s="879"/>
      <c r="AP88" s="879"/>
      <c r="AQ88" s="879"/>
      <c r="AR88" s="879"/>
      <c r="AS88" s="879"/>
      <c r="AT88" s="879"/>
      <c r="AU88" s="879"/>
      <c r="AV88" s="879"/>
      <c r="AW88" s="879"/>
      <c r="AX88" s="879"/>
      <c r="AY88" s="879"/>
      <c r="AZ88" s="879"/>
      <c r="BA88" s="879"/>
      <c r="BB88" s="879"/>
      <c r="BC88" s="879"/>
      <c r="BD88" s="879"/>
      <c r="BE88" s="879"/>
      <c r="BF88" s="879"/>
      <c r="BG88" s="879"/>
      <c r="BH88" s="879"/>
      <c r="BI88" s="879"/>
      <c r="BJ88" s="879"/>
      <c r="BK88" s="879"/>
      <c r="BL88" s="879"/>
      <c r="BM88" s="879"/>
      <c r="BN88" s="879"/>
      <c r="BO88" s="879"/>
      <c r="BP88" s="879"/>
      <c r="BQ88" s="879"/>
      <c r="BR88" s="879"/>
      <c r="BS88" s="879"/>
      <c r="BT88" s="879"/>
      <c r="BU88" s="879"/>
    </row>
    <row r="89" spans="1:73" x14ac:dyDescent="0.25">
      <c r="A89" s="879"/>
      <c r="B89" s="883" t="str">
        <f>+$B$7</f>
        <v>Utilities Consumption (% of baseline)</v>
      </c>
      <c r="C89" s="883">
        <f>+ROUND(H7,3)</f>
        <v>0.95</v>
      </c>
      <c r="D89" s="882" t="str">
        <f t="shared" ref="D89:D91" si="23">+B89&amp;" = "&amp;C89*100&amp;"%"</f>
        <v>Utilities Consumption (% of baseline) = 95%</v>
      </c>
      <c r="E89" s="904">
        <f t="shared" si="22"/>
        <v>6.744328582053198</v>
      </c>
      <c r="F89" s="904">
        <f t="shared" si="22"/>
        <v>0</v>
      </c>
      <c r="G89" s="904">
        <f t="shared" si="22"/>
        <v>1.0422448166438392E-2</v>
      </c>
      <c r="H89" s="904">
        <f t="shared" si="22"/>
        <v>0.19431433695104025</v>
      </c>
      <c r="I89" s="904">
        <f t="shared" si="22"/>
        <v>0.12198294571119789</v>
      </c>
      <c r="J89" s="904">
        <f t="shared" si="22"/>
        <v>8.3164470953852682E-2</v>
      </c>
      <c r="K89" s="904">
        <f t="shared" si="22"/>
        <v>0</v>
      </c>
      <c r="L89" s="904">
        <f t="shared" si="22"/>
        <v>1.0422448166438392E-2</v>
      </c>
      <c r="M89" s="904">
        <f t="shared" si="22"/>
        <v>0.26998780784474952</v>
      </c>
      <c r="N89" s="904">
        <f t="shared" si="22"/>
        <v>5.9121329147869046</v>
      </c>
      <c r="O89" s="904">
        <f t="shared" si="22"/>
        <v>0</v>
      </c>
      <c r="P89" s="904">
        <f t="shared" si="22"/>
        <v>1.9155093650587734E-2</v>
      </c>
      <c r="Q89" s="904">
        <f t="shared" si="22"/>
        <v>0.10227357824296371</v>
      </c>
      <c r="R89" s="904">
        <f t="shared" si="22"/>
        <v>-1.6003525108757488E-3</v>
      </c>
      <c r="S89" s="904">
        <f t="shared" si="22"/>
        <v>4.2917786422775855E-2</v>
      </c>
      <c r="T89" s="879"/>
      <c r="U89" s="879"/>
      <c r="V89" s="879"/>
      <c r="W89" s="879"/>
      <c r="X89" s="879"/>
      <c r="Y89" s="879"/>
      <c r="Z89" s="879"/>
      <c r="AA89" s="879"/>
      <c r="AB89" s="879"/>
      <c r="AC89" s="879"/>
      <c r="AD89" s="879"/>
      <c r="AE89" s="879"/>
      <c r="AF89" s="879"/>
      <c r="AG89" s="879"/>
      <c r="AH89" s="879"/>
      <c r="AI89" s="879"/>
      <c r="AJ89" s="879"/>
      <c r="AK89" s="879"/>
      <c r="AL89" s="879"/>
      <c r="AM89" s="879"/>
      <c r="AN89" s="879"/>
      <c r="AO89" s="879"/>
      <c r="AP89" s="879"/>
      <c r="AQ89" s="879"/>
      <c r="AR89" s="879"/>
      <c r="AS89" s="879"/>
      <c r="AT89" s="879"/>
      <c r="AU89" s="879"/>
      <c r="AV89" s="879"/>
      <c r="AW89" s="879"/>
      <c r="AX89" s="879"/>
      <c r="AY89" s="879"/>
      <c r="AZ89" s="879"/>
      <c r="BA89" s="879"/>
      <c r="BB89" s="879"/>
      <c r="BC89" s="879"/>
      <c r="BD89" s="879"/>
      <c r="BE89" s="879"/>
      <c r="BF89" s="879"/>
      <c r="BG89" s="879"/>
      <c r="BH89" s="879"/>
      <c r="BI89" s="879"/>
      <c r="BJ89" s="879"/>
      <c r="BK89" s="879"/>
      <c r="BL89" s="879"/>
      <c r="BM89" s="879"/>
      <c r="BN89" s="879"/>
      <c r="BO89" s="879"/>
      <c r="BP89" s="879"/>
      <c r="BQ89" s="879"/>
      <c r="BR89" s="879"/>
      <c r="BS89" s="879"/>
      <c r="BT89" s="879"/>
      <c r="BU89" s="879"/>
    </row>
    <row r="90" spans="1:73" x14ac:dyDescent="0.25">
      <c r="A90" s="879"/>
      <c r="B90" s="883" t="str">
        <f t="shared" ref="B90:B91" si="24">+$B$7</f>
        <v>Utilities Consumption (% of baseline)</v>
      </c>
      <c r="C90" s="883">
        <f>+ROUND(C7,3)</f>
        <v>1</v>
      </c>
      <c r="D90" s="882" t="str">
        <f t="shared" si="23"/>
        <v>Utilities Consumption (% of baseline) = 100%</v>
      </c>
      <c r="E90" s="904">
        <f>+K$51</f>
        <v>6.744328582053198</v>
      </c>
      <c r="F90" s="904">
        <f t="shared" ref="F90:S90" si="25">+L$51</f>
        <v>0</v>
      </c>
      <c r="G90" s="904">
        <f t="shared" si="25"/>
        <v>1.0422448166438392E-2</v>
      </c>
      <c r="H90" s="904">
        <f t="shared" si="25"/>
        <v>0.19431433695104025</v>
      </c>
      <c r="I90" s="904">
        <f t="shared" si="25"/>
        <v>0.12198294571119789</v>
      </c>
      <c r="J90" s="904">
        <f t="shared" si="25"/>
        <v>8.3164470953852682E-2</v>
      </c>
      <c r="K90" s="904">
        <f t="shared" si="25"/>
        <v>0</v>
      </c>
      <c r="L90" s="904">
        <f t="shared" si="25"/>
        <v>1.0422448166438392E-2</v>
      </c>
      <c r="M90" s="904">
        <f t="shared" si="25"/>
        <v>0.26998780784474952</v>
      </c>
      <c r="N90" s="904">
        <f t="shared" si="25"/>
        <v>5.9121329147869046</v>
      </c>
      <c r="O90" s="904">
        <f t="shared" si="25"/>
        <v>0</v>
      </c>
      <c r="P90" s="904">
        <f t="shared" si="25"/>
        <v>1.9155093650587734E-2</v>
      </c>
      <c r="Q90" s="904">
        <f t="shared" si="25"/>
        <v>0.10227357824296371</v>
      </c>
      <c r="R90" s="904">
        <f t="shared" si="25"/>
        <v>-1.6003525108757488E-3</v>
      </c>
      <c r="S90" s="904">
        <f t="shared" si="25"/>
        <v>4.2917786422775855E-2</v>
      </c>
      <c r="T90" s="879"/>
      <c r="U90" s="879"/>
      <c r="V90" s="879"/>
      <c r="W90" s="879"/>
      <c r="X90" s="879"/>
      <c r="Y90" s="879"/>
      <c r="Z90" s="879"/>
      <c r="AA90" s="879"/>
      <c r="AB90" s="879"/>
      <c r="AC90" s="879"/>
      <c r="AD90" s="879"/>
      <c r="AE90" s="879"/>
      <c r="AF90" s="879"/>
      <c r="AG90" s="879"/>
      <c r="AH90" s="879"/>
      <c r="AI90" s="879"/>
      <c r="AJ90" s="879"/>
      <c r="AK90" s="879"/>
      <c r="AL90" s="879"/>
      <c r="AM90" s="879"/>
      <c r="AN90" s="879"/>
      <c r="AO90" s="879"/>
      <c r="AP90" s="879"/>
      <c r="AQ90" s="879"/>
      <c r="AR90" s="879"/>
      <c r="AS90" s="879"/>
      <c r="AT90" s="879"/>
      <c r="AU90" s="879"/>
      <c r="AV90" s="879"/>
      <c r="AW90" s="879"/>
      <c r="AX90" s="879"/>
      <c r="AY90" s="879"/>
      <c r="AZ90" s="879"/>
      <c r="BA90" s="879"/>
      <c r="BB90" s="879"/>
      <c r="BC90" s="879"/>
      <c r="BD90" s="879"/>
      <c r="BE90" s="879"/>
      <c r="BF90" s="879"/>
      <c r="BG90" s="879"/>
      <c r="BH90" s="879"/>
      <c r="BI90" s="879"/>
      <c r="BJ90" s="879"/>
      <c r="BK90" s="879"/>
      <c r="BL90" s="879"/>
      <c r="BM90" s="879"/>
      <c r="BN90" s="879"/>
      <c r="BO90" s="879"/>
      <c r="BP90" s="879"/>
      <c r="BQ90" s="879"/>
      <c r="BR90" s="879"/>
      <c r="BS90" s="879"/>
      <c r="BT90" s="879"/>
      <c r="BU90" s="879"/>
    </row>
    <row r="91" spans="1:73" x14ac:dyDescent="0.25">
      <c r="A91" s="879"/>
      <c r="B91" s="883" t="str">
        <f t="shared" si="24"/>
        <v>Utilities Consumption (% of baseline)</v>
      </c>
      <c r="C91" s="883">
        <f>+ROUND(I7,3)</f>
        <v>1.05</v>
      </c>
      <c r="D91" s="882" t="str">
        <f t="shared" si="23"/>
        <v>Utilities Consumption (% of baseline) = 105%</v>
      </c>
      <c r="E91" s="904">
        <f t="shared" ref="E91:S92" si="26">+K61</f>
        <v>6.744328582053198</v>
      </c>
      <c r="F91" s="904">
        <f t="shared" si="26"/>
        <v>0</v>
      </c>
      <c r="G91" s="904">
        <f t="shared" si="26"/>
        <v>1.0422448166438392E-2</v>
      </c>
      <c r="H91" s="904">
        <f t="shared" si="26"/>
        <v>0.19431433695104025</v>
      </c>
      <c r="I91" s="904">
        <f t="shared" si="26"/>
        <v>0.12198294571119789</v>
      </c>
      <c r="J91" s="904">
        <f t="shared" si="26"/>
        <v>8.3164470953852682E-2</v>
      </c>
      <c r="K91" s="904">
        <f t="shared" si="26"/>
        <v>0</v>
      </c>
      <c r="L91" s="904">
        <f t="shared" si="26"/>
        <v>1.0422448166438392E-2</v>
      </c>
      <c r="M91" s="904">
        <f t="shared" si="26"/>
        <v>0.26998780784474952</v>
      </c>
      <c r="N91" s="904">
        <f t="shared" si="26"/>
        <v>5.9121329147869046</v>
      </c>
      <c r="O91" s="904">
        <f t="shared" si="26"/>
        <v>0</v>
      </c>
      <c r="P91" s="904">
        <f t="shared" si="26"/>
        <v>1.9155093650587734E-2</v>
      </c>
      <c r="Q91" s="904">
        <f t="shared" si="26"/>
        <v>0.10227357824296371</v>
      </c>
      <c r="R91" s="904">
        <f t="shared" si="26"/>
        <v>-1.6003525108757488E-3</v>
      </c>
      <c r="S91" s="904">
        <f t="shared" si="26"/>
        <v>4.2917786422775855E-2</v>
      </c>
      <c r="T91" s="879"/>
      <c r="U91" s="879"/>
      <c r="V91" s="879"/>
      <c r="W91" s="879"/>
      <c r="X91" s="879"/>
      <c r="Y91" s="879"/>
      <c r="Z91" s="879"/>
      <c r="AA91" s="879"/>
      <c r="AB91" s="879"/>
      <c r="AC91" s="879"/>
      <c r="AD91" s="879"/>
      <c r="AE91" s="879"/>
      <c r="AF91" s="879"/>
      <c r="AG91" s="879"/>
      <c r="AH91" s="879"/>
      <c r="AI91" s="879"/>
      <c r="AJ91" s="879"/>
      <c r="AK91" s="879"/>
      <c r="AL91" s="879"/>
      <c r="AM91" s="879"/>
      <c r="AN91" s="879"/>
      <c r="AO91" s="879"/>
      <c r="AP91" s="879"/>
      <c r="AQ91" s="879"/>
      <c r="AR91" s="879"/>
      <c r="AS91" s="879"/>
      <c r="AT91" s="879"/>
      <c r="AU91" s="879"/>
      <c r="AV91" s="879"/>
      <c r="AW91" s="879"/>
      <c r="AX91" s="879"/>
      <c r="AY91" s="879"/>
      <c r="AZ91" s="879"/>
      <c r="BA91" s="879"/>
      <c r="BB91" s="879"/>
      <c r="BC91" s="879"/>
      <c r="BD91" s="879"/>
      <c r="BE91" s="879"/>
      <c r="BF91" s="879"/>
      <c r="BG91" s="879"/>
      <c r="BH91" s="879"/>
      <c r="BI91" s="879"/>
      <c r="BJ91" s="879"/>
      <c r="BK91" s="879"/>
      <c r="BL91" s="879"/>
      <c r="BM91" s="879"/>
      <c r="BN91" s="879"/>
      <c r="BO91" s="879"/>
      <c r="BP91" s="879"/>
      <c r="BQ91" s="879"/>
      <c r="BR91" s="879"/>
      <c r="BS91" s="879"/>
      <c r="BT91" s="879"/>
      <c r="BU91" s="879"/>
    </row>
    <row r="92" spans="1:73" x14ac:dyDescent="0.25">
      <c r="A92" s="879"/>
      <c r="B92" s="883" t="str">
        <f>+$B$8</f>
        <v>Total Capital Investment</v>
      </c>
      <c r="C92" s="901">
        <f ca="1">+ROUND(H8,0)</f>
        <v>1672130</v>
      </c>
      <c r="D92" s="883" t="str">
        <f t="shared" ref="D92:D97" ca="1" si="27">+B92&amp;" = "&amp;TEXT(C92/1000,"$0,000K")</f>
        <v>Total Capital Investment = $1,672K</v>
      </c>
      <c r="E92" s="896">
        <f t="shared" si="26"/>
        <v>6.7245082073347655</v>
      </c>
      <c r="F92" s="896">
        <f t="shared" si="26"/>
        <v>0</v>
      </c>
      <c r="G92" s="896">
        <f t="shared" si="26"/>
        <v>9.9013257581164714E-3</v>
      </c>
      <c r="H92" s="896">
        <f t="shared" si="26"/>
        <v>0.18459862010348826</v>
      </c>
      <c r="I92" s="896">
        <f t="shared" si="26"/>
        <v>0.12198294571119789</v>
      </c>
      <c r="J92" s="896">
        <f t="shared" si="26"/>
        <v>8.3101323062891461E-2</v>
      </c>
      <c r="K92" s="896">
        <f t="shared" si="26"/>
        <v>0</v>
      </c>
      <c r="L92" s="896">
        <f t="shared" si="26"/>
        <v>9.9013257581164714E-3</v>
      </c>
      <c r="M92" s="896">
        <f t="shared" si="26"/>
        <v>0.26527451604907248</v>
      </c>
      <c r="N92" s="896">
        <f t="shared" si="26"/>
        <v>5.9121329147869046</v>
      </c>
      <c r="O92" s="896">
        <f t="shared" si="26"/>
        <v>0</v>
      </c>
      <c r="P92" s="896">
        <f t="shared" si="26"/>
        <v>1.9155093650587734E-2</v>
      </c>
      <c r="Q92" s="896">
        <f t="shared" si="26"/>
        <v>9.7159899330815536E-2</v>
      </c>
      <c r="R92" s="896">
        <f t="shared" si="26"/>
        <v>3.3099753817008036E-4</v>
      </c>
      <c r="S92" s="896">
        <f t="shared" si="26"/>
        <v>4.0771897101637068E-2</v>
      </c>
      <c r="T92" s="879"/>
      <c r="U92" s="879"/>
      <c r="V92" s="879"/>
      <c r="W92" s="879"/>
      <c r="X92" s="879"/>
      <c r="Y92" s="879"/>
      <c r="Z92" s="879"/>
      <c r="AA92" s="879"/>
      <c r="AB92" s="879"/>
      <c r="AC92" s="879"/>
      <c r="AD92" s="879"/>
      <c r="AE92" s="879"/>
      <c r="AF92" s="879"/>
      <c r="AG92" s="879"/>
      <c r="AH92" s="879"/>
      <c r="AI92" s="879"/>
      <c r="AJ92" s="879"/>
      <c r="AK92" s="879"/>
      <c r="AL92" s="879"/>
      <c r="AM92" s="879"/>
      <c r="AN92" s="879"/>
      <c r="AO92" s="879"/>
      <c r="AP92" s="879"/>
      <c r="AQ92" s="879"/>
      <c r="AR92" s="879"/>
      <c r="AS92" s="879"/>
      <c r="AT92" s="879"/>
      <c r="AU92" s="879"/>
      <c r="AV92" s="879"/>
      <c r="AW92" s="879"/>
      <c r="AX92" s="879"/>
      <c r="AY92" s="879"/>
      <c r="AZ92" s="879"/>
      <c r="BA92" s="879"/>
      <c r="BB92" s="879"/>
      <c r="BC92" s="879"/>
      <c r="BD92" s="879"/>
      <c r="BE92" s="879"/>
      <c r="BF92" s="879"/>
      <c r="BG92" s="879"/>
      <c r="BH92" s="879"/>
      <c r="BI92" s="879"/>
      <c r="BJ92" s="879"/>
      <c r="BK92" s="879"/>
      <c r="BL92" s="879"/>
      <c r="BM92" s="879"/>
      <c r="BN92" s="879"/>
      <c r="BO92" s="879"/>
      <c r="BP92" s="879"/>
      <c r="BQ92" s="879"/>
      <c r="BR92" s="879"/>
      <c r="BS92" s="879"/>
      <c r="BT92" s="879"/>
      <c r="BU92" s="879"/>
    </row>
    <row r="93" spans="1:73" x14ac:dyDescent="0.25">
      <c r="A93" s="879"/>
      <c r="B93" s="883" t="str">
        <f t="shared" ref="B93:B94" si="28">+$B$8</f>
        <v>Total Capital Investment</v>
      </c>
      <c r="C93" s="901">
        <f ca="1">+ROUND(C8,0)</f>
        <v>1760137</v>
      </c>
      <c r="D93" s="883" t="str">
        <f t="shared" ca="1" si="27"/>
        <v>Total Capital Investment = $1,760K</v>
      </c>
      <c r="E93" s="896">
        <f t="shared" ref="E93:S93" si="29">+K$51</f>
        <v>6.744328582053198</v>
      </c>
      <c r="F93" s="896">
        <f t="shared" si="29"/>
        <v>0</v>
      </c>
      <c r="G93" s="896">
        <f t="shared" si="29"/>
        <v>1.0422448166438392E-2</v>
      </c>
      <c r="H93" s="896">
        <f t="shared" si="29"/>
        <v>0.19431433695104025</v>
      </c>
      <c r="I93" s="896">
        <f t="shared" si="29"/>
        <v>0.12198294571119789</v>
      </c>
      <c r="J93" s="896">
        <f t="shared" si="29"/>
        <v>8.3164470953852682E-2</v>
      </c>
      <c r="K93" s="896">
        <f t="shared" si="29"/>
        <v>0</v>
      </c>
      <c r="L93" s="896">
        <f t="shared" si="29"/>
        <v>1.0422448166438392E-2</v>
      </c>
      <c r="M93" s="896">
        <f t="shared" si="29"/>
        <v>0.26998780784474952</v>
      </c>
      <c r="N93" s="896">
        <f t="shared" si="29"/>
        <v>5.9121329147869046</v>
      </c>
      <c r="O93" s="896">
        <f t="shared" si="29"/>
        <v>0</v>
      </c>
      <c r="P93" s="896">
        <f t="shared" si="29"/>
        <v>1.9155093650587734E-2</v>
      </c>
      <c r="Q93" s="896">
        <f t="shared" si="29"/>
        <v>0.10227357824296371</v>
      </c>
      <c r="R93" s="896">
        <f t="shared" si="29"/>
        <v>-1.6003525108757488E-3</v>
      </c>
      <c r="S93" s="896">
        <f t="shared" si="29"/>
        <v>4.2917786422775855E-2</v>
      </c>
      <c r="T93" s="879"/>
      <c r="U93" s="879"/>
      <c r="V93" s="879"/>
      <c r="W93" s="879"/>
      <c r="X93" s="879"/>
      <c r="Y93" s="879"/>
      <c r="Z93" s="879"/>
      <c r="AA93" s="879"/>
      <c r="AB93" s="879"/>
      <c r="AC93" s="879"/>
      <c r="AD93" s="879"/>
      <c r="AE93" s="879"/>
      <c r="AF93" s="879"/>
      <c r="AG93" s="879"/>
      <c r="AH93" s="879"/>
      <c r="AI93" s="879"/>
      <c r="AJ93" s="879"/>
      <c r="AK93" s="879"/>
      <c r="AL93" s="879"/>
      <c r="AM93" s="879"/>
      <c r="AN93" s="879"/>
      <c r="AO93" s="879"/>
      <c r="AP93" s="879"/>
      <c r="AQ93" s="879"/>
      <c r="AR93" s="879"/>
      <c r="AS93" s="879"/>
      <c r="AT93" s="879"/>
      <c r="AU93" s="879"/>
      <c r="AV93" s="879"/>
      <c r="AW93" s="879"/>
      <c r="AX93" s="879"/>
      <c r="AY93" s="879"/>
      <c r="AZ93" s="879"/>
      <c r="BA93" s="879"/>
      <c r="BB93" s="879"/>
      <c r="BC93" s="879"/>
      <c r="BD93" s="879"/>
      <c r="BE93" s="879"/>
      <c r="BF93" s="879"/>
      <c r="BG93" s="879"/>
      <c r="BH93" s="879"/>
      <c r="BI93" s="879"/>
      <c r="BJ93" s="879"/>
      <c r="BK93" s="879"/>
      <c r="BL93" s="879"/>
      <c r="BM93" s="879"/>
      <c r="BN93" s="879"/>
      <c r="BO93" s="879"/>
      <c r="BP93" s="879"/>
      <c r="BQ93" s="879"/>
      <c r="BR93" s="879"/>
      <c r="BS93" s="879"/>
      <c r="BT93" s="879"/>
      <c r="BU93" s="879"/>
    </row>
    <row r="94" spans="1:73" x14ac:dyDescent="0.25">
      <c r="A94" s="879"/>
      <c r="B94" s="883" t="str">
        <f t="shared" si="28"/>
        <v>Total Capital Investment</v>
      </c>
      <c r="C94" s="901">
        <f ca="1">+ROUND(I8,0)</f>
        <v>1848144</v>
      </c>
      <c r="D94" s="883" t="str">
        <f t="shared" ca="1" si="27"/>
        <v>Total Capital Investment = $1,848K</v>
      </c>
      <c r="E94" s="896">
        <f t="shared" ref="E94:S95" si="30">+K63</f>
        <v>6.7641489567716313</v>
      </c>
      <c r="F94" s="896">
        <f t="shared" si="30"/>
        <v>0</v>
      </c>
      <c r="G94" s="896">
        <f t="shared" si="30"/>
        <v>1.0943570574760312E-2</v>
      </c>
      <c r="H94" s="896">
        <f t="shared" si="30"/>
        <v>0.20403005379859224</v>
      </c>
      <c r="I94" s="896">
        <f t="shared" si="30"/>
        <v>0.12198294571119789</v>
      </c>
      <c r="J94" s="896">
        <f t="shared" si="30"/>
        <v>8.322761884481393E-2</v>
      </c>
      <c r="K94" s="896">
        <f t="shared" si="30"/>
        <v>0</v>
      </c>
      <c r="L94" s="896">
        <f t="shared" si="30"/>
        <v>1.0943570574760312E-2</v>
      </c>
      <c r="M94" s="896">
        <f t="shared" si="30"/>
        <v>0.27470109964042666</v>
      </c>
      <c r="N94" s="896">
        <f t="shared" si="30"/>
        <v>5.9121329147869046</v>
      </c>
      <c r="O94" s="896">
        <f t="shared" si="30"/>
        <v>0</v>
      </c>
      <c r="P94" s="896">
        <f t="shared" si="30"/>
        <v>1.9155093650587734E-2</v>
      </c>
      <c r="Q94" s="896">
        <f t="shared" si="30"/>
        <v>0.1073872571551119</v>
      </c>
      <c r="R94" s="896">
        <f t="shared" si="30"/>
        <v>-3.5317025599214246E-3</v>
      </c>
      <c r="S94" s="896">
        <f t="shared" si="30"/>
        <v>4.5063675743914657E-2</v>
      </c>
      <c r="T94" s="879"/>
      <c r="U94" s="879"/>
      <c r="V94" s="879"/>
      <c r="W94" s="879"/>
      <c r="X94" s="879"/>
      <c r="Y94" s="879"/>
      <c r="Z94" s="879"/>
      <c r="AA94" s="879"/>
      <c r="AB94" s="879"/>
      <c r="AC94" s="879"/>
      <c r="AD94" s="879"/>
      <c r="AE94" s="879"/>
      <c r="AF94" s="879"/>
      <c r="AG94" s="879"/>
      <c r="AH94" s="879"/>
      <c r="AI94" s="879"/>
      <c r="AJ94" s="879"/>
      <c r="AK94" s="879"/>
      <c r="AL94" s="879"/>
      <c r="AM94" s="879"/>
      <c r="AN94" s="879"/>
      <c r="AO94" s="879"/>
      <c r="AP94" s="879"/>
      <c r="AQ94" s="879"/>
      <c r="AR94" s="879"/>
      <c r="AS94" s="879"/>
      <c r="AT94" s="879"/>
      <c r="AU94" s="879"/>
      <c r="AV94" s="879"/>
      <c r="AW94" s="879"/>
      <c r="AX94" s="879"/>
      <c r="AY94" s="879"/>
      <c r="AZ94" s="879"/>
      <c r="BA94" s="879"/>
      <c r="BB94" s="879"/>
      <c r="BC94" s="879"/>
      <c r="BD94" s="879"/>
      <c r="BE94" s="879"/>
      <c r="BF94" s="879"/>
      <c r="BG94" s="879"/>
      <c r="BH94" s="879"/>
      <c r="BI94" s="879"/>
      <c r="BJ94" s="879"/>
      <c r="BK94" s="879"/>
      <c r="BL94" s="879"/>
      <c r="BM94" s="879"/>
      <c r="BN94" s="879"/>
      <c r="BO94" s="879"/>
      <c r="BP94" s="879"/>
      <c r="BQ94" s="879"/>
      <c r="BR94" s="879"/>
      <c r="BS94" s="879"/>
      <c r="BT94" s="879"/>
      <c r="BU94" s="879"/>
    </row>
    <row r="95" spans="1:73" x14ac:dyDescent="0.25">
      <c r="A95" s="879"/>
      <c r="B95" s="883" t="str">
        <f>+$B$9</f>
        <v>Total Fixed Operating Cost</v>
      </c>
      <c r="C95" s="901">
        <f ca="1">+ROUND(H9,0)</f>
        <v>95753</v>
      </c>
      <c r="D95" s="883" t="str">
        <f t="shared" ca="1" si="27"/>
        <v>Total Fixed Operating Cost = $0,096K</v>
      </c>
      <c r="E95" s="896">
        <f t="shared" si="30"/>
        <v>6.7305856385198117</v>
      </c>
      <c r="F95" s="896">
        <f t="shared" si="30"/>
        <v>0</v>
      </c>
      <c r="G95" s="896">
        <f t="shared" si="30"/>
        <v>1.0422448166438392E-2</v>
      </c>
      <c r="H95" s="896">
        <f t="shared" si="30"/>
        <v>0.19431433695104025</v>
      </c>
      <c r="I95" s="896">
        <f t="shared" si="30"/>
        <v>0.12198294571119789</v>
      </c>
      <c r="J95" s="896">
        <f t="shared" si="30"/>
        <v>8.2983608391234712E-2</v>
      </c>
      <c r="K95" s="896">
        <f t="shared" si="30"/>
        <v>0</v>
      </c>
      <c r="L95" s="896">
        <f t="shared" si="30"/>
        <v>1.0422448166438392E-2</v>
      </c>
      <c r="M95" s="896">
        <f t="shared" si="30"/>
        <v>0.25648841745251211</v>
      </c>
      <c r="N95" s="896">
        <f t="shared" si="30"/>
        <v>5.9121329147869046</v>
      </c>
      <c r="O95" s="896">
        <f t="shared" si="30"/>
        <v>0</v>
      </c>
      <c r="P95" s="896">
        <f t="shared" si="30"/>
        <v>1.9155093650587734E-2</v>
      </c>
      <c r="Q95" s="896">
        <f t="shared" si="30"/>
        <v>0.10227357824296371</v>
      </c>
      <c r="R95" s="896">
        <f t="shared" si="30"/>
        <v>-1.6630430894075646E-3</v>
      </c>
      <c r="S95" s="896">
        <f t="shared" si="30"/>
        <v>4.2917786422775855E-2</v>
      </c>
      <c r="T95" s="879"/>
      <c r="U95" s="879"/>
      <c r="V95" s="879"/>
      <c r="W95" s="879"/>
      <c r="X95" s="879"/>
      <c r="Y95" s="879"/>
      <c r="Z95" s="879"/>
      <c r="AA95" s="879"/>
      <c r="AB95" s="879"/>
      <c r="AC95" s="879"/>
      <c r="AD95" s="879"/>
      <c r="AE95" s="879"/>
      <c r="AF95" s="879"/>
      <c r="AG95" s="879"/>
      <c r="AH95" s="879"/>
      <c r="AI95" s="879"/>
      <c r="AJ95" s="879"/>
      <c r="AK95" s="879"/>
      <c r="AL95" s="879"/>
      <c r="AM95" s="879"/>
      <c r="AN95" s="879"/>
      <c r="AO95" s="879"/>
      <c r="AP95" s="879"/>
      <c r="AQ95" s="879"/>
      <c r="AR95" s="879"/>
      <c r="AS95" s="879"/>
      <c r="AT95" s="879"/>
      <c r="AU95" s="879"/>
      <c r="AV95" s="879"/>
      <c r="AW95" s="879"/>
      <c r="AX95" s="879"/>
      <c r="AY95" s="879"/>
      <c r="AZ95" s="879"/>
      <c r="BA95" s="879"/>
      <c r="BB95" s="879"/>
      <c r="BC95" s="879"/>
      <c r="BD95" s="879"/>
      <c r="BE95" s="879"/>
      <c r="BF95" s="879"/>
      <c r="BG95" s="879"/>
      <c r="BH95" s="879"/>
      <c r="BI95" s="879"/>
      <c r="BJ95" s="879"/>
      <c r="BK95" s="879"/>
      <c r="BL95" s="879"/>
      <c r="BM95" s="879"/>
      <c r="BN95" s="879"/>
      <c r="BO95" s="879"/>
      <c r="BP95" s="879"/>
      <c r="BQ95" s="879"/>
      <c r="BR95" s="879"/>
      <c r="BS95" s="879"/>
      <c r="BT95" s="879"/>
      <c r="BU95" s="879"/>
    </row>
    <row r="96" spans="1:73" x14ac:dyDescent="0.25">
      <c r="A96" s="879"/>
      <c r="B96" s="883" t="str">
        <f t="shared" ref="B96:B97" si="31">+$B$9</f>
        <v>Total Fixed Operating Cost</v>
      </c>
      <c r="C96" s="901">
        <f ca="1">+ROUND(C9,0)</f>
        <v>100793</v>
      </c>
      <c r="D96" s="883" t="str">
        <f t="shared" ca="1" si="27"/>
        <v>Total Fixed Operating Cost = $0,101K</v>
      </c>
      <c r="E96" s="896">
        <f t="shared" ref="E96:S96" si="32">+K$51</f>
        <v>6.744328582053198</v>
      </c>
      <c r="F96" s="896">
        <f t="shared" si="32"/>
        <v>0</v>
      </c>
      <c r="G96" s="896">
        <f t="shared" si="32"/>
        <v>1.0422448166438392E-2</v>
      </c>
      <c r="H96" s="896">
        <f t="shared" si="32"/>
        <v>0.19431433695104025</v>
      </c>
      <c r="I96" s="896">
        <f t="shared" si="32"/>
        <v>0.12198294571119789</v>
      </c>
      <c r="J96" s="896">
        <f t="shared" si="32"/>
        <v>8.3164470953852682E-2</v>
      </c>
      <c r="K96" s="896">
        <f t="shared" si="32"/>
        <v>0</v>
      </c>
      <c r="L96" s="896">
        <f t="shared" si="32"/>
        <v>1.0422448166438392E-2</v>
      </c>
      <c r="M96" s="896">
        <f t="shared" si="32"/>
        <v>0.26998780784474952</v>
      </c>
      <c r="N96" s="896">
        <f t="shared" si="32"/>
        <v>5.9121329147869046</v>
      </c>
      <c r="O96" s="896">
        <f t="shared" si="32"/>
        <v>0</v>
      </c>
      <c r="P96" s="896">
        <f t="shared" si="32"/>
        <v>1.9155093650587734E-2</v>
      </c>
      <c r="Q96" s="896">
        <f t="shared" si="32"/>
        <v>0.10227357824296371</v>
      </c>
      <c r="R96" s="896">
        <f t="shared" si="32"/>
        <v>-1.6003525108757488E-3</v>
      </c>
      <c r="S96" s="896">
        <f t="shared" si="32"/>
        <v>4.2917786422775855E-2</v>
      </c>
      <c r="T96" s="879"/>
      <c r="U96" s="879"/>
      <c r="V96" s="879"/>
      <c r="W96" s="879"/>
      <c r="X96" s="879"/>
      <c r="Y96" s="879"/>
      <c r="Z96" s="879"/>
      <c r="AA96" s="879"/>
      <c r="AB96" s="879"/>
      <c r="AC96" s="879"/>
      <c r="AD96" s="879"/>
      <c r="AE96" s="879"/>
      <c r="AF96" s="879"/>
      <c r="AG96" s="879"/>
      <c r="AH96" s="879"/>
      <c r="AI96" s="879"/>
      <c r="AJ96" s="879"/>
      <c r="AK96" s="879"/>
      <c r="AL96" s="879"/>
      <c r="AM96" s="879"/>
      <c r="AN96" s="879"/>
      <c r="AO96" s="879"/>
      <c r="AP96" s="879"/>
      <c r="AQ96" s="879"/>
      <c r="AR96" s="879"/>
      <c r="AS96" s="879"/>
      <c r="AT96" s="879"/>
      <c r="AU96" s="879"/>
      <c r="AV96" s="879"/>
      <c r="AW96" s="879"/>
      <c r="AX96" s="879"/>
      <c r="AY96" s="879"/>
      <c r="AZ96" s="879"/>
      <c r="BA96" s="879"/>
      <c r="BB96" s="879"/>
      <c r="BC96" s="879"/>
      <c r="BD96" s="879"/>
      <c r="BE96" s="879"/>
      <c r="BF96" s="879"/>
      <c r="BG96" s="879"/>
      <c r="BH96" s="879"/>
      <c r="BI96" s="879"/>
      <c r="BJ96" s="879"/>
      <c r="BK96" s="879"/>
      <c r="BL96" s="879"/>
      <c r="BM96" s="879"/>
      <c r="BN96" s="879"/>
      <c r="BO96" s="879"/>
      <c r="BP96" s="879"/>
      <c r="BQ96" s="879"/>
      <c r="BR96" s="879"/>
      <c r="BS96" s="879"/>
      <c r="BT96" s="879"/>
      <c r="BU96" s="879"/>
    </row>
    <row r="97" spans="1:73" x14ac:dyDescent="0.25">
      <c r="A97" s="879"/>
      <c r="B97" s="883" t="str">
        <f t="shared" si="31"/>
        <v>Total Fixed Operating Cost</v>
      </c>
      <c r="C97" s="901">
        <f ca="1">+ROUND(I9,0)</f>
        <v>105833</v>
      </c>
      <c r="D97" s="883" t="str">
        <f t="shared" ca="1" si="27"/>
        <v>Total Fixed Operating Cost = $0,106K</v>
      </c>
      <c r="E97" s="896">
        <f t="shared" ref="E97:S97" si="33">+K65</f>
        <v>6.7580715255865851</v>
      </c>
      <c r="F97" s="896">
        <f t="shared" si="33"/>
        <v>0</v>
      </c>
      <c r="G97" s="896">
        <f t="shared" si="33"/>
        <v>1.0422448166438392E-2</v>
      </c>
      <c r="H97" s="896">
        <f t="shared" si="33"/>
        <v>0.19431433695104025</v>
      </c>
      <c r="I97" s="896">
        <f t="shared" si="33"/>
        <v>0.12198294571119789</v>
      </c>
      <c r="J97" s="896">
        <f t="shared" si="33"/>
        <v>8.3345333516470665E-2</v>
      </c>
      <c r="K97" s="896">
        <f t="shared" si="33"/>
        <v>0</v>
      </c>
      <c r="L97" s="896">
        <f t="shared" si="33"/>
        <v>1.0422448166438392E-2</v>
      </c>
      <c r="M97" s="896">
        <f t="shared" si="33"/>
        <v>0.28348719823698704</v>
      </c>
      <c r="N97" s="896">
        <f t="shared" si="33"/>
        <v>5.9121329147869046</v>
      </c>
      <c r="O97" s="896">
        <f t="shared" si="33"/>
        <v>0</v>
      </c>
      <c r="P97" s="896">
        <f t="shared" si="33"/>
        <v>1.9155093650587734E-2</v>
      </c>
      <c r="Q97" s="896">
        <f t="shared" si="33"/>
        <v>0.10227357824296371</v>
      </c>
      <c r="R97" s="896">
        <f t="shared" si="33"/>
        <v>-1.537661932343935E-3</v>
      </c>
      <c r="S97" s="896">
        <f t="shared" si="33"/>
        <v>4.2917786422775855E-2</v>
      </c>
      <c r="T97" s="879"/>
      <c r="U97" s="879"/>
      <c r="V97" s="879"/>
      <c r="W97" s="879"/>
      <c r="X97" s="879"/>
      <c r="Y97" s="879"/>
      <c r="Z97" s="879"/>
      <c r="AA97" s="879"/>
      <c r="AB97" s="879"/>
      <c r="AC97" s="879"/>
      <c r="AD97" s="879"/>
      <c r="AE97" s="879"/>
      <c r="AF97" s="879"/>
      <c r="AG97" s="879"/>
      <c r="AH97" s="879"/>
      <c r="AI97" s="879"/>
      <c r="AJ97" s="879"/>
      <c r="AK97" s="879"/>
      <c r="AL97" s="879"/>
      <c r="AM97" s="879"/>
      <c r="AN97" s="879"/>
      <c r="AO97" s="879"/>
      <c r="AP97" s="879"/>
      <c r="AQ97" s="879"/>
      <c r="AR97" s="879"/>
      <c r="AS97" s="879"/>
      <c r="AT97" s="879"/>
      <c r="AU97" s="879"/>
      <c r="AV97" s="879"/>
      <c r="AW97" s="879"/>
      <c r="AX97" s="879"/>
      <c r="AY97" s="879"/>
      <c r="AZ97" s="879"/>
      <c r="BA97" s="879"/>
      <c r="BB97" s="879"/>
      <c r="BC97" s="879"/>
      <c r="BD97" s="879"/>
      <c r="BE97" s="879"/>
      <c r="BF97" s="879"/>
      <c r="BG97" s="879"/>
      <c r="BH97" s="879"/>
      <c r="BI97" s="879"/>
      <c r="BJ97" s="879"/>
      <c r="BK97" s="879"/>
      <c r="BL97" s="879"/>
      <c r="BM97" s="879"/>
      <c r="BN97" s="879"/>
      <c r="BO97" s="879"/>
      <c r="BP97" s="879"/>
      <c r="BQ97" s="879"/>
      <c r="BR97" s="879"/>
      <c r="BS97" s="879"/>
      <c r="BT97" s="879"/>
      <c r="BU97" s="879"/>
    </row>
    <row r="98" spans="1:73" x14ac:dyDescent="0.25">
      <c r="A98" s="879"/>
      <c r="B98" s="879"/>
      <c r="C98" s="879"/>
      <c r="D98" s="879"/>
      <c r="E98" s="879"/>
      <c r="F98" s="879"/>
      <c r="G98" s="879"/>
      <c r="H98" s="879"/>
      <c r="I98" s="879"/>
      <c r="J98" s="879"/>
      <c r="K98" s="879"/>
      <c r="L98" s="879"/>
      <c r="M98" s="879"/>
      <c r="N98" s="879"/>
      <c r="O98" s="879"/>
      <c r="P98" s="879"/>
      <c r="Q98" s="879"/>
      <c r="R98" s="879"/>
      <c r="S98" s="879"/>
      <c r="T98" s="879"/>
      <c r="U98" s="879"/>
      <c r="V98" s="879"/>
      <c r="W98" s="879"/>
      <c r="X98" s="879"/>
      <c r="Y98" s="879"/>
      <c r="Z98" s="879"/>
      <c r="AA98" s="879"/>
      <c r="AB98" s="879"/>
      <c r="AC98" s="879"/>
      <c r="AD98" s="879"/>
      <c r="AE98" s="879"/>
      <c r="AF98" s="879"/>
      <c r="AG98" s="879"/>
      <c r="AH98" s="879"/>
      <c r="AI98" s="879"/>
      <c r="AJ98" s="879"/>
      <c r="AK98" s="879"/>
      <c r="AL98" s="879"/>
      <c r="AM98" s="879"/>
      <c r="AN98" s="879"/>
      <c r="AO98" s="879"/>
      <c r="AP98" s="879"/>
      <c r="AQ98" s="879"/>
      <c r="AR98" s="879"/>
      <c r="AS98" s="879"/>
      <c r="AT98" s="879"/>
      <c r="AU98" s="879"/>
      <c r="AV98" s="879"/>
      <c r="AW98" s="879"/>
      <c r="AX98" s="879"/>
      <c r="AY98" s="879"/>
      <c r="AZ98" s="879"/>
      <c r="BA98" s="879"/>
      <c r="BB98" s="879"/>
      <c r="BC98" s="879"/>
      <c r="BD98" s="879"/>
      <c r="BE98" s="879"/>
      <c r="BF98" s="879"/>
      <c r="BG98" s="879"/>
      <c r="BH98" s="879"/>
      <c r="BI98" s="879"/>
      <c r="BJ98" s="879"/>
      <c r="BK98" s="879"/>
      <c r="BL98" s="879"/>
      <c r="BM98" s="879"/>
      <c r="BN98" s="879"/>
      <c r="BO98" s="879"/>
      <c r="BP98" s="879"/>
      <c r="BQ98" s="879"/>
      <c r="BR98" s="879"/>
      <c r="BS98" s="879"/>
      <c r="BT98" s="879"/>
      <c r="BU98" s="879"/>
    </row>
    <row r="99" spans="1:73" x14ac:dyDescent="0.25">
      <c r="A99" s="879"/>
      <c r="B99" s="879"/>
      <c r="C99" s="879"/>
      <c r="D99" s="879"/>
      <c r="E99" s="879"/>
      <c r="F99" s="879"/>
      <c r="G99" s="879"/>
      <c r="H99" s="879"/>
      <c r="I99" s="879"/>
      <c r="J99" s="879"/>
      <c r="K99" s="879"/>
      <c r="L99" s="879"/>
      <c r="M99" s="879"/>
      <c r="N99" s="879"/>
      <c r="O99" s="879"/>
      <c r="P99" s="879"/>
      <c r="Q99" s="879"/>
      <c r="R99" s="879"/>
      <c r="S99" s="879"/>
      <c r="T99" s="879"/>
      <c r="U99" s="879"/>
      <c r="V99" s="879"/>
      <c r="W99" s="879"/>
      <c r="X99" s="879"/>
      <c r="Y99" s="879"/>
      <c r="Z99" s="879"/>
      <c r="AA99" s="879"/>
      <c r="AB99" s="879"/>
      <c r="AC99" s="879"/>
      <c r="AD99" s="879"/>
      <c r="AE99" s="879"/>
      <c r="AF99" s="879"/>
      <c r="AG99" s="879"/>
      <c r="AH99" s="879"/>
      <c r="AI99" s="879"/>
      <c r="AJ99" s="879"/>
      <c r="AK99" s="879"/>
      <c r="AL99" s="879"/>
      <c r="AM99" s="879"/>
      <c r="AN99" s="879"/>
      <c r="AO99" s="879"/>
      <c r="AP99" s="879"/>
      <c r="AQ99" s="879"/>
      <c r="AR99" s="879"/>
      <c r="AS99" s="879"/>
      <c r="AT99" s="879"/>
      <c r="AU99" s="879"/>
      <c r="AV99" s="879"/>
      <c r="AW99" s="879"/>
      <c r="AX99" s="879"/>
      <c r="AY99" s="879"/>
      <c r="AZ99" s="879"/>
      <c r="BA99" s="879"/>
      <c r="BB99" s="879"/>
      <c r="BC99" s="879"/>
      <c r="BD99" s="879"/>
      <c r="BE99" s="879"/>
      <c r="BF99" s="879"/>
      <c r="BG99" s="879"/>
      <c r="BH99" s="879"/>
      <c r="BI99" s="879"/>
      <c r="BJ99" s="879"/>
      <c r="BK99" s="879"/>
      <c r="BL99" s="879"/>
      <c r="BM99" s="879"/>
      <c r="BN99" s="879"/>
      <c r="BO99" s="879"/>
      <c r="BP99" s="879"/>
      <c r="BQ99" s="879"/>
      <c r="BR99" s="879"/>
      <c r="BS99" s="879"/>
      <c r="BT99" s="879"/>
      <c r="BU99" s="879"/>
    </row>
    <row r="100" spans="1:73" ht="39.6" x14ac:dyDescent="0.25">
      <c r="A100" s="879"/>
      <c r="B100" s="881" t="s">
        <v>1129</v>
      </c>
      <c r="C100" s="902" t="s">
        <v>1128</v>
      </c>
      <c r="D100" s="1" t="s">
        <v>1138</v>
      </c>
      <c r="E100" s="881" t="s">
        <v>1134</v>
      </c>
      <c r="F100" s="881" t="s">
        <v>1135</v>
      </c>
      <c r="G100" s="881" t="s">
        <v>1136</v>
      </c>
      <c r="H100" s="881" t="s">
        <v>1130</v>
      </c>
      <c r="I100" s="881" t="s">
        <v>1131</v>
      </c>
      <c r="J100" s="881" t="s">
        <v>1132</v>
      </c>
      <c r="K100" s="879"/>
      <c r="L100" s="881" t="s">
        <v>1137</v>
      </c>
      <c r="M100" s="890" t="s">
        <v>1140</v>
      </c>
      <c r="N100" s="890" t="s">
        <v>1123</v>
      </c>
      <c r="O100" s="879"/>
      <c r="P100" s="879"/>
      <c r="Q100" s="879"/>
      <c r="R100" s="879"/>
      <c r="S100" s="879"/>
      <c r="T100" s="879"/>
      <c r="U100" s="879"/>
      <c r="V100" s="879"/>
      <c r="W100" s="879"/>
      <c r="X100" s="879"/>
      <c r="Y100" s="879"/>
      <c r="Z100" s="879"/>
      <c r="AA100" s="879"/>
      <c r="AB100" s="879"/>
      <c r="AC100" s="879"/>
      <c r="AD100" s="879"/>
      <c r="AE100" s="879"/>
      <c r="AF100" s="879"/>
      <c r="AG100" s="879"/>
      <c r="AH100" s="879"/>
      <c r="AI100" s="879"/>
      <c r="AJ100" s="879"/>
      <c r="AK100" s="879"/>
      <c r="AL100" s="879"/>
      <c r="AM100" s="879"/>
      <c r="AN100" s="879"/>
      <c r="AO100" s="879"/>
      <c r="AP100" s="879"/>
      <c r="AQ100" s="879"/>
      <c r="AR100" s="879"/>
      <c r="AS100" s="879"/>
      <c r="AT100" s="879"/>
      <c r="AU100" s="879"/>
      <c r="AV100" s="879"/>
      <c r="AW100" s="879"/>
      <c r="AX100" s="879"/>
      <c r="AY100" s="879"/>
      <c r="AZ100" s="879"/>
      <c r="BA100" s="879"/>
      <c r="BB100" s="879"/>
      <c r="BC100" s="879"/>
      <c r="BD100" s="879"/>
      <c r="BE100" s="879"/>
      <c r="BF100" s="879"/>
      <c r="BG100" s="879"/>
      <c r="BH100" s="879"/>
      <c r="BI100" s="879"/>
      <c r="BJ100" s="879"/>
      <c r="BK100" s="879"/>
      <c r="BL100" s="879"/>
      <c r="BM100" s="879"/>
      <c r="BN100" s="879"/>
      <c r="BO100" s="879"/>
      <c r="BP100" s="879"/>
      <c r="BQ100" s="879"/>
      <c r="BR100" s="879"/>
      <c r="BS100" s="879"/>
      <c r="BT100" s="879"/>
      <c r="BU100" s="879"/>
    </row>
    <row r="101" spans="1:73" x14ac:dyDescent="0.25">
      <c r="A101" s="879"/>
      <c r="B101" s="879"/>
      <c r="C101" s="903">
        <v>1</v>
      </c>
      <c r="D101" s="883" t="str">
        <f t="shared" ref="D101:D107" ca="1" si="34">OFFSET(L$100,MATCH($C101,$N$101:$N$107,0),0)</f>
        <v>Operating Capacity Factor
(90%, 86%, 82%)</v>
      </c>
      <c r="E101" s="977">
        <f t="shared" ref="E101:E107" ca="1" si="35">OFFSET(E$76,MATCH($C101,$N$101:$N$107,0)*3-2,0)</f>
        <v>6.7104490271023414</v>
      </c>
      <c r="F101" s="977">
        <f t="shared" ref="F101:F107" si="36">+$K$51</f>
        <v>6.744328582053198</v>
      </c>
      <c r="G101" s="977">
        <f t="shared" ref="G101:G107" ca="1" si="37">OFFSET(E$76,MATCH($C101,$N$101:$N$107,0)*3,0)</f>
        <v>6.7817744059462539</v>
      </c>
      <c r="H101" s="883">
        <f ca="1">+E101</f>
        <v>6.7104490271023414</v>
      </c>
      <c r="I101" s="883">
        <f ca="1">+F101-E101</f>
        <v>3.3879554950856594E-2</v>
      </c>
      <c r="J101" s="883">
        <f ca="1">+G101-F101</f>
        <v>3.7445823893055952E-2</v>
      </c>
      <c r="K101" s="879"/>
      <c r="L101" s="883" t="str">
        <f ca="1">+B3&amp;"
("&amp;TEXT(H3,"0%, ")&amp;TEXT(C3,"0%, ")&amp;TEXT(I3,"0%)")</f>
        <v>Operating Capacity Factor
(90%, 86%, 82%)</v>
      </c>
      <c r="M101" s="893">
        <f>ABS(K52-K53)+0.000000001</f>
        <v>7.1325379843912545E-2</v>
      </c>
      <c r="N101" s="883">
        <f t="shared" ref="N101:N107" si="38">+RANK(M101,$M$101:$M$107)</f>
        <v>1</v>
      </c>
      <c r="O101" s="890"/>
      <c r="P101" s="879"/>
      <c r="Q101" s="879"/>
      <c r="R101" s="879"/>
      <c r="S101" s="879"/>
      <c r="T101" s="879"/>
      <c r="U101" s="879"/>
      <c r="V101" s="879"/>
      <c r="W101" s="879"/>
      <c r="X101" s="879"/>
      <c r="Y101" s="879"/>
      <c r="Z101" s="879"/>
      <c r="AA101" s="879"/>
      <c r="AB101" s="879"/>
      <c r="AC101" s="879"/>
      <c r="AD101" s="879"/>
      <c r="AE101" s="879"/>
      <c r="AF101" s="879"/>
      <c r="AG101" s="879"/>
      <c r="AH101" s="879"/>
      <c r="AI101" s="879"/>
      <c r="AJ101" s="879"/>
      <c r="AK101" s="879"/>
      <c r="AL101" s="879"/>
      <c r="AM101" s="879"/>
      <c r="AN101" s="879"/>
      <c r="AO101" s="879"/>
      <c r="AP101" s="879"/>
      <c r="AQ101" s="879"/>
      <c r="AR101" s="879"/>
      <c r="AS101" s="879"/>
      <c r="AT101" s="879"/>
      <c r="AU101" s="879"/>
      <c r="AV101" s="879"/>
      <c r="AW101" s="879"/>
      <c r="AX101" s="879"/>
      <c r="AY101" s="879"/>
      <c r="AZ101" s="879"/>
      <c r="BA101" s="879"/>
      <c r="BB101" s="879"/>
      <c r="BC101" s="879"/>
      <c r="BD101" s="879"/>
      <c r="BE101" s="879"/>
      <c r="BF101" s="879"/>
      <c r="BG101" s="879"/>
      <c r="BH101" s="879"/>
      <c r="BI101" s="879"/>
      <c r="BJ101" s="879"/>
      <c r="BK101" s="879"/>
      <c r="BL101" s="879"/>
      <c r="BM101" s="879"/>
      <c r="BN101" s="879"/>
      <c r="BO101" s="879"/>
      <c r="BP101" s="879"/>
      <c r="BQ101" s="879"/>
      <c r="BR101" s="879"/>
      <c r="BS101" s="879"/>
      <c r="BT101" s="879"/>
      <c r="BU101" s="879"/>
    </row>
    <row r="102" spans="1:73" x14ac:dyDescent="0.25">
      <c r="A102" s="879"/>
      <c r="B102" s="879"/>
      <c r="C102" s="903">
        <v>2</v>
      </c>
      <c r="D102" s="883" t="str">
        <f t="shared" ca="1" si="34"/>
        <v xml:space="preserve">Total Capital Investment
($1,672K, $1,760K, $1,848K) </v>
      </c>
      <c r="E102" s="977">
        <f t="shared" ca="1" si="35"/>
        <v>6.7245082073347655</v>
      </c>
      <c r="F102" s="977">
        <f t="shared" si="36"/>
        <v>6.744328582053198</v>
      </c>
      <c r="G102" s="977">
        <f t="shared" ca="1" si="37"/>
        <v>6.7641489567716313</v>
      </c>
      <c r="H102" s="883">
        <f t="shared" ref="H102:H107" ca="1" si="39">+E102</f>
        <v>6.7245082073347655</v>
      </c>
      <c r="I102" s="883">
        <f t="shared" ref="I102:I107" ca="1" si="40">+F102-E102</f>
        <v>1.9820374718432454E-2</v>
      </c>
      <c r="J102" s="883">
        <f t="shared" ref="J102:J107" ca="1" si="41">+G102-F102</f>
        <v>1.9820374718433342E-2</v>
      </c>
      <c r="K102" s="879"/>
      <c r="L102" s="883" t="str">
        <f ca="1">+B4&amp;"
("&amp;TEXT(H4,"0,000")&amp;", "&amp;TEXT(C4,"0,000")&amp;", "&amp;TEXT(I4,"0,000")&amp;") "</f>
        <v xml:space="preserve">Plant Design Capacity (kg of H2/day)
(1,575, 1,500, 1,425) </v>
      </c>
      <c r="M102" s="893">
        <f>+ABS(K54-K55)+0.000000002</f>
        <v>1.9143900182944595E-2</v>
      </c>
      <c r="N102" s="883">
        <f t="shared" si="38"/>
        <v>4</v>
      </c>
      <c r="O102" s="890"/>
      <c r="P102" s="879"/>
      <c r="Q102" s="879"/>
      <c r="R102" s="879"/>
      <c r="S102" s="879"/>
      <c r="T102" s="879"/>
      <c r="U102" s="879"/>
      <c r="V102" s="879"/>
      <c r="W102" s="879"/>
      <c r="X102" s="879"/>
      <c r="Y102" s="879"/>
      <c r="Z102" s="879"/>
      <c r="AA102" s="879"/>
      <c r="AB102" s="879"/>
      <c r="AC102" s="879"/>
      <c r="AD102" s="879"/>
      <c r="AE102" s="879"/>
      <c r="AF102" s="879"/>
      <c r="AG102" s="879"/>
      <c r="AH102" s="879"/>
      <c r="AI102" s="879"/>
      <c r="AJ102" s="879"/>
      <c r="AK102" s="879"/>
      <c r="AL102" s="879"/>
      <c r="AM102" s="879"/>
      <c r="AN102" s="879"/>
      <c r="AO102" s="879"/>
      <c r="AP102" s="879"/>
      <c r="AQ102" s="879"/>
      <c r="AR102" s="879"/>
      <c r="AS102" s="879"/>
      <c r="AT102" s="879"/>
      <c r="AU102" s="879"/>
      <c r="AV102" s="879"/>
      <c r="AW102" s="879"/>
      <c r="AX102" s="879"/>
      <c r="AY102" s="879"/>
      <c r="AZ102" s="879"/>
      <c r="BA102" s="879"/>
      <c r="BB102" s="879"/>
      <c r="BC102" s="879"/>
      <c r="BD102" s="879"/>
      <c r="BE102" s="879"/>
      <c r="BF102" s="879"/>
      <c r="BG102" s="879"/>
      <c r="BH102" s="879"/>
      <c r="BI102" s="879"/>
      <c r="BJ102" s="879"/>
      <c r="BK102" s="879"/>
      <c r="BL102" s="879"/>
      <c r="BM102" s="879"/>
      <c r="BN102" s="879"/>
      <c r="BO102" s="879"/>
      <c r="BP102" s="879"/>
      <c r="BQ102" s="879"/>
      <c r="BR102" s="879"/>
      <c r="BS102" s="879"/>
      <c r="BT102" s="879"/>
      <c r="BU102" s="879"/>
    </row>
    <row r="103" spans="1:73" x14ac:dyDescent="0.25">
      <c r="A103" s="879"/>
      <c r="B103" s="879"/>
      <c r="C103" s="903">
        <v>3</v>
      </c>
      <c r="D103" s="883" t="str">
        <f t="shared" ca="1" si="34"/>
        <v xml:space="preserve">Total Fixed Operating Cost
($0,096K, $0,101K, $0,106K) </v>
      </c>
      <c r="E103" s="977">
        <f t="shared" ca="1" si="35"/>
        <v>6.7305856385198117</v>
      </c>
      <c r="F103" s="977">
        <f t="shared" si="36"/>
        <v>6.744328582053198</v>
      </c>
      <c r="G103" s="977">
        <f t="shared" ca="1" si="37"/>
        <v>6.7580715255865851</v>
      </c>
      <c r="H103" s="883">
        <f t="shared" ca="1" si="39"/>
        <v>6.7305856385198117</v>
      </c>
      <c r="I103" s="883">
        <f t="shared" ca="1" si="40"/>
        <v>1.3742943533386232E-2</v>
      </c>
      <c r="J103" s="883">
        <f t="shared" ca="1" si="41"/>
        <v>1.374294353338712E-2</v>
      </c>
      <c r="K103" s="879"/>
      <c r="L103" s="883" t="str">
        <f ca="1">+B5&amp;"
("&amp;TEXT(H5,"0%, ")&amp;TEXT(C5,"0%, ")&amp;TEXT(I5,"0%)")</f>
        <v>After-tax Real IRR
(8%, 8%, 8%)</v>
      </c>
      <c r="M103" s="893">
        <f>+ABS(K56-K57)+0.000000003</f>
        <v>8.9967651346342953E-3</v>
      </c>
      <c r="N103" s="883">
        <f t="shared" si="38"/>
        <v>5</v>
      </c>
      <c r="O103" s="890"/>
      <c r="P103" s="879"/>
      <c r="Q103" s="879"/>
      <c r="R103" s="879"/>
      <c r="S103" s="879"/>
      <c r="T103" s="879"/>
      <c r="U103" s="879"/>
      <c r="V103" s="879"/>
      <c r="W103" s="879"/>
      <c r="X103" s="879"/>
      <c r="Y103" s="879"/>
      <c r="Z103" s="879"/>
      <c r="AA103" s="879"/>
      <c r="AB103" s="879"/>
      <c r="AC103" s="879"/>
      <c r="AD103" s="879"/>
      <c r="AE103" s="879"/>
      <c r="AF103" s="879"/>
      <c r="AG103" s="879"/>
      <c r="AH103" s="879"/>
      <c r="AI103" s="879"/>
      <c r="AJ103" s="879"/>
      <c r="AK103" s="879"/>
      <c r="AL103" s="879"/>
      <c r="AM103" s="879"/>
      <c r="AN103" s="879"/>
      <c r="AO103" s="879"/>
      <c r="AP103" s="879"/>
      <c r="AQ103" s="879"/>
      <c r="AR103" s="879"/>
      <c r="AS103" s="879"/>
      <c r="AT103" s="879"/>
      <c r="AU103" s="879"/>
      <c r="AV103" s="879"/>
      <c r="AW103" s="879"/>
      <c r="AX103" s="879"/>
      <c r="AY103" s="879"/>
      <c r="AZ103" s="879"/>
      <c r="BA103" s="879"/>
      <c r="BB103" s="879"/>
      <c r="BC103" s="879"/>
      <c r="BD103" s="879"/>
      <c r="BE103" s="879"/>
      <c r="BF103" s="879"/>
      <c r="BG103" s="879"/>
      <c r="BH103" s="879"/>
      <c r="BI103" s="879"/>
      <c r="BJ103" s="879"/>
      <c r="BK103" s="879"/>
      <c r="BL103" s="879"/>
      <c r="BM103" s="879"/>
      <c r="BN103" s="879"/>
      <c r="BO103" s="879"/>
      <c r="BP103" s="879"/>
      <c r="BQ103" s="879"/>
      <c r="BR103" s="879"/>
      <c r="BS103" s="879"/>
      <c r="BT103" s="879"/>
      <c r="BU103" s="879"/>
    </row>
    <row r="104" spans="1:73" x14ac:dyDescent="0.25">
      <c r="A104" s="879"/>
      <c r="B104" s="879"/>
      <c r="C104" s="903">
        <v>4</v>
      </c>
      <c r="D104" s="883" t="str">
        <f t="shared" ca="1" si="34"/>
        <v xml:space="preserve">Plant Design Capacity (kg of H2/day)
(1,575, 1,500, 1,425) </v>
      </c>
      <c r="E104" s="977">
        <f t="shared" ca="1" si="35"/>
        <v>6.7351314435808316</v>
      </c>
      <c r="F104" s="977">
        <f t="shared" si="36"/>
        <v>6.744328582053198</v>
      </c>
      <c r="G104" s="977">
        <f t="shared" ca="1" si="37"/>
        <v>6.7542753417637762</v>
      </c>
      <c r="H104" s="883">
        <f t="shared" ca="1" si="39"/>
        <v>6.7351314435808316</v>
      </c>
      <c r="I104" s="883">
        <f t="shared" ca="1" si="40"/>
        <v>9.1971384723663618E-3</v>
      </c>
      <c r="J104" s="883">
        <f t="shared" ca="1" si="41"/>
        <v>9.9467597105782346E-3</v>
      </c>
      <c r="K104" s="879"/>
      <c r="L104" s="883" t="str">
        <f>+B6&amp;"
("&amp;TEXT(H6,"0%, ")&amp;TEXT(C6,"0%, ")&amp;TEXT(I6,"0%)")</f>
        <v>Feedstock Consumption (% of baseline)
(95%, 100%, 105%)</v>
      </c>
      <c r="M104" s="893">
        <f>+ABS(K58-K59)+0.000000004</f>
        <v>5.5016404741788944E-3</v>
      </c>
      <c r="N104" s="883">
        <f t="shared" si="38"/>
        <v>6</v>
      </c>
      <c r="O104" s="890"/>
      <c r="P104" s="879"/>
      <c r="Q104" s="879"/>
      <c r="R104" s="879"/>
      <c r="S104" s="879"/>
      <c r="T104" s="879"/>
      <c r="U104" s="879"/>
      <c r="V104" s="879"/>
      <c r="W104" s="879"/>
      <c r="X104" s="879"/>
      <c r="Y104" s="879"/>
      <c r="Z104" s="879"/>
      <c r="AA104" s="879"/>
      <c r="AB104" s="879"/>
      <c r="AC104" s="879"/>
      <c r="AD104" s="879"/>
      <c r="AE104" s="879"/>
      <c r="AF104" s="879"/>
      <c r="AG104" s="879"/>
      <c r="AH104" s="879"/>
      <c r="AI104" s="879"/>
      <c r="AJ104" s="879"/>
      <c r="AK104" s="879"/>
      <c r="AL104" s="879"/>
      <c r="AM104" s="879"/>
      <c r="AN104" s="879"/>
      <c r="AO104" s="879"/>
      <c r="AP104" s="879"/>
      <c r="AQ104" s="879"/>
      <c r="AR104" s="879"/>
      <c r="AS104" s="879"/>
      <c r="AT104" s="879"/>
      <c r="AU104" s="879"/>
      <c r="AV104" s="879"/>
      <c r="AW104" s="879"/>
      <c r="AX104" s="879"/>
      <c r="AY104" s="879"/>
      <c r="AZ104" s="879"/>
      <c r="BA104" s="879"/>
      <c r="BB104" s="879"/>
      <c r="BC104" s="879"/>
      <c r="BD104" s="879"/>
      <c r="BE104" s="879"/>
      <c r="BF104" s="879"/>
      <c r="BG104" s="879"/>
      <c r="BH104" s="879"/>
      <c r="BI104" s="879"/>
      <c r="BJ104" s="879"/>
      <c r="BK104" s="879"/>
      <c r="BL104" s="879"/>
      <c r="BM104" s="879"/>
      <c r="BN104" s="879"/>
      <c r="BO104" s="879"/>
      <c r="BP104" s="879"/>
      <c r="BQ104" s="879"/>
      <c r="BR104" s="879"/>
      <c r="BS104" s="879"/>
      <c r="BT104" s="879"/>
      <c r="BU104" s="879"/>
    </row>
    <row r="105" spans="1:73" x14ac:dyDescent="0.25">
      <c r="A105" s="879"/>
      <c r="B105" s="879"/>
      <c r="C105" s="903">
        <v>5</v>
      </c>
      <c r="D105" s="883" t="str">
        <f t="shared" ca="1" si="34"/>
        <v>After-tax Real IRR
(8%, 8%, 8%)</v>
      </c>
      <c r="E105" s="977">
        <f t="shared" ca="1" si="35"/>
        <v>6.7398361443768522</v>
      </c>
      <c r="F105" s="977">
        <f t="shared" si="36"/>
        <v>6.744328582053198</v>
      </c>
      <c r="G105" s="977">
        <f t="shared" ca="1" si="37"/>
        <v>6.7488329065114865</v>
      </c>
      <c r="H105" s="883">
        <f t="shared" ref="H105" ca="1" si="42">+E105</f>
        <v>6.7398361443768522</v>
      </c>
      <c r="I105" s="883">
        <f t="shared" ref="I105" ca="1" si="43">+F105-E105</f>
        <v>4.492437676345773E-3</v>
      </c>
      <c r="J105" s="883">
        <f t="shared" ref="J105" ca="1" si="44">+G105-F105</f>
        <v>4.5043244582885222E-3</v>
      </c>
      <c r="K105" s="879"/>
      <c r="L105" s="883" t="str">
        <f>+B7&amp;"
("&amp;TEXT(H7,"0%, ")&amp;TEXT(C7,"0%, ")&amp;TEXT(I7,"0%)")</f>
        <v>Utilities Consumption (% of baseline)
(95%, 100%, 105%)</v>
      </c>
      <c r="M105" s="893">
        <f>+ABS(K60-K61)+0.000000004</f>
        <v>4.0000000000000002E-9</v>
      </c>
      <c r="N105" s="883">
        <f t="shared" si="38"/>
        <v>7</v>
      </c>
      <c r="O105" s="890"/>
      <c r="P105" s="879"/>
      <c r="Q105" s="879"/>
      <c r="R105" s="879"/>
      <c r="S105" s="879"/>
      <c r="T105" s="879"/>
      <c r="U105" s="879"/>
      <c r="V105" s="879"/>
      <c r="W105" s="879"/>
      <c r="X105" s="879"/>
      <c r="Y105" s="879"/>
      <c r="Z105" s="879"/>
      <c r="AA105" s="879"/>
      <c r="AB105" s="879"/>
      <c r="AC105" s="879"/>
      <c r="AD105" s="879"/>
      <c r="AE105" s="879"/>
      <c r="AF105" s="879"/>
      <c r="AG105" s="879"/>
      <c r="AH105" s="879"/>
      <c r="AI105" s="879"/>
      <c r="AJ105" s="879"/>
      <c r="AK105" s="879"/>
      <c r="AL105" s="879"/>
      <c r="AM105" s="879"/>
      <c r="AN105" s="879"/>
      <c r="AO105" s="879"/>
      <c r="AP105" s="879"/>
      <c r="AQ105" s="879"/>
      <c r="AR105" s="879"/>
      <c r="AS105" s="879"/>
      <c r="AT105" s="879"/>
      <c r="AU105" s="879"/>
      <c r="AV105" s="879"/>
      <c r="AW105" s="879"/>
      <c r="AX105" s="879"/>
      <c r="AY105" s="879"/>
      <c r="AZ105" s="879"/>
      <c r="BA105" s="879"/>
      <c r="BB105" s="879"/>
      <c r="BC105" s="879"/>
      <c r="BD105" s="879"/>
      <c r="BE105" s="879"/>
      <c r="BF105" s="879"/>
      <c r="BG105" s="879"/>
      <c r="BH105" s="879"/>
      <c r="BI105" s="879"/>
      <c r="BJ105" s="879"/>
      <c r="BK105" s="879"/>
      <c r="BL105" s="879"/>
      <c r="BM105" s="879"/>
      <c r="BN105" s="879"/>
      <c r="BO105" s="879"/>
      <c r="BP105" s="879"/>
      <c r="BQ105" s="879"/>
      <c r="BR105" s="879"/>
      <c r="BS105" s="879"/>
      <c r="BT105" s="879"/>
      <c r="BU105" s="879"/>
    </row>
    <row r="106" spans="1:73" x14ac:dyDescent="0.25">
      <c r="A106" s="879"/>
      <c r="B106" s="879"/>
      <c r="C106" s="903">
        <v>6</v>
      </c>
      <c r="D106" s="883" t="str">
        <f t="shared" ca="1" si="34"/>
        <v>Feedstock Consumption (% of baseline)
(95%, 100%, 105%)</v>
      </c>
      <c r="E106" s="977">
        <f t="shared" ca="1" si="35"/>
        <v>6.7415777638161085</v>
      </c>
      <c r="F106" s="977">
        <f t="shared" si="36"/>
        <v>6.744328582053198</v>
      </c>
      <c r="G106" s="977">
        <f t="shared" ca="1" si="37"/>
        <v>6.7470794002902874</v>
      </c>
      <c r="H106" s="883">
        <f t="shared" ca="1" si="39"/>
        <v>6.7415777638161085</v>
      </c>
      <c r="I106" s="883">
        <f t="shared" ca="1" si="40"/>
        <v>2.7508182370894474E-3</v>
      </c>
      <c r="J106" s="883">
        <f t="shared" ca="1" si="41"/>
        <v>2.7508182370894474E-3</v>
      </c>
      <c r="K106" s="879"/>
      <c r="L106" s="883" t="str">
        <f ca="1">+B8&amp;"
("&amp;TEXT(H8/1000,"$0,000K")&amp;", "&amp;TEXT(C8/1000,"$0,000K")&amp;", "&amp;TEXT(I8/1000,"$0,000K")&amp;") "</f>
        <v xml:space="preserve">Total Capital Investment
($1,672K, $1,760K, $1,848K) </v>
      </c>
      <c r="M106" s="893">
        <f>+ABS(K62-K63)+0.000000006</f>
        <v>3.9640755436865793E-2</v>
      </c>
      <c r="N106" s="883">
        <f t="shared" si="38"/>
        <v>2</v>
      </c>
      <c r="O106" s="890"/>
      <c r="P106" s="879"/>
      <c r="Q106" s="879"/>
      <c r="R106" s="879"/>
      <c r="S106" s="879"/>
      <c r="T106" s="879"/>
      <c r="U106" s="879"/>
      <c r="V106" s="879"/>
      <c r="W106" s="879"/>
      <c r="X106" s="879"/>
      <c r="Y106" s="879"/>
      <c r="Z106" s="879"/>
      <c r="AA106" s="879"/>
      <c r="AB106" s="879"/>
      <c r="AC106" s="879"/>
      <c r="AD106" s="879"/>
      <c r="AE106" s="879"/>
      <c r="AF106" s="879"/>
      <c r="AG106" s="879"/>
      <c r="AH106" s="879"/>
      <c r="AI106" s="879"/>
      <c r="AJ106" s="879"/>
      <c r="AK106" s="879"/>
      <c r="AL106" s="879"/>
      <c r="AM106" s="879"/>
      <c r="AN106" s="879"/>
      <c r="AO106" s="879"/>
      <c r="AP106" s="879"/>
      <c r="AQ106" s="879"/>
      <c r="AR106" s="879"/>
      <c r="AS106" s="879"/>
      <c r="AT106" s="879"/>
      <c r="AU106" s="879"/>
      <c r="AV106" s="879"/>
      <c r="AW106" s="879"/>
      <c r="AX106" s="879"/>
      <c r="AY106" s="879"/>
      <c r="AZ106" s="879"/>
      <c r="BA106" s="879"/>
      <c r="BB106" s="879"/>
      <c r="BC106" s="879"/>
      <c r="BD106" s="879"/>
      <c r="BE106" s="879"/>
      <c r="BF106" s="879"/>
      <c r="BG106" s="879"/>
      <c r="BH106" s="879"/>
      <c r="BI106" s="879"/>
      <c r="BJ106" s="879"/>
      <c r="BK106" s="879"/>
      <c r="BL106" s="879"/>
      <c r="BM106" s="879"/>
      <c r="BN106" s="879"/>
      <c r="BO106" s="879"/>
      <c r="BP106" s="879"/>
      <c r="BQ106" s="879"/>
      <c r="BR106" s="879"/>
      <c r="BS106" s="879"/>
      <c r="BT106" s="879"/>
      <c r="BU106" s="879"/>
    </row>
    <row r="107" spans="1:73" x14ac:dyDescent="0.25">
      <c r="A107" s="879"/>
      <c r="B107" s="879"/>
      <c r="C107" s="903">
        <v>7</v>
      </c>
      <c r="D107" s="883" t="str">
        <f t="shared" ca="1" si="34"/>
        <v>Utilities Consumption (% of baseline)
(95%, 100%, 105%)</v>
      </c>
      <c r="E107" s="977">
        <f t="shared" ca="1" si="35"/>
        <v>6.744328582053198</v>
      </c>
      <c r="F107" s="977">
        <f t="shared" si="36"/>
        <v>6.744328582053198</v>
      </c>
      <c r="G107" s="977">
        <f t="shared" ca="1" si="37"/>
        <v>6.744328582053198</v>
      </c>
      <c r="H107" s="883">
        <f t="shared" ca="1" si="39"/>
        <v>6.744328582053198</v>
      </c>
      <c r="I107" s="883">
        <f t="shared" ca="1" si="40"/>
        <v>0</v>
      </c>
      <c r="J107" s="883">
        <f t="shared" ca="1" si="41"/>
        <v>0</v>
      </c>
      <c r="K107" s="879"/>
      <c r="L107" s="883" t="str">
        <f ca="1">+B9&amp;"
("&amp;TEXT(H9/1000,"$0,000K")&amp;", "&amp;TEXT(C9/1000,"$0,000K")&amp;", "&amp;TEXT(I9/1000,"$0,000K")&amp;") "</f>
        <v xml:space="preserve">Total Fixed Operating Cost
($0,096K, $0,101K, $0,106K) </v>
      </c>
      <c r="M107" s="893">
        <f>+ABS(K64-K65)+0.00000007</f>
        <v>2.7485957066773353E-2</v>
      </c>
      <c r="N107" s="883">
        <f t="shared" si="38"/>
        <v>3</v>
      </c>
      <c r="O107" s="890"/>
      <c r="P107" s="879"/>
      <c r="Q107" s="879"/>
      <c r="R107" s="879"/>
      <c r="S107" s="879"/>
      <c r="T107" s="879"/>
      <c r="U107" s="879"/>
      <c r="V107" s="879"/>
      <c r="W107" s="879"/>
      <c r="X107" s="879"/>
      <c r="Y107" s="879"/>
      <c r="Z107" s="879"/>
      <c r="AA107" s="879"/>
      <c r="AB107" s="879"/>
      <c r="AC107" s="879"/>
      <c r="AD107" s="879"/>
      <c r="AE107" s="879"/>
      <c r="AF107" s="879"/>
      <c r="AG107" s="879"/>
      <c r="AH107" s="879"/>
      <c r="AI107" s="879"/>
      <c r="AJ107" s="879"/>
      <c r="AK107" s="879"/>
      <c r="AL107" s="879"/>
      <c r="AM107" s="879"/>
      <c r="AN107" s="879"/>
      <c r="AO107" s="879"/>
      <c r="AP107" s="879"/>
      <c r="AQ107" s="879"/>
      <c r="AR107" s="879"/>
      <c r="AS107" s="879"/>
      <c r="AT107" s="879"/>
      <c r="AU107" s="879"/>
      <c r="AV107" s="879"/>
      <c r="AW107" s="879"/>
      <c r="AX107" s="879"/>
      <c r="AY107" s="879"/>
      <c r="AZ107" s="879"/>
      <c r="BA107" s="879"/>
      <c r="BB107" s="879"/>
      <c r="BC107" s="879"/>
      <c r="BD107" s="879"/>
      <c r="BE107" s="879"/>
      <c r="BF107" s="879"/>
      <c r="BG107" s="879"/>
      <c r="BH107" s="879"/>
      <c r="BI107" s="879"/>
      <c r="BJ107" s="879"/>
      <c r="BK107" s="879"/>
      <c r="BL107" s="879"/>
      <c r="BM107" s="879"/>
      <c r="BN107" s="879"/>
      <c r="BO107" s="879"/>
      <c r="BP107" s="879"/>
      <c r="BQ107" s="879"/>
      <c r="BR107" s="879"/>
      <c r="BS107" s="879"/>
      <c r="BT107" s="879"/>
      <c r="BU107" s="879"/>
    </row>
    <row r="108" spans="1:73" x14ac:dyDescent="0.25">
      <c r="A108" s="879"/>
      <c r="B108" s="879"/>
      <c r="C108" s="879"/>
      <c r="D108" s="879"/>
      <c r="E108" s="879"/>
      <c r="F108" s="879"/>
      <c r="G108" s="879"/>
      <c r="H108" s="879"/>
      <c r="I108" s="879"/>
      <c r="J108" s="879"/>
      <c r="K108" s="879"/>
      <c r="L108" s="879"/>
      <c r="M108" s="879"/>
      <c r="N108" s="879"/>
      <c r="O108" s="879"/>
      <c r="P108" s="879"/>
      <c r="Q108" s="879"/>
      <c r="R108" s="879"/>
      <c r="S108" s="879"/>
      <c r="T108" s="879"/>
      <c r="U108" s="879"/>
      <c r="V108" s="879"/>
      <c r="W108" s="879"/>
      <c r="X108" s="879"/>
      <c r="Y108" s="879"/>
      <c r="Z108" s="879"/>
      <c r="AA108" s="879"/>
      <c r="AB108" s="879"/>
      <c r="AC108" s="879"/>
      <c r="AD108" s="879"/>
      <c r="AE108" s="879"/>
      <c r="AF108" s="879"/>
      <c r="AG108" s="879"/>
      <c r="AH108" s="879"/>
      <c r="AI108" s="879"/>
      <c r="AJ108" s="879"/>
      <c r="AK108" s="879"/>
      <c r="AL108" s="879"/>
      <c r="AM108" s="879"/>
      <c r="AN108" s="879"/>
      <c r="AO108" s="879"/>
      <c r="AP108" s="879"/>
      <c r="AQ108" s="879"/>
      <c r="AR108" s="879"/>
      <c r="AS108" s="879"/>
      <c r="AT108" s="879"/>
      <c r="AU108" s="879"/>
      <c r="AV108" s="879"/>
      <c r="AW108" s="879"/>
      <c r="AX108" s="879"/>
      <c r="AY108" s="879"/>
      <c r="AZ108" s="879"/>
      <c r="BA108" s="879"/>
      <c r="BB108" s="879"/>
      <c r="BC108" s="879"/>
      <c r="BD108" s="879"/>
      <c r="BE108" s="879"/>
      <c r="BF108" s="879"/>
      <c r="BG108" s="879"/>
      <c r="BH108" s="879"/>
      <c r="BI108" s="879"/>
      <c r="BJ108" s="879"/>
      <c r="BK108" s="879"/>
      <c r="BL108" s="879"/>
      <c r="BM108" s="879"/>
      <c r="BN108" s="879"/>
      <c r="BO108" s="879"/>
      <c r="BP108" s="879"/>
      <c r="BQ108" s="879"/>
      <c r="BR108" s="879"/>
      <c r="BS108" s="879"/>
      <c r="BT108" s="879"/>
      <c r="BU108" s="879"/>
    </row>
    <row r="109" spans="1:73" x14ac:dyDescent="0.25">
      <c r="A109" s="879"/>
      <c r="B109" s="879"/>
      <c r="C109" s="879"/>
      <c r="D109" s="879"/>
      <c r="E109" s="879"/>
      <c r="F109" s="879"/>
      <c r="G109" s="879"/>
      <c r="H109" s="879"/>
      <c r="I109" s="879"/>
      <c r="J109" s="879"/>
      <c r="K109" s="879"/>
      <c r="L109" s="879"/>
      <c r="M109" s="879"/>
      <c r="N109" s="879"/>
      <c r="O109" s="879"/>
      <c r="P109" s="879"/>
      <c r="Q109" s="879"/>
      <c r="R109" s="879"/>
      <c r="S109" s="879"/>
      <c r="T109" s="879"/>
      <c r="U109" s="879"/>
      <c r="V109" s="879"/>
      <c r="W109" s="879"/>
      <c r="X109" s="879"/>
      <c r="Y109" s="879"/>
      <c r="Z109" s="879"/>
      <c r="AA109" s="879"/>
      <c r="AB109" s="879"/>
      <c r="AC109" s="879"/>
      <c r="AD109" s="879"/>
      <c r="AE109" s="879"/>
      <c r="AF109" s="879"/>
      <c r="AG109" s="879"/>
      <c r="AH109" s="879"/>
      <c r="AI109" s="879"/>
      <c r="AJ109" s="879"/>
      <c r="AK109" s="879"/>
      <c r="AL109" s="879"/>
      <c r="AM109" s="879"/>
      <c r="AN109" s="879"/>
      <c r="AO109" s="879"/>
      <c r="AP109" s="879"/>
      <c r="AQ109" s="879"/>
      <c r="AR109" s="879"/>
      <c r="AS109" s="879"/>
      <c r="AT109" s="879"/>
      <c r="AU109" s="879"/>
      <c r="AV109" s="879"/>
      <c r="AW109" s="879"/>
      <c r="AX109" s="879"/>
      <c r="AY109" s="879"/>
      <c r="AZ109" s="879"/>
      <c r="BA109" s="879"/>
      <c r="BB109" s="879"/>
      <c r="BC109" s="879"/>
      <c r="BD109" s="879"/>
      <c r="BE109" s="879"/>
      <c r="BF109" s="879"/>
      <c r="BG109" s="879"/>
      <c r="BH109" s="879"/>
      <c r="BI109" s="879"/>
      <c r="BJ109" s="879"/>
      <c r="BK109" s="879"/>
      <c r="BL109" s="879"/>
      <c r="BM109" s="879"/>
      <c r="BN109" s="879"/>
      <c r="BO109" s="879"/>
      <c r="BP109" s="879"/>
      <c r="BQ109" s="879"/>
      <c r="BR109" s="879"/>
      <c r="BS109" s="879"/>
      <c r="BT109" s="879"/>
      <c r="BU109" s="879"/>
    </row>
    <row r="110" spans="1:73" ht="52.8" x14ac:dyDescent="0.25">
      <c r="A110" s="879"/>
      <c r="B110" s="881" t="s">
        <v>1141</v>
      </c>
      <c r="C110" s="902" t="s">
        <v>1128</v>
      </c>
      <c r="D110" s="890" t="str">
        <f t="shared" ref="D110:G110" si="45">+D76</f>
        <v>Chart titles</v>
      </c>
      <c r="E110" s="890" t="s">
        <v>1161</v>
      </c>
      <c r="F110" s="890" t="s">
        <v>1162</v>
      </c>
      <c r="G110" s="890" t="str">
        <f t="shared" si="45"/>
        <v>Salvage Value</v>
      </c>
      <c r="H110" s="890" t="str">
        <f t="shared" ref="H110:S110" si="46">+H76</f>
        <v>Initial Equity Depreciable Capital</v>
      </c>
      <c r="I110" s="890" t="str">
        <f t="shared" si="46"/>
        <v>Yearly Replacement Costs</v>
      </c>
      <c r="J110" s="890" t="str">
        <f t="shared" si="46"/>
        <v>Cash for Working Capital Reserve</v>
      </c>
      <c r="K110" s="890" t="str">
        <f t="shared" si="46"/>
        <v>Other Non-Depreciable Capital Costs</v>
      </c>
      <c r="L110" s="890" t="str">
        <f t="shared" si="46"/>
        <v>Decommissioning Costs</v>
      </c>
      <c r="M110" s="890" t="str">
        <f t="shared" si="46"/>
        <v>Fixed Operating Cost</v>
      </c>
      <c r="N110" s="890" t="str">
        <f t="shared" si="46"/>
        <v>Feedstock Cost</v>
      </c>
      <c r="O110" s="890" t="str">
        <f t="shared" si="46"/>
        <v>Other Raw Material Cost</v>
      </c>
      <c r="P110" s="890" t="str">
        <f t="shared" si="46"/>
        <v>Other Variable Operating Costs</v>
      </c>
      <c r="Q110" s="890" t="str">
        <f t="shared" si="46"/>
        <v>Debt Interest</v>
      </c>
      <c r="R110" s="890" t="str">
        <f t="shared" si="46"/>
        <v>Taxes</v>
      </c>
      <c r="S110" s="890" t="str">
        <f t="shared" si="46"/>
        <v>Principal Payment</v>
      </c>
      <c r="T110" s="879"/>
      <c r="U110" s="879"/>
      <c r="V110" s="879"/>
      <c r="W110" s="879"/>
      <c r="X110" s="879"/>
      <c r="Y110" s="879"/>
      <c r="Z110" s="879"/>
      <c r="AA110" s="879"/>
      <c r="AB110" s="879"/>
      <c r="AC110" s="879"/>
      <c r="AD110" s="879"/>
      <c r="AE110" s="879"/>
      <c r="AF110" s="879"/>
      <c r="AG110" s="879"/>
      <c r="AH110" s="879"/>
      <c r="AI110" s="879"/>
      <c r="AJ110" s="879"/>
      <c r="AK110" s="879"/>
      <c r="AL110" s="879"/>
      <c r="AM110" s="879"/>
      <c r="AN110" s="879"/>
      <c r="AO110" s="879"/>
      <c r="AP110" s="879"/>
      <c r="AQ110" s="879"/>
      <c r="AR110" s="879"/>
      <c r="AS110" s="879"/>
      <c r="AT110" s="879"/>
      <c r="AU110" s="879"/>
      <c r="AV110" s="879"/>
      <c r="AW110" s="879"/>
      <c r="AX110" s="879"/>
      <c r="AY110" s="879"/>
      <c r="AZ110" s="879"/>
      <c r="BA110" s="879"/>
      <c r="BB110" s="879"/>
      <c r="BC110" s="879"/>
      <c r="BD110" s="879"/>
      <c r="BE110" s="879"/>
      <c r="BF110" s="879"/>
      <c r="BG110" s="879"/>
      <c r="BH110" s="879"/>
      <c r="BI110" s="879"/>
      <c r="BJ110" s="879"/>
      <c r="BK110" s="879"/>
      <c r="BL110" s="879"/>
      <c r="BM110" s="879"/>
      <c r="BN110" s="879"/>
      <c r="BO110" s="879"/>
      <c r="BP110" s="879"/>
      <c r="BQ110" s="879"/>
      <c r="BR110" s="879"/>
      <c r="BS110" s="879"/>
      <c r="BT110" s="879"/>
      <c r="BU110" s="879"/>
    </row>
    <row r="111" spans="1:73" x14ac:dyDescent="0.25">
      <c r="A111" s="879"/>
      <c r="B111" s="879"/>
      <c r="C111" s="903">
        <v>1</v>
      </c>
      <c r="D111" s="882" t="s">
        <v>1160</v>
      </c>
      <c r="E111" s="896">
        <f ca="1">OFFSET(E$76,MATCH($C111,$N$101:$N$107,0)*3-1,0)</f>
        <v>6.744328582053198</v>
      </c>
      <c r="F111" s="896">
        <f ca="1">OFFSET(F$76,MATCH($C111,$N$101:$N$107,0)*3-1,0)</f>
        <v>0</v>
      </c>
      <c r="G111" s="896">
        <f ca="1">OFFSET(G$76,MATCH($C111,$N$101:$N$107,0)*3-1,0)</f>
        <v>1.0422448166438392E-2</v>
      </c>
      <c r="H111" s="883"/>
      <c r="I111" s="883"/>
      <c r="J111" s="883"/>
      <c r="K111" s="883"/>
      <c r="L111" s="883"/>
      <c r="M111" s="883"/>
      <c r="N111" s="883"/>
      <c r="O111" s="883"/>
      <c r="P111" s="883"/>
      <c r="Q111" s="883"/>
      <c r="R111" s="883"/>
      <c r="S111" s="883"/>
      <c r="T111" s="879"/>
      <c r="U111" s="879"/>
      <c r="V111" s="879"/>
      <c r="W111" s="879"/>
      <c r="X111" s="879"/>
      <c r="Y111" s="879"/>
      <c r="Z111" s="879"/>
      <c r="AA111" s="879"/>
      <c r="AB111" s="879"/>
      <c r="AC111" s="879"/>
      <c r="AD111" s="879"/>
      <c r="AE111" s="879"/>
      <c r="AF111" s="879"/>
      <c r="AG111" s="879"/>
      <c r="AH111" s="879"/>
      <c r="AI111" s="879"/>
      <c r="AJ111" s="879"/>
      <c r="AK111" s="879"/>
      <c r="AL111" s="879"/>
      <c r="AM111" s="879"/>
      <c r="AN111" s="879"/>
      <c r="AO111" s="879"/>
      <c r="AP111" s="879"/>
      <c r="AQ111" s="879"/>
      <c r="AR111" s="879"/>
      <c r="AS111" s="879"/>
      <c r="AT111" s="879"/>
      <c r="AU111" s="879"/>
      <c r="AV111" s="879"/>
      <c r="AW111" s="879"/>
      <c r="AX111" s="879"/>
      <c r="AY111" s="879"/>
      <c r="AZ111" s="879"/>
      <c r="BA111" s="879"/>
      <c r="BB111" s="879"/>
      <c r="BC111" s="879"/>
      <c r="BD111" s="879"/>
      <c r="BE111" s="879"/>
      <c r="BF111" s="879"/>
      <c r="BG111" s="879"/>
      <c r="BH111" s="879"/>
      <c r="BI111" s="879"/>
      <c r="BJ111" s="879"/>
      <c r="BK111" s="879"/>
      <c r="BL111" s="879"/>
      <c r="BM111" s="879"/>
      <c r="BN111" s="879"/>
      <c r="BO111" s="879"/>
      <c r="BP111" s="879"/>
      <c r="BQ111" s="879"/>
      <c r="BR111" s="879"/>
      <c r="BS111" s="879"/>
      <c r="BT111" s="879"/>
      <c r="BU111" s="879"/>
    </row>
    <row r="112" spans="1:73" x14ac:dyDescent="0.25">
      <c r="A112" s="879"/>
      <c r="B112" s="881"/>
      <c r="C112" s="980"/>
      <c r="D112" s="981"/>
      <c r="E112" s="982"/>
      <c r="F112" s="982"/>
      <c r="G112" s="982"/>
      <c r="H112" s="896">
        <f t="shared" ref="H112:S112" ca="1" si="47">OFFSET(H$76,MATCH($C111,$N$101:$N$107,0)*3-1,0)</f>
        <v>0.19431433695104025</v>
      </c>
      <c r="I112" s="896">
        <f t="shared" ca="1" si="47"/>
        <v>0.12198294571119789</v>
      </c>
      <c r="J112" s="896">
        <f t="shared" ca="1" si="47"/>
        <v>8.3164470953852682E-2</v>
      </c>
      <c r="K112" s="896">
        <f t="shared" ca="1" si="47"/>
        <v>0</v>
      </c>
      <c r="L112" s="896">
        <f t="shared" ca="1" si="47"/>
        <v>1.0422448166438392E-2</v>
      </c>
      <c r="M112" s="896">
        <f t="shared" ca="1" si="47"/>
        <v>0.26998780784474952</v>
      </c>
      <c r="N112" s="896">
        <f t="shared" ca="1" si="47"/>
        <v>5.9121329147869046</v>
      </c>
      <c r="O112" s="896">
        <f t="shared" ca="1" si="47"/>
        <v>0</v>
      </c>
      <c r="P112" s="896">
        <f t="shared" ca="1" si="47"/>
        <v>1.9155093650587734E-2</v>
      </c>
      <c r="Q112" s="896">
        <f t="shared" ca="1" si="47"/>
        <v>0.10227357824296371</v>
      </c>
      <c r="R112" s="896">
        <f t="shared" ca="1" si="47"/>
        <v>-1.6003525108757488E-3</v>
      </c>
      <c r="S112" s="896">
        <f t="shared" ca="1" si="47"/>
        <v>4.2917786422775855E-2</v>
      </c>
      <c r="T112" s="879"/>
      <c r="U112" s="879"/>
      <c r="V112" s="879"/>
      <c r="W112" s="879"/>
      <c r="X112" s="879"/>
      <c r="Y112" s="879"/>
      <c r="Z112" s="879"/>
      <c r="AA112" s="879"/>
      <c r="AB112" s="879"/>
      <c r="AC112" s="879"/>
      <c r="AD112" s="879"/>
      <c r="AE112" s="879"/>
      <c r="AF112" s="879"/>
      <c r="AG112" s="879"/>
      <c r="AH112" s="879"/>
      <c r="AI112" s="879"/>
      <c r="AJ112" s="879"/>
      <c r="AK112" s="879"/>
      <c r="AL112" s="879"/>
      <c r="AM112" s="879"/>
      <c r="AN112" s="879"/>
      <c r="AO112" s="879"/>
      <c r="AP112" s="879"/>
      <c r="AQ112" s="879"/>
      <c r="AR112" s="879"/>
      <c r="AS112" s="879"/>
      <c r="AT112" s="879"/>
      <c r="AU112" s="879"/>
      <c r="AV112" s="879"/>
      <c r="AW112" s="879"/>
      <c r="AX112" s="879"/>
      <c r="AY112" s="879"/>
      <c r="AZ112" s="879"/>
      <c r="BA112" s="879"/>
      <c r="BB112" s="879"/>
      <c r="BC112" s="879"/>
      <c r="BD112" s="879"/>
      <c r="BE112" s="879"/>
      <c r="BF112" s="879"/>
      <c r="BG112" s="879"/>
      <c r="BH112" s="879"/>
      <c r="BI112" s="879"/>
      <c r="BJ112" s="879"/>
      <c r="BK112" s="879"/>
      <c r="BL112" s="879"/>
      <c r="BM112" s="879"/>
      <c r="BN112" s="879"/>
      <c r="BO112" s="879"/>
      <c r="BP112" s="879"/>
      <c r="BQ112" s="879"/>
      <c r="BR112" s="879"/>
      <c r="BS112" s="879"/>
      <c r="BT112" s="879"/>
      <c r="BU112" s="879"/>
    </row>
    <row r="113" spans="1:73" x14ac:dyDescent="0.25">
      <c r="A113" s="879"/>
      <c r="B113" s="881"/>
      <c r="C113" s="980"/>
      <c r="D113" s="981"/>
      <c r="E113" s="982"/>
      <c r="F113" s="982"/>
      <c r="G113" s="982"/>
      <c r="H113" s="896"/>
      <c r="I113" s="896"/>
      <c r="J113" s="896"/>
      <c r="K113" s="896"/>
      <c r="L113" s="896"/>
      <c r="M113" s="896"/>
      <c r="N113" s="896"/>
      <c r="O113" s="896"/>
      <c r="P113" s="896"/>
      <c r="Q113" s="896"/>
      <c r="R113" s="896"/>
      <c r="S113" s="896"/>
      <c r="T113" s="879"/>
      <c r="U113" s="879"/>
      <c r="V113" s="879"/>
      <c r="W113" s="879"/>
      <c r="X113" s="879"/>
      <c r="Y113" s="879"/>
      <c r="Z113" s="879"/>
      <c r="AA113" s="879"/>
      <c r="AB113" s="879"/>
      <c r="AC113" s="879"/>
      <c r="AD113" s="879"/>
      <c r="AE113" s="879"/>
      <c r="AF113" s="879"/>
      <c r="AG113" s="879"/>
      <c r="AH113" s="879"/>
      <c r="AI113" s="879"/>
      <c r="AJ113" s="879"/>
      <c r="AK113" s="879"/>
      <c r="AL113" s="879"/>
      <c r="AM113" s="879"/>
      <c r="AN113" s="879"/>
      <c r="AO113" s="879"/>
      <c r="AP113" s="879"/>
      <c r="AQ113" s="879"/>
      <c r="AR113" s="879"/>
      <c r="AS113" s="879"/>
      <c r="AT113" s="879"/>
      <c r="AU113" s="879"/>
      <c r="AV113" s="879"/>
      <c r="AW113" s="879"/>
      <c r="AX113" s="879"/>
      <c r="AY113" s="879"/>
      <c r="AZ113" s="879"/>
      <c r="BA113" s="879"/>
      <c r="BB113" s="879"/>
      <c r="BC113" s="879"/>
      <c r="BD113" s="879"/>
      <c r="BE113" s="879"/>
      <c r="BF113" s="879"/>
      <c r="BG113" s="879"/>
      <c r="BH113" s="879"/>
      <c r="BI113" s="879"/>
      <c r="BJ113" s="879"/>
      <c r="BK113" s="879"/>
      <c r="BL113" s="879"/>
      <c r="BM113" s="879"/>
      <c r="BN113" s="879"/>
      <c r="BO113" s="879"/>
      <c r="BP113" s="879"/>
      <c r="BQ113" s="879"/>
      <c r="BR113" s="879"/>
      <c r="BS113" s="879"/>
      <c r="BT113" s="879"/>
      <c r="BU113" s="879"/>
    </row>
    <row r="114" spans="1:73" x14ac:dyDescent="0.25">
      <c r="A114" s="879"/>
      <c r="B114" s="881"/>
      <c r="C114" s="980"/>
      <c r="D114" s="982"/>
      <c r="E114" s="982"/>
      <c r="F114" s="982"/>
      <c r="G114" s="982"/>
      <c r="H114" s="982"/>
      <c r="I114" s="982"/>
      <c r="J114" s="982"/>
      <c r="K114" s="982"/>
      <c r="L114" s="982"/>
      <c r="M114" s="982"/>
      <c r="N114" s="982"/>
      <c r="O114" s="982"/>
      <c r="P114" s="982"/>
      <c r="Q114" s="982"/>
      <c r="R114" s="982"/>
      <c r="S114" s="982"/>
      <c r="T114" s="879"/>
      <c r="U114" s="879"/>
      <c r="V114" s="879"/>
      <c r="W114" s="879"/>
      <c r="X114" s="879"/>
      <c r="Y114" s="879"/>
      <c r="Z114" s="879"/>
      <c r="AA114" s="879"/>
      <c r="AB114" s="879"/>
      <c r="AC114" s="879"/>
      <c r="AD114" s="879"/>
      <c r="AE114" s="879"/>
      <c r="AF114" s="879"/>
      <c r="AG114" s="879"/>
      <c r="AH114" s="879"/>
      <c r="AI114" s="879"/>
      <c r="AJ114" s="879"/>
      <c r="AK114" s="879"/>
      <c r="AL114" s="879"/>
      <c r="AM114" s="879"/>
      <c r="AN114" s="879"/>
      <c r="AO114" s="879"/>
      <c r="AP114" s="879"/>
      <c r="AQ114" s="879"/>
      <c r="AR114" s="879"/>
      <c r="AS114" s="879"/>
      <c r="AT114" s="879"/>
      <c r="AU114" s="879"/>
      <c r="AV114" s="879"/>
      <c r="AW114" s="879"/>
      <c r="AX114" s="879"/>
      <c r="AY114" s="879"/>
      <c r="AZ114" s="879"/>
      <c r="BA114" s="879"/>
      <c r="BB114" s="879"/>
      <c r="BC114" s="879"/>
      <c r="BD114" s="879"/>
      <c r="BE114" s="879"/>
      <c r="BF114" s="879"/>
      <c r="BG114" s="879"/>
      <c r="BH114" s="879"/>
      <c r="BI114" s="879"/>
      <c r="BJ114" s="879"/>
      <c r="BK114" s="879"/>
      <c r="BL114" s="879"/>
      <c r="BM114" s="879"/>
      <c r="BN114" s="879"/>
      <c r="BO114" s="879"/>
      <c r="BP114" s="879"/>
      <c r="BQ114" s="879"/>
      <c r="BR114" s="879"/>
      <c r="BS114" s="879"/>
      <c r="BT114" s="879"/>
      <c r="BU114" s="879"/>
    </row>
    <row r="115" spans="1:73" x14ac:dyDescent="0.25">
      <c r="A115" s="879"/>
      <c r="B115" s="881"/>
      <c r="C115" s="903">
        <v>1</v>
      </c>
      <c r="D115" s="883" t="str">
        <f t="shared" ref="D115:G115" ca="1" si="48">OFFSET(D$76,MATCH($C115,$N$101:$N$107,0)*3-2,0)</f>
        <v>Operating Capacity Factor = 90.3%</v>
      </c>
      <c r="E115" s="896">
        <f t="shared" ca="1" si="48"/>
        <v>6.7104490271023414</v>
      </c>
      <c r="F115" s="896">
        <f t="shared" ca="1" si="48"/>
        <v>0</v>
      </c>
      <c r="G115" s="896">
        <f t="shared" ca="1" si="48"/>
        <v>9.9261411108937068E-3</v>
      </c>
      <c r="H115" s="982"/>
      <c r="I115" s="982"/>
      <c r="J115" s="982"/>
      <c r="K115" s="982"/>
      <c r="L115" s="982"/>
      <c r="M115" s="982"/>
      <c r="N115" s="982"/>
      <c r="O115" s="982"/>
      <c r="P115" s="982"/>
      <c r="Q115" s="982"/>
      <c r="R115" s="982"/>
      <c r="S115" s="982"/>
      <c r="T115" s="879"/>
      <c r="U115" s="879"/>
      <c r="V115" s="879"/>
      <c r="W115" s="879"/>
      <c r="X115" s="879"/>
      <c r="Y115" s="879"/>
      <c r="Z115" s="879"/>
      <c r="AA115" s="879"/>
      <c r="AB115" s="879"/>
      <c r="AC115" s="879"/>
      <c r="AD115" s="879"/>
      <c r="AE115" s="879"/>
      <c r="AF115" s="879"/>
      <c r="AG115" s="879"/>
      <c r="AH115" s="879"/>
      <c r="AI115" s="879"/>
      <c r="AJ115" s="879"/>
      <c r="AK115" s="879"/>
      <c r="AL115" s="879"/>
      <c r="AM115" s="879"/>
      <c r="AN115" s="879"/>
      <c r="AO115" s="879"/>
      <c r="AP115" s="879"/>
      <c r="AQ115" s="879"/>
      <c r="AR115" s="879"/>
      <c r="AS115" s="879"/>
      <c r="AT115" s="879"/>
      <c r="AU115" s="879"/>
      <c r="AV115" s="879"/>
      <c r="AW115" s="879"/>
      <c r="AX115" s="879"/>
      <c r="AY115" s="879"/>
      <c r="AZ115" s="879"/>
      <c r="BA115" s="879"/>
      <c r="BB115" s="879"/>
      <c r="BC115" s="879"/>
      <c r="BD115" s="879"/>
      <c r="BE115" s="879"/>
      <c r="BF115" s="879"/>
      <c r="BG115" s="879"/>
      <c r="BH115" s="879"/>
      <c r="BI115" s="879"/>
      <c r="BJ115" s="879"/>
      <c r="BK115" s="879"/>
      <c r="BL115" s="879"/>
      <c r="BM115" s="879"/>
      <c r="BN115" s="879"/>
      <c r="BO115" s="879"/>
      <c r="BP115" s="879"/>
      <c r="BQ115" s="879"/>
      <c r="BR115" s="879"/>
      <c r="BS115" s="879"/>
      <c r="BT115" s="879"/>
      <c r="BU115" s="879"/>
    </row>
    <row r="116" spans="1:73" x14ac:dyDescent="0.25">
      <c r="A116" s="879"/>
      <c r="B116" s="881"/>
      <c r="C116" s="883"/>
      <c r="D116" s="883"/>
      <c r="E116" s="883"/>
      <c r="F116" s="883"/>
      <c r="G116" s="883"/>
      <c r="H116" s="896">
        <f t="shared" ref="H116:S116" ca="1" si="49">OFFSET(H$76,MATCH($C115,$N$101:$N$107,0)*3-2,0)</f>
        <v>0.18506127328670499</v>
      </c>
      <c r="I116" s="896">
        <f t="shared" ca="1" si="49"/>
        <v>0.11617423401066466</v>
      </c>
      <c r="J116" s="896">
        <f t="shared" ca="1" si="49"/>
        <v>8.2988743750131641E-2</v>
      </c>
      <c r="K116" s="896">
        <f t="shared" ca="1" si="49"/>
        <v>0</v>
      </c>
      <c r="L116" s="896">
        <f t="shared" ca="1" si="49"/>
        <v>9.9261411108937068E-3</v>
      </c>
      <c r="M116" s="896">
        <f t="shared" ca="1" si="49"/>
        <v>0.25713124556642813</v>
      </c>
      <c r="N116" s="896">
        <f t="shared" ca="1" si="49"/>
        <v>5.9121329147869046</v>
      </c>
      <c r="O116" s="896">
        <f t="shared" ca="1" si="49"/>
        <v>0</v>
      </c>
      <c r="P116" s="896">
        <f t="shared" ca="1" si="49"/>
        <v>1.8895492420334489E-2</v>
      </c>
      <c r="Q116" s="896">
        <f t="shared" ca="1" si="49"/>
        <v>9.7403407850441631E-2</v>
      </c>
      <c r="R116" s="896">
        <f t="shared" ca="1" si="49"/>
        <v>-2.1236687667544629E-4</v>
      </c>
      <c r="S116" s="896">
        <f t="shared" ca="1" si="49"/>
        <v>4.0874082307405586E-2</v>
      </c>
      <c r="T116" s="879"/>
      <c r="U116" s="879"/>
      <c r="V116" s="879"/>
      <c r="W116" s="879"/>
      <c r="X116" s="879"/>
      <c r="Y116" s="879"/>
      <c r="Z116" s="879"/>
      <c r="AA116" s="879"/>
      <c r="AB116" s="879"/>
      <c r="AC116" s="879"/>
      <c r="AD116" s="879"/>
      <c r="AE116" s="879"/>
      <c r="AF116" s="879"/>
      <c r="AG116" s="879"/>
      <c r="AH116" s="879"/>
      <c r="AI116" s="879"/>
      <c r="AJ116" s="879"/>
      <c r="AK116" s="879"/>
      <c r="AL116" s="879"/>
      <c r="AM116" s="879"/>
      <c r="AN116" s="879"/>
      <c r="AO116" s="879"/>
      <c r="AP116" s="879"/>
      <c r="AQ116" s="879"/>
      <c r="AR116" s="879"/>
      <c r="AS116" s="879"/>
      <c r="AT116" s="879"/>
      <c r="AU116" s="879"/>
      <c r="AV116" s="879"/>
      <c r="AW116" s="879"/>
      <c r="AX116" s="879"/>
      <c r="AY116" s="879"/>
      <c r="AZ116" s="879"/>
      <c r="BA116" s="879"/>
      <c r="BB116" s="879"/>
      <c r="BC116" s="879"/>
      <c r="BD116" s="879"/>
      <c r="BE116" s="879"/>
      <c r="BF116" s="879"/>
      <c r="BG116" s="879"/>
      <c r="BH116" s="879"/>
      <c r="BI116" s="879"/>
      <c r="BJ116" s="879"/>
      <c r="BK116" s="879"/>
      <c r="BL116" s="879"/>
      <c r="BM116" s="879"/>
      <c r="BN116" s="879"/>
      <c r="BO116" s="879"/>
      <c r="BP116" s="879"/>
      <c r="BQ116" s="879"/>
      <c r="BR116" s="879"/>
      <c r="BS116" s="879"/>
      <c r="BT116" s="879"/>
      <c r="BU116" s="879"/>
    </row>
    <row r="117" spans="1:73" x14ac:dyDescent="0.25">
      <c r="A117" s="879"/>
      <c r="B117" s="881"/>
      <c r="C117" s="903">
        <v>1</v>
      </c>
      <c r="D117" s="883" t="str">
        <f t="shared" ref="D117:G117" ca="1" si="50">OFFSET(D$76,MATCH($C117,$N$101:$N$107,0)*3,0)</f>
        <v>Operating Capacity Factor = 81.7%</v>
      </c>
      <c r="E117" s="896">
        <f t="shared" ca="1" si="50"/>
        <v>6.7817744059462539</v>
      </c>
      <c r="F117" s="896">
        <f t="shared" ca="1" si="50"/>
        <v>0</v>
      </c>
      <c r="G117" s="896">
        <f t="shared" ca="1" si="50"/>
        <v>1.0970998069935152E-2</v>
      </c>
      <c r="H117" s="883"/>
      <c r="I117" s="883"/>
      <c r="J117" s="883"/>
      <c r="K117" s="883"/>
      <c r="L117" s="883"/>
      <c r="M117" s="883"/>
      <c r="N117" s="883"/>
      <c r="O117" s="883"/>
      <c r="P117" s="883"/>
      <c r="Q117" s="883"/>
      <c r="R117" s="883"/>
      <c r="S117" s="883"/>
      <c r="T117" s="879"/>
      <c r="U117" s="879"/>
      <c r="V117" s="879"/>
      <c r="W117" s="879"/>
      <c r="X117" s="879"/>
      <c r="Y117" s="879"/>
      <c r="Z117" s="879"/>
      <c r="AA117" s="879"/>
      <c r="AB117" s="879"/>
      <c r="AC117" s="879"/>
      <c r="AD117" s="879"/>
      <c r="AE117" s="879"/>
      <c r="AF117" s="879"/>
      <c r="AG117" s="879"/>
      <c r="AH117" s="879"/>
      <c r="AI117" s="879"/>
      <c r="AJ117" s="879"/>
      <c r="AK117" s="879"/>
      <c r="AL117" s="879"/>
      <c r="AM117" s="879"/>
      <c r="AN117" s="879"/>
      <c r="AO117" s="879"/>
      <c r="AP117" s="879"/>
      <c r="AQ117" s="879"/>
      <c r="AR117" s="879"/>
      <c r="AS117" s="879"/>
      <c r="AT117" s="879"/>
      <c r="AU117" s="879"/>
      <c r="AV117" s="879"/>
      <c r="AW117" s="879"/>
      <c r="AX117" s="879"/>
      <c r="AY117" s="879"/>
      <c r="AZ117" s="879"/>
      <c r="BA117" s="879"/>
      <c r="BB117" s="879"/>
      <c r="BC117" s="879"/>
      <c r="BD117" s="879"/>
      <c r="BE117" s="879"/>
      <c r="BF117" s="879"/>
      <c r="BG117" s="879"/>
      <c r="BH117" s="879"/>
      <c r="BI117" s="879"/>
      <c r="BJ117" s="879"/>
      <c r="BK117" s="879"/>
      <c r="BL117" s="879"/>
      <c r="BM117" s="879"/>
      <c r="BN117" s="879"/>
      <c r="BO117" s="879"/>
      <c r="BP117" s="879"/>
      <c r="BQ117" s="879"/>
      <c r="BR117" s="879"/>
      <c r="BS117" s="879"/>
      <c r="BT117" s="879"/>
      <c r="BU117" s="879"/>
    </row>
    <row r="118" spans="1:73" x14ac:dyDescent="0.25">
      <c r="A118" s="879"/>
      <c r="B118" s="881"/>
      <c r="C118" s="903"/>
      <c r="D118" s="883"/>
      <c r="E118" s="896"/>
      <c r="F118" s="896"/>
      <c r="G118" s="896"/>
      <c r="H118" s="896">
        <f t="shared" ref="H118:S118" ca="1" si="51">OFFSET(H$76,MATCH($C117,$N$101:$N$107,0)*3,0)</f>
        <v>0.2045414073168845</v>
      </c>
      <c r="I118" s="896">
        <f t="shared" ca="1" si="51"/>
        <v>0.1284031007486294</v>
      </c>
      <c r="J118" s="896">
        <f t="shared" ca="1" si="51"/>
        <v>8.3358695757965437E-2</v>
      </c>
      <c r="K118" s="896">
        <f t="shared" ca="1" si="51"/>
        <v>0</v>
      </c>
      <c r="L118" s="896">
        <f t="shared" ca="1" si="51"/>
        <v>1.0970998069935152E-2</v>
      </c>
      <c r="M118" s="896">
        <f t="shared" ca="1" si="51"/>
        <v>0.28419769246815746</v>
      </c>
      <c r="N118" s="896">
        <f t="shared" ca="1" si="51"/>
        <v>5.9121329147869064</v>
      </c>
      <c r="O118" s="896">
        <f t="shared" ca="1" si="51"/>
        <v>0</v>
      </c>
      <c r="P118" s="896">
        <f t="shared" ca="1" si="51"/>
        <v>1.9442021326130796E-2</v>
      </c>
      <c r="Q118" s="896">
        <f t="shared" ca="1" si="51"/>
        <v>0.10765639815048815</v>
      </c>
      <c r="R118" s="896">
        <f t="shared" ca="1" si="51"/>
        <v>-3.1344418960442748E-3</v>
      </c>
      <c r="S118" s="896">
        <f t="shared" ca="1" si="51"/>
        <v>4.5176617287132501E-2</v>
      </c>
      <c r="T118" s="879"/>
      <c r="U118" s="879"/>
      <c r="V118" s="879"/>
      <c r="W118" s="879"/>
      <c r="X118" s="879"/>
      <c r="Y118" s="879"/>
      <c r="Z118" s="879"/>
      <c r="AA118" s="879"/>
      <c r="AB118" s="879"/>
      <c r="AC118" s="879"/>
      <c r="AD118" s="879"/>
      <c r="AE118" s="879"/>
      <c r="AF118" s="879"/>
      <c r="AG118" s="879"/>
      <c r="AH118" s="879"/>
      <c r="AI118" s="879"/>
      <c r="AJ118" s="879"/>
      <c r="AK118" s="879"/>
      <c r="AL118" s="879"/>
      <c r="AM118" s="879"/>
      <c r="AN118" s="879"/>
      <c r="AO118" s="879"/>
      <c r="AP118" s="879"/>
      <c r="AQ118" s="879"/>
      <c r="AR118" s="879"/>
      <c r="AS118" s="879"/>
      <c r="AT118" s="879"/>
      <c r="AU118" s="879"/>
      <c r="AV118" s="879"/>
      <c r="AW118" s="879"/>
      <c r="AX118" s="879"/>
      <c r="AY118" s="879"/>
      <c r="AZ118" s="879"/>
      <c r="BA118" s="879"/>
      <c r="BB118" s="879"/>
      <c r="BC118" s="879"/>
      <c r="BD118" s="879"/>
      <c r="BE118" s="879"/>
      <c r="BF118" s="879"/>
      <c r="BG118" s="879"/>
      <c r="BH118" s="879"/>
      <c r="BI118" s="879"/>
      <c r="BJ118" s="879"/>
      <c r="BK118" s="879"/>
      <c r="BL118" s="879"/>
      <c r="BM118" s="879"/>
      <c r="BN118" s="879"/>
      <c r="BO118" s="879"/>
      <c r="BP118" s="879"/>
      <c r="BQ118" s="879"/>
      <c r="BR118" s="879"/>
      <c r="BS118" s="879"/>
      <c r="BT118" s="879"/>
      <c r="BU118" s="879"/>
    </row>
    <row r="119" spans="1:73" x14ac:dyDescent="0.25">
      <c r="A119" s="879"/>
      <c r="B119" s="881"/>
      <c r="C119" s="903"/>
      <c r="D119" s="883"/>
      <c r="E119" s="896"/>
      <c r="F119" s="896"/>
      <c r="G119" s="896"/>
      <c r="H119" s="896"/>
      <c r="I119" s="896"/>
      <c r="J119" s="896"/>
      <c r="K119" s="896"/>
      <c r="L119" s="896"/>
      <c r="M119" s="896"/>
      <c r="N119" s="896"/>
      <c r="O119" s="896"/>
      <c r="P119" s="896"/>
      <c r="Q119" s="896"/>
      <c r="R119" s="896"/>
      <c r="S119" s="896"/>
      <c r="T119" s="879"/>
      <c r="U119" s="879"/>
      <c r="V119" s="879"/>
      <c r="W119" s="879"/>
      <c r="X119" s="879"/>
      <c r="Y119" s="879"/>
      <c r="Z119" s="879"/>
      <c r="AA119" s="879"/>
      <c r="AB119" s="879"/>
      <c r="AC119" s="879"/>
      <c r="AD119" s="879"/>
      <c r="AE119" s="879"/>
      <c r="AF119" s="879"/>
      <c r="AG119" s="879"/>
      <c r="AH119" s="879"/>
      <c r="AI119" s="879"/>
      <c r="AJ119" s="879"/>
      <c r="AK119" s="879"/>
      <c r="AL119" s="879"/>
      <c r="AM119" s="879"/>
      <c r="AN119" s="879"/>
      <c r="AO119" s="879"/>
      <c r="AP119" s="879"/>
      <c r="AQ119" s="879"/>
      <c r="AR119" s="879"/>
      <c r="AS119" s="879"/>
      <c r="AT119" s="879"/>
      <c r="AU119" s="879"/>
      <c r="AV119" s="879"/>
      <c r="AW119" s="879"/>
      <c r="AX119" s="879"/>
      <c r="AY119" s="879"/>
      <c r="AZ119" s="879"/>
      <c r="BA119" s="879"/>
      <c r="BB119" s="879"/>
      <c r="BC119" s="879"/>
      <c r="BD119" s="879"/>
      <c r="BE119" s="879"/>
      <c r="BF119" s="879"/>
      <c r="BG119" s="879"/>
      <c r="BH119" s="879"/>
      <c r="BI119" s="879"/>
      <c r="BJ119" s="879"/>
      <c r="BK119" s="879"/>
      <c r="BL119" s="879"/>
      <c r="BM119" s="879"/>
      <c r="BN119" s="879"/>
      <c r="BO119" s="879"/>
      <c r="BP119" s="879"/>
      <c r="BQ119" s="879"/>
      <c r="BR119" s="879"/>
      <c r="BS119" s="879"/>
      <c r="BT119" s="879"/>
      <c r="BU119" s="879"/>
    </row>
    <row r="120" spans="1:73" x14ac:dyDescent="0.25">
      <c r="A120" s="879"/>
      <c r="B120" s="879"/>
      <c r="C120" s="903">
        <v>2</v>
      </c>
      <c r="D120" s="883" t="str">
        <f t="shared" ref="D120:G120" ca="1" si="52">OFFSET(D$76,MATCH($C120,$N$101:$N$107,0)*3-2,0)</f>
        <v>Total Capital Investment = $1,672K</v>
      </c>
      <c r="E120" s="896">
        <f t="shared" ca="1" si="52"/>
        <v>6.7245082073347655</v>
      </c>
      <c r="F120" s="896">
        <f t="shared" ca="1" si="52"/>
        <v>0</v>
      </c>
      <c r="G120" s="896">
        <f t="shared" ca="1" si="52"/>
        <v>9.9013257581164714E-3</v>
      </c>
      <c r="H120" s="896"/>
      <c r="I120" s="896"/>
      <c r="J120" s="896"/>
      <c r="K120" s="896"/>
      <c r="L120" s="896"/>
      <c r="M120" s="896"/>
      <c r="N120" s="896"/>
      <c r="O120" s="896"/>
      <c r="P120" s="896"/>
      <c r="Q120" s="896"/>
      <c r="R120" s="896"/>
      <c r="S120" s="896"/>
      <c r="T120" s="879"/>
      <c r="U120" s="879"/>
      <c r="V120" s="879"/>
      <c r="W120" s="879"/>
      <c r="X120" s="879"/>
      <c r="Y120" s="879"/>
      <c r="Z120" s="879"/>
      <c r="AA120" s="879"/>
      <c r="AB120" s="879"/>
      <c r="AC120" s="879"/>
      <c r="AD120" s="879"/>
      <c r="AE120" s="879"/>
      <c r="AF120" s="879"/>
      <c r="AG120" s="879"/>
      <c r="AH120" s="879"/>
      <c r="AI120" s="879"/>
      <c r="AJ120" s="879"/>
      <c r="AK120" s="879"/>
      <c r="AL120" s="879"/>
      <c r="AM120" s="879"/>
      <c r="AN120" s="879"/>
      <c r="AO120" s="879"/>
      <c r="AP120" s="879"/>
      <c r="AQ120" s="879"/>
      <c r="AR120" s="879"/>
      <c r="AS120" s="879"/>
      <c r="AT120" s="879"/>
      <c r="AU120" s="879"/>
      <c r="AV120" s="879"/>
      <c r="AW120" s="879"/>
      <c r="AX120" s="879"/>
      <c r="AY120" s="879"/>
      <c r="AZ120" s="879"/>
      <c r="BA120" s="879"/>
      <c r="BB120" s="879"/>
      <c r="BC120" s="879"/>
      <c r="BD120" s="879"/>
      <c r="BE120" s="879"/>
      <c r="BF120" s="879"/>
      <c r="BG120" s="879"/>
      <c r="BH120" s="879"/>
      <c r="BI120" s="879"/>
      <c r="BJ120" s="879"/>
      <c r="BK120" s="879"/>
      <c r="BL120" s="879"/>
      <c r="BM120" s="879"/>
      <c r="BN120" s="879"/>
      <c r="BO120" s="879"/>
      <c r="BP120" s="879"/>
      <c r="BQ120" s="879"/>
      <c r="BR120" s="879"/>
      <c r="BS120" s="879"/>
      <c r="BT120" s="879"/>
      <c r="BU120" s="879"/>
    </row>
    <row r="121" spans="1:73" x14ac:dyDescent="0.25">
      <c r="A121" s="879"/>
      <c r="B121" s="879"/>
      <c r="C121" s="903"/>
      <c r="D121" s="883"/>
      <c r="E121" s="896"/>
      <c r="F121" s="896"/>
      <c r="G121" s="896"/>
      <c r="H121" s="896">
        <f t="shared" ref="H121:S121" ca="1" si="53">OFFSET(H$76,MATCH($C120,$N$101:$N$107,0)*3-2,0)</f>
        <v>0.18459862010348826</v>
      </c>
      <c r="I121" s="896">
        <f t="shared" ca="1" si="53"/>
        <v>0.12198294571119789</v>
      </c>
      <c r="J121" s="896">
        <f t="shared" ca="1" si="53"/>
        <v>8.3101323062891461E-2</v>
      </c>
      <c r="K121" s="896">
        <f t="shared" ca="1" si="53"/>
        <v>0</v>
      </c>
      <c r="L121" s="896">
        <f t="shared" ca="1" si="53"/>
        <v>9.9013257581164714E-3</v>
      </c>
      <c r="M121" s="896">
        <f t="shared" ca="1" si="53"/>
        <v>0.26527451604907248</v>
      </c>
      <c r="N121" s="896">
        <f t="shared" ca="1" si="53"/>
        <v>5.9121329147869046</v>
      </c>
      <c r="O121" s="896">
        <f t="shared" ca="1" si="53"/>
        <v>0</v>
      </c>
      <c r="P121" s="896">
        <f t="shared" ca="1" si="53"/>
        <v>1.9155093650587734E-2</v>
      </c>
      <c r="Q121" s="896">
        <f t="shared" ca="1" si="53"/>
        <v>9.7159899330815536E-2</v>
      </c>
      <c r="R121" s="896">
        <f t="shared" ca="1" si="53"/>
        <v>3.3099753817008036E-4</v>
      </c>
      <c r="S121" s="896">
        <f t="shared" ca="1" si="53"/>
        <v>4.0771897101637068E-2</v>
      </c>
      <c r="T121" s="879"/>
      <c r="U121" s="879"/>
      <c r="V121" s="879"/>
      <c r="W121" s="879"/>
      <c r="X121" s="879"/>
      <c r="Y121" s="879"/>
      <c r="Z121" s="879"/>
      <c r="AA121" s="879"/>
      <c r="AB121" s="879"/>
      <c r="AC121" s="879"/>
      <c r="AD121" s="879"/>
      <c r="AE121" s="879"/>
      <c r="AF121" s="879"/>
      <c r="AG121" s="879"/>
      <c r="AH121" s="879"/>
      <c r="AI121" s="879"/>
      <c r="AJ121" s="879"/>
      <c r="AK121" s="879"/>
      <c r="AL121" s="879"/>
      <c r="AM121" s="879"/>
      <c r="AN121" s="879"/>
      <c r="AO121" s="879"/>
      <c r="AP121" s="879"/>
      <c r="AQ121" s="879"/>
      <c r="AR121" s="879"/>
      <c r="AS121" s="879"/>
      <c r="AT121" s="879"/>
      <c r="AU121" s="879"/>
      <c r="AV121" s="879"/>
      <c r="AW121" s="879"/>
      <c r="AX121" s="879"/>
      <c r="AY121" s="879"/>
      <c r="AZ121" s="879"/>
      <c r="BA121" s="879"/>
      <c r="BB121" s="879"/>
      <c r="BC121" s="879"/>
      <c r="BD121" s="879"/>
      <c r="BE121" s="879"/>
      <c r="BF121" s="879"/>
      <c r="BG121" s="879"/>
      <c r="BH121" s="879"/>
      <c r="BI121" s="879"/>
      <c r="BJ121" s="879"/>
      <c r="BK121" s="879"/>
      <c r="BL121" s="879"/>
      <c r="BM121" s="879"/>
      <c r="BN121" s="879"/>
      <c r="BO121" s="879"/>
      <c r="BP121" s="879"/>
      <c r="BQ121" s="879"/>
      <c r="BR121" s="879"/>
      <c r="BS121" s="879"/>
      <c r="BT121" s="879"/>
      <c r="BU121" s="879"/>
    </row>
    <row r="122" spans="1:73" x14ac:dyDescent="0.25">
      <c r="A122" s="879"/>
      <c r="B122" s="879"/>
      <c r="C122" s="903">
        <v>2</v>
      </c>
      <c r="D122" s="883" t="str">
        <f t="shared" ref="D122:G122" ca="1" si="54">OFFSET(D$76,MATCH($C122,$N$101:$N$107,0)*3,0)</f>
        <v>Total Capital Investment = $1,848K</v>
      </c>
      <c r="E122" s="896">
        <f t="shared" ca="1" si="54"/>
        <v>6.7641489567716313</v>
      </c>
      <c r="F122" s="896">
        <f t="shared" ca="1" si="54"/>
        <v>0</v>
      </c>
      <c r="G122" s="896">
        <f t="shared" ca="1" si="54"/>
        <v>1.0943570574760312E-2</v>
      </c>
      <c r="H122" s="896"/>
      <c r="I122" s="896"/>
      <c r="J122" s="896"/>
      <c r="K122" s="896"/>
      <c r="L122" s="896"/>
      <c r="M122" s="896"/>
      <c r="N122" s="896"/>
      <c r="O122" s="896"/>
      <c r="P122" s="896"/>
      <c r="Q122" s="896"/>
      <c r="R122" s="896"/>
      <c r="S122" s="896"/>
      <c r="T122" s="879"/>
      <c r="U122" s="879"/>
      <c r="V122" s="879"/>
      <c r="W122" s="879"/>
      <c r="X122" s="879"/>
      <c r="Y122" s="879"/>
      <c r="Z122" s="879"/>
      <c r="AA122" s="879"/>
      <c r="AB122" s="879"/>
      <c r="AC122" s="879"/>
      <c r="AD122" s="879"/>
      <c r="AE122" s="879"/>
      <c r="AF122" s="879"/>
      <c r="AG122" s="879"/>
      <c r="AH122" s="879"/>
      <c r="AI122" s="879"/>
      <c r="AJ122" s="879"/>
      <c r="AK122" s="879"/>
      <c r="AL122" s="879"/>
      <c r="AM122" s="879"/>
      <c r="AN122" s="879"/>
      <c r="AO122" s="879"/>
      <c r="AP122" s="879"/>
      <c r="AQ122" s="879"/>
      <c r="AR122" s="879"/>
      <c r="AS122" s="879"/>
      <c r="AT122" s="879"/>
      <c r="AU122" s="879"/>
      <c r="AV122" s="879"/>
      <c r="AW122" s="879"/>
      <c r="AX122" s="879"/>
      <c r="AY122" s="879"/>
      <c r="AZ122" s="879"/>
      <c r="BA122" s="879"/>
      <c r="BB122" s="879"/>
      <c r="BC122" s="879"/>
      <c r="BD122" s="879"/>
      <c r="BE122" s="879"/>
      <c r="BF122" s="879"/>
      <c r="BG122" s="879"/>
      <c r="BH122" s="879"/>
      <c r="BI122" s="879"/>
      <c r="BJ122" s="879"/>
      <c r="BK122" s="879"/>
      <c r="BL122" s="879"/>
      <c r="BM122" s="879"/>
      <c r="BN122" s="879"/>
      <c r="BO122" s="879"/>
      <c r="BP122" s="879"/>
      <c r="BQ122" s="879"/>
      <c r="BR122" s="879"/>
      <c r="BS122" s="879"/>
      <c r="BT122" s="879"/>
      <c r="BU122" s="879"/>
    </row>
    <row r="123" spans="1:73" x14ac:dyDescent="0.25">
      <c r="A123" s="879"/>
      <c r="B123" s="879"/>
      <c r="C123" s="903"/>
      <c r="D123" s="883"/>
      <c r="E123" s="896"/>
      <c r="F123" s="896"/>
      <c r="G123" s="896"/>
      <c r="H123" s="896">
        <f t="shared" ref="H123:S123" ca="1" si="55">OFFSET(H$76,MATCH($C122,$N$101:$N$107,0)*3,0)</f>
        <v>0.20403005379859224</v>
      </c>
      <c r="I123" s="896">
        <f t="shared" ca="1" si="55"/>
        <v>0.12198294571119789</v>
      </c>
      <c r="J123" s="896">
        <f t="shared" ca="1" si="55"/>
        <v>8.322761884481393E-2</v>
      </c>
      <c r="K123" s="896">
        <f t="shared" ca="1" si="55"/>
        <v>0</v>
      </c>
      <c r="L123" s="896">
        <f t="shared" ca="1" si="55"/>
        <v>1.0943570574760312E-2</v>
      </c>
      <c r="M123" s="896">
        <f t="shared" ca="1" si="55"/>
        <v>0.27470109964042666</v>
      </c>
      <c r="N123" s="896">
        <f t="shared" ca="1" si="55"/>
        <v>5.9121329147869046</v>
      </c>
      <c r="O123" s="896">
        <f t="shared" ca="1" si="55"/>
        <v>0</v>
      </c>
      <c r="P123" s="896">
        <f t="shared" ca="1" si="55"/>
        <v>1.9155093650587734E-2</v>
      </c>
      <c r="Q123" s="896">
        <f t="shared" ca="1" si="55"/>
        <v>0.1073872571551119</v>
      </c>
      <c r="R123" s="896">
        <f t="shared" ca="1" si="55"/>
        <v>-3.5317025599214246E-3</v>
      </c>
      <c r="S123" s="896">
        <f t="shared" ca="1" si="55"/>
        <v>4.5063675743914657E-2</v>
      </c>
      <c r="T123" s="879"/>
      <c r="U123" s="879"/>
      <c r="V123" s="879"/>
      <c r="W123" s="879"/>
      <c r="X123" s="879"/>
      <c r="Y123" s="879"/>
      <c r="Z123" s="879"/>
      <c r="AA123" s="879"/>
      <c r="AB123" s="879"/>
      <c r="AC123" s="879"/>
      <c r="AD123" s="879"/>
      <c r="AE123" s="879"/>
      <c r="AF123" s="879"/>
      <c r="AG123" s="879"/>
      <c r="AH123" s="879"/>
      <c r="AI123" s="879"/>
      <c r="AJ123" s="879"/>
      <c r="AK123" s="879"/>
      <c r="AL123" s="879"/>
      <c r="AM123" s="879"/>
      <c r="AN123" s="879"/>
      <c r="AO123" s="879"/>
      <c r="AP123" s="879"/>
      <c r="AQ123" s="879"/>
      <c r="AR123" s="879"/>
      <c r="AS123" s="879"/>
      <c r="AT123" s="879"/>
      <c r="AU123" s="879"/>
      <c r="AV123" s="879"/>
      <c r="AW123" s="879"/>
      <c r="AX123" s="879"/>
      <c r="AY123" s="879"/>
      <c r="AZ123" s="879"/>
      <c r="BA123" s="879"/>
      <c r="BB123" s="879"/>
      <c r="BC123" s="879"/>
      <c r="BD123" s="879"/>
      <c r="BE123" s="879"/>
      <c r="BF123" s="879"/>
      <c r="BG123" s="879"/>
      <c r="BH123" s="879"/>
      <c r="BI123" s="879"/>
      <c r="BJ123" s="879"/>
      <c r="BK123" s="879"/>
      <c r="BL123" s="879"/>
      <c r="BM123" s="879"/>
      <c r="BN123" s="879"/>
      <c r="BO123" s="879"/>
      <c r="BP123" s="879"/>
      <c r="BQ123" s="879"/>
      <c r="BR123" s="879"/>
      <c r="BS123" s="879"/>
      <c r="BT123" s="879"/>
      <c r="BU123" s="879"/>
    </row>
    <row r="124" spans="1:73" x14ac:dyDescent="0.25">
      <c r="A124" s="879"/>
      <c r="B124" s="879"/>
      <c r="C124" s="903"/>
      <c r="D124" s="883"/>
      <c r="E124" s="896"/>
      <c r="F124" s="896"/>
      <c r="G124" s="896"/>
      <c r="H124" s="896"/>
      <c r="I124" s="896"/>
      <c r="J124" s="896"/>
      <c r="K124" s="896"/>
      <c r="L124" s="896"/>
      <c r="M124" s="896"/>
      <c r="N124" s="896"/>
      <c r="O124" s="896"/>
      <c r="P124" s="896"/>
      <c r="Q124" s="896"/>
      <c r="R124" s="896"/>
      <c r="S124" s="896"/>
      <c r="T124" s="879"/>
      <c r="U124" s="879"/>
      <c r="V124" s="879"/>
      <c r="W124" s="879"/>
      <c r="X124" s="879"/>
      <c r="Y124" s="879"/>
      <c r="Z124" s="879"/>
      <c r="AA124" s="879"/>
      <c r="AB124" s="879"/>
      <c r="AC124" s="879"/>
      <c r="AD124" s="879"/>
      <c r="AE124" s="879"/>
      <c r="AF124" s="879"/>
      <c r="AG124" s="879"/>
      <c r="AH124" s="879"/>
      <c r="AI124" s="879"/>
      <c r="AJ124" s="879"/>
      <c r="AK124" s="879"/>
      <c r="AL124" s="879"/>
      <c r="AM124" s="879"/>
      <c r="AN124" s="879"/>
      <c r="AO124" s="879"/>
      <c r="AP124" s="879"/>
      <c r="AQ124" s="879"/>
      <c r="AR124" s="879"/>
      <c r="AS124" s="879"/>
      <c r="AT124" s="879"/>
      <c r="AU124" s="879"/>
      <c r="AV124" s="879"/>
      <c r="AW124" s="879"/>
      <c r="AX124" s="879"/>
      <c r="AY124" s="879"/>
      <c r="AZ124" s="879"/>
      <c r="BA124" s="879"/>
      <c r="BB124" s="879"/>
      <c r="BC124" s="879"/>
      <c r="BD124" s="879"/>
      <c r="BE124" s="879"/>
      <c r="BF124" s="879"/>
      <c r="BG124" s="879"/>
      <c r="BH124" s="879"/>
      <c r="BI124" s="879"/>
      <c r="BJ124" s="879"/>
      <c r="BK124" s="879"/>
      <c r="BL124" s="879"/>
      <c r="BM124" s="879"/>
      <c r="BN124" s="879"/>
      <c r="BO124" s="879"/>
      <c r="BP124" s="879"/>
      <c r="BQ124" s="879"/>
      <c r="BR124" s="879"/>
      <c r="BS124" s="879"/>
      <c r="BT124" s="879"/>
      <c r="BU124" s="879"/>
    </row>
    <row r="125" spans="1:73" x14ac:dyDescent="0.25">
      <c r="A125" s="879"/>
      <c r="B125" s="879"/>
      <c r="C125" s="903">
        <v>3</v>
      </c>
      <c r="D125" s="883" t="str">
        <f t="shared" ref="D125:G125" ca="1" si="56">OFFSET(D$76,MATCH($C125,$N$101:$N$107,0)*3-2,0)</f>
        <v>Total Fixed Operating Cost = $0,096K</v>
      </c>
      <c r="E125" s="896">
        <f t="shared" ca="1" si="56"/>
        <v>6.7305856385198117</v>
      </c>
      <c r="F125" s="896">
        <f t="shared" ca="1" si="56"/>
        <v>0</v>
      </c>
      <c r="G125" s="896">
        <f t="shared" ca="1" si="56"/>
        <v>1.0422448166438392E-2</v>
      </c>
      <c r="H125" s="896"/>
      <c r="I125" s="896"/>
      <c r="J125" s="896"/>
      <c r="K125" s="896"/>
      <c r="L125" s="896"/>
      <c r="M125" s="896"/>
      <c r="N125" s="896"/>
      <c r="O125" s="896"/>
      <c r="P125" s="896"/>
      <c r="Q125" s="896"/>
      <c r="R125" s="896"/>
      <c r="S125" s="896"/>
      <c r="T125" s="879"/>
      <c r="U125" s="879"/>
      <c r="V125" s="879"/>
      <c r="W125" s="879"/>
      <c r="X125" s="879"/>
      <c r="Y125" s="879"/>
      <c r="Z125" s="879"/>
      <c r="AA125" s="879"/>
      <c r="AB125" s="879"/>
      <c r="AC125" s="879"/>
      <c r="AD125" s="879"/>
      <c r="AE125" s="879"/>
      <c r="AF125" s="879"/>
      <c r="AG125" s="879"/>
      <c r="AH125" s="879"/>
      <c r="AI125" s="879"/>
      <c r="AJ125" s="879"/>
      <c r="AK125" s="879"/>
      <c r="AL125" s="879"/>
      <c r="AM125" s="879"/>
      <c r="AN125" s="879"/>
      <c r="AO125" s="879"/>
      <c r="AP125" s="879"/>
      <c r="AQ125" s="879"/>
      <c r="AR125" s="879"/>
      <c r="AS125" s="879"/>
      <c r="AT125" s="879"/>
      <c r="AU125" s="879"/>
      <c r="AV125" s="879"/>
      <c r="AW125" s="879"/>
      <c r="AX125" s="879"/>
      <c r="AY125" s="879"/>
      <c r="AZ125" s="879"/>
      <c r="BA125" s="879"/>
      <c r="BB125" s="879"/>
      <c r="BC125" s="879"/>
      <c r="BD125" s="879"/>
      <c r="BE125" s="879"/>
      <c r="BF125" s="879"/>
      <c r="BG125" s="879"/>
      <c r="BH125" s="879"/>
      <c r="BI125" s="879"/>
      <c r="BJ125" s="879"/>
      <c r="BK125" s="879"/>
      <c r="BL125" s="879"/>
      <c r="BM125" s="879"/>
      <c r="BN125" s="879"/>
      <c r="BO125" s="879"/>
      <c r="BP125" s="879"/>
      <c r="BQ125" s="879"/>
      <c r="BR125" s="879"/>
      <c r="BS125" s="879"/>
      <c r="BT125" s="879"/>
      <c r="BU125" s="879"/>
    </row>
    <row r="126" spans="1:73" x14ac:dyDescent="0.25">
      <c r="A126" s="879"/>
      <c r="B126" s="879"/>
      <c r="C126" s="903"/>
      <c r="D126" s="883"/>
      <c r="E126" s="896"/>
      <c r="F126" s="896"/>
      <c r="G126" s="896"/>
      <c r="H126" s="896">
        <f t="shared" ref="H126:S126" ca="1" si="57">OFFSET(H$76,MATCH($C125,$N$101:$N$107,0)*3-2,0)</f>
        <v>0.19431433695104025</v>
      </c>
      <c r="I126" s="896">
        <f t="shared" ca="1" si="57"/>
        <v>0.12198294571119789</v>
      </c>
      <c r="J126" s="896">
        <f t="shared" ca="1" si="57"/>
        <v>8.2983608391234712E-2</v>
      </c>
      <c r="K126" s="896">
        <f t="shared" ca="1" si="57"/>
        <v>0</v>
      </c>
      <c r="L126" s="896">
        <f t="shared" ca="1" si="57"/>
        <v>1.0422448166438392E-2</v>
      </c>
      <c r="M126" s="896">
        <f t="shared" ca="1" si="57"/>
        <v>0.25648841745251211</v>
      </c>
      <c r="N126" s="896">
        <f t="shared" ca="1" si="57"/>
        <v>5.9121329147869046</v>
      </c>
      <c r="O126" s="896">
        <f t="shared" ca="1" si="57"/>
        <v>0</v>
      </c>
      <c r="P126" s="896">
        <f t="shared" ca="1" si="57"/>
        <v>1.9155093650587734E-2</v>
      </c>
      <c r="Q126" s="896">
        <f t="shared" ca="1" si="57"/>
        <v>0.10227357824296371</v>
      </c>
      <c r="R126" s="896">
        <f t="shared" ca="1" si="57"/>
        <v>-1.6630430894075646E-3</v>
      </c>
      <c r="S126" s="896">
        <f t="shared" ca="1" si="57"/>
        <v>4.2917786422775855E-2</v>
      </c>
      <c r="T126" s="879"/>
      <c r="U126" s="879"/>
      <c r="V126" s="879"/>
      <c r="W126" s="879"/>
      <c r="X126" s="879"/>
      <c r="Y126" s="879"/>
      <c r="Z126" s="879"/>
      <c r="AA126" s="879"/>
      <c r="AB126" s="879"/>
      <c r="AC126" s="879"/>
      <c r="AD126" s="879"/>
      <c r="AE126" s="879"/>
      <c r="AF126" s="879"/>
      <c r="AG126" s="879"/>
      <c r="AH126" s="879"/>
      <c r="AI126" s="879"/>
      <c r="AJ126" s="879"/>
      <c r="AK126" s="879"/>
      <c r="AL126" s="879"/>
      <c r="AM126" s="879"/>
      <c r="AN126" s="879"/>
      <c r="AO126" s="879"/>
      <c r="AP126" s="879"/>
      <c r="AQ126" s="879"/>
      <c r="AR126" s="879"/>
      <c r="AS126" s="879"/>
      <c r="AT126" s="879"/>
      <c r="AU126" s="879"/>
      <c r="AV126" s="879"/>
      <c r="AW126" s="879"/>
      <c r="AX126" s="879"/>
      <c r="AY126" s="879"/>
      <c r="AZ126" s="879"/>
      <c r="BA126" s="879"/>
      <c r="BB126" s="879"/>
      <c r="BC126" s="879"/>
      <c r="BD126" s="879"/>
      <c r="BE126" s="879"/>
      <c r="BF126" s="879"/>
      <c r="BG126" s="879"/>
      <c r="BH126" s="879"/>
      <c r="BI126" s="879"/>
      <c r="BJ126" s="879"/>
      <c r="BK126" s="879"/>
      <c r="BL126" s="879"/>
      <c r="BM126" s="879"/>
      <c r="BN126" s="879"/>
      <c r="BO126" s="879"/>
      <c r="BP126" s="879"/>
      <c r="BQ126" s="879"/>
      <c r="BR126" s="879"/>
      <c r="BS126" s="879"/>
      <c r="BT126" s="879"/>
      <c r="BU126" s="879"/>
    </row>
    <row r="127" spans="1:73" x14ac:dyDescent="0.25">
      <c r="A127" s="879"/>
      <c r="B127" s="879"/>
      <c r="C127" s="903">
        <v>3</v>
      </c>
      <c r="D127" s="883" t="str">
        <f t="shared" ref="D127:G127" ca="1" si="58">OFFSET(D$76,MATCH($C127,$N$101:$N$107,0)*3,0)</f>
        <v>Total Fixed Operating Cost = $0,106K</v>
      </c>
      <c r="E127" s="896">
        <f t="shared" ca="1" si="58"/>
        <v>6.7580715255865851</v>
      </c>
      <c r="F127" s="896">
        <f t="shared" ca="1" si="58"/>
        <v>0</v>
      </c>
      <c r="G127" s="896">
        <f t="shared" ca="1" si="58"/>
        <v>1.0422448166438392E-2</v>
      </c>
      <c r="H127" s="896"/>
      <c r="I127" s="896"/>
      <c r="J127" s="896"/>
      <c r="K127" s="896"/>
      <c r="L127" s="896"/>
      <c r="M127" s="896"/>
      <c r="N127" s="896"/>
      <c r="O127" s="896"/>
      <c r="P127" s="896"/>
      <c r="Q127" s="896"/>
      <c r="R127" s="896"/>
      <c r="S127" s="896"/>
      <c r="T127" s="879"/>
      <c r="U127" s="879"/>
      <c r="V127" s="879"/>
      <c r="W127" s="879"/>
      <c r="X127" s="879"/>
      <c r="Y127" s="879"/>
      <c r="Z127" s="879"/>
      <c r="AA127" s="879"/>
      <c r="AB127" s="879"/>
      <c r="AC127" s="879"/>
      <c r="AD127" s="879"/>
      <c r="AE127" s="879"/>
      <c r="AF127" s="879"/>
      <c r="AG127" s="879"/>
      <c r="AH127" s="879"/>
      <c r="AI127" s="879"/>
      <c r="AJ127" s="879"/>
      <c r="AK127" s="879"/>
      <c r="AL127" s="879"/>
      <c r="AM127" s="879"/>
      <c r="AN127" s="879"/>
      <c r="AO127" s="879"/>
      <c r="AP127" s="879"/>
      <c r="AQ127" s="879"/>
      <c r="AR127" s="879"/>
      <c r="AS127" s="879"/>
      <c r="AT127" s="879"/>
      <c r="AU127" s="879"/>
      <c r="AV127" s="879"/>
      <c r="AW127" s="879"/>
      <c r="AX127" s="879"/>
      <c r="AY127" s="879"/>
      <c r="AZ127" s="879"/>
      <c r="BA127" s="879"/>
      <c r="BB127" s="879"/>
      <c r="BC127" s="879"/>
      <c r="BD127" s="879"/>
      <c r="BE127" s="879"/>
      <c r="BF127" s="879"/>
      <c r="BG127" s="879"/>
      <c r="BH127" s="879"/>
      <c r="BI127" s="879"/>
      <c r="BJ127" s="879"/>
      <c r="BK127" s="879"/>
      <c r="BL127" s="879"/>
      <c r="BM127" s="879"/>
      <c r="BN127" s="879"/>
      <c r="BO127" s="879"/>
      <c r="BP127" s="879"/>
      <c r="BQ127" s="879"/>
      <c r="BR127" s="879"/>
      <c r="BS127" s="879"/>
      <c r="BT127" s="879"/>
      <c r="BU127" s="879"/>
    </row>
    <row r="128" spans="1:73" x14ac:dyDescent="0.25">
      <c r="A128" s="879"/>
      <c r="B128" s="879"/>
      <c r="C128" s="903"/>
      <c r="D128" s="883"/>
      <c r="E128" s="896"/>
      <c r="F128" s="896"/>
      <c r="G128" s="896"/>
      <c r="H128" s="896">
        <f t="shared" ref="H128:S128" ca="1" si="59">OFFSET(H$76,MATCH($C127,$N$101:$N$107,0)*3,0)</f>
        <v>0.19431433695104025</v>
      </c>
      <c r="I128" s="896">
        <f t="shared" ca="1" si="59"/>
        <v>0.12198294571119789</v>
      </c>
      <c r="J128" s="896">
        <f t="shared" ca="1" si="59"/>
        <v>8.3345333516470665E-2</v>
      </c>
      <c r="K128" s="896">
        <f t="shared" ca="1" si="59"/>
        <v>0</v>
      </c>
      <c r="L128" s="896">
        <f t="shared" ca="1" si="59"/>
        <v>1.0422448166438392E-2</v>
      </c>
      <c r="M128" s="896">
        <f t="shared" ca="1" si="59"/>
        <v>0.28348719823698704</v>
      </c>
      <c r="N128" s="896">
        <f t="shared" ca="1" si="59"/>
        <v>5.9121329147869046</v>
      </c>
      <c r="O128" s="896">
        <f t="shared" ca="1" si="59"/>
        <v>0</v>
      </c>
      <c r="P128" s="896">
        <f t="shared" ca="1" si="59"/>
        <v>1.9155093650587734E-2</v>
      </c>
      <c r="Q128" s="896">
        <f t="shared" ca="1" si="59"/>
        <v>0.10227357824296371</v>
      </c>
      <c r="R128" s="896">
        <f t="shared" ca="1" si="59"/>
        <v>-1.537661932343935E-3</v>
      </c>
      <c r="S128" s="896">
        <f t="shared" ca="1" si="59"/>
        <v>4.2917786422775855E-2</v>
      </c>
      <c r="T128" s="879"/>
      <c r="U128" s="879"/>
      <c r="V128" s="879"/>
      <c r="W128" s="879"/>
      <c r="X128" s="879"/>
      <c r="Y128" s="879"/>
      <c r="Z128" s="879"/>
      <c r="AA128" s="879"/>
      <c r="AB128" s="879"/>
      <c r="AC128" s="879"/>
      <c r="AD128" s="879"/>
      <c r="AE128" s="879"/>
      <c r="AF128" s="879"/>
      <c r="AG128" s="879"/>
      <c r="AH128" s="879"/>
      <c r="AI128" s="879"/>
      <c r="AJ128" s="879"/>
      <c r="AK128" s="879"/>
      <c r="AL128" s="879"/>
      <c r="AM128" s="879"/>
      <c r="AN128" s="879"/>
      <c r="AO128" s="879"/>
      <c r="AP128" s="879"/>
      <c r="AQ128" s="879"/>
      <c r="AR128" s="879"/>
      <c r="AS128" s="879"/>
      <c r="AT128" s="879"/>
      <c r="AU128" s="879"/>
      <c r="AV128" s="879"/>
      <c r="AW128" s="879"/>
      <c r="AX128" s="879"/>
      <c r="AY128" s="879"/>
      <c r="AZ128" s="879"/>
      <c r="BA128" s="879"/>
      <c r="BB128" s="879"/>
      <c r="BC128" s="879"/>
      <c r="BD128" s="879"/>
      <c r="BE128" s="879"/>
      <c r="BF128" s="879"/>
      <c r="BG128" s="879"/>
      <c r="BH128" s="879"/>
      <c r="BI128" s="879"/>
      <c r="BJ128" s="879"/>
      <c r="BK128" s="879"/>
      <c r="BL128" s="879"/>
      <c r="BM128" s="879"/>
      <c r="BN128" s="879"/>
      <c r="BO128" s="879"/>
      <c r="BP128" s="879"/>
      <c r="BQ128" s="879"/>
      <c r="BR128" s="879"/>
      <c r="BS128" s="879"/>
      <c r="BT128" s="879"/>
      <c r="BU128" s="879"/>
    </row>
    <row r="129" spans="1:73" x14ac:dyDescent="0.25">
      <c r="A129" s="879"/>
      <c r="B129" s="879"/>
      <c r="C129" s="903"/>
      <c r="D129" s="883"/>
      <c r="E129" s="896"/>
      <c r="F129" s="896"/>
      <c r="G129" s="896"/>
      <c r="H129" s="896"/>
      <c r="I129" s="896"/>
      <c r="J129" s="896"/>
      <c r="K129" s="896"/>
      <c r="L129" s="896"/>
      <c r="M129" s="896"/>
      <c r="N129" s="896"/>
      <c r="O129" s="896"/>
      <c r="P129" s="896"/>
      <c r="Q129" s="896"/>
      <c r="R129" s="896"/>
      <c r="S129" s="896"/>
      <c r="T129" s="879"/>
      <c r="U129" s="879"/>
      <c r="V129" s="879"/>
      <c r="W129" s="879"/>
      <c r="X129" s="879"/>
      <c r="Y129" s="879"/>
      <c r="Z129" s="879"/>
      <c r="AA129" s="879"/>
      <c r="AB129" s="879"/>
      <c r="AC129" s="879"/>
      <c r="AD129" s="879"/>
      <c r="AE129" s="879"/>
      <c r="AF129" s="879"/>
      <c r="AG129" s="879"/>
      <c r="AH129" s="879"/>
      <c r="AI129" s="879"/>
      <c r="AJ129" s="879"/>
      <c r="AK129" s="879"/>
      <c r="AL129" s="879"/>
      <c r="AM129" s="879"/>
      <c r="AN129" s="879"/>
      <c r="AO129" s="879"/>
      <c r="AP129" s="879"/>
      <c r="AQ129" s="879"/>
      <c r="AR129" s="879"/>
      <c r="AS129" s="879"/>
      <c r="AT129" s="879"/>
      <c r="AU129" s="879"/>
      <c r="AV129" s="879"/>
      <c r="AW129" s="879"/>
      <c r="AX129" s="879"/>
      <c r="AY129" s="879"/>
      <c r="AZ129" s="879"/>
      <c r="BA129" s="879"/>
      <c r="BB129" s="879"/>
      <c r="BC129" s="879"/>
      <c r="BD129" s="879"/>
      <c r="BE129" s="879"/>
      <c r="BF129" s="879"/>
      <c r="BG129" s="879"/>
      <c r="BH129" s="879"/>
      <c r="BI129" s="879"/>
      <c r="BJ129" s="879"/>
      <c r="BK129" s="879"/>
      <c r="BL129" s="879"/>
      <c r="BM129" s="879"/>
      <c r="BN129" s="879"/>
      <c r="BO129" s="879"/>
      <c r="BP129" s="879"/>
      <c r="BQ129" s="879"/>
      <c r="BR129" s="879"/>
      <c r="BS129" s="879"/>
      <c r="BT129" s="879"/>
      <c r="BU129" s="879"/>
    </row>
    <row r="130" spans="1:73" x14ac:dyDescent="0.25">
      <c r="A130" s="879"/>
      <c r="B130" s="879"/>
      <c r="C130" s="903">
        <v>4</v>
      </c>
      <c r="D130" s="883" t="str">
        <f t="shared" ref="D130:G130" ca="1" si="60">OFFSET(D$76,MATCH($C130,$N$101:$N$107,0)*3-2,0)</f>
        <v>Plant Design Capacity (kg of H2/day) = 1,575</v>
      </c>
      <c r="E130" s="896">
        <f t="shared" ca="1" si="60"/>
        <v>6.7351314435808316</v>
      </c>
      <c r="F130" s="896">
        <f t="shared" ca="1" si="60"/>
        <v>0</v>
      </c>
      <c r="G130" s="896">
        <f t="shared" ca="1" si="60"/>
        <v>1.0207098838426626E-2</v>
      </c>
      <c r="H130" s="896"/>
      <c r="I130" s="896"/>
      <c r="J130" s="896"/>
      <c r="K130" s="896"/>
      <c r="L130" s="896"/>
      <c r="M130" s="896"/>
      <c r="N130" s="896"/>
      <c r="O130" s="896"/>
      <c r="P130" s="896"/>
      <c r="Q130" s="896"/>
      <c r="R130" s="896"/>
      <c r="S130" s="896"/>
      <c r="T130" s="879"/>
      <c r="U130" s="879"/>
      <c r="V130" s="879"/>
      <c r="W130" s="879"/>
      <c r="X130" s="879"/>
      <c r="Y130" s="879"/>
      <c r="Z130" s="879"/>
      <c r="AA130" s="879"/>
      <c r="AB130" s="879"/>
      <c r="AC130" s="879"/>
      <c r="AD130" s="879"/>
      <c r="AE130" s="879"/>
      <c r="AF130" s="879"/>
      <c r="AG130" s="879"/>
      <c r="AH130" s="879"/>
      <c r="AI130" s="879"/>
      <c r="AJ130" s="879"/>
      <c r="AK130" s="879"/>
      <c r="AL130" s="879"/>
      <c r="AM130" s="879"/>
      <c r="AN130" s="879"/>
      <c r="AO130" s="879"/>
      <c r="AP130" s="879"/>
      <c r="AQ130" s="879"/>
      <c r="AR130" s="879"/>
      <c r="AS130" s="879"/>
      <c r="AT130" s="879"/>
      <c r="AU130" s="879"/>
      <c r="AV130" s="879"/>
      <c r="AW130" s="879"/>
      <c r="AX130" s="879"/>
      <c r="AY130" s="879"/>
      <c r="AZ130" s="879"/>
      <c r="BA130" s="879"/>
      <c r="BB130" s="879"/>
      <c r="BC130" s="879"/>
      <c r="BD130" s="879"/>
      <c r="BE130" s="879"/>
      <c r="BF130" s="879"/>
      <c r="BG130" s="879"/>
      <c r="BH130" s="879"/>
      <c r="BI130" s="879"/>
      <c r="BJ130" s="879"/>
      <c r="BK130" s="879"/>
      <c r="BL130" s="879"/>
      <c r="BM130" s="879"/>
      <c r="BN130" s="879"/>
      <c r="BO130" s="879"/>
      <c r="BP130" s="879"/>
      <c r="BQ130" s="879"/>
      <c r="BR130" s="879"/>
      <c r="BS130" s="879"/>
      <c r="BT130" s="879"/>
      <c r="BU130" s="879"/>
    </row>
    <row r="131" spans="1:73" x14ac:dyDescent="0.25">
      <c r="A131" s="879"/>
      <c r="B131" s="879"/>
      <c r="C131" s="903"/>
      <c r="D131" s="883"/>
      <c r="E131" s="896"/>
      <c r="F131" s="896"/>
      <c r="G131" s="896"/>
      <c r="H131" s="896">
        <f t="shared" ref="H131:S131" ca="1" si="61">OFFSET(H$76,MATCH($C130,$N$101:$N$107,0)*3-2,0)</f>
        <v>0.1902994009957619</v>
      </c>
      <c r="I131" s="896">
        <f t="shared" ca="1" si="61"/>
        <v>0.11962539552399412</v>
      </c>
      <c r="J131" s="896">
        <f t="shared" ca="1" si="61"/>
        <v>8.3158352517765974E-2</v>
      </c>
      <c r="K131" s="896">
        <f t="shared" ca="1" si="61"/>
        <v>0</v>
      </c>
      <c r="L131" s="896">
        <f t="shared" ca="1" si="61"/>
        <v>1.0207098838426626E-2</v>
      </c>
      <c r="M131" s="896">
        <f t="shared" ca="1" si="61"/>
        <v>0.26953113424613762</v>
      </c>
      <c r="N131" s="896">
        <f t="shared" ca="1" si="61"/>
        <v>5.9121329147869046</v>
      </c>
      <c r="O131" s="896">
        <f t="shared" ca="1" si="61"/>
        <v>0</v>
      </c>
      <c r="P131" s="896">
        <f t="shared" ca="1" si="61"/>
        <v>1.9155093650587731E-2</v>
      </c>
      <c r="Q131" s="896">
        <f t="shared" ca="1" si="61"/>
        <v>0.10016039466111556</v>
      </c>
      <c r="R131" s="896">
        <f t="shared" ca="1" si="61"/>
        <v>-9.6225902221392496E-4</v>
      </c>
      <c r="S131" s="896">
        <f t="shared" ca="1" si="61"/>
        <v>4.2031016220774882E-2</v>
      </c>
      <c r="T131" s="879"/>
      <c r="U131" s="879"/>
      <c r="V131" s="879"/>
      <c r="W131" s="879"/>
      <c r="X131" s="879"/>
      <c r="Y131" s="879"/>
      <c r="Z131" s="879"/>
      <c r="AA131" s="879"/>
      <c r="AB131" s="879"/>
      <c r="AC131" s="879"/>
      <c r="AD131" s="879"/>
      <c r="AE131" s="879"/>
      <c r="AF131" s="879"/>
      <c r="AG131" s="879"/>
      <c r="AH131" s="879"/>
      <c r="AI131" s="879"/>
      <c r="AJ131" s="879"/>
      <c r="AK131" s="879"/>
      <c r="AL131" s="879"/>
      <c r="AM131" s="879"/>
      <c r="AN131" s="879"/>
      <c r="AO131" s="879"/>
      <c r="AP131" s="879"/>
      <c r="AQ131" s="879"/>
      <c r="AR131" s="879"/>
      <c r="AS131" s="879"/>
      <c r="AT131" s="879"/>
      <c r="AU131" s="879"/>
      <c r="AV131" s="879"/>
      <c r="AW131" s="879"/>
      <c r="AX131" s="879"/>
      <c r="AY131" s="879"/>
      <c r="AZ131" s="879"/>
      <c r="BA131" s="879"/>
      <c r="BB131" s="879"/>
      <c r="BC131" s="879"/>
      <c r="BD131" s="879"/>
      <c r="BE131" s="879"/>
      <c r="BF131" s="879"/>
      <c r="BG131" s="879"/>
      <c r="BH131" s="879"/>
      <c r="BI131" s="879"/>
      <c r="BJ131" s="879"/>
      <c r="BK131" s="879"/>
      <c r="BL131" s="879"/>
      <c r="BM131" s="879"/>
      <c r="BN131" s="879"/>
      <c r="BO131" s="879"/>
      <c r="BP131" s="879"/>
      <c r="BQ131" s="879"/>
      <c r="BR131" s="879"/>
      <c r="BS131" s="879"/>
      <c r="BT131" s="879"/>
      <c r="BU131" s="879"/>
    </row>
    <row r="132" spans="1:73" x14ac:dyDescent="0.25">
      <c r="A132" s="879"/>
      <c r="B132" s="879"/>
      <c r="C132" s="903">
        <v>4</v>
      </c>
      <c r="D132" s="883" t="str">
        <f t="shared" ref="D132:G132" ca="1" si="62">OFFSET(D$76,MATCH($C132,$N$101:$N$107,0)*3,0)</f>
        <v>Plant Design Capacity (kg of H2/day) = 1,425</v>
      </c>
      <c r="E132" s="896">
        <f t="shared" ca="1" si="62"/>
        <v>6.7542753417637762</v>
      </c>
      <c r="F132" s="896">
        <f t="shared" ca="1" si="62"/>
        <v>0</v>
      </c>
      <c r="G132" s="896">
        <f t="shared" ca="1" si="62"/>
        <v>1.0654189505982337E-2</v>
      </c>
      <c r="H132" s="896"/>
      <c r="I132" s="896"/>
      <c r="J132" s="896"/>
      <c r="K132" s="896"/>
      <c r="L132" s="896"/>
      <c r="M132" s="896"/>
      <c r="N132" s="896"/>
      <c r="O132" s="896"/>
      <c r="P132" s="896"/>
      <c r="Q132" s="896"/>
      <c r="R132" s="896"/>
      <c r="S132" s="896"/>
      <c r="T132" s="879"/>
      <c r="U132" s="879"/>
      <c r="V132" s="879"/>
      <c r="W132" s="879"/>
      <c r="X132" s="879"/>
      <c r="Y132" s="879"/>
      <c r="Z132" s="879"/>
      <c r="AA132" s="879"/>
      <c r="AB132" s="879"/>
      <c r="AC132" s="879"/>
      <c r="AD132" s="879"/>
      <c r="AE132" s="879"/>
      <c r="AF132" s="879"/>
      <c r="AG132" s="879"/>
      <c r="AH132" s="879"/>
      <c r="AI132" s="879"/>
      <c r="AJ132" s="879"/>
      <c r="AK132" s="879"/>
      <c r="AL132" s="879"/>
      <c r="AM132" s="879"/>
      <c r="AN132" s="879"/>
      <c r="AO132" s="879"/>
      <c r="AP132" s="879"/>
      <c r="AQ132" s="879"/>
      <c r="AR132" s="879"/>
      <c r="AS132" s="879"/>
      <c r="AT132" s="879"/>
      <c r="AU132" s="879"/>
      <c r="AV132" s="879"/>
      <c r="AW132" s="879"/>
      <c r="AX132" s="879"/>
      <c r="AY132" s="879"/>
      <c r="AZ132" s="879"/>
      <c r="BA132" s="879"/>
      <c r="BB132" s="879"/>
      <c r="BC132" s="879"/>
      <c r="BD132" s="879"/>
      <c r="BE132" s="879"/>
      <c r="BF132" s="879"/>
      <c r="BG132" s="879"/>
      <c r="BH132" s="879"/>
      <c r="BI132" s="879"/>
      <c r="BJ132" s="879"/>
      <c r="BK132" s="879"/>
      <c r="BL132" s="879"/>
      <c r="BM132" s="879"/>
      <c r="BN132" s="879"/>
      <c r="BO132" s="879"/>
      <c r="BP132" s="879"/>
      <c r="BQ132" s="879"/>
      <c r="BR132" s="879"/>
      <c r="BS132" s="879"/>
      <c r="BT132" s="879"/>
      <c r="BU132" s="879"/>
    </row>
    <row r="133" spans="1:73" x14ac:dyDescent="0.25">
      <c r="A133" s="879"/>
      <c r="B133" s="879"/>
      <c r="C133" s="903"/>
      <c r="D133" s="883"/>
      <c r="E133" s="896"/>
      <c r="F133" s="896"/>
      <c r="G133" s="896"/>
      <c r="H133" s="896">
        <f t="shared" ref="H133:S133" ca="1" si="63">OFFSET(H$76,MATCH($C132,$N$101:$N$107,0)*3,0)</f>
        <v>0.1986348827593305</v>
      </c>
      <c r="I133" s="896">
        <f t="shared" ca="1" si="63"/>
        <v>0.12451156328280535</v>
      </c>
      <c r="J133" s="896">
        <f t="shared" ca="1" si="63"/>
        <v>8.3171825395302337E-2</v>
      </c>
      <c r="K133" s="896">
        <f t="shared" ca="1" si="63"/>
        <v>0</v>
      </c>
      <c r="L133" s="896">
        <f t="shared" ca="1" si="63"/>
        <v>1.0654189505982337E-2</v>
      </c>
      <c r="M133" s="896">
        <f t="shared" ca="1" si="63"/>
        <v>0.27053673557643676</v>
      </c>
      <c r="N133" s="896">
        <f t="shared" ca="1" si="63"/>
        <v>5.9121329147869064</v>
      </c>
      <c r="O133" s="896">
        <f t="shared" ca="1" si="63"/>
        <v>0</v>
      </c>
      <c r="P133" s="896">
        <f t="shared" ca="1" si="63"/>
        <v>1.9155093650587738E-2</v>
      </c>
      <c r="Q133" s="896">
        <f t="shared" ca="1" si="63"/>
        <v>0.10454761363690285</v>
      </c>
      <c r="R133" s="896">
        <f t="shared" ca="1" si="63"/>
        <v>-2.2873433350939789E-3</v>
      </c>
      <c r="S133" s="896">
        <f t="shared" ca="1" si="63"/>
        <v>4.3872056010597064E-2</v>
      </c>
      <c r="T133" s="879"/>
      <c r="U133" s="879"/>
      <c r="V133" s="879"/>
      <c r="W133" s="879"/>
      <c r="X133" s="879"/>
      <c r="Y133" s="879"/>
      <c r="Z133" s="879"/>
      <c r="AA133" s="879"/>
      <c r="AB133" s="879"/>
      <c r="AC133" s="879"/>
      <c r="AD133" s="879"/>
      <c r="AE133" s="879"/>
      <c r="AF133" s="879"/>
      <c r="AG133" s="879"/>
      <c r="AH133" s="879"/>
      <c r="AI133" s="879"/>
      <c r="AJ133" s="879"/>
      <c r="AK133" s="879"/>
      <c r="AL133" s="879"/>
      <c r="AM133" s="879"/>
      <c r="AN133" s="879"/>
      <c r="AO133" s="879"/>
      <c r="AP133" s="879"/>
      <c r="AQ133" s="879"/>
      <c r="AR133" s="879"/>
      <c r="AS133" s="879"/>
      <c r="AT133" s="879"/>
      <c r="AU133" s="879"/>
      <c r="AV133" s="879"/>
      <c r="AW133" s="879"/>
      <c r="AX133" s="879"/>
      <c r="AY133" s="879"/>
      <c r="AZ133" s="879"/>
      <c r="BA133" s="879"/>
      <c r="BB133" s="879"/>
      <c r="BC133" s="879"/>
      <c r="BD133" s="879"/>
      <c r="BE133" s="879"/>
      <c r="BF133" s="879"/>
      <c r="BG133" s="879"/>
      <c r="BH133" s="879"/>
      <c r="BI133" s="879"/>
      <c r="BJ133" s="879"/>
      <c r="BK133" s="879"/>
      <c r="BL133" s="879"/>
      <c r="BM133" s="879"/>
      <c r="BN133" s="879"/>
      <c r="BO133" s="879"/>
      <c r="BP133" s="879"/>
      <c r="BQ133" s="879"/>
      <c r="BR133" s="879"/>
      <c r="BS133" s="879"/>
      <c r="BT133" s="879"/>
      <c r="BU133" s="879"/>
    </row>
    <row r="134" spans="1:73" x14ac:dyDescent="0.25">
      <c r="A134" s="879"/>
      <c r="B134" s="879"/>
      <c r="C134" s="903"/>
      <c r="D134" s="883"/>
      <c r="E134" s="896"/>
      <c r="F134" s="896"/>
      <c r="G134" s="896"/>
      <c r="H134" s="896"/>
      <c r="I134" s="896"/>
      <c r="J134" s="896"/>
      <c r="K134" s="896"/>
      <c r="L134" s="896"/>
      <c r="M134" s="896"/>
      <c r="N134" s="896"/>
      <c r="O134" s="896"/>
      <c r="P134" s="896"/>
      <c r="Q134" s="896"/>
      <c r="R134" s="896"/>
      <c r="S134" s="896"/>
      <c r="T134" s="879"/>
      <c r="U134" s="879"/>
      <c r="V134" s="879"/>
      <c r="W134" s="879"/>
      <c r="X134" s="879"/>
      <c r="Y134" s="879"/>
      <c r="Z134" s="879"/>
      <c r="AA134" s="879"/>
      <c r="AB134" s="879"/>
      <c r="AC134" s="879"/>
      <c r="AD134" s="879"/>
      <c r="AE134" s="879"/>
      <c r="AF134" s="879"/>
      <c r="AG134" s="879"/>
      <c r="AH134" s="879"/>
      <c r="AI134" s="879"/>
      <c r="AJ134" s="879"/>
      <c r="AK134" s="879"/>
      <c r="AL134" s="879"/>
      <c r="AM134" s="879"/>
      <c r="AN134" s="879"/>
      <c r="AO134" s="879"/>
      <c r="AP134" s="879"/>
      <c r="AQ134" s="879"/>
      <c r="AR134" s="879"/>
      <c r="AS134" s="879"/>
      <c r="AT134" s="879"/>
      <c r="AU134" s="879"/>
      <c r="AV134" s="879"/>
      <c r="AW134" s="879"/>
      <c r="AX134" s="879"/>
      <c r="AY134" s="879"/>
      <c r="AZ134" s="879"/>
      <c r="BA134" s="879"/>
      <c r="BB134" s="879"/>
      <c r="BC134" s="879"/>
      <c r="BD134" s="879"/>
      <c r="BE134" s="879"/>
      <c r="BF134" s="879"/>
      <c r="BG134" s="879"/>
      <c r="BH134" s="879"/>
      <c r="BI134" s="879"/>
      <c r="BJ134" s="879"/>
      <c r="BK134" s="879"/>
      <c r="BL134" s="879"/>
      <c r="BM134" s="879"/>
      <c r="BN134" s="879"/>
      <c r="BO134" s="879"/>
      <c r="BP134" s="879"/>
      <c r="BQ134" s="879"/>
      <c r="BR134" s="879"/>
      <c r="BS134" s="879"/>
      <c r="BT134" s="879"/>
      <c r="BU134" s="879"/>
    </row>
    <row r="135" spans="1:73" x14ac:dyDescent="0.25">
      <c r="A135" s="879"/>
      <c r="B135" s="879"/>
      <c r="C135" s="903">
        <v>5</v>
      </c>
      <c r="D135" s="883" t="str">
        <f t="shared" ref="D135:G135" ca="1" si="64">OFFSET(D$76,MATCH($C135,$N$101:$N$107,0)*3-2,0)</f>
        <v>After-tax Real IRR = 8%</v>
      </c>
      <c r="E135" s="896">
        <f t="shared" ca="1" si="64"/>
        <v>6.7398361443768522</v>
      </c>
      <c r="F135" s="896">
        <f t="shared" ca="1" si="64"/>
        <v>0</v>
      </c>
      <c r="G135" s="896">
        <f t="shared" ca="1" si="64"/>
        <v>1.0886462769928731E-2</v>
      </c>
      <c r="H135" s="896"/>
      <c r="I135" s="896"/>
      <c r="J135" s="896"/>
      <c r="K135" s="896"/>
      <c r="L135" s="896"/>
      <c r="M135" s="896"/>
      <c r="N135" s="896"/>
      <c r="O135" s="896"/>
      <c r="P135" s="896"/>
      <c r="Q135" s="896"/>
      <c r="R135" s="896"/>
      <c r="S135" s="896"/>
      <c r="T135" s="879"/>
      <c r="U135" s="879"/>
      <c r="V135" s="879"/>
      <c r="W135" s="879"/>
      <c r="X135" s="879"/>
      <c r="Y135" s="879"/>
      <c r="Z135" s="879"/>
      <c r="AA135" s="879"/>
      <c r="AB135" s="879"/>
      <c r="AC135" s="879"/>
      <c r="AD135" s="879"/>
      <c r="AE135" s="879"/>
      <c r="AF135" s="879"/>
      <c r="AG135" s="879"/>
      <c r="AH135" s="879"/>
      <c r="AI135" s="879"/>
      <c r="AJ135" s="879"/>
      <c r="AK135" s="879"/>
      <c r="AL135" s="879"/>
      <c r="AM135" s="879"/>
      <c r="AN135" s="879"/>
      <c r="AO135" s="879"/>
      <c r="AP135" s="879"/>
      <c r="AQ135" s="879"/>
      <c r="AR135" s="879"/>
      <c r="AS135" s="879"/>
      <c r="AT135" s="879"/>
      <c r="AU135" s="879"/>
      <c r="AV135" s="879"/>
      <c r="AW135" s="879"/>
      <c r="AX135" s="879"/>
      <c r="AY135" s="879"/>
      <c r="AZ135" s="879"/>
      <c r="BA135" s="879"/>
      <c r="BB135" s="879"/>
      <c r="BC135" s="879"/>
      <c r="BD135" s="879"/>
      <c r="BE135" s="879"/>
      <c r="BF135" s="879"/>
      <c r="BG135" s="879"/>
      <c r="BH135" s="879"/>
      <c r="BI135" s="879"/>
      <c r="BJ135" s="879"/>
      <c r="BK135" s="879"/>
      <c r="BL135" s="879"/>
      <c r="BM135" s="879"/>
      <c r="BN135" s="879"/>
      <c r="BO135" s="879"/>
      <c r="BP135" s="879"/>
      <c r="BQ135" s="879"/>
      <c r="BR135" s="879"/>
      <c r="BS135" s="879"/>
      <c r="BT135" s="879"/>
      <c r="BU135" s="879"/>
    </row>
    <row r="136" spans="1:73" x14ac:dyDescent="0.25">
      <c r="A136" s="879"/>
      <c r="B136" s="879"/>
      <c r="C136" s="903"/>
      <c r="D136" s="883"/>
      <c r="E136" s="896"/>
      <c r="F136" s="896"/>
      <c r="G136" s="896"/>
      <c r="H136" s="896">
        <f t="shared" ref="H136:S136" ca="1" si="65">OFFSET(H$76,MATCH($C135,$N$101:$N$107,0)*3-2,0)</f>
        <v>0.188448293755897</v>
      </c>
      <c r="I136" s="896">
        <f t="shared" ca="1" si="65"/>
        <v>0.12290839424382713</v>
      </c>
      <c r="J136" s="896">
        <f t="shared" ca="1" si="65"/>
        <v>8.0046783020920872E-2</v>
      </c>
      <c r="K136" s="896">
        <f t="shared" ca="1" si="65"/>
        <v>0</v>
      </c>
      <c r="L136" s="896">
        <f t="shared" ca="1" si="65"/>
        <v>1.0886462769928731E-2</v>
      </c>
      <c r="M136" s="896">
        <f t="shared" ca="1" si="65"/>
        <v>0.26990219128405518</v>
      </c>
      <c r="N136" s="896">
        <f t="shared" ca="1" si="65"/>
        <v>5.9148727670211576</v>
      </c>
      <c r="O136" s="896">
        <f t="shared" ca="1" si="65"/>
        <v>0</v>
      </c>
      <c r="P136" s="896">
        <f t="shared" ca="1" si="65"/>
        <v>1.9155093650587731E-2</v>
      </c>
      <c r="Q136" s="896">
        <f t="shared" ca="1" si="65"/>
        <v>0.10170587558175297</v>
      </c>
      <c r="R136" s="896">
        <f t="shared" ca="1" si="65"/>
        <v>-2.0317701497742451E-3</v>
      </c>
      <c r="S136" s="896">
        <f t="shared" ca="1" si="65"/>
        <v>4.4828515968428545E-2</v>
      </c>
      <c r="T136" s="879"/>
      <c r="U136" s="879"/>
      <c r="V136" s="879"/>
      <c r="W136" s="879"/>
      <c r="X136" s="879"/>
      <c r="Y136" s="879"/>
      <c r="Z136" s="879"/>
      <c r="AA136" s="879"/>
      <c r="AB136" s="879"/>
      <c r="AC136" s="879"/>
      <c r="AD136" s="879"/>
      <c r="AE136" s="879"/>
      <c r="AF136" s="879"/>
      <c r="AG136" s="879"/>
      <c r="AH136" s="879"/>
      <c r="AI136" s="879"/>
      <c r="AJ136" s="879"/>
      <c r="AK136" s="879"/>
      <c r="AL136" s="879"/>
      <c r="AM136" s="879"/>
      <c r="AN136" s="879"/>
      <c r="AO136" s="879"/>
      <c r="AP136" s="879"/>
      <c r="AQ136" s="879"/>
      <c r="AR136" s="879"/>
      <c r="AS136" s="879"/>
      <c r="AT136" s="879"/>
      <c r="AU136" s="879"/>
      <c r="AV136" s="879"/>
      <c r="AW136" s="879"/>
      <c r="AX136" s="879"/>
      <c r="AY136" s="879"/>
      <c r="AZ136" s="879"/>
      <c r="BA136" s="879"/>
      <c r="BB136" s="879"/>
      <c r="BC136" s="879"/>
      <c r="BD136" s="879"/>
      <c r="BE136" s="879"/>
      <c r="BF136" s="879"/>
      <c r="BG136" s="879"/>
      <c r="BH136" s="879"/>
      <c r="BI136" s="879"/>
      <c r="BJ136" s="879"/>
      <c r="BK136" s="879"/>
      <c r="BL136" s="879"/>
      <c r="BM136" s="879"/>
      <c r="BN136" s="879"/>
      <c r="BO136" s="879"/>
      <c r="BP136" s="879"/>
      <c r="BQ136" s="879"/>
      <c r="BR136" s="879"/>
      <c r="BS136" s="879"/>
      <c r="BT136" s="879"/>
      <c r="BU136" s="879"/>
    </row>
    <row r="137" spans="1:73" x14ac:dyDescent="0.25">
      <c r="A137" s="879"/>
      <c r="B137" s="879"/>
      <c r="C137" s="903">
        <v>5</v>
      </c>
      <c r="D137" s="883" t="str">
        <f t="shared" ref="D137:G137" ca="1" si="66">OFFSET(D$76,MATCH($C137,$N$101:$N$107,0)*3,0)</f>
        <v>After-tax Real IRR = 8%</v>
      </c>
      <c r="E137" s="896">
        <f t="shared" ca="1" si="66"/>
        <v>6.7488329065114865</v>
      </c>
      <c r="F137" s="896">
        <f t="shared" ca="1" si="66"/>
        <v>0</v>
      </c>
      <c r="G137" s="896">
        <f t="shared" ca="1" si="66"/>
        <v>9.9758378652312855E-3</v>
      </c>
      <c r="H137" s="896"/>
      <c r="I137" s="896"/>
      <c r="J137" s="896"/>
      <c r="K137" s="896"/>
      <c r="L137" s="896"/>
      <c r="M137" s="896"/>
      <c r="N137" s="896"/>
      <c r="O137" s="896"/>
      <c r="P137" s="896"/>
      <c r="Q137" s="896"/>
      <c r="R137" s="896"/>
      <c r="S137" s="896"/>
      <c r="T137" s="879"/>
      <c r="U137" s="879"/>
      <c r="V137" s="879"/>
      <c r="W137" s="879"/>
      <c r="X137" s="879"/>
      <c r="Y137" s="879"/>
      <c r="Z137" s="879"/>
      <c r="AA137" s="879"/>
      <c r="AB137" s="879"/>
      <c r="AC137" s="879"/>
      <c r="AD137" s="879"/>
      <c r="AE137" s="879"/>
      <c r="AF137" s="879"/>
      <c r="AG137" s="879"/>
      <c r="AH137" s="879"/>
      <c r="AI137" s="879"/>
      <c r="AJ137" s="879"/>
      <c r="AK137" s="879"/>
      <c r="AL137" s="879"/>
      <c r="AM137" s="879"/>
      <c r="AN137" s="879"/>
      <c r="AO137" s="879"/>
      <c r="AP137" s="879"/>
      <c r="AQ137" s="879"/>
      <c r="AR137" s="879"/>
      <c r="AS137" s="879"/>
      <c r="AT137" s="879"/>
      <c r="AU137" s="879"/>
      <c r="AV137" s="879"/>
      <c r="AW137" s="879"/>
      <c r="AX137" s="879"/>
      <c r="AY137" s="879"/>
      <c r="AZ137" s="879"/>
      <c r="BA137" s="879"/>
      <c r="BB137" s="879"/>
      <c r="BC137" s="879"/>
      <c r="BD137" s="879"/>
      <c r="BE137" s="879"/>
      <c r="BF137" s="879"/>
      <c r="BG137" s="879"/>
      <c r="BH137" s="879"/>
      <c r="BI137" s="879"/>
      <c r="BJ137" s="879"/>
      <c r="BK137" s="879"/>
      <c r="BL137" s="879"/>
      <c r="BM137" s="879"/>
      <c r="BN137" s="879"/>
      <c r="BO137" s="879"/>
      <c r="BP137" s="879"/>
      <c r="BQ137" s="879"/>
      <c r="BR137" s="879"/>
      <c r="BS137" s="879"/>
      <c r="BT137" s="879"/>
      <c r="BU137" s="879"/>
    </row>
    <row r="138" spans="1:73" x14ac:dyDescent="0.25">
      <c r="A138" s="879"/>
      <c r="B138" s="879"/>
      <c r="C138" s="903"/>
      <c r="D138" s="883"/>
      <c r="E138" s="896"/>
      <c r="F138" s="896"/>
      <c r="G138" s="896"/>
      <c r="H138" s="896">
        <f t="shared" ref="H138:S138" ca="1" si="67">OFFSET(H$76,MATCH($C137,$N$101:$N$107,0)*3,0)</f>
        <v>0.20026037147306291</v>
      </c>
      <c r="I138" s="896">
        <f t="shared" ca="1" si="67"/>
        <v>0.1210349477733048</v>
      </c>
      <c r="J138" s="896">
        <f t="shared" ca="1" si="67"/>
        <v>8.6257605126148634E-2</v>
      </c>
      <c r="K138" s="896">
        <f t="shared" ca="1" si="67"/>
        <v>0</v>
      </c>
      <c r="L138" s="896">
        <f t="shared" ca="1" si="67"/>
        <v>9.9758378652312855E-3</v>
      </c>
      <c r="M138" s="896">
        <f t="shared" ca="1" si="67"/>
        <v>0.27007411349004551</v>
      </c>
      <c r="N138" s="896">
        <f t="shared" ca="1" si="67"/>
        <v>5.9092542574910798</v>
      </c>
      <c r="O138" s="896">
        <f t="shared" ca="1" si="67"/>
        <v>0</v>
      </c>
      <c r="P138" s="896">
        <f t="shared" ca="1" si="67"/>
        <v>1.9155093650587745E-2</v>
      </c>
      <c r="Q138" s="896">
        <f t="shared" ca="1" si="67"/>
        <v>0.10284394125693452</v>
      </c>
      <c r="R138" s="896">
        <f t="shared" ca="1" si="67"/>
        <v>-1.1261484457542712E-3</v>
      </c>
      <c r="S138" s="896">
        <f t="shared" ca="1" si="67"/>
        <v>4.1078724696075208E-2</v>
      </c>
      <c r="T138" s="879"/>
      <c r="U138" s="879"/>
      <c r="V138" s="879"/>
      <c r="W138" s="879"/>
      <c r="X138" s="879"/>
      <c r="Y138" s="879"/>
      <c r="Z138" s="879"/>
      <c r="AA138" s="879"/>
      <c r="AB138" s="879"/>
      <c r="AC138" s="879"/>
      <c r="AD138" s="879"/>
      <c r="AE138" s="879"/>
      <c r="AF138" s="879"/>
      <c r="AG138" s="879"/>
      <c r="AH138" s="879"/>
      <c r="AI138" s="879"/>
      <c r="AJ138" s="879"/>
      <c r="AK138" s="879"/>
      <c r="AL138" s="879"/>
      <c r="AM138" s="879"/>
      <c r="AN138" s="879"/>
      <c r="AO138" s="879"/>
      <c r="AP138" s="879"/>
      <c r="AQ138" s="879"/>
      <c r="AR138" s="879"/>
      <c r="AS138" s="879"/>
      <c r="AT138" s="879"/>
      <c r="AU138" s="879"/>
      <c r="AV138" s="879"/>
      <c r="AW138" s="879"/>
      <c r="AX138" s="879"/>
      <c r="AY138" s="879"/>
      <c r="AZ138" s="879"/>
      <c r="BA138" s="879"/>
      <c r="BB138" s="879"/>
      <c r="BC138" s="879"/>
      <c r="BD138" s="879"/>
      <c r="BE138" s="879"/>
      <c r="BF138" s="879"/>
      <c r="BG138" s="879"/>
      <c r="BH138" s="879"/>
      <c r="BI138" s="879"/>
      <c r="BJ138" s="879"/>
      <c r="BK138" s="879"/>
      <c r="BL138" s="879"/>
      <c r="BM138" s="879"/>
      <c r="BN138" s="879"/>
      <c r="BO138" s="879"/>
      <c r="BP138" s="879"/>
      <c r="BQ138" s="879"/>
      <c r="BR138" s="879"/>
      <c r="BS138" s="879"/>
      <c r="BT138" s="879"/>
      <c r="BU138" s="879"/>
    </row>
    <row r="139" spans="1:73" x14ac:dyDescent="0.25">
      <c r="A139" s="879"/>
      <c r="B139" s="879"/>
      <c r="C139" s="903"/>
      <c r="D139" s="883"/>
      <c r="E139" s="896"/>
      <c r="F139" s="896"/>
      <c r="G139" s="896"/>
      <c r="H139" s="896"/>
      <c r="I139" s="896"/>
      <c r="J139" s="896"/>
      <c r="K139" s="896"/>
      <c r="L139" s="896"/>
      <c r="M139" s="896"/>
      <c r="N139" s="896"/>
      <c r="O139" s="896"/>
      <c r="P139" s="896"/>
      <c r="Q139" s="896"/>
      <c r="R139" s="896"/>
      <c r="S139" s="896"/>
      <c r="T139" s="879"/>
      <c r="U139" s="879"/>
      <c r="V139" s="879"/>
      <c r="W139" s="879"/>
      <c r="X139" s="879"/>
      <c r="Y139" s="879"/>
      <c r="Z139" s="879"/>
      <c r="AA139" s="879"/>
      <c r="AB139" s="879"/>
      <c r="AC139" s="879"/>
      <c r="AD139" s="879"/>
      <c r="AE139" s="879"/>
      <c r="AF139" s="879"/>
      <c r="AG139" s="879"/>
      <c r="AH139" s="879"/>
      <c r="AI139" s="879"/>
      <c r="AJ139" s="879"/>
      <c r="AK139" s="879"/>
      <c r="AL139" s="879"/>
      <c r="AM139" s="879"/>
      <c r="AN139" s="879"/>
      <c r="AO139" s="879"/>
      <c r="AP139" s="879"/>
      <c r="AQ139" s="879"/>
      <c r="AR139" s="879"/>
      <c r="AS139" s="879"/>
      <c r="AT139" s="879"/>
      <c r="AU139" s="879"/>
      <c r="AV139" s="879"/>
      <c r="AW139" s="879"/>
      <c r="AX139" s="879"/>
      <c r="AY139" s="879"/>
      <c r="AZ139" s="879"/>
      <c r="BA139" s="879"/>
      <c r="BB139" s="879"/>
      <c r="BC139" s="879"/>
      <c r="BD139" s="879"/>
      <c r="BE139" s="879"/>
      <c r="BF139" s="879"/>
      <c r="BG139" s="879"/>
      <c r="BH139" s="879"/>
      <c r="BI139" s="879"/>
      <c r="BJ139" s="879"/>
      <c r="BK139" s="879"/>
      <c r="BL139" s="879"/>
      <c r="BM139" s="879"/>
      <c r="BN139" s="879"/>
      <c r="BO139" s="879"/>
      <c r="BP139" s="879"/>
      <c r="BQ139" s="879"/>
      <c r="BR139" s="879"/>
      <c r="BS139" s="879"/>
      <c r="BT139" s="879"/>
      <c r="BU139" s="879"/>
    </row>
    <row r="140" spans="1:73" x14ac:dyDescent="0.25">
      <c r="A140" s="879"/>
      <c r="B140" s="879"/>
      <c r="C140" s="903">
        <v>6</v>
      </c>
      <c r="D140" s="883" t="str">
        <f t="shared" ref="D140:G140" ca="1" si="68">OFFSET(D$76,MATCH($C140,$N$101:$N$107,0)*3-2,0)</f>
        <v>Feedstock Consumption (% of baseline) = 95%</v>
      </c>
      <c r="E140" s="896">
        <f t="shared" ca="1" si="68"/>
        <v>6.7415777638161085</v>
      </c>
      <c r="F140" s="896">
        <f t="shared" ca="1" si="68"/>
        <v>0</v>
      </c>
      <c r="G140" s="896">
        <f t="shared" ca="1" si="68"/>
        <v>1.0422448166438392E-2</v>
      </c>
      <c r="H140" s="896"/>
      <c r="I140" s="896"/>
      <c r="J140" s="896"/>
      <c r="K140" s="896"/>
      <c r="L140" s="896"/>
      <c r="M140" s="896"/>
      <c r="N140" s="896"/>
      <c r="O140" s="896"/>
      <c r="P140" s="896"/>
      <c r="Q140" s="896"/>
      <c r="R140" s="896"/>
      <c r="S140" s="896"/>
      <c r="T140" s="879"/>
      <c r="U140" s="879"/>
      <c r="V140" s="879"/>
      <c r="W140" s="879"/>
      <c r="X140" s="879"/>
      <c r="Y140" s="879"/>
      <c r="Z140" s="879"/>
      <c r="AA140" s="879"/>
      <c r="AB140" s="879"/>
      <c r="AC140" s="879"/>
      <c r="AD140" s="879"/>
      <c r="AE140" s="879"/>
      <c r="AF140" s="879"/>
      <c r="AG140" s="879"/>
      <c r="AH140" s="879"/>
      <c r="AI140" s="879"/>
      <c r="AJ140" s="879"/>
      <c r="AK140" s="879"/>
      <c r="AL140" s="879"/>
      <c r="AM140" s="879"/>
      <c r="AN140" s="879"/>
      <c r="AO140" s="879"/>
      <c r="AP140" s="879"/>
      <c r="AQ140" s="879"/>
      <c r="AR140" s="879"/>
      <c r="AS140" s="879"/>
      <c r="AT140" s="879"/>
      <c r="AU140" s="879"/>
      <c r="AV140" s="879"/>
      <c r="AW140" s="879"/>
      <c r="AX140" s="879"/>
      <c r="AY140" s="879"/>
      <c r="AZ140" s="879"/>
      <c r="BA140" s="879"/>
      <c r="BB140" s="879"/>
      <c r="BC140" s="879"/>
      <c r="BD140" s="879"/>
      <c r="BE140" s="879"/>
      <c r="BF140" s="879"/>
      <c r="BG140" s="879"/>
      <c r="BH140" s="879"/>
      <c r="BI140" s="879"/>
      <c r="BJ140" s="879"/>
      <c r="BK140" s="879"/>
      <c r="BL140" s="879"/>
      <c r="BM140" s="879"/>
      <c r="BN140" s="879"/>
      <c r="BO140" s="879"/>
      <c r="BP140" s="879"/>
      <c r="BQ140" s="879"/>
      <c r="BR140" s="879"/>
      <c r="BS140" s="879"/>
      <c r="BT140" s="879"/>
      <c r="BU140" s="879"/>
    </row>
    <row r="141" spans="1:73" x14ac:dyDescent="0.25">
      <c r="A141" s="879"/>
      <c r="B141" s="879"/>
      <c r="C141" s="903"/>
      <c r="D141" s="883"/>
      <c r="E141" s="896"/>
      <c r="F141" s="896"/>
      <c r="G141" s="896"/>
      <c r="H141" s="896">
        <f t="shared" ref="H141:S141" ca="1" si="69">OFFSET(H$76,MATCH($C140,$N$101:$N$107,0)*3-2,0)</f>
        <v>0.19431433695104025</v>
      </c>
      <c r="I141" s="896">
        <f t="shared" ca="1" si="69"/>
        <v>0.12198294571119789</v>
      </c>
      <c r="J141" s="896">
        <f t="shared" ca="1" si="69"/>
        <v>8.3128318302260501E-2</v>
      </c>
      <c r="K141" s="896">
        <f t="shared" ca="1" si="69"/>
        <v>0</v>
      </c>
      <c r="L141" s="896">
        <f t="shared" ca="1" si="69"/>
        <v>1.0422448166438392E-2</v>
      </c>
      <c r="M141" s="896">
        <f t="shared" ca="1" si="69"/>
        <v>0.26998780784474952</v>
      </c>
      <c r="N141" s="896">
        <f t="shared" ca="1" si="69"/>
        <v>5.9094307804329169</v>
      </c>
      <c r="O141" s="896">
        <f t="shared" ca="1" si="69"/>
        <v>0</v>
      </c>
      <c r="P141" s="896">
        <f t="shared" ca="1" si="69"/>
        <v>1.9155093650587734E-2</v>
      </c>
      <c r="Q141" s="896">
        <f t="shared" ca="1" si="69"/>
        <v>0.10227357824296371</v>
      </c>
      <c r="R141" s="896">
        <f t="shared" ca="1" si="69"/>
        <v>-1.612883742386806E-3</v>
      </c>
      <c r="S141" s="896">
        <f t="shared" ca="1" si="69"/>
        <v>4.2917786422775855E-2</v>
      </c>
      <c r="T141" s="879"/>
      <c r="U141" s="879"/>
      <c r="V141" s="879"/>
      <c r="W141" s="879"/>
      <c r="X141" s="879"/>
      <c r="Y141" s="879"/>
      <c r="Z141" s="879"/>
      <c r="AA141" s="879"/>
      <c r="AB141" s="879"/>
      <c r="AC141" s="879"/>
      <c r="AD141" s="879"/>
      <c r="AE141" s="879"/>
      <c r="AF141" s="879"/>
      <c r="AG141" s="879"/>
      <c r="AH141" s="879"/>
      <c r="AI141" s="879"/>
      <c r="AJ141" s="879"/>
      <c r="AK141" s="879"/>
      <c r="AL141" s="879"/>
      <c r="AM141" s="879"/>
      <c r="AN141" s="879"/>
      <c r="AO141" s="879"/>
      <c r="AP141" s="879"/>
      <c r="AQ141" s="879"/>
      <c r="AR141" s="879"/>
      <c r="AS141" s="879"/>
      <c r="AT141" s="879"/>
      <c r="AU141" s="879"/>
      <c r="AV141" s="879"/>
      <c r="AW141" s="879"/>
      <c r="AX141" s="879"/>
      <c r="AY141" s="879"/>
      <c r="AZ141" s="879"/>
      <c r="BA141" s="879"/>
      <c r="BB141" s="879"/>
      <c r="BC141" s="879"/>
      <c r="BD141" s="879"/>
      <c r="BE141" s="879"/>
      <c r="BF141" s="879"/>
      <c r="BG141" s="879"/>
      <c r="BH141" s="879"/>
      <c r="BI141" s="879"/>
      <c r="BJ141" s="879"/>
      <c r="BK141" s="879"/>
      <c r="BL141" s="879"/>
      <c r="BM141" s="879"/>
      <c r="BN141" s="879"/>
      <c r="BO141" s="879"/>
      <c r="BP141" s="879"/>
      <c r="BQ141" s="879"/>
      <c r="BR141" s="879"/>
      <c r="BS141" s="879"/>
      <c r="BT141" s="879"/>
      <c r="BU141" s="879"/>
    </row>
    <row r="142" spans="1:73" x14ac:dyDescent="0.25">
      <c r="A142" s="879"/>
      <c r="B142" s="879"/>
      <c r="C142" s="903">
        <v>6</v>
      </c>
      <c r="D142" s="883" t="str">
        <f t="shared" ref="D142:G142" ca="1" si="70">OFFSET(D$76,MATCH($C142,$N$101:$N$107,0)*3,0)</f>
        <v>Feedstock Consumption (% of baseline) = 105%</v>
      </c>
      <c r="E142" s="896">
        <f t="shared" ca="1" si="70"/>
        <v>6.7470794002902874</v>
      </c>
      <c r="F142" s="896">
        <f t="shared" ca="1" si="70"/>
        <v>0</v>
      </c>
      <c r="G142" s="896">
        <f t="shared" ca="1" si="70"/>
        <v>1.0422448166438392E-2</v>
      </c>
      <c r="H142" s="896"/>
      <c r="I142" s="896"/>
      <c r="J142" s="896"/>
      <c r="K142" s="896"/>
      <c r="L142" s="896"/>
      <c r="M142" s="896"/>
      <c r="N142" s="896"/>
      <c r="O142" s="896"/>
      <c r="P142" s="896"/>
      <c r="Q142" s="896"/>
      <c r="R142" s="896"/>
      <c r="S142" s="896"/>
      <c r="T142" s="879"/>
      <c r="U142" s="879"/>
      <c r="V142" s="879"/>
      <c r="W142" s="879"/>
      <c r="X142" s="879"/>
      <c r="Y142" s="879"/>
      <c r="Z142" s="879"/>
      <c r="AA142" s="879"/>
      <c r="AB142" s="879"/>
      <c r="AC142" s="879"/>
      <c r="AD142" s="879"/>
      <c r="AE142" s="879"/>
      <c r="AF142" s="879"/>
      <c r="AG142" s="879"/>
      <c r="AH142" s="879"/>
      <c r="AI142" s="879"/>
      <c r="AJ142" s="879"/>
      <c r="AK142" s="879"/>
      <c r="AL142" s="879"/>
      <c r="AM142" s="879"/>
      <c r="AN142" s="879"/>
      <c r="AO142" s="879"/>
      <c r="AP142" s="879"/>
      <c r="AQ142" s="879"/>
      <c r="AR142" s="879"/>
      <c r="AS142" s="879"/>
      <c r="AT142" s="879"/>
      <c r="AU142" s="879"/>
      <c r="AV142" s="879"/>
      <c r="AW142" s="879"/>
      <c r="AX142" s="879"/>
      <c r="AY142" s="879"/>
      <c r="AZ142" s="879"/>
      <c r="BA142" s="879"/>
      <c r="BB142" s="879"/>
      <c r="BC142" s="879"/>
      <c r="BD142" s="879"/>
      <c r="BE142" s="879"/>
      <c r="BF142" s="879"/>
      <c r="BG142" s="879"/>
      <c r="BH142" s="879"/>
      <c r="BI142" s="879"/>
      <c r="BJ142" s="879"/>
      <c r="BK142" s="879"/>
      <c r="BL142" s="879"/>
      <c r="BM142" s="879"/>
      <c r="BN142" s="879"/>
      <c r="BO142" s="879"/>
      <c r="BP142" s="879"/>
      <c r="BQ142" s="879"/>
      <c r="BR142" s="879"/>
      <c r="BS142" s="879"/>
      <c r="BT142" s="879"/>
      <c r="BU142" s="879"/>
    </row>
    <row r="143" spans="1:73" x14ac:dyDescent="0.25">
      <c r="A143" s="879"/>
      <c r="B143" s="879"/>
      <c r="C143" s="903"/>
      <c r="D143" s="883"/>
      <c r="E143" s="896"/>
      <c r="F143" s="896"/>
      <c r="G143" s="896"/>
      <c r="H143" s="896">
        <f t="shared" ref="H143:S143" ca="1" si="71">OFFSET(H$76,MATCH($C142,$N$101:$N$107,0)*3,0)</f>
        <v>0.19431433695104025</v>
      </c>
      <c r="I143" s="896">
        <f t="shared" ca="1" si="71"/>
        <v>0.12198294571119789</v>
      </c>
      <c r="J143" s="896">
        <f t="shared" ca="1" si="71"/>
        <v>8.3200623605444862E-2</v>
      </c>
      <c r="K143" s="896">
        <f t="shared" ca="1" si="71"/>
        <v>0</v>
      </c>
      <c r="L143" s="896">
        <f t="shared" ca="1" si="71"/>
        <v>1.0422448166438392E-2</v>
      </c>
      <c r="M143" s="896">
        <f t="shared" ca="1" si="71"/>
        <v>0.26998780784474952</v>
      </c>
      <c r="N143" s="896">
        <f t="shared" ca="1" si="71"/>
        <v>5.9148350491408914</v>
      </c>
      <c r="O143" s="896">
        <f t="shared" ca="1" si="71"/>
        <v>0</v>
      </c>
      <c r="P143" s="896">
        <f t="shared" ca="1" si="71"/>
        <v>1.9155093650587734E-2</v>
      </c>
      <c r="Q143" s="896">
        <f t="shared" ca="1" si="71"/>
        <v>0.10227357824296371</v>
      </c>
      <c r="R143" s="896">
        <f t="shared" ca="1" si="71"/>
        <v>-1.5878212793650056E-3</v>
      </c>
      <c r="S143" s="896">
        <f t="shared" ca="1" si="71"/>
        <v>4.2917786422775855E-2</v>
      </c>
      <c r="T143" s="879"/>
      <c r="U143" s="879"/>
      <c r="V143" s="879"/>
      <c r="W143" s="879"/>
      <c r="X143" s="879"/>
      <c r="Y143" s="879"/>
      <c r="Z143" s="879"/>
      <c r="AA143" s="879"/>
      <c r="AB143" s="879"/>
      <c r="AC143" s="879"/>
      <c r="AD143" s="879"/>
      <c r="AE143" s="879"/>
      <c r="AF143" s="879"/>
      <c r="AG143" s="879"/>
      <c r="AH143" s="879"/>
      <c r="AI143" s="879"/>
      <c r="AJ143" s="879"/>
      <c r="AK143" s="879"/>
      <c r="AL143" s="879"/>
      <c r="AM143" s="879"/>
      <c r="AN143" s="879"/>
      <c r="AO143" s="879"/>
      <c r="AP143" s="879"/>
      <c r="AQ143" s="879"/>
      <c r="AR143" s="879"/>
      <c r="AS143" s="879"/>
      <c r="AT143" s="879"/>
      <c r="AU143" s="879"/>
      <c r="AV143" s="879"/>
      <c r="AW143" s="879"/>
      <c r="AX143" s="879"/>
      <c r="AY143" s="879"/>
      <c r="AZ143" s="879"/>
      <c r="BA143" s="879"/>
      <c r="BB143" s="879"/>
      <c r="BC143" s="879"/>
      <c r="BD143" s="879"/>
      <c r="BE143" s="879"/>
      <c r="BF143" s="879"/>
      <c r="BG143" s="879"/>
      <c r="BH143" s="879"/>
      <c r="BI143" s="879"/>
      <c r="BJ143" s="879"/>
      <c r="BK143" s="879"/>
      <c r="BL143" s="879"/>
      <c r="BM143" s="879"/>
      <c r="BN143" s="879"/>
      <c r="BO143" s="879"/>
      <c r="BP143" s="879"/>
      <c r="BQ143" s="879"/>
      <c r="BR143" s="879"/>
      <c r="BS143" s="879"/>
      <c r="BT143" s="879"/>
      <c r="BU143" s="879"/>
    </row>
    <row r="144" spans="1:73" x14ac:dyDescent="0.25">
      <c r="A144" s="879"/>
      <c r="B144" s="879"/>
      <c r="C144" s="903"/>
      <c r="D144" s="883"/>
      <c r="E144" s="896"/>
      <c r="F144" s="896"/>
      <c r="G144" s="896"/>
      <c r="H144" s="896"/>
      <c r="I144" s="896"/>
      <c r="J144" s="896"/>
      <c r="K144" s="896"/>
      <c r="L144" s="896"/>
      <c r="M144" s="896"/>
      <c r="N144" s="896"/>
      <c r="O144" s="896"/>
      <c r="P144" s="896"/>
      <c r="Q144" s="896"/>
      <c r="R144" s="896"/>
      <c r="S144" s="896"/>
      <c r="T144" s="879"/>
      <c r="U144" s="879"/>
      <c r="V144" s="879"/>
      <c r="W144" s="879"/>
      <c r="X144" s="879"/>
      <c r="Y144" s="879"/>
      <c r="Z144" s="879"/>
      <c r="AA144" s="879"/>
      <c r="AB144" s="879"/>
      <c r="AC144" s="879"/>
      <c r="AD144" s="879"/>
      <c r="AE144" s="879"/>
      <c r="AF144" s="879"/>
      <c r="AG144" s="879"/>
      <c r="AH144" s="879"/>
      <c r="AI144" s="879"/>
      <c r="AJ144" s="879"/>
      <c r="AK144" s="879"/>
      <c r="AL144" s="879"/>
      <c r="AM144" s="879"/>
      <c r="AN144" s="879"/>
      <c r="AO144" s="879"/>
      <c r="AP144" s="879"/>
      <c r="AQ144" s="879"/>
      <c r="AR144" s="879"/>
      <c r="AS144" s="879"/>
      <c r="AT144" s="879"/>
      <c r="AU144" s="879"/>
      <c r="AV144" s="879"/>
      <c r="AW144" s="879"/>
      <c r="AX144" s="879"/>
      <c r="AY144" s="879"/>
      <c r="AZ144" s="879"/>
      <c r="BA144" s="879"/>
      <c r="BB144" s="879"/>
      <c r="BC144" s="879"/>
      <c r="BD144" s="879"/>
      <c r="BE144" s="879"/>
      <c r="BF144" s="879"/>
      <c r="BG144" s="879"/>
      <c r="BH144" s="879"/>
      <c r="BI144" s="879"/>
      <c r="BJ144" s="879"/>
      <c r="BK144" s="879"/>
      <c r="BL144" s="879"/>
      <c r="BM144" s="879"/>
      <c r="BN144" s="879"/>
      <c r="BO144" s="879"/>
      <c r="BP144" s="879"/>
      <c r="BQ144" s="879"/>
      <c r="BR144" s="879"/>
      <c r="BS144" s="879"/>
      <c r="BT144" s="879"/>
      <c r="BU144" s="879"/>
    </row>
    <row r="145" spans="1:73" x14ac:dyDescent="0.25">
      <c r="A145" s="879"/>
      <c r="B145" s="879"/>
      <c r="C145" s="903">
        <v>7</v>
      </c>
      <c r="D145" s="883" t="str">
        <f t="shared" ref="D145:G145" ca="1" si="72">OFFSET(D$76,MATCH($C145,$N$101:$N$107,0)*3-2,0)</f>
        <v>Utilities Consumption (% of baseline) = 95%</v>
      </c>
      <c r="E145" s="896">
        <f t="shared" ca="1" si="72"/>
        <v>6.744328582053198</v>
      </c>
      <c r="F145" s="896">
        <f t="shared" ca="1" si="72"/>
        <v>0</v>
      </c>
      <c r="G145" s="896">
        <f t="shared" ca="1" si="72"/>
        <v>1.0422448166438392E-2</v>
      </c>
      <c r="H145" s="896"/>
      <c r="I145" s="896"/>
      <c r="J145" s="896"/>
      <c r="K145" s="896"/>
      <c r="L145" s="896"/>
      <c r="M145" s="896"/>
      <c r="N145" s="896"/>
      <c r="O145" s="896"/>
      <c r="P145" s="896"/>
      <c r="Q145" s="896"/>
      <c r="R145" s="896"/>
      <c r="S145" s="896"/>
      <c r="T145" s="879"/>
      <c r="U145" s="879"/>
      <c r="V145" s="879"/>
      <c r="W145" s="879"/>
      <c r="X145" s="879"/>
      <c r="Y145" s="879"/>
      <c r="Z145" s="879"/>
      <c r="AA145" s="879"/>
      <c r="AB145" s="879"/>
      <c r="AC145" s="879"/>
      <c r="AD145" s="879"/>
      <c r="AE145" s="879"/>
      <c r="AF145" s="879"/>
      <c r="AG145" s="879"/>
      <c r="AH145" s="879"/>
      <c r="AI145" s="879"/>
      <c r="AJ145" s="879"/>
      <c r="AK145" s="879"/>
      <c r="AL145" s="879"/>
      <c r="AM145" s="879"/>
      <c r="AN145" s="879"/>
      <c r="AO145" s="879"/>
      <c r="AP145" s="879"/>
      <c r="AQ145" s="879"/>
      <c r="AR145" s="879"/>
      <c r="AS145" s="879"/>
      <c r="AT145" s="879"/>
      <c r="AU145" s="879"/>
      <c r="AV145" s="879"/>
      <c r="AW145" s="879"/>
      <c r="AX145" s="879"/>
      <c r="AY145" s="879"/>
      <c r="AZ145" s="879"/>
      <c r="BA145" s="879"/>
      <c r="BB145" s="879"/>
      <c r="BC145" s="879"/>
      <c r="BD145" s="879"/>
      <c r="BE145" s="879"/>
      <c r="BF145" s="879"/>
      <c r="BG145" s="879"/>
      <c r="BH145" s="879"/>
      <c r="BI145" s="879"/>
      <c r="BJ145" s="879"/>
      <c r="BK145" s="879"/>
      <c r="BL145" s="879"/>
      <c r="BM145" s="879"/>
      <c r="BN145" s="879"/>
      <c r="BO145" s="879"/>
      <c r="BP145" s="879"/>
      <c r="BQ145" s="879"/>
      <c r="BR145" s="879"/>
      <c r="BS145" s="879"/>
      <c r="BT145" s="879"/>
      <c r="BU145" s="879"/>
    </row>
    <row r="146" spans="1:73" x14ac:dyDescent="0.25">
      <c r="A146" s="879"/>
      <c r="B146" s="879"/>
      <c r="C146" s="903"/>
      <c r="D146" s="883"/>
      <c r="E146" s="896"/>
      <c r="F146" s="896"/>
      <c r="G146" s="896"/>
      <c r="H146" s="896">
        <f t="shared" ref="H146:S146" ca="1" si="73">OFFSET(H$76,MATCH($C145,$N$101:$N$107,0)*3-2,0)</f>
        <v>0.19431433695104025</v>
      </c>
      <c r="I146" s="896">
        <f t="shared" ca="1" si="73"/>
        <v>0.12198294571119789</v>
      </c>
      <c r="J146" s="896">
        <f t="shared" ca="1" si="73"/>
        <v>8.3164470953852682E-2</v>
      </c>
      <c r="K146" s="896">
        <f t="shared" ca="1" si="73"/>
        <v>0</v>
      </c>
      <c r="L146" s="896">
        <f t="shared" ca="1" si="73"/>
        <v>1.0422448166438392E-2</v>
      </c>
      <c r="M146" s="896">
        <f t="shared" ca="1" si="73"/>
        <v>0.26998780784474952</v>
      </c>
      <c r="N146" s="896">
        <f t="shared" ca="1" si="73"/>
        <v>5.9121329147869046</v>
      </c>
      <c r="O146" s="896">
        <f t="shared" ca="1" si="73"/>
        <v>0</v>
      </c>
      <c r="P146" s="896">
        <f t="shared" ca="1" si="73"/>
        <v>1.9155093650587734E-2</v>
      </c>
      <c r="Q146" s="896">
        <f t="shared" ca="1" si="73"/>
        <v>0.10227357824296371</v>
      </c>
      <c r="R146" s="896">
        <f t="shared" ca="1" si="73"/>
        <v>-1.6003525108757488E-3</v>
      </c>
      <c r="S146" s="896">
        <f t="shared" ca="1" si="73"/>
        <v>4.2917786422775855E-2</v>
      </c>
      <c r="T146" s="879"/>
      <c r="U146" s="879"/>
      <c r="V146" s="879"/>
      <c r="W146" s="879"/>
      <c r="X146" s="879"/>
      <c r="Y146" s="879"/>
      <c r="Z146" s="879"/>
      <c r="AA146" s="879"/>
      <c r="AB146" s="879"/>
      <c r="AC146" s="879"/>
      <c r="AD146" s="879"/>
      <c r="AE146" s="879"/>
      <c r="AF146" s="879"/>
      <c r="AG146" s="879"/>
      <c r="AH146" s="879"/>
      <c r="AI146" s="879"/>
      <c r="AJ146" s="879"/>
      <c r="AK146" s="879"/>
      <c r="AL146" s="879"/>
      <c r="AM146" s="879"/>
      <c r="AN146" s="879"/>
      <c r="AO146" s="879"/>
      <c r="AP146" s="879"/>
      <c r="AQ146" s="879"/>
      <c r="AR146" s="879"/>
      <c r="AS146" s="879"/>
      <c r="AT146" s="879"/>
      <c r="AU146" s="879"/>
      <c r="AV146" s="879"/>
      <c r="AW146" s="879"/>
      <c r="AX146" s="879"/>
      <c r="AY146" s="879"/>
      <c r="AZ146" s="879"/>
      <c r="BA146" s="879"/>
      <c r="BB146" s="879"/>
      <c r="BC146" s="879"/>
      <c r="BD146" s="879"/>
      <c r="BE146" s="879"/>
      <c r="BF146" s="879"/>
      <c r="BG146" s="879"/>
      <c r="BH146" s="879"/>
      <c r="BI146" s="879"/>
      <c r="BJ146" s="879"/>
      <c r="BK146" s="879"/>
      <c r="BL146" s="879"/>
      <c r="BM146" s="879"/>
      <c r="BN146" s="879"/>
      <c r="BO146" s="879"/>
      <c r="BP146" s="879"/>
      <c r="BQ146" s="879"/>
      <c r="BR146" s="879"/>
      <c r="BS146" s="879"/>
      <c r="BT146" s="879"/>
      <c r="BU146" s="879"/>
    </row>
    <row r="147" spans="1:73" x14ac:dyDescent="0.25">
      <c r="A147" s="879"/>
      <c r="B147" s="879"/>
      <c r="C147" s="903">
        <v>7</v>
      </c>
      <c r="D147" s="883" t="str">
        <f t="shared" ref="D147:G147" ca="1" si="74">OFFSET(D$76,MATCH($C147,$N$101:$N$107,0)*3,0)</f>
        <v>Utilities Consumption (% of baseline) = 105%</v>
      </c>
      <c r="E147" s="896">
        <f t="shared" ca="1" si="74"/>
        <v>6.744328582053198</v>
      </c>
      <c r="F147" s="896">
        <f t="shared" ca="1" si="74"/>
        <v>0</v>
      </c>
      <c r="G147" s="896">
        <f t="shared" ca="1" si="74"/>
        <v>1.0422448166438392E-2</v>
      </c>
      <c r="H147" s="896"/>
      <c r="I147" s="896"/>
      <c r="J147" s="896"/>
      <c r="K147" s="896"/>
      <c r="L147" s="896"/>
      <c r="M147" s="896"/>
      <c r="N147" s="896"/>
      <c r="O147" s="896"/>
      <c r="P147" s="896"/>
      <c r="Q147" s="896"/>
      <c r="R147" s="896"/>
      <c r="S147" s="896"/>
      <c r="T147" s="879"/>
      <c r="U147" s="879"/>
      <c r="V147" s="879"/>
      <c r="W147" s="879"/>
      <c r="X147" s="879"/>
      <c r="Y147" s="879"/>
      <c r="Z147" s="879"/>
      <c r="AA147" s="879"/>
      <c r="AB147" s="879"/>
      <c r="AC147" s="879"/>
      <c r="AD147" s="879"/>
      <c r="AE147" s="879"/>
      <c r="AF147" s="879"/>
      <c r="AG147" s="879"/>
      <c r="AH147" s="879"/>
      <c r="AI147" s="879"/>
      <c r="AJ147" s="879"/>
      <c r="AK147" s="879"/>
      <c r="AL147" s="879"/>
      <c r="AM147" s="879"/>
      <c r="AN147" s="879"/>
      <c r="AO147" s="879"/>
      <c r="AP147" s="879"/>
      <c r="AQ147" s="879"/>
      <c r="AR147" s="879"/>
      <c r="AS147" s="879"/>
      <c r="AT147" s="879"/>
      <c r="AU147" s="879"/>
      <c r="AV147" s="879"/>
      <c r="AW147" s="879"/>
      <c r="AX147" s="879"/>
      <c r="AY147" s="879"/>
      <c r="AZ147" s="879"/>
      <c r="BA147" s="879"/>
      <c r="BB147" s="879"/>
      <c r="BC147" s="879"/>
      <c r="BD147" s="879"/>
      <c r="BE147" s="879"/>
      <c r="BF147" s="879"/>
      <c r="BG147" s="879"/>
      <c r="BH147" s="879"/>
      <c r="BI147" s="879"/>
      <c r="BJ147" s="879"/>
      <c r="BK147" s="879"/>
      <c r="BL147" s="879"/>
      <c r="BM147" s="879"/>
      <c r="BN147" s="879"/>
      <c r="BO147" s="879"/>
      <c r="BP147" s="879"/>
      <c r="BQ147" s="879"/>
      <c r="BR147" s="879"/>
      <c r="BS147" s="879"/>
      <c r="BT147" s="879"/>
      <c r="BU147" s="879"/>
    </row>
    <row r="148" spans="1:73" x14ac:dyDescent="0.25">
      <c r="A148" s="879"/>
      <c r="B148" s="879"/>
      <c r="C148" s="883"/>
      <c r="D148" s="883"/>
      <c r="E148" s="883"/>
      <c r="F148" s="883"/>
      <c r="G148" s="883"/>
      <c r="H148" s="896">
        <f t="shared" ref="H148:S148" ca="1" si="75">OFFSET(H$76,MATCH($C147,$N$101:$N$107,0)*3,0)</f>
        <v>0.19431433695104025</v>
      </c>
      <c r="I148" s="896">
        <f t="shared" ca="1" si="75"/>
        <v>0.12198294571119789</v>
      </c>
      <c r="J148" s="896">
        <f t="shared" ca="1" si="75"/>
        <v>8.3164470953852682E-2</v>
      </c>
      <c r="K148" s="896">
        <f t="shared" ca="1" si="75"/>
        <v>0</v>
      </c>
      <c r="L148" s="896">
        <f t="shared" ca="1" si="75"/>
        <v>1.0422448166438392E-2</v>
      </c>
      <c r="M148" s="896">
        <f t="shared" ca="1" si="75"/>
        <v>0.26998780784474952</v>
      </c>
      <c r="N148" s="896">
        <f t="shared" ca="1" si="75"/>
        <v>5.9121329147869046</v>
      </c>
      <c r="O148" s="896">
        <f t="shared" ca="1" si="75"/>
        <v>0</v>
      </c>
      <c r="P148" s="896">
        <f t="shared" ca="1" si="75"/>
        <v>1.9155093650587734E-2</v>
      </c>
      <c r="Q148" s="896">
        <f t="shared" ca="1" si="75"/>
        <v>0.10227357824296371</v>
      </c>
      <c r="R148" s="896">
        <f t="shared" ca="1" si="75"/>
        <v>-1.6003525108757488E-3</v>
      </c>
      <c r="S148" s="896">
        <f t="shared" ca="1" si="75"/>
        <v>4.2917786422775855E-2</v>
      </c>
      <c r="T148" s="879"/>
      <c r="U148" s="879"/>
      <c r="V148" s="879"/>
      <c r="W148" s="879"/>
      <c r="X148" s="879"/>
      <c r="Y148" s="879"/>
      <c r="Z148" s="879"/>
      <c r="AA148" s="879"/>
      <c r="AB148" s="879"/>
      <c r="AC148" s="879"/>
      <c r="AD148" s="879"/>
      <c r="AE148" s="879"/>
      <c r="AF148" s="879"/>
      <c r="AG148" s="879"/>
      <c r="AH148" s="879"/>
      <c r="AI148" s="879"/>
      <c r="AJ148" s="879"/>
      <c r="AK148" s="879"/>
      <c r="AL148" s="879"/>
      <c r="AM148" s="879"/>
      <c r="AN148" s="879"/>
      <c r="AO148" s="879"/>
      <c r="AP148" s="879"/>
      <c r="AQ148" s="879"/>
      <c r="AR148" s="879"/>
      <c r="AS148" s="879"/>
      <c r="AT148" s="879"/>
      <c r="AU148" s="879"/>
      <c r="AV148" s="879"/>
      <c r="AW148" s="879"/>
      <c r="AX148" s="879"/>
      <c r="AY148" s="879"/>
      <c r="AZ148" s="879"/>
      <c r="BA148" s="879"/>
      <c r="BB148" s="879"/>
      <c r="BC148" s="879"/>
      <c r="BD148" s="879"/>
      <c r="BE148" s="879"/>
      <c r="BF148" s="879"/>
      <c r="BG148" s="879"/>
      <c r="BH148" s="879"/>
      <c r="BI148" s="879"/>
      <c r="BJ148" s="879"/>
      <c r="BK148" s="879"/>
      <c r="BL148" s="879"/>
      <c r="BM148" s="879"/>
      <c r="BN148" s="879"/>
      <c r="BO148" s="879"/>
      <c r="BP148" s="879"/>
      <c r="BQ148" s="879"/>
      <c r="BR148" s="879"/>
      <c r="BS148" s="879"/>
      <c r="BT148" s="879"/>
      <c r="BU148" s="879"/>
    </row>
    <row r="149" spans="1:73" x14ac:dyDescent="0.25">
      <c r="A149" s="879"/>
      <c r="B149" s="879"/>
      <c r="C149" s="879"/>
      <c r="D149" s="879"/>
      <c r="E149" s="879"/>
      <c r="F149" s="879"/>
      <c r="G149" s="879"/>
      <c r="H149" s="879"/>
      <c r="I149" s="879"/>
      <c r="J149" s="879"/>
      <c r="K149" s="879"/>
      <c r="L149" s="879"/>
      <c r="M149" s="879"/>
      <c r="N149" s="879"/>
      <c r="O149" s="879"/>
      <c r="P149" s="879"/>
      <c r="Q149" s="879"/>
      <c r="R149" s="879"/>
      <c r="S149" s="879"/>
      <c r="T149" s="879"/>
      <c r="U149" s="879"/>
      <c r="V149" s="879"/>
      <c r="W149" s="879"/>
      <c r="X149" s="879"/>
      <c r="Y149" s="879"/>
      <c r="Z149" s="879"/>
      <c r="AA149" s="879"/>
      <c r="AB149" s="879"/>
      <c r="AC149" s="879"/>
      <c r="AD149" s="879"/>
      <c r="AE149" s="879"/>
      <c r="AF149" s="879"/>
      <c r="AG149" s="879"/>
      <c r="AH149" s="879"/>
      <c r="AI149" s="879"/>
      <c r="AJ149" s="879"/>
      <c r="AK149" s="879"/>
      <c r="AL149" s="879"/>
      <c r="AM149" s="879"/>
      <c r="AN149" s="879"/>
      <c r="AO149" s="879"/>
      <c r="AP149" s="879"/>
      <c r="AQ149" s="879"/>
      <c r="AR149" s="879"/>
      <c r="AS149" s="879"/>
      <c r="AT149" s="879"/>
      <c r="AU149" s="879"/>
      <c r="AV149" s="879"/>
      <c r="AW149" s="879"/>
      <c r="AX149" s="879"/>
      <c r="AY149" s="879"/>
      <c r="AZ149" s="879"/>
      <c r="BA149" s="879"/>
      <c r="BB149" s="879"/>
      <c r="BC149" s="879"/>
      <c r="BD149" s="879"/>
      <c r="BE149" s="879"/>
      <c r="BF149" s="879"/>
      <c r="BG149" s="879"/>
      <c r="BH149" s="879"/>
      <c r="BI149" s="879"/>
      <c r="BJ149" s="879"/>
      <c r="BK149" s="879"/>
      <c r="BL149" s="879"/>
      <c r="BM149" s="879"/>
      <c r="BN149" s="879"/>
      <c r="BO149" s="879"/>
      <c r="BP149" s="879"/>
      <c r="BQ149" s="879"/>
      <c r="BR149" s="879"/>
      <c r="BS149" s="879"/>
      <c r="BT149" s="879"/>
      <c r="BU149" s="879"/>
    </row>
    <row r="150" spans="1:73" x14ac:dyDescent="0.25">
      <c r="A150" s="879"/>
      <c r="B150" s="879"/>
      <c r="C150" s="879"/>
      <c r="D150" s="879"/>
      <c r="E150" s="879"/>
      <c r="F150" s="879"/>
      <c r="G150" s="879"/>
      <c r="H150" s="879"/>
      <c r="I150" s="879"/>
      <c r="J150" s="879"/>
      <c r="K150" s="879"/>
      <c r="L150" s="879"/>
      <c r="M150" s="879"/>
      <c r="N150" s="879"/>
      <c r="O150" s="879"/>
      <c r="P150" s="879"/>
      <c r="Q150" s="879"/>
      <c r="R150" s="879"/>
      <c r="S150" s="879"/>
      <c r="T150" s="879"/>
      <c r="U150" s="879"/>
      <c r="V150" s="879"/>
      <c r="W150" s="879"/>
      <c r="X150" s="879"/>
      <c r="Y150" s="879"/>
      <c r="Z150" s="879"/>
      <c r="AA150" s="879"/>
      <c r="AB150" s="879"/>
      <c r="AC150" s="879"/>
      <c r="AD150" s="879"/>
      <c r="AE150" s="879"/>
      <c r="AF150" s="879"/>
      <c r="AG150" s="879"/>
      <c r="AH150" s="879"/>
      <c r="AI150" s="879"/>
      <c r="AJ150" s="879"/>
      <c r="AK150" s="879"/>
      <c r="AL150" s="879"/>
      <c r="AM150" s="879"/>
      <c r="AN150" s="879"/>
      <c r="AO150" s="879"/>
      <c r="AP150" s="879"/>
      <c r="AQ150" s="879"/>
      <c r="AR150" s="879"/>
      <c r="AS150" s="879"/>
      <c r="AT150" s="879"/>
      <c r="AU150" s="879"/>
      <c r="AV150" s="879"/>
      <c r="AW150" s="879"/>
      <c r="AX150" s="879"/>
      <c r="AY150" s="879"/>
      <c r="AZ150" s="879"/>
      <c r="BA150" s="879"/>
      <c r="BB150" s="879"/>
      <c r="BC150" s="879"/>
      <c r="BD150" s="879"/>
      <c r="BE150" s="879"/>
      <c r="BF150" s="879"/>
      <c r="BG150" s="879"/>
      <c r="BH150" s="879"/>
      <c r="BI150" s="879"/>
      <c r="BJ150" s="879"/>
      <c r="BK150" s="879"/>
      <c r="BL150" s="879"/>
      <c r="BM150" s="879"/>
      <c r="BN150" s="879"/>
      <c r="BO150" s="879"/>
      <c r="BP150" s="879"/>
      <c r="BQ150" s="879"/>
      <c r="BR150" s="879"/>
      <c r="BS150" s="879"/>
      <c r="BT150" s="879"/>
      <c r="BU150" s="879"/>
    </row>
    <row r="151" spans="1:73" x14ac:dyDescent="0.25">
      <c r="A151" s="879"/>
      <c r="B151" s="879"/>
      <c r="C151" s="879"/>
      <c r="D151" s="879"/>
      <c r="E151" s="879"/>
      <c r="F151" s="879"/>
      <c r="G151" s="879"/>
      <c r="H151" s="879"/>
      <c r="I151" s="879"/>
      <c r="J151" s="879"/>
      <c r="K151" s="879"/>
      <c r="L151" s="879"/>
      <c r="M151" s="879"/>
      <c r="N151" s="879"/>
      <c r="O151" s="879"/>
      <c r="P151" s="879"/>
      <c r="Q151" s="879"/>
      <c r="R151" s="879"/>
      <c r="S151" s="879"/>
      <c r="T151" s="879"/>
      <c r="U151" s="879"/>
      <c r="V151" s="879"/>
      <c r="W151" s="879"/>
      <c r="X151" s="879"/>
      <c r="Y151" s="879"/>
      <c r="Z151" s="879"/>
      <c r="AA151" s="879"/>
      <c r="AB151" s="879"/>
      <c r="AC151" s="879"/>
      <c r="AD151" s="879"/>
      <c r="AE151" s="879"/>
      <c r="AF151" s="879"/>
      <c r="AG151" s="879"/>
      <c r="AH151" s="879"/>
      <c r="AI151" s="879"/>
      <c r="AJ151" s="879"/>
      <c r="AK151" s="879"/>
      <c r="AL151" s="879"/>
      <c r="AM151" s="879"/>
      <c r="AN151" s="879"/>
      <c r="AO151" s="879"/>
      <c r="AP151" s="879"/>
      <c r="AQ151" s="879"/>
      <c r="AR151" s="879"/>
      <c r="AS151" s="879"/>
    </row>
    <row r="152" spans="1:73" x14ac:dyDescent="0.25">
      <c r="A152" s="879"/>
      <c r="B152" s="881" t="s">
        <v>1142</v>
      </c>
      <c r="C152" s="879"/>
      <c r="D152" s="879"/>
      <c r="E152" s="879"/>
      <c r="F152" s="879"/>
      <c r="G152" s="879"/>
      <c r="H152" s="879"/>
      <c r="I152" s="879"/>
      <c r="J152" s="879"/>
      <c r="K152" s="879"/>
      <c r="L152" s="879"/>
      <c r="M152" s="879"/>
      <c r="N152" s="879"/>
      <c r="O152" s="879"/>
      <c r="P152" s="879"/>
      <c r="Q152" s="879"/>
      <c r="R152" s="879"/>
      <c r="S152" s="879"/>
      <c r="T152" s="879"/>
      <c r="U152" s="879"/>
      <c r="V152" s="879"/>
      <c r="W152" s="879"/>
      <c r="X152" s="879"/>
      <c r="Y152" s="879"/>
      <c r="Z152" s="879"/>
      <c r="AA152" s="879"/>
      <c r="AB152" s="879"/>
      <c r="AC152" s="879"/>
      <c r="AD152" s="879"/>
      <c r="AE152" s="879"/>
      <c r="AF152" s="879"/>
      <c r="AG152" s="879"/>
      <c r="AH152" s="879"/>
      <c r="AI152" s="879"/>
      <c r="AJ152" s="879"/>
      <c r="AK152" s="879"/>
      <c r="AL152" s="879"/>
      <c r="AM152" s="879"/>
      <c r="AN152" s="879"/>
      <c r="AO152" s="879"/>
      <c r="AP152" s="879"/>
      <c r="AQ152" s="879"/>
      <c r="AR152" s="879"/>
      <c r="AS152" s="879"/>
    </row>
    <row r="153" spans="1:73" x14ac:dyDescent="0.25">
      <c r="A153" s="879"/>
      <c r="B153" s="879"/>
      <c r="C153" s="879"/>
      <c r="D153" s="890" t="s">
        <v>1146</v>
      </c>
      <c r="E153" s="890"/>
      <c r="F153" s="890"/>
      <c r="G153" s="890"/>
      <c r="H153" s="890"/>
      <c r="I153" s="890"/>
      <c r="J153" s="879"/>
      <c r="K153" s="879"/>
      <c r="L153" s="879"/>
      <c r="M153" s="879"/>
      <c r="N153" s="879"/>
      <c r="O153" s="879"/>
      <c r="P153" s="879"/>
      <c r="Q153" s="879"/>
      <c r="R153" s="879"/>
      <c r="S153" s="879"/>
      <c r="T153" s="879"/>
      <c r="U153" s="879"/>
      <c r="V153" s="879"/>
      <c r="W153" s="879"/>
      <c r="X153" s="879"/>
      <c r="Y153" s="879"/>
      <c r="Z153" s="879"/>
      <c r="AA153" s="879"/>
      <c r="AB153" s="879"/>
      <c r="AC153" s="879"/>
      <c r="AD153" s="879"/>
      <c r="AE153" s="879"/>
      <c r="AF153" s="879"/>
      <c r="AG153" s="879"/>
      <c r="AH153" s="879"/>
      <c r="AI153" s="879"/>
      <c r="AJ153" s="879"/>
      <c r="AK153" s="879"/>
      <c r="AL153" s="879"/>
      <c r="AM153" s="879"/>
      <c r="AN153" s="879"/>
      <c r="AO153" s="879"/>
      <c r="AP153" s="879"/>
      <c r="AQ153" s="879"/>
      <c r="AR153" s="879"/>
      <c r="AS153" s="879"/>
    </row>
    <row r="154" spans="1:73" ht="26.4" x14ac:dyDescent="0.25">
      <c r="A154" s="879"/>
      <c r="B154" s="881"/>
      <c r="C154" s="879"/>
      <c r="D154" s="890" t="s">
        <v>1145</v>
      </c>
      <c r="E154" s="890" t="s">
        <v>1151</v>
      </c>
      <c r="F154" s="890" t="s">
        <v>1147</v>
      </c>
      <c r="G154" s="890" t="s">
        <v>1148</v>
      </c>
      <c r="H154" s="890" t="s">
        <v>1149</v>
      </c>
      <c r="I154" s="890" t="s">
        <v>1150</v>
      </c>
      <c r="J154" s="879"/>
      <c r="K154" s="890" t="s">
        <v>1180</v>
      </c>
      <c r="L154" s="890" t="s">
        <v>1178</v>
      </c>
      <c r="M154" s="890" t="s">
        <v>1179</v>
      </c>
      <c r="N154" s="890" t="s">
        <v>1181</v>
      </c>
      <c r="O154" s="879"/>
      <c r="P154" s="879"/>
      <c r="Q154" s="879"/>
      <c r="R154" s="879"/>
      <c r="S154" s="879"/>
      <c r="T154" s="879"/>
      <c r="U154" s="879"/>
      <c r="V154" s="879"/>
      <c r="W154" s="879"/>
      <c r="X154" s="879"/>
      <c r="Y154" s="879"/>
      <c r="Z154" s="879"/>
      <c r="AA154" s="879"/>
      <c r="AB154" s="879"/>
      <c r="AC154" s="879"/>
      <c r="AD154" s="879"/>
      <c r="AE154" s="879"/>
      <c r="AF154" s="879"/>
      <c r="AG154" s="879"/>
      <c r="AH154" s="879"/>
      <c r="AI154" s="879"/>
      <c r="AJ154" s="879"/>
      <c r="AK154" s="879"/>
      <c r="AL154" s="879"/>
      <c r="AM154" s="879"/>
      <c r="AN154" s="879"/>
      <c r="AO154" s="879"/>
      <c r="AP154" s="879"/>
      <c r="AQ154" s="879"/>
      <c r="AR154" s="879"/>
      <c r="AS154" s="879"/>
    </row>
    <row r="155" spans="1:73" x14ac:dyDescent="0.25">
      <c r="A155" s="879"/>
      <c r="B155" s="881" t="s">
        <v>1144</v>
      </c>
      <c r="C155" s="879">
        <v>1</v>
      </c>
      <c r="D155" s="882" t="s">
        <v>1159</v>
      </c>
      <c r="E155" s="896">
        <f ca="1">+K48+C155/10000000000</f>
        <v>1.5026131501439255</v>
      </c>
      <c r="F155" s="883">
        <f ca="1">+RANK(E155,$E$155:$E$157)</f>
        <v>1</v>
      </c>
      <c r="G155" s="888">
        <v>1</v>
      </c>
      <c r="H155" s="883" t="str">
        <f ca="1">OFFSET($D$154,MATCH($G155,$F$155:$F$157,0),0)</f>
        <v>Cost of Hydrogen</v>
      </c>
      <c r="I155" s="898">
        <f ca="1">OFFSET($E$154,MATCH($G155,$F$155:$F$157,0),0)-OFFSET($C$154,MATCH($G155,$F$155:$F$157,0),0)/10000000000</f>
        <v>1.5026131500439255</v>
      </c>
      <c r="J155" s="879"/>
      <c r="K155" s="883" t="str">
        <f ca="1">+H155</f>
        <v>Cost of Hydrogen</v>
      </c>
      <c r="L155" s="896">
        <f ca="1">+I155</f>
        <v>1.5026131500439255</v>
      </c>
      <c r="M155" s="883"/>
      <c r="N155" s="883" t="str">
        <f ca="1">+IF(L155&gt;0,K155,"")</f>
        <v>Cost of Hydrogen</v>
      </c>
      <c r="O155" s="879"/>
      <c r="P155" s="879"/>
      <c r="Q155" s="879"/>
      <c r="R155" s="879"/>
      <c r="S155" s="879"/>
      <c r="T155" s="879"/>
      <c r="U155" s="879"/>
      <c r="V155" s="879"/>
      <c r="W155" s="879"/>
      <c r="X155" s="879"/>
      <c r="Y155" s="879"/>
      <c r="Z155" s="879"/>
      <c r="AA155" s="879"/>
      <c r="AB155" s="879"/>
      <c r="AC155" s="879"/>
      <c r="AD155" s="879"/>
      <c r="AE155" s="879"/>
      <c r="AF155" s="879"/>
      <c r="AG155" s="879"/>
      <c r="AH155" s="879"/>
      <c r="AI155" s="879"/>
      <c r="AJ155" s="879"/>
    </row>
    <row r="156" spans="1:73" x14ac:dyDescent="0.25">
      <c r="A156" s="879"/>
      <c r="B156" s="881"/>
      <c r="C156" s="879">
        <v>2</v>
      </c>
      <c r="D156" s="883" t="str">
        <f>+F110</f>
        <v>Byproduct Sales</v>
      </c>
      <c r="E156" s="896">
        <f ca="1">+L48+C156/10000000000</f>
        <v>2.0000000000000001E-10</v>
      </c>
      <c r="F156" s="883">
        <f ca="1">+RANK(E156,$E$155:$E$157)</f>
        <v>3</v>
      </c>
      <c r="G156" s="888">
        <v>2</v>
      </c>
      <c r="H156" s="883" t="str">
        <f ca="1">OFFSET($D$154,MATCH($G156,$F$155:$F$157,0),0)</f>
        <v>Salvage Value</v>
      </c>
      <c r="I156" s="898">
        <f ca="1">OFFSET($E$154,MATCH($G156,$F$155:$F$157,0),0)-OFFSET($C$154,MATCH($G156,$F$155:$F$157,0),0)/10000000000</f>
        <v>8.3985124791984E-3</v>
      </c>
      <c r="J156" s="879"/>
      <c r="K156" s="883" t="str">
        <f t="shared" ref="K156:K170" ca="1" si="76">+H156</f>
        <v>Salvage Value</v>
      </c>
      <c r="L156" s="896">
        <f t="shared" ref="L156:L157" ca="1" si="77">+I156</f>
        <v>8.3985124791984E-3</v>
      </c>
      <c r="M156" s="883"/>
      <c r="N156" s="883" t="str">
        <f t="shared" ref="N156:N157" ca="1" si="78">+IF(L156&gt;0,K156,"")</f>
        <v>Salvage Value</v>
      </c>
      <c r="O156" s="879"/>
      <c r="P156" s="879"/>
      <c r="Q156" s="879"/>
      <c r="R156" s="879"/>
      <c r="S156" s="879"/>
      <c r="T156" s="879"/>
      <c r="U156" s="879"/>
      <c r="V156" s="879"/>
      <c r="W156" s="879"/>
      <c r="X156" s="879"/>
      <c r="Y156" s="879"/>
      <c r="Z156" s="879"/>
      <c r="AA156" s="879"/>
      <c r="AB156" s="879"/>
      <c r="AC156" s="879"/>
      <c r="AD156" s="879"/>
      <c r="AE156" s="879"/>
      <c r="AF156" s="879"/>
      <c r="AG156" s="879"/>
      <c r="AH156" s="879"/>
      <c r="AI156" s="879"/>
      <c r="AJ156" s="879"/>
    </row>
    <row r="157" spans="1:73" x14ac:dyDescent="0.25">
      <c r="A157" s="879"/>
      <c r="B157" s="881"/>
      <c r="C157" s="879">
        <v>3</v>
      </c>
      <c r="D157" s="883" t="str">
        <f>+G110</f>
        <v>Salvage Value</v>
      </c>
      <c r="E157" s="896">
        <f ca="1">+M48+C157/10000000000</f>
        <v>8.3985127791984006E-3</v>
      </c>
      <c r="F157" s="883">
        <f ca="1">+RANK(E157,$E$155:$E$157)</f>
        <v>2</v>
      </c>
      <c r="G157" s="888">
        <v>3</v>
      </c>
      <c r="H157" s="883" t="str">
        <f ca="1">OFFSET($D$154,MATCH($G157,$F$155:$F$157,0),0)</f>
        <v>Byproduct Sales</v>
      </c>
      <c r="I157" s="898">
        <f ca="1">OFFSET($E$154,MATCH($G157,$F$155:$F$157,0),0)-OFFSET($C$154,MATCH($G157,$F$155:$F$157,0),0)/10000000000</f>
        <v>0</v>
      </c>
      <c r="J157" s="879"/>
      <c r="K157" s="883" t="str">
        <f t="shared" ca="1" si="76"/>
        <v>Byproduct Sales</v>
      </c>
      <c r="L157" s="896">
        <f t="shared" ca="1" si="77"/>
        <v>0</v>
      </c>
      <c r="M157" s="883"/>
      <c r="N157" s="883" t="str">
        <f t="shared" ca="1" si="78"/>
        <v/>
      </c>
      <c r="O157" s="879"/>
      <c r="P157" s="879"/>
      <c r="Q157" s="879"/>
      <c r="R157" s="879"/>
      <c r="S157" s="879"/>
      <c r="T157" s="879"/>
      <c r="U157" s="879"/>
      <c r="V157" s="879"/>
      <c r="W157" s="879"/>
      <c r="X157" s="879"/>
      <c r="Y157" s="879"/>
      <c r="Z157" s="879"/>
      <c r="AA157" s="879"/>
      <c r="AB157" s="879"/>
      <c r="AC157" s="879"/>
      <c r="AD157" s="879"/>
      <c r="AE157" s="879"/>
      <c r="AF157" s="879"/>
      <c r="AG157" s="879"/>
      <c r="AH157" s="879"/>
      <c r="AI157" s="879"/>
      <c r="AJ157" s="879"/>
    </row>
    <row r="158" spans="1:73" x14ac:dyDescent="0.25">
      <c r="A158" s="879"/>
      <c r="B158" s="881"/>
      <c r="C158" s="879"/>
      <c r="D158" s="881"/>
      <c r="E158" s="881"/>
      <c r="F158" s="881"/>
      <c r="G158" s="881"/>
      <c r="H158" s="881"/>
      <c r="I158" s="909"/>
      <c r="J158" s="879"/>
      <c r="K158" s="883"/>
      <c r="L158" s="883"/>
      <c r="M158" s="896"/>
      <c r="N158" s="883" t="str">
        <f t="shared" ref="N158" si="79">+IF(L158&gt;0.01,K158,"")</f>
        <v/>
      </c>
      <c r="O158" s="879"/>
      <c r="P158" s="879"/>
      <c r="Q158" s="879"/>
      <c r="R158" s="879"/>
      <c r="S158" s="879"/>
      <c r="T158" s="879"/>
      <c r="U158" s="879"/>
      <c r="V158" s="879"/>
      <c r="W158" s="879"/>
      <c r="X158" s="879"/>
      <c r="Y158" s="879"/>
      <c r="Z158" s="879"/>
      <c r="AA158" s="879"/>
      <c r="AB158" s="879"/>
      <c r="AC158" s="879"/>
      <c r="AD158" s="879"/>
      <c r="AE158" s="879"/>
      <c r="AF158" s="879"/>
      <c r="AG158" s="879"/>
      <c r="AH158" s="879"/>
      <c r="AI158" s="879"/>
      <c r="AJ158" s="879"/>
    </row>
    <row r="159" spans="1:73" x14ac:dyDescent="0.25">
      <c r="A159" s="879"/>
      <c r="B159" s="881" t="s">
        <v>1143</v>
      </c>
      <c r="C159" s="879">
        <v>1</v>
      </c>
      <c r="D159" s="883" t="str">
        <f>+H110</f>
        <v>Initial Equity Depreciable Capital</v>
      </c>
      <c r="E159" s="896">
        <f ca="1">+N48+C159/10000000000</f>
        <v>0.15658042705050912</v>
      </c>
      <c r="F159" s="883">
        <f t="shared" ref="F159:F170" ca="1" si="80">+RANK(E159,$E$159:$E$170)</f>
        <v>3</v>
      </c>
      <c r="G159" s="888">
        <v>1</v>
      </c>
      <c r="H159" s="883" t="str">
        <f t="shared" ref="H159:H170" ca="1" si="81">OFFSET($D$158,MATCH($G159,$F$159:$F$170,0),0)</f>
        <v>Feedstock Cost</v>
      </c>
      <c r="I159" s="898">
        <f t="shared" ref="I159:I170" ca="1" si="82">OFFSET($E$158,MATCH($G159,$F$159:$F$170,0),0)-OFFSET($C$158,MATCH($G159,$F$159:$F$170,0),0)/10000000000</f>
        <v>0.89987697572220759</v>
      </c>
      <c r="J159" s="879"/>
      <c r="K159" s="883" t="str">
        <f t="shared" ca="1" si="76"/>
        <v>Feedstock Cost</v>
      </c>
      <c r="L159" s="883"/>
      <c r="M159" s="896">
        <f ca="1">+I159</f>
        <v>0.89987697572220759</v>
      </c>
      <c r="N159" s="883" t="str">
        <f ca="1">+IF(M159&gt;0,K159,"")</f>
        <v>Feedstock Cost</v>
      </c>
      <c r="O159" s="879"/>
      <c r="P159" s="879"/>
      <c r="Q159" s="879"/>
      <c r="R159" s="879"/>
      <c r="S159" s="879"/>
      <c r="T159" s="879"/>
      <c r="U159" s="879"/>
      <c r="V159" s="879"/>
      <c r="W159" s="879"/>
      <c r="X159" s="879"/>
      <c r="Y159" s="879"/>
      <c r="Z159" s="879"/>
      <c r="AA159" s="879"/>
      <c r="AB159" s="879"/>
      <c r="AC159" s="879"/>
      <c r="AD159" s="879"/>
      <c r="AE159" s="879"/>
      <c r="AF159" s="879"/>
      <c r="AG159" s="879"/>
      <c r="AH159" s="879"/>
      <c r="AI159" s="879"/>
      <c r="AJ159" s="879"/>
    </row>
    <row r="160" spans="1:73" x14ac:dyDescent="0.25">
      <c r="A160" s="879"/>
      <c r="B160" s="879"/>
      <c r="C160" s="879">
        <f>+C159+1</f>
        <v>2</v>
      </c>
      <c r="D160" s="883" t="str">
        <f>+I110</f>
        <v>Yearly Replacement Costs</v>
      </c>
      <c r="E160" s="896">
        <f ca="1">+O48+C160/10000000000</f>
        <v>9.7098375003344728E-2</v>
      </c>
      <c r="F160" s="883">
        <f t="shared" ca="1" si="80"/>
        <v>4</v>
      </c>
      <c r="G160" s="888">
        <v>2</v>
      </c>
      <c r="H160" s="883" t="str">
        <f t="shared" ca="1" si="81"/>
        <v>Fixed Operating Cost</v>
      </c>
      <c r="I160" s="898">
        <f t="shared" ca="1" si="82"/>
        <v>0.21707557110629894</v>
      </c>
      <c r="J160" s="879"/>
      <c r="K160" s="883" t="str">
        <f t="shared" ca="1" si="76"/>
        <v>Fixed Operating Cost</v>
      </c>
      <c r="L160" s="883"/>
      <c r="M160" s="896">
        <f t="shared" ref="M160:M170" ca="1" si="83">+I160</f>
        <v>0.21707557110629894</v>
      </c>
      <c r="N160" s="883" t="str">
        <f t="shared" ref="N160:N170" ca="1" si="84">+IF(M160&gt;0,K160,"")</f>
        <v>Fixed Operating Cost</v>
      </c>
      <c r="O160" s="879"/>
      <c r="P160" s="879"/>
      <c r="Q160" s="879"/>
      <c r="R160" s="879"/>
      <c r="S160" s="879"/>
      <c r="T160" s="879"/>
      <c r="U160" s="879"/>
      <c r="V160" s="879"/>
      <c r="W160" s="879"/>
      <c r="X160" s="879"/>
      <c r="Y160" s="879"/>
      <c r="Z160" s="879"/>
      <c r="AA160" s="879"/>
      <c r="AB160" s="879"/>
      <c r="AC160" s="879"/>
      <c r="AD160" s="879"/>
      <c r="AE160" s="879"/>
      <c r="AF160" s="879"/>
      <c r="AG160" s="879"/>
      <c r="AH160" s="879"/>
      <c r="AI160" s="879"/>
      <c r="AJ160" s="879"/>
    </row>
    <row r="161" spans="1:36" x14ac:dyDescent="0.25">
      <c r="A161" s="879"/>
      <c r="B161" s="879"/>
      <c r="C161" s="879">
        <f t="shared" ref="C161:C170" si="85">+C160+1</f>
        <v>3</v>
      </c>
      <c r="D161" s="883" t="str">
        <f>+J110</f>
        <v>Cash for Working Capital Reserve</v>
      </c>
      <c r="E161" s="896">
        <f ca="1">+P48+C161/10000000000</f>
        <v>1.5173573437579139E-2</v>
      </c>
      <c r="F161" s="883">
        <f t="shared" ca="1" si="80"/>
        <v>8</v>
      </c>
      <c r="G161" s="888">
        <v>3</v>
      </c>
      <c r="H161" s="883" t="str">
        <f t="shared" ca="1" si="81"/>
        <v>Initial Equity Depreciable Capital</v>
      </c>
      <c r="I161" s="898">
        <f t="shared" ca="1" si="82"/>
        <v>0.15658042695050911</v>
      </c>
      <c r="J161" s="879"/>
      <c r="K161" s="883" t="str">
        <f t="shared" ca="1" si="76"/>
        <v>Initial Equity Depreciable Capital</v>
      </c>
      <c r="L161" s="883"/>
      <c r="M161" s="896">
        <f t="shared" ca="1" si="83"/>
        <v>0.15658042695050911</v>
      </c>
      <c r="N161" s="883" t="str">
        <f t="shared" ca="1" si="84"/>
        <v>Initial Equity Depreciable Capital</v>
      </c>
      <c r="O161" s="879"/>
      <c r="P161" s="879"/>
      <c r="Q161" s="879"/>
      <c r="R161" s="879"/>
      <c r="S161" s="879"/>
      <c r="T161" s="879"/>
      <c r="U161" s="879"/>
      <c r="V161" s="879"/>
      <c r="W161" s="879"/>
      <c r="X161" s="879"/>
      <c r="Y161" s="879"/>
      <c r="Z161" s="879"/>
      <c r="AA161" s="879"/>
      <c r="AB161" s="879"/>
      <c r="AC161" s="879"/>
      <c r="AD161" s="879"/>
      <c r="AE161" s="879"/>
      <c r="AF161" s="879"/>
      <c r="AG161" s="879"/>
      <c r="AH161" s="879"/>
      <c r="AI161" s="879"/>
      <c r="AJ161" s="879"/>
    </row>
    <row r="162" spans="1:36" x14ac:dyDescent="0.25">
      <c r="A162" s="879"/>
      <c r="B162" s="879"/>
      <c r="C162" s="879">
        <f t="shared" si="85"/>
        <v>4</v>
      </c>
      <c r="D162" s="883" t="str">
        <f>+K110</f>
        <v>Other Non-Depreciable Capital Costs</v>
      </c>
      <c r="E162" s="896">
        <f ca="1">+Q48+C162/10000000000</f>
        <v>4.0000000000000001E-10</v>
      </c>
      <c r="F162" s="883">
        <f t="shared" ca="1" si="80"/>
        <v>11</v>
      </c>
      <c r="G162" s="888">
        <v>4</v>
      </c>
      <c r="H162" s="883" t="str">
        <f t="shared" ca="1" si="81"/>
        <v>Yearly Replacement Costs</v>
      </c>
      <c r="I162" s="898">
        <f t="shared" ca="1" si="82"/>
        <v>9.7098374803344725E-2</v>
      </c>
      <c r="J162" s="879"/>
      <c r="K162" s="883" t="str">
        <f t="shared" ca="1" si="76"/>
        <v>Yearly Replacement Costs</v>
      </c>
      <c r="L162" s="883"/>
      <c r="M162" s="896">
        <f t="shared" ca="1" si="83"/>
        <v>9.7098374803344725E-2</v>
      </c>
      <c r="N162" s="883" t="str">
        <f t="shared" ca="1" si="84"/>
        <v>Yearly Replacement Costs</v>
      </c>
      <c r="O162" s="879"/>
      <c r="P162" s="879"/>
      <c r="Q162" s="879"/>
      <c r="R162" s="879"/>
      <c r="S162" s="879"/>
      <c r="T162" s="879"/>
      <c r="U162" s="879"/>
      <c r="V162" s="879"/>
      <c r="W162" s="879"/>
      <c r="X162" s="879"/>
      <c r="Y162" s="879"/>
      <c r="Z162" s="879"/>
      <c r="AA162" s="879"/>
      <c r="AB162" s="879"/>
      <c r="AC162" s="879"/>
      <c r="AD162" s="879"/>
      <c r="AE162" s="879"/>
      <c r="AF162" s="879"/>
      <c r="AG162" s="879"/>
      <c r="AH162" s="879"/>
      <c r="AI162" s="879"/>
      <c r="AJ162" s="879"/>
    </row>
    <row r="163" spans="1:36" x14ac:dyDescent="0.25">
      <c r="A163" s="879"/>
      <c r="B163" s="879"/>
      <c r="C163" s="879">
        <f t="shared" si="85"/>
        <v>5</v>
      </c>
      <c r="D163" s="883" t="str">
        <f>+L110</f>
        <v>Decommissioning Costs</v>
      </c>
      <c r="E163" s="896">
        <f ca="1">+R48+C163/10000000000</f>
        <v>8.3985129791983998E-3</v>
      </c>
      <c r="F163" s="883">
        <f t="shared" ca="1" si="80"/>
        <v>9</v>
      </c>
      <c r="G163" s="888">
        <v>5</v>
      </c>
      <c r="H163" s="883" t="str">
        <f t="shared" ca="1" si="81"/>
        <v>Debt Interest</v>
      </c>
      <c r="I163" s="898">
        <f t="shared" ca="1" si="82"/>
        <v>8.2413067395405215E-2</v>
      </c>
      <c r="J163" s="879"/>
      <c r="K163" s="883" t="str">
        <f t="shared" ca="1" si="76"/>
        <v>Debt Interest</v>
      </c>
      <c r="L163" s="883"/>
      <c r="M163" s="896">
        <f t="shared" ca="1" si="83"/>
        <v>8.2413067395405215E-2</v>
      </c>
      <c r="N163" s="883" t="str">
        <f t="shared" ca="1" si="84"/>
        <v>Debt Interest</v>
      </c>
      <c r="O163" s="879"/>
      <c r="P163" s="879"/>
      <c r="Q163" s="879"/>
      <c r="R163" s="879"/>
      <c r="S163" s="879"/>
      <c r="T163" s="879"/>
      <c r="U163" s="879"/>
      <c r="V163" s="879"/>
      <c r="W163" s="879"/>
      <c r="X163" s="879"/>
      <c r="Y163" s="879"/>
      <c r="Z163" s="879"/>
      <c r="AA163" s="879"/>
      <c r="AB163" s="879"/>
      <c r="AC163" s="879"/>
      <c r="AD163" s="879"/>
      <c r="AE163" s="879"/>
      <c r="AF163" s="879"/>
      <c r="AG163" s="879"/>
      <c r="AH163" s="879"/>
      <c r="AI163" s="879"/>
      <c r="AJ163" s="879"/>
    </row>
    <row r="164" spans="1:36" x14ac:dyDescent="0.25">
      <c r="A164" s="879"/>
      <c r="B164" s="879"/>
      <c r="C164" s="879">
        <f t="shared" si="85"/>
        <v>6</v>
      </c>
      <c r="D164" s="883" t="str">
        <f>+M110</f>
        <v>Fixed Operating Cost</v>
      </c>
      <c r="E164" s="896">
        <f ca="1">+S48+C164/10000000000</f>
        <v>0.21707557170629893</v>
      </c>
      <c r="F164" s="883">
        <f t="shared" ca="1" si="80"/>
        <v>2</v>
      </c>
      <c r="G164" s="888">
        <v>6</v>
      </c>
      <c r="H164" s="883" t="str">
        <f t="shared" ca="1" si="81"/>
        <v>Principal Payment</v>
      </c>
      <c r="I164" s="898">
        <f t="shared" ca="1" si="82"/>
        <v>3.4583579509844455E-2</v>
      </c>
      <c r="J164" s="879"/>
      <c r="K164" s="883" t="str">
        <f t="shared" ca="1" si="76"/>
        <v>Principal Payment</v>
      </c>
      <c r="L164" s="883"/>
      <c r="M164" s="896">
        <f t="shared" ca="1" si="83"/>
        <v>3.4583579509844455E-2</v>
      </c>
      <c r="N164" s="883" t="str">
        <f t="shared" ca="1" si="84"/>
        <v>Principal Payment</v>
      </c>
      <c r="O164" s="879"/>
      <c r="P164" s="879"/>
      <c r="Q164" s="879"/>
      <c r="R164" s="879"/>
      <c r="S164" s="879"/>
      <c r="T164" s="879"/>
      <c r="U164" s="879"/>
      <c r="V164" s="879"/>
      <c r="W164" s="879"/>
      <c r="X164" s="879"/>
      <c r="Y164" s="879"/>
      <c r="Z164" s="879"/>
      <c r="AA164" s="879"/>
      <c r="AB164" s="879"/>
      <c r="AC164" s="879"/>
      <c r="AD164" s="879"/>
      <c r="AE164" s="879"/>
      <c r="AF164" s="879"/>
      <c r="AG164" s="879"/>
      <c r="AH164" s="879"/>
      <c r="AI164" s="879"/>
      <c r="AJ164" s="879"/>
    </row>
    <row r="165" spans="1:36" x14ac:dyDescent="0.25">
      <c r="A165" s="879"/>
      <c r="B165" s="879"/>
      <c r="C165" s="879">
        <f t="shared" si="85"/>
        <v>7</v>
      </c>
      <c r="D165" s="883" t="str">
        <f>+N110</f>
        <v>Feedstock Cost</v>
      </c>
      <c r="E165" s="896">
        <f ca="1">+T48+C165/10000000000</f>
        <v>0.89987697642220754</v>
      </c>
      <c r="F165" s="883">
        <f t="shared" ca="1" si="80"/>
        <v>1</v>
      </c>
      <c r="G165" s="888">
        <v>7</v>
      </c>
      <c r="H165" s="883" t="str">
        <f t="shared" ca="1" si="81"/>
        <v>Other Variable Operating Costs</v>
      </c>
      <c r="I165" s="898">
        <f t="shared" ca="1" si="82"/>
        <v>1.9155093650587738E-2</v>
      </c>
      <c r="J165" s="879"/>
      <c r="K165" s="883" t="str">
        <f t="shared" ca="1" si="76"/>
        <v>Other Variable Operating Costs</v>
      </c>
      <c r="L165" s="883"/>
      <c r="M165" s="896">
        <f t="shared" ca="1" si="83"/>
        <v>1.9155093650587738E-2</v>
      </c>
      <c r="N165" s="883" t="str">
        <f t="shared" ca="1" si="84"/>
        <v>Other Variable Operating Costs</v>
      </c>
      <c r="O165" s="879"/>
      <c r="P165" s="879"/>
      <c r="Q165" s="879"/>
      <c r="R165" s="879"/>
      <c r="S165" s="879"/>
      <c r="T165" s="879"/>
      <c r="U165" s="879"/>
      <c r="V165" s="879"/>
      <c r="W165" s="879"/>
      <c r="X165" s="879"/>
      <c r="Y165" s="879"/>
      <c r="Z165" s="879"/>
      <c r="AA165" s="879"/>
      <c r="AB165" s="879"/>
      <c r="AC165" s="879"/>
      <c r="AD165" s="879"/>
      <c r="AE165" s="879"/>
      <c r="AF165" s="879"/>
      <c r="AG165" s="879"/>
      <c r="AH165" s="879"/>
      <c r="AI165" s="879"/>
      <c r="AJ165" s="879"/>
    </row>
    <row r="166" spans="1:36" x14ac:dyDescent="0.25">
      <c r="A166" s="879"/>
      <c r="B166" s="879"/>
      <c r="C166" s="879">
        <f t="shared" si="85"/>
        <v>8</v>
      </c>
      <c r="D166" s="883" t="str">
        <f>+O110</f>
        <v>Other Raw Material Cost</v>
      </c>
      <c r="E166" s="896">
        <f ca="1">+U48+C166/10000000000</f>
        <v>8.0000000000000003E-10</v>
      </c>
      <c r="F166" s="883">
        <f t="shared" ca="1" si="80"/>
        <v>10</v>
      </c>
      <c r="G166" s="888">
        <v>8</v>
      </c>
      <c r="H166" s="883" t="str">
        <f t="shared" ca="1" si="81"/>
        <v>Cash for Working Capital Reserve</v>
      </c>
      <c r="I166" s="898">
        <f t="shared" ca="1" si="82"/>
        <v>1.5173573137579138E-2</v>
      </c>
      <c r="J166" s="879"/>
      <c r="K166" s="883" t="str">
        <f t="shared" ca="1" si="76"/>
        <v>Cash for Working Capital Reserve</v>
      </c>
      <c r="L166" s="883"/>
      <c r="M166" s="896">
        <f t="shared" ca="1" si="83"/>
        <v>1.5173573137579138E-2</v>
      </c>
      <c r="N166" s="883" t="str">
        <f t="shared" ca="1" si="84"/>
        <v>Cash for Working Capital Reserve</v>
      </c>
      <c r="O166" s="879"/>
      <c r="P166" s="879"/>
      <c r="Q166" s="879"/>
      <c r="R166" s="879"/>
      <c r="S166" s="879"/>
      <c r="T166" s="879"/>
      <c r="U166" s="879"/>
      <c r="V166" s="879"/>
      <c r="W166" s="879"/>
      <c r="X166" s="879"/>
      <c r="Y166" s="879"/>
      <c r="Z166" s="879"/>
      <c r="AA166" s="879"/>
      <c r="AB166" s="879"/>
      <c r="AC166" s="879"/>
      <c r="AD166" s="879"/>
      <c r="AE166" s="879"/>
      <c r="AF166" s="879"/>
      <c r="AG166" s="879"/>
      <c r="AH166" s="879"/>
      <c r="AI166" s="879"/>
      <c r="AJ166" s="879"/>
    </row>
    <row r="167" spans="1:36" x14ac:dyDescent="0.25">
      <c r="A167" s="879"/>
      <c r="B167" s="879"/>
      <c r="C167" s="879">
        <f t="shared" si="85"/>
        <v>9</v>
      </c>
      <c r="D167" s="883" t="str">
        <f>+P110</f>
        <v>Other Variable Operating Costs</v>
      </c>
      <c r="E167" s="896">
        <f ca="1">+V48+C167/10000000000</f>
        <v>1.915509455058774E-2</v>
      </c>
      <c r="F167" s="883">
        <f t="shared" ca="1" si="80"/>
        <v>7</v>
      </c>
      <c r="G167" s="888">
        <v>9</v>
      </c>
      <c r="H167" s="883" t="str">
        <f t="shared" ca="1" si="81"/>
        <v>Decommissioning Costs</v>
      </c>
      <c r="I167" s="898">
        <f t="shared" ca="1" si="82"/>
        <v>8.3985124791984E-3</v>
      </c>
      <c r="J167" s="879"/>
      <c r="K167" s="883" t="str">
        <f t="shared" ca="1" si="76"/>
        <v>Decommissioning Costs</v>
      </c>
      <c r="L167" s="883"/>
      <c r="M167" s="896">
        <f t="shared" ca="1" si="83"/>
        <v>8.3985124791984E-3</v>
      </c>
      <c r="N167" s="883" t="str">
        <f t="shared" ca="1" si="84"/>
        <v>Decommissioning Costs</v>
      </c>
      <c r="O167" s="879"/>
      <c r="P167" s="879"/>
      <c r="Q167" s="879"/>
      <c r="R167" s="879"/>
      <c r="S167" s="879"/>
      <c r="T167" s="879"/>
      <c r="U167" s="879"/>
      <c r="V167" s="879"/>
      <c r="W167" s="879"/>
      <c r="X167" s="879"/>
      <c r="Y167" s="879"/>
      <c r="Z167" s="879"/>
      <c r="AA167" s="879"/>
      <c r="AB167" s="879"/>
      <c r="AC167" s="879"/>
      <c r="AD167" s="879"/>
      <c r="AE167" s="879"/>
      <c r="AF167" s="879"/>
      <c r="AG167" s="879"/>
      <c r="AH167" s="879"/>
      <c r="AI167" s="879"/>
      <c r="AJ167" s="879"/>
    </row>
    <row r="168" spans="1:36" x14ac:dyDescent="0.25">
      <c r="A168" s="879"/>
      <c r="B168" s="879"/>
      <c r="C168" s="879">
        <f t="shared" si="85"/>
        <v>10</v>
      </c>
      <c r="D168" s="883" t="str">
        <f>+Q110</f>
        <v>Debt Interest</v>
      </c>
      <c r="E168" s="896">
        <f ca="1">+W48+C168/10000000000</f>
        <v>8.2413068395405215E-2</v>
      </c>
      <c r="F168" s="883">
        <f t="shared" ca="1" si="80"/>
        <v>5</v>
      </c>
      <c r="G168" s="888">
        <v>10</v>
      </c>
      <c r="H168" s="883" t="str">
        <f t="shared" ca="1" si="81"/>
        <v>Other Raw Material Cost</v>
      </c>
      <c r="I168" s="898">
        <f t="shared" ca="1" si="82"/>
        <v>0</v>
      </c>
      <c r="J168" s="879"/>
      <c r="K168" s="883" t="str">
        <f t="shared" ca="1" si="76"/>
        <v>Other Raw Material Cost</v>
      </c>
      <c r="L168" s="883"/>
      <c r="M168" s="896">
        <f t="shared" ca="1" si="83"/>
        <v>0</v>
      </c>
      <c r="N168" s="883" t="str">
        <f t="shared" ca="1" si="84"/>
        <v/>
      </c>
      <c r="O168" s="879"/>
      <c r="P168" s="879"/>
      <c r="Q168" s="879"/>
      <c r="R168" s="879"/>
      <c r="S168" s="879"/>
      <c r="T168" s="879"/>
      <c r="U168" s="879"/>
      <c r="V168" s="879"/>
      <c r="W168" s="879"/>
      <c r="X168" s="879"/>
      <c r="Y168" s="879"/>
      <c r="Z168" s="879"/>
      <c r="AA168" s="879"/>
      <c r="AB168" s="879"/>
      <c r="AC168" s="879"/>
      <c r="AD168" s="879"/>
      <c r="AE168" s="879"/>
      <c r="AF168" s="879"/>
      <c r="AG168" s="879"/>
      <c r="AH168" s="879"/>
      <c r="AI168" s="879"/>
      <c r="AJ168" s="879"/>
    </row>
    <row r="169" spans="1:36" x14ac:dyDescent="0.25">
      <c r="A169" s="879"/>
      <c r="B169" s="879"/>
      <c r="C169" s="879">
        <f t="shared" si="85"/>
        <v>11</v>
      </c>
      <c r="D169" s="883" t="str">
        <f>+R110</f>
        <v>Taxes</v>
      </c>
      <c r="E169" s="896">
        <f ca="1">+X48+C169/10000000000</f>
        <v>-1.9343511131852169E-2</v>
      </c>
      <c r="F169" s="883">
        <f t="shared" ca="1" si="80"/>
        <v>12</v>
      </c>
      <c r="G169" s="888">
        <v>11</v>
      </c>
      <c r="H169" s="883" t="str">
        <f t="shared" ca="1" si="81"/>
        <v>Other Non-Depreciable Capital Costs</v>
      </c>
      <c r="I169" s="898">
        <f t="shared" ca="1" si="82"/>
        <v>0</v>
      </c>
      <c r="J169" s="879"/>
      <c r="K169" s="883" t="str">
        <f t="shared" ca="1" si="76"/>
        <v>Other Non-Depreciable Capital Costs</v>
      </c>
      <c r="L169" s="883"/>
      <c r="M169" s="896">
        <f t="shared" ca="1" si="83"/>
        <v>0</v>
      </c>
      <c r="N169" s="883" t="str">
        <f t="shared" ca="1" si="84"/>
        <v/>
      </c>
      <c r="O169" s="879"/>
      <c r="P169" s="879"/>
      <c r="Q169" s="879"/>
      <c r="R169" s="879"/>
      <c r="S169" s="879"/>
      <c r="T169" s="879"/>
      <c r="U169" s="879"/>
      <c r="V169" s="879"/>
      <c r="W169" s="879"/>
      <c r="X169" s="879"/>
      <c r="Y169" s="879"/>
      <c r="Z169" s="879"/>
      <c r="AA169" s="879"/>
      <c r="AB169" s="879"/>
      <c r="AC169" s="879"/>
      <c r="AD169" s="879"/>
      <c r="AE169" s="879"/>
      <c r="AF169" s="879"/>
      <c r="AG169" s="879"/>
      <c r="AH169" s="879"/>
      <c r="AI169" s="879"/>
      <c r="AJ169" s="879"/>
    </row>
    <row r="170" spans="1:36" x14ac:dyDescent="0.25">
      <c r="A170" s="879"/>
      <c r="B170" s="879"/>
      <c r="C170" s="879">
        <f t="shared" si="85"/>
        <v>12</v>
      </c>
      <c r="D170" s="883" t="str">
        <f>+S110</f>
        <v>Principal Payment</v>
      </c>
      <c r="E170" s="896">
        <f ca="1">+Y48+C170/10000000000</f>
        <v>3.4583580709844457E-2</v>
      </c>
      <c r="F170" s="883">
        <f t="shared" ca="1" si="80"/>
        <v>6</v>
      </c>
      <c r="G170" s="888">
        <v>12</v>
      </c>
      <c r="H170" s="883" t="str">
        <f t="shared" ca="1" si="81"/>
        <v>Taxes</v>
      </c>
      <c r="I170" s="898">
        <f t="shared" ca="1" si="82"/>
        <v>-1.934351223185217E-2</v>
      </c>
      <c r="J170" s="879"/>
      <c r="K170" s="883" t="str">
        <f t="shared" ca="1" si="76"/>
        <v>Taxes</v>
      </c>
      <c r="L170" s="883"/>
      <c r="M170" s="896">
        <f t="shared" ca="1" si="83"/>
        <v>-1.934351223185217E-2</v>
      </c>
      <c r="N170" s="883" t="str">
        <f t="shared" ca="1" si="84"/>
        <v/>
      </c>
      <c r="O170" s="879"/>
      <c r="P170" s="879"/>
      <c r="Q170" s="879"/>
      <c r="R170" s="879"/>
      <c r="S170" s="879"/>
      <c r="T170" s="879"/>
      <c r="U170" s="879"/>
      <c r="V170" s="879"/>
      <c r="W170" s="879"/>
      <c r="X170" s="879"/>
      <c r="Y170" s="879"/>
      <c r="Z170" s="879"/>
      <c r="AA170" s="879"/>
      <c r="AB170" s="879"/>
      <c r="AC170" s="879"/>
      <c r="AD170" s="879"/>
      <c r="AE170" s="879"/>
      <c r="AF170" s="879"/>
      <c r="AG170" s="879"/>
      <c r="AH170" s="879"/>
      <c r="AI170" s="879"/>
      <c r="AJ170" s="879"/>
    </row>
    <row r="171" spans="1:36" x14ac:dyDescent="0.25">
      <c r="A171" s="879"/>
      <c r="B171" s="879"/>
      <c r="C171" s="879"/>
      <c r="D171" s="879"/>
      <c r="E171" s="879"/>
      <c r="F171" s="879"/>
      <c r="G171" s="879"/>
      <c r="H171" s="881"/>
      <c r="I171" s="879"/>
      <c r="J171" s="879"/>
      <c r="K171" s="882" t="s">
        <v>57</v>
      </c>
      <c r="L171" s="896">
        <f ca="1">+SUM(L155:L170)</f>
        <v>1.5110116625231238</v>
      </c>
      <c r="M171" s="896">
        <f ca="1">+SUM(M155:M170)</f>
        <v>1.5110116625231227</v>
      </c>
      <c r="N171" s="883" t="str">
        <f t="shared" ref="N171" ca="1" si="86">+IF(M171&lt;0.01,K171,"")</f>
        <v/>
      </c>
      <c r="O171" s="879"/>
      <c r="P171" s="879"/>
      <c r="Q171" s="879"/>
      <c r="R171" s="879"/>
      <c r="S171" s="879"/>
      <c r="T171" s="879"/>
      <c r="U171" s="879"/>
      <c r="V171" s="879"/>
      <c r="W171" s="879"/>
      <c r="X171" s="879"/>
      <c r="Y171" s="879"/>
      <c r="Z171" s="879"/>
      <c r="AA171" s="879"/>
      <c r="AB171" s="879"/>
      <c r="AC171" s="879"/>
      <c r="AD171" s="879"/>
      <c r="AE171" s="879"/>
      <c r="AF171" s="879"/>
      <c r="AG171" s="879"/>
      <c r="AH171" s="879"/>
      <c r="AI171" s="879"/>
      <c r="AJ171" s="879"/>
    </row>
    <row r="172" spans="1:36" x14ac:dyDescent="0.25">
      <c r="A172" s="879"/>
      <c r="B172" s="879"/>
      <c r="C172" s="879"/>
      <c r="E172" s="879"/>
      <c r="F172" s="879"/>
      <c r="G172" s="879"/>
      <c r="H172" s="879"/>
      <c r="I172" s="879"/>
      <c r="J172" s="879"/>
      <c r="K172" s="879"/>
      <c r="L172" s="879"/>
      <c r="M172" s="879"/>
      <c r="N172" s="879"/>
      <c r="O172" s="879"/>
      <c r="P172" s="879"/>
      <c r="Q172" s="879"/>
      <c r="R172" s="879"/>
      <c r="S172" s="879"/>
      <c r="T172" s="879"/>
      <c r="U172" s="879"/>
      <c r="V172" s="879"/>
      <c r="W172" s="879"/>
      <c r="X172" s="879"/>
      <c r="Y172" s="879"/>
      <c r="Z172" s="879"/>
      <c r="AA172" s="879"/>
      <c r="AB172" s="879"/>
      <c r="AC172" s="879"/>
      <c r="AD172" s="879"/>
      <c r="AE172" s="879"/>
      <c r="AF172" s="879"/>
      <c r="AG172" s="879"/>
      <c r="AH172" s="879"/>
      <c r="AI172" s="879"/>
      <c r="AJ172" s="879"/>
    </row>
    <row r="173" spans="1:36" x14ac:dyDescent="0.25">
      <c r="A173" s="879"/>
      <c r="B173" s="879"/>
      <c r="C173" s="879"/>
      <c r="D173" s="879"/>
      <c r="E173" s="879"/>
      <c r="F173" s="879"/>
      <c r="G173" s="879"/>
      <c r="H173" s="879"/>
      <c r="I173" s="879"/>
      <c r="J173" s="879"/>
      <c r="K173" s="879"/>
      <c r="L173" s="879"/>
      <c r="M173" s="879"/>
      <c r="N173" s="879"/>
      <c r="O173" s="879"/>
      <c r="P173" s="879"/>
      <c r="Q173" s="879"/>
      <c r="R173" s="879"/>
      <c r="S173" s="879"/>
      <c r="T173" s="879"/>
      <c r="U173" s="879"/>
      <c r="V173" s="879"/>
      <c r="W173" s="879"/>
      <c r="X173" s="879"/>
      <c r="Y173" s="879"/>
      <c r="Z173" s="879"/>
      <c r="AA173" s="879"/>
      <c r="AB173" s="879"/>
      <c r="AC173" s="879"/>
      <c r="AD173" s="879"/>
      <c r="AE173" s="879"/>
      <c r="AF173" s="879"/>
      <c r="AG173" s="879"/>
      <c r="AH173" s="879"/>
      <c r="AI173" s="879"/>
      <c r="AJ173" s="879"/>
    </row>
    <row r="174" spans="1:36" x14ac:dyDescent="0.25">
      <c r="A174" s="879"/>
      <c r="B174" s="881" t="s">
        <v>1164</v>
      </c>
      <c r="C174" s="879"/>
      <c r="D174" s="880" t="s">
        <v>1176</v>
      </c>
      <c r="E174" s="880" t="s">
        <v>1174</v>
      </c>
      <c r="F174" s="880" t="s">
        <v>1177</v>
      </c>
      <c r="G174" s="880" t="s">
        <v>1175</v>
      </c>
      <c r="H174" s="879"/>
      <c r="I174" s="879"/>
      <c r="J174" s="879"/>
      <c r="K174" s="879"/>
      <c r="L174" s="879"/>
      <c r="M174" s="880"/>
      <c r="N174" s="880"/>
      <c r="O174" s="879"/>
      <c r="P174" s="879"/>
      <c r="Q174" s="879"/>
      <c r="R174" s="879"/>
      <c r="S174" s="879"/>
      <c r="T174" s="879"/>
      <c r="U174" s="879"/>
      <c r="V174" s="879"/>
      <c r="W174" s="879"/>
      <c r="X174" s="879"/>
      <c r="Y174" s="879"/>
      <c r="Z174" s="879"/>
      <c r="AA174" s="879"/>
      <c r="AB174" s="879"/>
      <c r="AC174" s="879"/>
      <c r="AD174" s="879"/>
      <c r="AE174" s="879"/>
      <c r="AF174" s="879"/>
      <c r="AG174" s="879"/>
      <c r="AH174" s="879"/>
      <c r="AI174" s="879"/>
      <c r="AJ174" s="879"/>
    </row>
    <row r="175" spans="1:36" x14ac:dyDescent="0.25">
      <c r="A175" s="879"/>
      <c r="B175">
        <v>0</v>
      </c>
      <c r="C175" s="882" t="s">
        <v>1165</v>
      </c>
      <c r="D175" s="896">
        <f>+K51</f>
        <v>6.744328582053198</v>
      </c>
      <c r="E175" s="896">
        <f>+D175</f>
        <v>6.744328582053198</v>
      </c>
      <c r="F175" s="896"/>
      <c r="G175" s="896"/>
      <c r="H175" s="879"/>
      <c r="I175" s="879"/>
      <c r="J175" s="879"/>
      <c r="K175" s="879"/>
      <c r="L175" s="879"/>
      <c r="M175" s="1008"/>
      <c r="N175" s="1008"/>
      <c r="O175" s="879"/>
      <c r="P175" s="879"/>
      <c r="Q175" s="879"/>
      <c r="R175" s="879"/>
      <c r="S175" s="879"/>
      <c r="T175" s="879"/>
      <c r="U175" s="879"/>
      <c r="V175" s="879"/>
      <c r="W175" s="879"/>
      <c r="X175" s="879"/>
      <c r="Y175" s="879"/>
      <c r="Z175" s="879"/>
      <c r="AA175" s="879"/>
      <c r="AB175" s="879"/>
      <c r="AC175" s="879"/>
      <c r="AD175" s="879"/>
      <c r="AE175" s="879"/>
      <c r="AF175" s="879"/>
      <c r="AG175" s="879"/>
      <c r="AH175" s="879"/>
      <c r="AI175" s="879"/>
      <c r="AJ175" s="879"/>
    </row>
    <row r="176" spans="1:36" x14ac:dyDescent="0.25">
      <c r="A176" s="879"/>
      <c r="B176" s="879">
        <v>1</v>
      </c>
      <c r="C176" s="883" t="str">
        <f ca="1">OFFSET($B$50,0,MATCH($B176,$C$72:$I$72,0))&amp;
IF(OFFSET($F$2,MATCH($B176,$C$72:$I$72,0),0)&lt;1,
"
= "&amp;OFFSET($F$2,MATCH($B176,$C$72:$I$72,0),0)*100-100,
"
= +"&amp;OFFSET($F$2,MATCH($B176,$C$72:$I$72,0),0)*100-100)
&amp;"%"</f>
        <v>Operating capacity factor
= +5%</v>
      </c>
      <c r="D176" s="896">
        <f>+K66</f>
        <v>6.7104490271023414</v>
      </c>
      <c r="E176" s="896">
        <f t="shared" ref="E176:E181" si="87">+E175+G175-F176</f>
        <v>6.7104490271023414</v>
      </c>
      <c r="F176" s="896">
        <f>+MAX(D175-D176,0)</f>
        <v>3.3879554950856594E-2</v>
      </c>
      <c r="G176" s="896">
        <f>+MAX(D176-D175,0)</f>
        <v>0</v>
      </c>
      <c r="H176" s="879"/>
      <c r="I176" s="879"/>
      <c r="J176" s="879"/>
      <c r="K176" s="879"/>
      <c r="L176" s="879"/>
      <c r="M176" s="1008"/>
      <c r="N176" s="1008"/>
      <c r="O176" s="879"/>
      <c r="P176" s="879"/>
      <c r="Q176" s="879"/>
      <c r="R176" s="879"/>
      <c r="S176" s="879"/>
      <c r="T176" s="879"/>
      <c r="U176" s="879"/>
      <c r="V176" s="879"/>
      <c r="W176" s="879"/>
      <c r="X176" s="879"/>
      <c r="Y176" s="879"/>
      <c r="Z176" s="879"/>
      <c r="AA176" s="879"/>
      <c r="AB176" s="879"/>
      <c r="AC176" s="879"/>
      <c r="AD176" s="879"/>
      <c r="AE176" s="879"/>
      <c r="AF176" s="879"/>
      <c r="AG176" s="879"/>
      <c r="AH176" s="879"/>
      <c r="AI176" s="879"/>
      <c r="AJ176" s="879"/>
    </row>
    <row r="177" spans="1:36" x14ac:dyDescent="0.25">
      <c r="A177" s="879"/>
      <c r="B177" s="879">
        <v>2</v>
      </c>
      <c r="C177" s="883" t="str">
        <f ca="1">OFFSET($B$50,0,MATCH($B177,$C$72:$I$72,0))&amp;
IF(OFFSET($F$2,MATCH($B177,$C$72:$I$72,0),0)&lt;1,
"
= "&amp;OFFSET($F$2,MATCH($B177,$C$72:$I$72,0),0)*100-100,
"
= +"&amp;OFFSET($F$2,MATCH($B177,$C$72:$I$72,0),0)*100-100)
&amp;"%"</f>
        <v>Total capital investment ($)
= -5%</v>
      </c>
      <c r="D177" s="896">
        <f>+K67</f>
        <v>6.6915724797514544</v>
      </c>
      <c r="E177" s="896">
        <f t="shared" si="87"/>
        <v>6.6915724797514544</v>
      </c>
      <c r="F177" s="896">
        <f>+MAX(D176-D177,0)</f>
        <v>1.8876547350886952E-2</v>
      </c>
      <c r="G177" s="896">
        <f>+MAX(D177-D176,0)</f>
        <v>0</v>
      </c>
      <c r="H177" s="879"/>
      <c r="I177" s="879"/>
      <c r="J177" s="879"/>
      <c r="K177" s="879"/>
      <c r="L177" s="879"/>
      <c r="M177" s="1008"/>
      <c r="N177" s="1008"/>
      <c r="O177" s="879"/>
      <c r="P177" s="879"/>
      <c r="Q177" s="879"/>
      <c r="R177" s="879"/>
      <c r="S177" s="879"/>
      <c r="T177" s="879"/>
      <c r="U177" s="879"/>
      <c r="V177" s="879"/>
      <c r="W177" s="879"/>
      <c r="X177" s="879"/>
      <c r="Y177" s="879"/>
      <c r="Z177" s="879"/>
      <c r="AA177" s="879"/>
      <c r="AB177" s="879"/>
      <c r="AC177" s="879"/>
      <c r="AD177" s="879"/>
      <c r="AE177" s="879"/>
      <c r="AF177" s="879"/>
      <c r="AG177" s="879"/>
      <c r="AH177" s="879"/>
      <c r="AI177" s="879"/>
      <c r="AJ177" s="879"/>
    </row>
    <row r="178" spans="1:36" x14ac:dyDescent="0.25">
      <c r="A178" s="879"/>
      <c r="B178" s="879">
        <v>3</v>
      </c>
      <c r="C178" s="883" t="str">
        <f ca="1">OFFSET($B$50,0,MATCH($B178,$C$72:$I$72,0))&amp;
IF(OFFSET($F$2,MATCH($B178,$C$72:$I$72,0),0)&lt;1,
"
= "&amp;OFFSET($F$2,MATCH($B178,$C$72:$I$72,0),0)*100-100,
"
= +"&amp;OFFSET($F$2,MATCH($B178,$C$72:$I$72,0),0)*100-100)
&amp;"%"</f>
        <v>Total fixed operating cost ($/year)
= -5%</v>
      </c>
      <c r="D178" s="896">
        <f>+K68</f>
        <v>6.6787124539104976</v>
      </c>
      <c r="E178" s="896">
        <f t="shared" si="87"/>
        <v>6.6787124539104976</v>
      </c>
      <c r="F178" s="896">
        <f>+MAX(D177-D178,0)</f>
        <v>1.2860025840956801E-2</v>
      </c>
      <c r="G178" s="896">
        <f>+MAX(D178-D177,0)</f>
        <v>0</v>
      </c>
      <c r="H178" s="879"/>
      <c r="I178" s="879"/>
      <c r="J178" s="879"/>
      <c r="K178" s="879"/>
      <c r="L178" s="879"/>
      <c r="M178" s="1008"/>
      <c r="N178" s="1008"/>
      <c r="O178" s="879"/>
      <c r="P178" s="879"/>
      <c r="Q178" s="879"/>
      <c r="R178" s="879"/>
      <c r="S178" s="879"/>
      <c r="T178" s="879"/>
      <c r="U178" s="879"/>
      <c r="V178" s="879"/>
      <c r="W178" s="879"/>
      <c r="X178" s="879"/>
      <c r="Y178" s="879"/>
      <c r="Z178" s="879"/>
      <c r="AA178" s="879"/>
      <c r="AB178" s="879"/>
      <c r="AC178" s="879"/>
      <c r="AD178" s="879"/>
      <c r="AE178" s="879"/>
      <c r="AF178" s="879"/>
      <c r="AG178" s="879"/>
      <c r="AH178" s="879"/>
      <c r="AI178" s="879"/>
      <c r="AJ178" s="879"/>
    </row>
    <row r="179" spans="1:36" x14ac:dyDescent="0.25">
      <c r="A179" s="879"/>
      <c r="B179" s="879">
        <v>4</v>
      </c>
      <c r="C179" s="883" t="str">
        <f ca="1">OFFSET($B$50,0,MATCH($B179,$C$72:$I$72,0))&amp;
IF(OFFSET($F$2,MATCH($B179,$C$72:$I$72,0),0)&lt;1,
"
= "&amp;OFFSET($F$2,MATCH($B179,$C$72:$I$72,0),0)*100-100,
"
= +"&amp;OFFSET($F$2,MATCH($B179,$C$72:$I$72,0),0)*100-100)
&amp;"%"</f>
        <v>Feedstock consumption (% of most likely value)
= -5%</v>
      </c>
      <c r="D179" s="896">
        <f>+K69</f>
        <v>6.6759616356734073</v>
      </c>
      <c r="E179" s="896">
        <f t="shared" si="87"/>
        <v>6.6759616356734073</v>
      </c>
      <c r="F179" s="896">
        <f>+MAX(D178-D179,0)</f>
        <v>2.7508182370903356E-3</v>
      </c>
      <c r="G179" s="896">
        <f>+MAX(D179-D178,0)</f>
        <v>0</v>
      </c>
      <c r="H179" s="879"/>
      <c r="I179" s="879"/>
      <c r="J179" s="879"/>
      <c r="K179" s="879"/>
      <c r="L179" s="879"/>
      <c r="M179" s="1008"/>
      <c r="N179" s="1008"/>
      <c r="O179" s="879"/>
      <c r="P179" s="879"/>
      <c r="Q179" s="879"/>
      <c r="R179" s="879"/>
      <c r="S179" s="879"/>
      <c r="T179" s="879"/>
      <c r="U179" s="879"/>
      <c r="V179" s="879"/>
      <c r="W179" s="879"/>
      <c r="X179" s="879"/>
      <c r="Y179" s="879"/>
      <c r="Z179" s="879"/>
      <c r="AA179" s="879"/>
      <c r="AB179" s="879"/>
      <c r="AC179" s="879"/>
      <c r="AD179" s="879"/>
      <c r="AE179" s="879"/>
      <c r="AF179" s="879"/>
      <c r="AG179" s="879"/>
      <c r="AH179" s="879"/>
      <c r="AI179" s="879"/>
      <c r="AJ179" s="879"/>
    </row>
    <row r="180" spans="1:36" x14ac:dyDescent="0.25">
      <c r="A180" s="879"/>
      <c r="B180" s="879">
        <v>5</v>
      </c>
      <c r="C180" s="883" t="str">
        <f ca="1">OFFSET($B$50,0,MATCH($B180,$C$72:$I$72,0))&amp;
IF(OFFSET($F$2,MATCH($B180,$C$72:$I$72,0),0)&lt;1,
"
= "&amp;OFFSET($F$2,MATCH($B180,$C$72:$I$72,0),0)*100-100,
"
= +"&amp;OFFSET($F$2,MATCH($B180,$C$72:$I$72,0),0)*100-100)
&amp;"%"</f>
        <v>Utilities consumption (% of most likely value)
= -5%</v>
      </c>
      <c r="D180" s="896">
        <f>+K70</f>
        <v>6.6759616356734073</v>
      </c>
      <c r="E180" s="896">
        <f t="shared" si="87"/>
        <v>6.6759616356734073</v>
      </c>
      <c r="F180" s="896">
        <f>+MAX(D179-D180,0)</f>
        <v>0</v>
      </c>
      <c r="G180" s="896">
        <f>+MAX(D180-D179,0)</f>
        <v>0</v>
      </c>
      <c r="H180" s="879"/>
      <c r="I180" s="879"/>
      <c r="J180" s="879"/>
      <c r="K180" s="879"/>
      <c r="L180" s="879"/>
      <c r="M180" s="1008"/>
      <c r="N180" s="1008"/>
      <c r="O180" s="879"/>
      <c r="P180" s="879"/>
      <c r="Q180" s="879"/>
      <c r="R180" s="879"/>
      <c r="S180" s="879"/>
      <c r="T180" s="879"/>
      <c r="U180" s="879"/>
      <c r="V180" s="879"/>
      <c r="W180" s="879"/>
      <c r="X180" s="879"/>
      <c r="Y180" s="879"/>
      <c r="Z180" s="879"/>
      <c r="AA180" s="879"/>
      <c r="AB180" s="879"/>
      <c r="AC180" s="879"/>
      <c r="AD180" s="879"/>
      <c r="AE180" s="879"/>
      <c r="AF180" s="879"/>
      <c r="AG180" s="879"/>
      <c r="AH180" s="879"/>
      <c r="AI180" s="879"/>
      <c r="AJ180" s="879"/>
    </row>
    <row r="181" spans="1:36" x14ac:dyDescent="0.25">
      <c r="A181" s="879"/>
      <c r="B181" s="879">
        <v>6</v>
      </c>
      <c r="C181" s="882" t="s">
        <v>1172</v>
      </c>
      <c r="D181" s="896">
        <f>+K70</f>
        <v>6.6759616356734073</v>
      </c>
      <c r="E181" s="896">
        <f t="shared" si="87"/>
        <v>6.6759616356734073</v>
      </c>
      <c r="F181" s="896"/>
      <c r="G181" s="896"/>
      <c r="H181" s="879"/>
      <c r="I181" s="879"/>
      <c r="J181" s="879"/>
      <c r="K181" s="879"/>
      <c r="L181" s="879"/>
      <c r="M181" s="1008"/>
      <c r="N181" s="1008"/>
      <c r="O181" s="879"/>
      <c r="P181" s="879"/>
      <c r="Q181" s="879"/>
      <c r="R181" s="879"/>
      <c r="S181" s="879"/>
      <c r="T181" s="879"/>
      <c r="U181" s="879"/>
      <c r="V181" s="879"/>
      <c r="W181" s="879"/>
      <c r="X181" s="879"/>
      <c r="Y181" s="879"/>
      <c r="Z181" s="879"/>
      <c r="AA181" s="879"/>
      <c r="AB181" s="879"/>
      <c r="AC181" s="879"/>
      <c r="AD181" s="879"/>
      <c r="AE181" s="879"/>
      <c r="AF181" s="879"/>
      <c r="AG181" s="879"/>
      <c r="AH181" s="879"/>
      <c r="AI181" s="879"/>
      <c r="AJ181" s="879"/>
    </row>
    <row r="182" spans="1:36" x14ac:dyDescent="0.25">
      <c r="A182" s="879"/>
      <c r="B182" s="879"/>
      <c r="C182" s="879"/>
      <c r="D182" s="879"/>
      <c r="E182" s="879"/>
      <c r="F182" s="879"/>
      <c r="G182" s="879"/>
      <c r="H182" s="879"/>
      <c r="I182" s="879"/>
      <c r="J182" s="879"/>
      <c r="K182" s="879"/>
      <c r="L182" s="879"/>
      <c r="M182" s="879"/>
      <c r="N182" s="879"/>
      <c r="O182" s="879"/>
      <c r="P182" s="879"/>
      <c r="Q182" s="879"/>
      <c r="R182" s="879"/>
      <c r="S182" s="879"/>
      <c r="T182" s="879"/>
      <c r="U182" s="879"/>
      <c r="V182" s="879"/>
      <c r="W182" s="879"/>
      <c r="X182" s="879"/>
      <c r="Y182" s="879"/>
      <c r="Z182" s="879"/>
      <c r="AA182" s="879"/>
      <c r="AB182" s="879"/>
      <c r="AC182" s="879"/>
      <c r="AD182" s="879"/>
      <c r="AE182" s="879"/>
      <c r="AF182" s="879"/>
      <c r="AG182" s="879"/>
      <c r="AH182" s="879"/>
      <c r="AI182" s="879"/>
      <c r="AJ182" s="879"/>
    </row>
    <row r="183" spans="1:36" x14ac:dyDescent="0.25">
      <c r="A183" s="879"/>
      <c r="B183" s="879"/>
      <c r="C183" s="879"/>
      <c r="D183" s="879"/>
      <c r="E183" s="879"/>
      <c r="F183" s="879"/>
      <c r="G183" s="879"/>
      <c r="H183" s="879"/>
      <c r="I183" s="879"/>
      <c r="J183" s="879"/>
      <c r="K183" s="879"/>
      <c r="L183" s="879"/>
      <c r="M183" s="879"/>
      <c r="N183" s="879"/>
      <c r="O183" s="879"/>
      <c r="P183" s="879"/>
      <c r="Q183" s="879"/>
      <c r="R183" s="879"/>
      <c r="S183" s="879"/>
      <c r="T183" s="879"/>
      <c r="U183" s="879"/>
      <c r="V183" s="879"/>
      <c r="W183" s="879"/>
      <c r="X183" s="879"/>
      <c r="Y183" s="879"/>
      <c r="Z183" s="879"/>
      <c r="AA183" s="879"/>
      <c r="AB183" s="879"/>
      <c r="AC183" s="879"/>
      <c r="AD183" s="879"/>
      <c r="AE183" s="879"/>
      <c r="AF183" s="879"/>
      <c r="AG183" s="879"/>
      <c r="AH183" s="879"/>
      <c r="AI183" s="879"/>
      <c r="AJ183" s="879"/>
    </row>
    <row r="184" spans="1:36" x14ac:dyDescent="0.25">
      <c r="A184" s="879"/>
      <c r="B184" s="879"/>
      <c r="C184" s="879"/>
      <c r="D184" s="879"/>
      <c r="E184" s="879"/>
      <c r="F184" s="879"/>
      <c r="G184" s="879"/>
      <c r="H184" s="879"/>
      <c r="I184" s="879"/>
      <c r="J184" s="879"/>
      <c r="K184" s="879"/>
      <c r="L184" s="879"/>
      <c r="M184" s="879"/>
      <c r="N184" s="879"/>
      <c r="O184" s="879"/>
      <c r="P184" s="879"/>
      <c r="Q184" s="879"/>
      <c r="R184" s="879"/>
      <c r="S184" s="879"/>
      <c r="T184" s="879"/>
      <c r="U184" s="879"/>
      <c r="V184" s="879"/>
      <c r="W184" s="879"/>
      <c r="X184" s="879"/>
      <c r="Y184" s="879"/>
      <c r="Z184" s="879"/>
      <c r="AA184" s="879"/>
      <c r="AB184" s="879"/>
      <c r="AC184" s="879"/>
      <c r="AD184" s="879"/>
      <c r="AE184" s="879"/>
      <c r="AF184" s="879"/>
      <c r="AG184" s="879"/>
      <c r="AH184" s="879"/>
      <c r="AI184" s="879"/>
      <c r="AJ184" s="879"/>
    </row>
    <row r="185" spans="1:36" x14ac:dyDescent="0.25">
      <c r="A185" s="879"/>
      <c r="B185" s="879"/>
      <c r="C185" s="879"/>
      <c r="D185" s="879"/>
      <c r="E185" s="879"/>
      <c r="F185" s="879"/>
      <c r="G185" s="879"/>
      <c r="H185" s="879"/>
      <c r="I185" s="879"/>
      <c r="J185" s="879"/>
      <c r="K185" s="879"/>
      <c r="L185" s="879"/>
      <c r="M185" s="879"/>
      <c r="N185" s="879"/>
      <c r="O185" s="879"/>
      <c r="P185" s="879"/>
      <c r="Q185" s="879"/>
      <c r="R185" s="879"/>
      <c r="S185" s="879"/>
      <c r="T185" s="879"/>
      <c r="U185" s="879"/>
      <c r="V185" s="879"/>
      <c r="W185" s="879"/>
      <c r="X185" s="879"/>
      <c r="Y185" s="879"/>
      <c r="Z185" s="879"/>
      <c r="AA185" s="879"/>
      <c r="AB185" s="879"/>
      <c r="AC185" s="879"/>
      <c r="AD185" s="879"/>
      <c r="AE185" s="879"/>
      <c r="AF185" s="879"/>
      <c r="AG185" s="879"/>
      <c r="AH185" s="879"/>
      <c r="AI185" s="879"/>
      <c r="AJ185" s="879"/>
    </row>
    <row r="186" spans="1:36" x14ac:dyDescent="0.25">
      <c r="A186" s="879"/>
      <c r="B186" s="879"/>
      <c r="C186" s="879"/>
      <c r="D186" s="879"/>
      <c r="E186" s="879"/>
      <c r="F186" s="879"/>
      <c r="G186" s="879"/>
      <c r="H186" s="879"/>
      <c r="I186" s="879"/>
      <c r="J186" s="879"/>
      <c r="K186" s="879"/>
      <c r="L186" s="879"/>
      <c r="M186" s="879"/>
      <c r="N186" s="879"/>
      <c r="O186" s="879"/>
      <c r="P186" s="879"/>
      <c r="Q186" s="879"/>
      <c r="R186" s="879"/>
      <c r="S186" s="879"/>
      <c r="T186" s="879"/>
      <c r="U186" s="879"/>
      <c r="V186" s="879"/>
      <c r="W186" s="879"/>
      <c r="X186" s="879"/>
      <c r="Y186" s="879"/>
      <c r="Z186" s="879"/>
      <c r="AA186" s="879"/>
      <c r="AB186" s="879"/>
      <c r="AC186" s="879"/>
      <c r="AD186" s="879"/>
      <c r="AE186" s="879"/>
      <c r="AF186" s="879"/>
      <c r="AG186" s="879"/>
      <c r="AH186" s="879"/>
      <c r="AI186" s="879"/>
      <c r="AJ186" s="879"/>
    </row>
    <row r="187" spans="1:36" x14ac:dyDescent="0.25">
      <c r="A187" s="879"/>
      <c r="B187" s="879"/>
      <c r="C187" s="879"/>
      <c r="D187" s="879"/>
      <c r="E187" s="879"/>
      <c r="F187" s="879"/>
      <c r="G187" s="879"/>
      <c r="H187" s="879"/>
      <c r="I187" s="879"/>
      <c r="J187" s="879"/>
      <c r="K187" s="879"/>
      <c r="L187" s="879"/>
      <c r="M187" s="879"/>
      <c r="N187" s="879"/>
      <c r="O187" s="879"/>
      <c r="P187" s="879"/>
      <c r="Q187" s="879"/>
      <c r="R187" s="879"/>
      <c r="S187" s="879"/>
      <c r="T187" s="879"/>
      <c r="U187" s="879"/>
      <c r="V187" s="879"/>
      <c r="W187" s="879"/>
      <c r="X187" s="879"/>
      <c r="Y187" s="879"/>
      <c r="Z187" s="879"/>
      <c r="AA187" s="879"/>
      <c r="AB187" s="879"/>
      <c r="AC187" s="879"/>
      <c r="AD187" s="879"/>
      <c r="AE187" s="879"/>
      <c r="AF187" s="879"/>
      <c r="AG187" s="879"/>
      <c r="AH187" s="879"/>
      <c r="AI187" s="879"/>
      <c r="AJ187" s="879"/>
    </row>
    <row r="188" spans="1:36" x14ac:dyDescent="0.25">
      <c r="A188" s="879"/>
      <c r="B188" s="879"/>
      <c r="C188" s="879"/>
      <c r="D188" s="879"/>
      <c r="E188" s="879"/>
      <c r="F188" s="879"/>
      <c r="G188" s="879"/>
      <c r="H188" s="879"/>
      <c r="I188" s="879"/>
      <c r="J188" s="879"/>
      <c r="K188" s="879"/>
      <c r="L188" s="879"/>
      <c r="M188" s="879"/>
      <c r="N188" s="879"/>
      <c r="O188" s="879"/>
      <c r="P188" s="879"/>
      <c r="Q188" s="879"/>
      <c r="R188" s="879"/>
      <c r="S188" s="879"/>
      <c r="T188" s="879"/>
      <c r="U188" s="879"/>
      <c r="V188" s="879"/>
      <c r="W188" s="879"/>
      <c r="X188" s="879"/>
      <c r="Y188" s="879"/>
      <c r="Z188" s="879"/>
      <c r="AA188" s="879"/>
      <c r="AB188" s="879"/>
      <c r="AC188" s="879"/>
      <c r="AD188" s="879"/>
      <c r="AE188" s="879"/>
      <c r="AF188" s="879"/>
      <c r="AG188" s="879"/>
      <c r="AH188" s="879"/>
      <c r="AI188" s="879"/>
      <c r="AJ188" s="879"/>
    </row>
    <row r="189" spans="1:36" x14ac:dyDescent="0.25">
      <c r="A189" s="879"/>
      <c r="B189" s="1129" t="s">
        <v>1208</v>
      </c>
      <c r="C189" s="1130">
        <f>+MIN(F3:G3)</f>
        <v>0.95</v>
      </c>
      <c r="D189" s="1130">
        <f>+MIN(F4:G4)</f>
        <v>0.95</v>
      </c>
      <c r="E189" s="1130">
        <f>+MIN(F5:G5)</f>
        <v>0.95</v>
      </c>
      <c r="F189" s="1130">
        <f>+MIN(F6:G6)</f>
        <v>0.95</v>
      </c>
      <c r="G189" s="1130">
        <f>+MIN(F7:G7)</f>
        <v>0.95</v>
      </c>
      <c r="H189" s="1130">
        <f>+MIN(F8:G8)</f>
        <v>0.95</v>
      </c>
      <c r="I189" s="1130">
        <f>+MIN(F9:G9)</f>
        <v>0.95</v>
      </c>
      <c r="J189" s="879"/>
      <c r="K189" s="879"/>
      <c r="L189" s="879"/>
      <c r="M189" s="879"/>
      <c r="N189" s="879"/>
      <c r="O189" s="879"/>
      <c r="P189" s="879"/>
      <c r="Q189" s="879"/>
      <c r="R189" s="879"/>
      <c r="S189" s="879"/>
      <c r="T189" s="879"/>
      <c r="U189" s="879"/>
      <c r="V189" s="879"/>
      <c r="W189" s="879"/>
      <c r="X189" s="879"/>
      <c r="Y189" s="879"/>
      <c r="Z189" s="879"/>
      <c r="AA189" s="879"/>
      <c r="AB189" s="879"/>
      <c r="AC189" s="879"/>
      <c r="AD189" s="879"/>
      <c r="AE189" s="879"/>
      <c r="AF189" s="879"/>
      <c r="AG189" s="879"/>
      <c r="AH189" s="879"/>
      <c r="AI189" s="879"/>
      <c r="AJ189" s="879"/>
    </row>
    <row r="190" spans="1:36" x14ac:dyDescent="0.25">
      <c r="A190" s="879"/>
      <c r="B190" s="1129" t="s">
        <v>1210</v>
      </c>
      <c r="C190" s="1131">
        <v>1</v>
      </c>
      <c r="D190" s="1131">
        <v>1</v>
      </c>
      <c r="E190" s="1131">
        <v>1</v>
      </c>
      <c r="F190" s="1131">
        <v>1</v>
      </c>
      <c r="G190" s="1131">
        <v>1</v>
      </c>
      <c r="H190" s="1131">
        <v>1</v>
      </c>
      <c r="I190" s="1131">
        <v>1</v>
      </c>
      <c r="J190" s="879"/>
      <c r="K190" s="879"/>
      <c r="L190" s="879"/>
      <c r="M190" s="879"/>
      <c r="N190" s="879"/>
      <c r="O190" s="879"/>
      <c r="P190" s="879"/>
      <c r="Q190" s="879"/>
      <c r="R190" s="879"/>
      <c r="S190" s="879"/>
      <c r="T190" s="879"/>
      <c r="U190" s="879"/>
      <c r="V190" s="879"/>
      <c r="W190" s="879"/>
      <c r="X190" s="879"/>
      <c r="Y190" s="879"/>
      <c r="Z190" s="879"/>
      <c r="AA190" s="879"/>
      <c r="AB190" s="879"/>
      <c r="AC190" s="879"/>
      <c r="AD190" s="879"/>
      <c r="AE190" s="879"/>
      <c r="AF190" s="879"/>
      <c r="AG190" s="879"/>
      <c r="AH190" s="879"/>
      <c r="AI190" s="879"/>
      <c r="AJ190" s="879"/>
    </row>
    <row r="191" spans="1:36" x14ac:dyDescent="0.25">
      <c r="A191" s="879"/>
      <c r="B191" s="1129" t="s">
        <v>1209</v>
      </c>
      <c r="C191" s="1130">
        <f>+MAX(F3:G3)</f>
        <v>1.05</v>
      </c>
      <c r="D191" s="1130">
        <f>+MAX(F4:G4)</f>
        <v>1.05</v>
      </c>
      <c r="E191" s="1130">
        <f>+MAX(F5:G5)</f>
        <v>1.05</v>
      </c>
      <c r="F191" s="1130">
        <f>+MAX(F6:G6)</f>
        <v>1.05</v>
      </c>
      <c r="G191" s="1130">
        <f>+MAX(F7:G7)</f>
        <v>1.05</v>
      </c>
      <c r="H191" s="1130">
        <f>+MAX(F8:G8)</f>
        <v>1.05</v>
      </c>
      <c r="I191" s="1130">
        <f>+MAX(F9:G9)</f>
        <v>1.05</v>
      </c>
      <c r="J191" s="879"/>
      <c r="K191" s="879"/>
      <c r="L191" s="879"/>
      <c r="M191" s="879"/>
      <c r="N191" s="879"/>
      <c r="O191" s="879"/>
      <c r="P191" s="879"/>
      <c r="Q191" s="879"/>
      <c r="R191" s="879"/>
      <c r="S191" s="879"/>
      <c r="T191" s="879"/>
      <c r="U191" s="879"/>
      <c r="V191" s="879"/>
      <c r="W191" s="879"/>
      <c r="X191" s="879"/>
      <c r="Y191" s="879"/>
      <c r="Z191" s="879"/>
      <c r="AA191" s="879"/>
      <c r="AB191" s="879"/>
      <c r="AC191" s="879"/>
      <c r="AD191" s="879"/>
      <c r="AE191" s="879"/>
      <c r="AF191" s="879"/>
      <c r="AG191" s="879"/>
      <c r="AH191" s="879"/>
      <c r="AI191" s="879"/>
      <c r="AJ191" s="879"/>
    </row>
    <row r="192" spans="1:36" x14ac:dyDescent="0.25">
      <c r="A192" s="879"/>
      <c r="B192" s="879"/>
      <c r="C192" s="879"/>
      <c r="D192" s="879"/>
      <c r="E192" s="879"/>
      <c r="F192" s="879"/>
      <c r="G192" s="879"/>
      <c r="H192" s="879"/>
      <c r="I192" s="879"/>
      <c r="J192" s="879"/>
      <c r="K192" s="879"/>
      <c r="L192" s="879"/>
      <c r="M192" s="879"/>
      <c r="N192" s="879"/>
      <c r="O192" s="879"/>
      <c r="P192" s="879"/>
      <c r="Q192" s="879"/>
      <c r="R192" s="879"/>
      <c r="S192" s="879"/>
      <c r="T192" s="879"/>
      <c r="U192" s="879"/>
      <c r="V192" s="879"/>
      <c r="W192" s="879"/>
      <c r="X192" s="879"/>
      <c r="Y192" s="879"/>
      <c r="Z192" s="879"/>
      <c r="AA192" s="879"/>
      <c r="AB192" s="879"/>
      <c r="AC192" s="879"/>
      <c r="AD192" s="879"/>
      <c r="AE192" s="879"/>
      <c r="AF192" s="879"/>
      <c r="AG192" s="879"/>
      <c r="AH192" s="879"/>
      <c r="AI192" s="879"/>
      <c r="AJ192" s="879"/>
    </row>
    <row r="193" spans="1:36" x14ac:dyDescent="0.25">
      <c r="A193" s="879"/>
      <c r="B193" s="879"/>
      <c r="C193" s="879"/>
      <c r="D193" s="879"/>
      <c r="E193" s="879"/>
      <c r="F193" s="879"/>
      <c r="G193" s="879"/>
      <c r="H193" s="879"/>
      <c r="I193" s="879"/>
      <c r="J193" s="879"/>
      <c r="K193" s="879"/>
      <c r="L193" s="879"/>
      <c r="M193" s="879"/>
      <c r="N193" s="879"/>
      <c r="O193" s="879"/>
      <c r="P193" s="879"/>
      <c r="Q193" s="879"/>
      <c r="R193" s="879"/>
      <c r="S193" s="879"/>
      <c r="T193" s="879"/>
      <c r="U193" s="879"/>
      <c r="V193" s="879"/>
      <c r="W193" s="879"/>
      <c r="X193" s="879"/>
      <c r="Y193" s="879"/>
      <c r="Z193" s="879"/>
      <c r="AA193" s="879"/>
      <c r="AB193" s="879"/>
      <c r="AC193" s="879"/>
      <c r="AD193" s="879"/>
      <c r="AE193" s="879"/>
      <c r="AF193" s="879"/>
      <c r="AG193" s="879"/>
      <c r="AH193" s="879"/>
      <c r="AI193" s="879"/>
      <c r="AJ193" s="879"/>
    </row>
    <row r="194" spans="1:36" x14ac:dyDescent="0.25">
      <c r="A194" s="879"/>
      <c r="B194" s="880" t="s">
        <v>1216</v>
      </c>
      <c r="C194" s="879">
        <f>+MATCH(R12,C50:Y50,0)</f>
        <v>9</v>
      </c>
      <c r="D194" s="879"/>
      <c r="E194" s="879"/>
      <c r="F194" s="879"/>
      <c r="G194" s="879"/>
      <c r="H194" s="879"/>
      <c r="I194" s="879"/>
      <c r="J194" s="879"/>
      <c r="K194" s="879"/>
      <c r="L194" s="879"/>
      <c r="M194" s="879"/>
      <c r="N194" s="879"/>
      <c r="O194" s="879"/>
      <c r="P194" s="879"/>
      <c r="Q194" s="879"/>
      <c r="R194" s="879"/>
      <c r="S194" s="879"/>
      <c r="T194" s="879"/>
      <c r="U194" s="879"/>
      <c r="V194" s="879"/>
      <c r="W194" s="879"/>
      <c r="X194" s="879"/>
      <c r="Y194" s="879"/>
      <c r="Z194" s="879"/>
      <c r="AA194" s="879"/>
      <c r="AB194" s="879"/>
      <c r="AC194" s="879"/>
      <c r="AD194" s="879"/>
      <c r="AE194" s="879"/>
      <c r="AF194" s="879"/>
      <c r="AG194" s="879"/>
      <c r="AH194" s="879"/>
      <c r="AI194" s="879"/>
      <c r="AJ194" s="879"/>
    </row>
    <row r="195" spans="1:36" x14ac:dyDescent="0.25">
      <c r="A195" s="879"/>
      <c r="B195" s="880" t="s">
        <v>1212</v>
      </c>
      <c r="C195" s="879">
        <f ca="1">+MIN(OFFSET($B$251:$B$2250,0,C194))</f>
        <v>6.6948808964962101</v>
      </c>
      <c r="D195" s="879"/>
      <c r="E195" s="879"/>
      <c r="F195" s="879"/>
      <c r="G195" s="879"/>
      <c r="H195" s="879"/>
      <c r="I195" s="879"/>
      <c r="J195" s="879"/>
      <c r="K195" s="879"/>
      <c r="L195" s="879"/>
      <c r="M195" s="879"/>
      <c r="N195" s="879"/>
      <c r="O195" s="879"/>
      <c r="P195" s="879"/>
      <c r="Q195" s="879"/>
      <c r="R195" s="879"/>
      <c r="S195" s="879"/>
      <c r="T195" s="879"/>
      <c r="U195" s="879"/>
      <c r="V195" s="879"/>
      <c r="W195" s="879"/>
      <c r="X195" s="879"/>
      <c r="Y195" s="879"/>
      <c r="Z195" s="879"/>
      <c r="AA195" s="879"/>
      <c r="AB195" s="879"/>
      <c r="AC195" s="879"/>
      <c r="AD195" s="879"/>
      <c r="AE195" s="879"/>
      <c r="AF195" s="879"/>
      <c r="AG195" s="879"/>
      <c r="AH195" s="879"/>
      <c r="AI195" s="879"/>
      <c r="AJ195" s="879"/>
    </row>
    <row r="196" spans="1:36" x14ac:dyDescent="0.25">
      <c r="A196" s="879"/>
      <c r="B196" s="880" t="s">
        <v>1217</v>
      </c>
      <c r="C196" s="879">
        <f ca="1">+MAX(OFFSET($B$251:$B$2250,0,C194))</f>
        <v>6.8022060679148275</v>
      </c>
      <c r="D196" s="879"/>
      <c r="E196" s="879"/>
      <c r="F196" s="879"/>
      <c r="G196" s="879"/>
      <c r="H196" s="879"/>
      <c r="I196" s="879"/>
      <c r="J196" s="879"/>
      <c r="K196" s="879"/>
      <c r="L196" s="879"/>
      <c r="M196" s="879"/>
      <c r="N196" s="879"/>
      <c r="O196" s="879"/>
      <c r="P196" s="879"/>
      <c r="Q196" s="879"/>
      <c r="R196" s="879"/>
      <c r="S196" s="879"/>
      <c r="T196" s="879"/>
      <c r="U196" s="879"/>
      <c r="V196" s="879"/>
      <c r="W196" s="879"/>
      <c r="X196" s="879"/>
      <c r="Y196" s="879"/>
      <c r="Z196" s="879"/>
      <c r="AA196" s="879"/>
      <c r="AB196" s="879"/>
      <c r="AC196" s="879"/>
      <c r="AD196" s="879"/>
      <c r="AE196" s="879"/>
      <c r="AF196" s="879"/>
      <c r="AG196" s="879"/>
      <c r="AH196" s="879"/>
      <c r="AI196" s="879"/>
      <c r="AJ196" s="879"/>
    </row>
    <row r="197" spans="1:36" x14ac:dyDescent="0.25">
      <c r="A197" s="879"/>
      <c r="B197" s="880" t="s">
        <v>1219</v>
      </c>
      <c r="C197" s="879">
        <f ca="1">+C196-C195</f>
        <v>0.10732517141861742</v>
      </c>
      <c r="D197" s="879"/>
      <c r="E197" s="879"/>
      <c r="F197" s="879"/>
      <c r="G197" s="879"/>
      <c r="H197" s="879"/>
      <c r="I197" s="879"/>
      <c r="J197" s="879"/>
      <c r="K197" s="879"/>
      <c r="L197" s="879"/>
      <c r="M197" s="879"/>
      <c r="N197" s="879"/>
      <c r="O197" s="879"/>
      <c r="P197" s="879"/>
      <c r="Q197" s="879"/>
      <c r="R197" s="879"/>
      <c r="S197" s="879"/>
      <c r="T197" s="879"/>
      <c r="U197" s="879"/>
      <c r="V197" s="879"/>
      <c r="W197" s="879"/>
      <c r="X197" s="879"/>
      <c r="Y197" s="879"/>
      <c r="Z197" s="879"/>
      <c r="AA197" s="879"/>
      <c r="AB197" s="879"/>
      <c r="AC197" s="879"/>
      <c r="AD197" s="879"/>
      <c r="AE197" s="879"/>
      <c r="AF197" s="879"/>
      <c r="AG197" s="879"/>
      <c r="AH197" s="879"/>
      <c r="AI197" s="879"/>
      <c r="AJ197" s="879"/>
    </row>
    <row r="198" spans="1:36" x14ac:dyDescent="0.25">
      <c r="A198" s="879"/>
      <c r="B198" s="880" t="s">
        <v>1218</v>
      </c>
      <c r="C198" s="879">
        <f ca="1">+OFFSET(B199,0,C194)</f>
        <v>1</v>
      </c>
      <c r="D198" s="879"/>
      <c r="E198" s="879"/>
      <c r="F198" s="879"/>
      <c r="G198" s="879"/>
      <c r="H198" s="879"/>
      <c r="I198" s="879"/>
      <c r="J198" s="879"/>
      <c r="K198" s="879"/>
      <c r="L198" s="879"/>
      <c r="M198" s="879"/>
      <c r="N198" s="879"/>
      <c r="O198" s="879"/>
      <c r="P198" s="879"/>
      <c r="Q198" s="879"/>
      <c r="R198" s="879"/>
      <c r="S198" s="879"/>
      <c r="T198" s="879"/>
      <c r="U198" s="879"/>
      <c r="V198" s="879"/>
      <c r="W198" s="879"/>
      <c r="X198" s="879"/>
      <c r="Y198" s="879"/>
      <c r="Z198" s="879"/>
      <c r="AA198" s="879"/>
      <c r="AB198" s="879"/>
      <c r="AC198" s="879"/>
      <c r="AD198" s="879"/>
      <c r="AE198" s="879"/>
      <c r="AF198" s="879"/>
      <c r="AG198" s="879"/>
      <c r="AH198" s="879"/>
      <c r="AI198" s="879"/>
      <c r="AJ198" s="879"/>
    </row>
    <row r="199" spans="1:36" x14ac:dyDescent="0.25">
      <c r="A199" s="879"/>
      <c r="B199" s="880" t="s">
        <v>1218</v>
      </c>
      <c r="C199" s="1127">
        <f ca="1">+C3</f>
        <v>0.86</v>
      </c>
      <c r="D199" s="1134">
        <f ca="1">+C4</f>
        <v>1500</v>
      </c>
      <c r="E199" s="1127">
        <f ca="1">+C5</f>
        <v>0.08</v>
      </c>
      <c r="F199" s="1127">
        <f>+C6</f>
        <v>1</v>
      </c>
      <c r="G199" s="1127">
        <f>+C7</f>
        <v>1</v>
      </c>
      <c r="H199" s="1134">
        <f ca="1">+C8</f>
        <v>1760137.3187194187</v>
      </c>
      <c r="I199" s="1134">
        <f ca="1">+C9</f>
        <v>100792.97340572911</v>
      </c>
      <c r="J199" s="879"/>
      <c r="K199" s="879">
        <v>1</v>
      </c>
      <c r="L199" s="879">
        <v>1</v>
      </c>
      <c r="M199" s="879">
        <v>1</v>
      </c>
      <c r="N199" s="879">
        <v>1</v>
      </c>
      <c r="O199" s="879">
        <v>1</v>
      </c>
      <c r="P199" s="879">
        <v>1</v>
      </c>
      <c r="Q199" s="879">
        <v>1</v>
      </c>
      <c r="R199" s="879">
        <v>1</v>
      </c>
      <c r="S199" s="879">
        <v>1</v>
      </c>
      <c r="T199" s="879">
        <v>1</v>
      </c>
      <c r="U199" s="879">
        <v>1</v>
      </c>
      <c r="V199" s="879">
        <v>1</v>
      </c>
      <c r="W199" s="879">
        <v>1</v>
      </c>
      <c r="X199" s="879">
        <v>1</v>
      </c>
      <c r="Y199" s="879"/>
      <c r="Z199" s="879"/>
      <c r="AA199" s="879"/>
      <c r="AB199" s="879"/>
      <c r="AC199" s="879"/>
      <c r="AD199" s="879"/>
      <c r="AE199" s="879"/>
      <c r="AF199" s="879"/>
      <c r="AG199" s="879"/>
      <c r="AH199" s="879"/>
      <c r="AI199" s="879"/>
      <c r="AJ199" s="879"/>
    </row>
    <row r="200" spans="1:36" x14ac:dyDescent="0.25">
      <c r="A200" s="879"/>
      <c r="B200" s="880" t="s">
        <v>1215</v>
      </c>
      <c r="C200" s="879"/>
      <c r="D200" s="879"/>
      <c r="E200" s="879"/>
      <c r="F200" s="879"/>
      <c r="G200" s="879"/>
      <c r="H200" s="879"/>
      <c r="I200" s="879"/>
      <c r="J200" s="879"/>
      <c r="K200" s="879"/>
      <c r="L200" s="879"/>
      <c r="M200" s="879"/>
      <c r="N200" s="879"/>
      <c r="O200" s="879"/>
      <c r="P200" s="879"/>
      <c r="Q200" s="879"/>
      <c r="R200" s="879"/>
      <c r="S200" s="879"/>
      <c r="T200" s="879"/>
      <c r="U200" s="879"/>
      <c r="V200" s="879"/>
      <c r="W200" s="879"/>
      <c r="X200" s="879"/>
      <c r="Y200" s="879"/>
      <c r="Z200" s="879"/>
      <c r="AA200" s="879"/>
      <c r="AB200" s="879"/>
      <c r="AC200" s="879"/>
      <c r="AD200" s="879"/>
      <c r="AE200" s="879"/>
      <c r="AF200" s="879"/>
      <c r="AG200" s="879"/>
      <c r="AH200" s="879"/>
      <c r="AI200" s="879"/>
      <c r="AJ200" s="879"/>
    </row>
    <row r="201" spans="1:36" x14ac:dyDescent="0.25">
      <c r="A201" s="879"/>
      <c r="B201" s="880" t="s">
        <v>1212</v>
      </c>
      <c r="C201" s="880" t="s">
        <v>1213</v>
      </c>
      <c r="D201" s="879"/>
      <c r="E201" s="880" t="s">
        <v>1220</v>
      </c>
      <c r="F201" s="880" t="s">
        <v>1221</v>
      </c>
      <c r="G201" s="880" t="s">
        <v>1222</v>
      </c>
      <c r="H201" s="880" t="s">
        <v>1223</v>
      </c>
      <c r="I201" s="880" t="s">
        <v>1224</v>
      </c>
      <c r="J201" s="879"/>
      <c r="K201" s="879"/>
      <c r="L201" s="879"/>
      <c r="M201" s="879"/>
      <c r="N201" s="879"/>
      <c r="O201" s="879"/>
      <c r="P201" s="879"/>
      <c r="Q201" s="879"/>
      <c r="R201" s="879"/>
      <c r="S201" s="879"/>
      <c r="T201" s="879"/>
      <c r="U201" s="879"/>
      <c r="V201" s="879"/>
      <c r="W201" s="879"/>
      <c r="X201" s="879"/>
      <c r="Y201" s="879"/>
      <c r="Z201" s="879"/>
      <c r="AA201" s="879"/>
      <c r="AB201" s="879"/>
      <c r="AC201" s="879"/>
      <c r="AD201" s="879"/>
      <c r="AE201" s="879"/>
      <c r="AF201" s="879"/>
      <c r="AG201" s="879"/>
      <c r="AH201" s="879"/>
      <c r="AI201" s="879"/>
      <c r="AJ201" s="879"/>
    </row>
    <row r="202" spans="1:36" x14ac:dyDescent="0.25">
      <c r="A202" s="879"/>
      <c r="B202" s="884">
        <f ca="1">+C195</f>
        <v>6.6948808964962101</v>
      </c>
      <c r="C202" s="1132">
        <f ca="1">+B202+($C$197/20)</f>
        <v>6.7002471550671405</v>
      </c>
      <c r="D202" s="879">
        <f t="shared" ref="D202:D221" ca="1" si="88">+COUNTIFS(OFFSET(B$251:B$2250,0,$C$194),"&gt;="&amp;$B202,
OFFSET(B$251:B$2250,0,$C$194),"&lt;="&amp;$C202)</f>
        <v>3</v>
      </c>
      <c r="E202" s="1135">
        <f ca="1">+B202*$C$198</f>
        <v>6.6948808964962101</v>
      </c>
      <c r="F202" s="1135">
        <f ca="1">+C202*$C$198</f>
        <v>6.7002471550671405</v>
      </c>
      <c r="G202" s="1134">
        <f ca="1">+AVERAGE(E202:F202)</f>
        <v>6.6975640257816753</v>
      </c>
      <c r="H202" s="879">
        <f ca="1">+D202/$D$223</f>
        <v>1.5E-3</v>
      </c>
      <c r="I202" s="879">
        <f ca="1">+H202</f>
        <v>1.5E-3</v>
      </c>
      <c r="J202" s="879"/>
      <c r="K202" s="879"/>
      <c r="L202" s="879"/>
      <c r="M202" s="879"/>
      <c r="N202" s="879"/>
      <c r="O202" s="879"/>
      <c r="P202" s="879"/>
      <c r="Q202" s="879"/>
      <c r="R202" s="879"/>
      <c r="S202" s="879"/>
      <c r="T202" s="879"/>
      <c r="U202" s="879"/>
      <c r="V202" s="879"/>
      <c r="W202" s="879"/>
      <c r="X202" s="879"/>
      <c r="Y202" s="879"/>
      <c r="Z202" s="879"/>
      <c r="AA202" s="879"/>
      <c r="AB202" s="879"/>
      <c r="AC202" s="879"/>
      <c r="AD202" s="879"/>
      <c r="AE202" s="879"/>
      <c r="AF202" s="879"/>
      <c r="AG202" s="879"/>
      <c r="AH202" s="879"/>
      <c r="AI202" s="879"/>
      <c r="AJ202" s="879"/>
    </row>
    <row r="203" spans="1:36" x14ac:dyDescent="0.25">
      <c r="A203" s="879"/>
      <c r="B203" s="884">
        <f ca="1">+C202</f>
        <v>6.7002471550671405</v>
      </c>
      <c r="C203" s="1132">
        <f t="shared" ref="C203:C220" ca="1" si="89">+B203+($C$197/20)</f>
        <v>6.705613413638071</v>
      </c>
      <c r="D203" s="879">
        <f t="shared" ca="1" si="88"/>
        <v>13</v>
      </c>
      <c r="E203" s="1135">
        <f t="shared" ref="E203:E221" ca="1" si="90">+B203*$C$198</f>
        <v>6.7002471550671405</v>
      </c>
      <c r="F203" s="1135">
        <f t="shared" ref="F203:F222" ca="1" si="91">+C203*$C$198</f>
        <v>6.705613413638071</v>
      </c>
      <c r="G203" s="1134">
        <f t="shared" ref="G203:G222" ca="1" si="92">+AVERAGE(E203:F203)</f>
        <v>6.7029302843526057</v>
      </c>
      <c r="H203" s="879">
        <f t="shared" ref="H203:H221" ca="1" si="93">+D203/$D$223</f>
        <v>6.4999999999999997E-3</v>
      </c>
      <c r="I203" s="879">
        <f ca="1">+I202+H203</f>
        <v>8.0000000000000002E-3</v>
      </c>
      <c r="J203" s="879"/>
      <c r="K203" s="879"/>
      <c r="L203" s="879"/>
      <c r="M203" s="879"/>
      <c r="N203" s="879"/>
      <c r="O203" s="879"/>
      <c r="P203" s="879"/>
      <c r="Q203" s="879"/>
      <c r="R203" s="879"/>
      <c r="S203" s="879"/>
      <c r="T203" s="879"/>
      <c r="U203" s="879"/>
      <c r="V203" s="879"/>
      <c r="W203" s="879"/>
      <c r="X203" s="879"/>
      <c r="Y203" s="879"/>
      <c r="Z203" s="879"/>
      <c r="AA203" s="879"/>
      <c r="AB203" s="879"/>
      <c r="AC203" s="879"/>
      <c r="AD203" s="879"/>
      <c r="AE203" s="879"/>
      <c r="AF203" s="879"/>
      <c r="AG203" s="879"/>
      <c r="AH203" s="879"/>
      <c r="AI203" s="879"/>
      <c r="AJ203" s="879"/>
    </row>
    <row r="204" spans="1:36" x14ac:dyDescent="0.25">
      <c r="A204" s="879"/>
      <c r="B204" s="884">
        <f t="shared" ref="B204:B221" ca="1" si="94">+C203</f>
        <v>6.705613413638071</v>
      </c>
      <c r="C204" s="1132">
        <f t="shared" ca="1" si="89"/>
        <v>6.7109796722090014</v>
      </c>
      <c r="D204" s="879">
        <f t="shared" ca="1" si="88"/>
        <v>34</v>
      </c>
      <c r="E204" s="1135">
        <f t="shared" ca="1" si="90"/>
        <v>6.705613413638071</v>
      </c>
      <c r="F204" s="1135">
        <f t="shared" ca="1" si="91"/>
        <v>6.7109796722090014</v>
      </c>
      <c r="G204" s="1134">
        <f t="shared" ca="1" si="92"/>
        <v>6.7082965429235362</v>
      </c>
      <c r="H204" s="879">
        <f t="shared" ca="1" si="93"/>
        <v>1.7000000000000001E-2</v>
      </c>
      <c r="I204" s="879">
        <f t="shared" ref="I204:I221" ca="1" si="95">+I203+H204</f>
        <v>2.5000000000000001E-2</v>
      </c>
      <c r="J204" s="879"/>
      <c r="K204" s="879"/>
      <c r="L204" s="879"/>
      <c r="M204" s="879"/>
      <c r="N204" s="879"/>
      <c r="O204" s="879"/>
      <c r="P204" s="879"/>
      <c r="Q204" s="879"/>
      <c r="R204" s="879"/>
      <c r="S204" s="879"/>
      <c r="T204" s="879"/>
      <c r="U204" s="879"/>
      <c r="V204" s="879"/>
      <c r="W204" s="879"/>
      <c r="X204" s="879"/>
      <c r="Y204" s="879"/>
      <c r="Z204" s="879"/>
      <c r="AA204" s="879"/>
      <c r="AB204" s="879"/>
      <c r="AC204" s="879"/>
      <c r="AD204" s="879"/>
      <c r="AE204" s="879"/>
      <c r="AF204" s="879"/>
      <c r="AG204" s="879"/>
      <c r="AH204" s="879"/>
      <c r="AI204" s="879"/>
      <c r="AJ204" s="879"/>
    </row>
    <row r="205" spans="1:36" x14ac:dyDescent="0.25">
      <c r="A205" s="879"/>
      <c r="B205" s="884">
        <f t="shared" ca="1" si="94"/>
        <v>6.7109796722090014</v>
      </c>
      <c r="C205" s="1132">
        <f t="shared" ca="1" si="89"/>
        <v>6.7163459307799318</v>
      </c>
      <c r="D205" s="879">
        <f t="shared" ca="1" si="88"/>
        <v>61</v>
      </c>
      <c r="E205" s="1135">
        <f t="shared" ca="1" si="90"/>
        <v>6.7109796722090014</v>
      </c>
      <c r="F205" s="1135">
        <f t="shared" ca="1" si="91"/>
        <v>6.7163459307799318</v>
      </c>
      <c r="G205" s="1134">
        <f t="shared" ca="1" si="92"/>
        <v>6.7136628014944666</v>
      </c>
      <c r="H205" s="879">
        <f t="shared" ca="1" si="93"/>
        <v>3.0499999999999999E-2</v>
      </c>
      <c r="I205" s="879">
        <f t="shared" ca="1" si="95"/>
        <v>5.5500000000000001E-2</v>
      </c>
      <c r="J205" s="879"/>
      <c r="K205" s="879"/>
      <c r="L205" s="879"/>
      <c r="M205" s="879"/>
      <c r="N205" s="879"/>
      <c r="O205" s="879"/>
      <c r="P205" s="879"/>
      <c r="Q205" s="879"/>
      <c r="R205" s="879"/>
      <c r="S205" s="879"/>
      <c r="T205" s="879"/>
      <c r="U205" s="879"/>
      <c r="V205" s="879"/>
      <c r="W205" s="879"/>
      <c r="X205" s="879"/>
      <c r="Y205" s="879"/>
      <c r="Z205" s="879"/>
      <c r="AA205" s="879"/>
      <c r="AB205" s="879"/>
      <c r="AC205" s="879"/>
      <c r="AD205" s="879"/>
      <c r="AE205" s="879"/>
      <c r="AF205" s="879"/>
      <c r="AG205" s="879"/>
      <c r="AH205" s="879"/>
      <c r="AI205" s="879"/>
      <c r="AJ205" s="879"/>
    </row>
    <row r="206" spans="1:36" x14ac:dyDescent="0.25">
      <c r="A206" s="879"/>
      <c r="B206" s="884">
        <f t="shared" ca="1" si="94"/>
        <v>6.7163459307799318</v>
      </c>
      <c r="C206" s="1132">
        <f t="shared" ca="1" si="89"/>
        <v>6.7217121893508622</v>
      </c>
      <c r="D206" s="879">
        <f t="shared" ca="1" si="88"/>
        <v>109</v>
      </c>
      <c r="E206" s="1135">
        <f t="shared" ca="1" si="90"/>
        <v>6.7163459307799318</v>
      </c>
      <c r="F206" s="1135">
        <f t="shared" ca="1" si="91"/>
        <v>6.7217121893508622</v>
      </c>
      <c r="G206" s="1134">
        <f t="shared" ca="1" si="92"/>
        <v>6.719029060065397</v>
      </c>
      <c r="H206" s="879">
        <f t="shared" ca="1" si="93"/>
        <v>5.45E-2</v>
      </c>
      <c r="I206" s="879">
        <f t="shared" ca="1" si="95"/>
        <v>0.11</v>
      </c>
      <c r="J206" s="879"/>
      <c r="K206" s="879"/>
      <c r="L206" s="879"/>
      <c r="M206" s="879"/>
      <c r="N206" s="879"/>
      <c r="O206" s="879"/>
      <c r="P206" s="879"/>
      <c r="Q206" s="879"/>
      <c r="R206" s="879"/>
      <c r="S206" s="879"/>
      <c r="T206" s="879"/>
      <c r="U206" s="879"/>
      <c r="V206" s="879"/>
      <c r="W206" s="879"/>
      <c r="X206" s="879"/>
      <c r="Y206" s="879"/>
      <c r="Z206" s="879"/>
      <c r="AA206" s="879"/>
      <c r="AB206" s="879"/>
      <c r="AC206" s="879"/>
      <c r="AD206" s="879"/>
      <c r="AE206" s="879"/>
      <c r="AF206" s="879"/>
      <c r="AG206" s="879"/>
      <c r="AH206" s="879"/>
      <c r="AI206" s="879"/>
      <c r="AJ206" s="879"/>
    </row>
    <row r="207" spans="1:36" x14ac:dyDescent="0.25">
      <c r="A207" s="879"/>
      <c r="B207" s="884">
        <f t="shared" ca="1" si="94"/>
        <v>6.7217121893508622</v>
      </c>
      <c r="C207" s="1132">
        <f t="shared" ca="1" si="89"/>
        <v>6.7270784479217927</v>
      </c>
      <c r="D207" s="879">
        <f t="shared" ca="1" si="88"/>
        <v>134</v>
      </c>
      <c r="E207" s="1135">
        <f t="shared" ca="1" si="90"/>
        <v>6.7217121893508622</v>
      </c>
      <c r="F207" s="1135">
        <f t="shared" ca="1" si="91"/>
        <v>6.7270784479217927</v>
      </c>
      <c r="G207" s="1134">
        <f t="shared" ca="1" si="92"/>
        <v>6.7243953186363274</v>
      </c>
      <c r="H207" s="879">
        <f t="shared" ca="1" si="93"/>
        <v>6.7000000000000004E-2</v>
      </c>
      <c r="I207" s="879">
        <f t="shared" ca="1" si="95"/>
        <v>0.17699999999999999</v>
      </c>
      <c r="J207" s="879"/>
      <c r="K207" s="879"/>
      <c r="L207" s="879"/>
      <c r="M207" s="879"/>
      <c r="N207" s="879"/>
      <c r="O207" s="879"/>
      <c r="P207" s="879"/>
      <c r="Q207" s="879"/>
      <c r="R207" s="879"/>
      <c r="S207" s="879"/>
      <c r="T207" s="879"/>
      <c r="U207" s="879"/>
      <c r="V207" s="879"/>
      <c r="W207" s="879"/>
      <c r="X207" s="879"/>
      <c r="Y207" s="879"/>
      <c r="Z207" s="879"/>
      <c r="AA207" s="879"/>
      <c r="AB207" s="879"/>
      <c r="AC207" s="879"/>
      <c r="AD207" s="879"/>
      <c r="AE207" s="879"/>
      <c r="AF207" s="879"/>
      <c r="AG207" s="879"/>
      <c r="AH207" s="879"/>
      <c r="AI207" s="879"/>
      <c r="AJ207" s="879"/>
    </row>
    <row r="208" spans="1:36" x14ac:dyDescent="0.25">
      <c r="A208" s="879"/>
      <c r="B208" s="884">
        <f t="shared" ca="1" si="94"/>
        <v>6.7270784479217927</v>
      </c>
      <c r="C208" s="1132">
        <f t="shared" ca="1" si="89"/>
        <v>6.7324447064927231</v>
      </c>
      <c r="D208" s="879">
        <f t="shared" ca="1" si="88"/>
        <v>180</v>
      </c>
      <c r="E208" s="1135">
        <f t="shared" ca="1" si="90"/>
        <v>6.7270784479217927</v>
      </c>
      <c r="F208" s="1135">
        <f t="shared" ca="1" si="91"/>
        <v>6.7324447064927231</v>
      </c>
      <c r="G208" s="1134">
        <f t="shared" ca="1" si="92"/>
        <v>6.7297615772072579</v>
      </c>
      <c r="H208" s="879">
        <f t="shared" ca="1" si="93"/>
        <v>0.09</v>
      </c>
      <c r="I208" s="879">
        <f t="shared" ca="1" si="95"/>
        <v>0.26700000000000002</v>
      </c>
      <c r="J208" s="879"/>
      <c r="K208" s="879"/>
      <c r="L208" s="879"/>
      <c r="M208" s="879"/>
      <c r="N208" s="879"/>
      <c r="O208" s="879"/>
      <c r="P208" s="879"/>
      <c r="Q208" s="879"/>
      <c r="R208" s="879"/>
      <c r="S208" s="879"/>
      <c r="T208" s="879"/>
      <c r="U208" s="879"/>
      <c r="V208" s="879"/>
      <c r="W208" s="879"/>
      <c r="X208" s="879"/>
      <c r="Y208" s="879"/>
      <c r="Z208" s="879"/>
      <c r="AA208" s="879"/>
      <c r="AB208" s="879"/>
      <c r="AC208" s="879"/>
      <c r="AD208" s="879"/>
      <c r="AE208" s="879"/>
      <c r="AF208" s="879"/>
      <c r="AG208" s="879"/>
      <c r="AH208" s="879"/>
      <c r="AI208" s="879"/>
      <c r="AJ208" s="879"/>
    </row>
    <row r="209" spans="1:36" x14ac:dyDescent="0.25">
      <c r="A209" s="879"/>
      <c r="B209" s="884">
        <f t="shared" ca="1" si="94"/>
        <v>6.7324447064927231</v>
      </c>
      <c r="C209" s="1132">
        <f t="shared" ca="1" si="89"/>
        <v>6.7378109650636535</v>
      </c>
      <c r="D209" s="879">
        <f t="shared" ca="1" si="88"/>
        <v>203</v>
      </c>
      <c r="E209" s="1135">
        <f t="shared" ca="1" si="90"/>
        <v>6.7324447064927231</v>
      </c>
      <c r="F209" s="1135">
        <f t="shared" ca="1" si="91"/>
        <v>6.7378109650636535</v>
      </c>
      <c r="G209" s="1134">
        <f t="shared" ca="1" si="92"/>
        <v>6.7351278357781883</v>
      </c>
      <c r="H209" s="879">
        <f t="shared" ca="1" si="93"/>
        <v>0.10150000000000001</v>
      </c>
      <c r="I209" s="879">
        <f t="shared" ca="1" si="95"/>
        <v>0.36850000000000005</v>
      </c>
      <c r="J209" s="879"/>
      <c r="K209" s="879"/>
      <c r="L209" s="879"/>
      <c r="M209" s="879"/>
      <c r="N209" s="879"/>
      <c r="O209" s="879"/>
      <c r="P209" s="879"/>
      <c r="Q209" s="879"/>
      <c r="R209" s="879"/>
      <c r="S209" s="879"/>
      <c r="T209" s="879"/>
      <c r="U209" s="879"/>
      <c r="V209" s="879"/>
      <c r="W209" s="879"/>
      <c r="X209" s="879"/>
      <c r="Y209" s="879"/>
      <c r="Z209" s="879"/>
      <c r="AA209" s="879"/>
      <c r="AB209" s="879"/>
      <c r="AC209" s="879"/>
      <c r="AD209" s="879"/>
      <c r="AE209" s="879"/>
      <c r="AF209" s="879"/>
      <c r="AG209" s="879"/>
      <c r="AH209" s="879"/>
      <c r="AI209" s="879"/>
      <c r="AJ209" s="879"/>
    </row>
    <row r="210" spans="1:36" x14ac:dyDescent="0.25">
      <c r="A210" s="879"/>
      <c r="B210" s="884">
        <f t="shared" ca="1" si="94"/>
        <v>6.7378109650636535</v>
      </c>
      <c r="C210" s="1132">
        <f t="shared" ca="1" si="89"/>
        <v>6.7431772236345839</v>
      </c>
      <c r="D210" s="879">
        <f t="shared" ca="1" si="88"/>
        <v>212</v>
      </c>
      <c r="E210" s="1135">
        <f t="shared" ca="1" si="90"/>
        <v>6.7378109650636535</v>
      </c>
      <c r="F210" s="1135">
        <f t="shared" ca="1" si="91"/>
        <v>6.7431772236345839</v>
      </c>
      <c r="G210" s="1134">
        <f t="shared" ca="1" si="92"/>
        <v>6.7404940943491187</v>
      </c>
      <c r="H210" s="879">
        <f t="shared" ca="1" si="93"/>
        <v>0.106</v>
      </c>
      <c r="I210" s="879">
        <f t="shared" ca="1" si="95"/>
        <v>0.47450000000000003</v>
      </c>
      <c r="J210" s="879"/>
      <c r="K210" s="879"/>
      <c r="L210" s="879"/>
      <c r="M210" s="879"/>
      <c r="N210" s="879"/>
      <c r="O210" s="879"/>
      <c r="P210" s="879"/>
      <c r="Q210" s="879"/>
      <c r="R210" s="879"/>
      <c r="S210" s="879"/>
      <c r="T210" s="879"/>
      <c r="U210" s="879"/>
      <c r="V210" s="879"/>
      <c r="W210" s="879"/>
      <c r="X210" s="879"/>
      <c r="Y210" s="879"/>
      <c r="Z210" s="879"/>
      <c r="AA210" s="879"/>
      <c r="AB210" s="879"/>
      <c r="AC210" s="879"/>
      <c r="AD210" s="879"/>
      <c r="AE210" s="879"/>
      <c r="AF210" s="879"/>
      <c r="AG210" s="879"/>
      <c r="AH210" s="879"/>
      <c r="AI210" s="879"/>
      <c r="AJ210" s="879"/>
    </row>
    <row r="211" spans="1:36" x14ac:dyDescent="0.25">
      <c r="A211" s="879"/>
      <c r="B211" s="884">
        <f t="shared" ca="1" si="94"/>
        <v>6.7431772236345839</v>
      </c>
      <c r="C211" s="1132">
        <f t="shared" ca="1" si="89"/>
        <v>6.7485434822055144</v>
      </c>
      <c r="D211" s="879">
        <f t="shared" ca="1" si="88"/>
        <v>229</v>
      </c>
      <c r="E211" s="1135">
        <f t="shared" ca="1" si="90"/>
        <v>6.7431772236345839</v>
      </c>
      <c r="F211" s="1135">
        <f t="shared" ca="1" si="91"/>
        <v>6.7485434822055144</v>
      </c>
      <c r="G211" s="1134">
        <f t="shared" ca="1" si="92"/>
        <v>6.7458603529200492</v>
      </c>
      <c r="H211" s="879">
        <f t="shared" ca="1" si="93"/>
        <v>0.1145</v>
      </c>
      <c r="I211" s="879">
        <f t="shared" ca="1" si="95"/>
        <v>0.58900000000000008</v>
      </c>
      <c r="J211" s="879"/>
      <c r="K211" s="879"/>
      <c r="L211" s="879"/>
      <c r="M211" s="879"/>
      <c r="N211" s="879"/>
      <c r="O211" s="879"/>
      <c r="P211" s="879"/>
      <c r="Q211" s="879"/>
      <c r="R211" s="879"/>
      <c r="S211" s="879"/>
      <c r="T211" s="879"/>
      <c r="U211" s="879"/>
      <c r="V211" s="879"/>
      <c r="W211" s="879"/>
      <c r="X211" s="879"/>
      <c r="Y211" s="879"/>
      <c r="Z211" s="879"/>
      <c r="AA211" s="879"/>
      <c r="AB211" s="879"/>
      <c r="AC211" s="879"/>
      <c r="AD211" s="879"/>
      <c r="AE211" s="879"/>
      <c r="AF211" s="879"/>
      <c r="AG211" s="879"/>
      <c r="AH211" s="879"/>
      <c r="AI211" s="879"/>
      <c r="AJ211" s="879"/>
    </row>
    <row r="212" spans="1:36" x14ac:dyDescent="0.25">
      <c r="A212" s="879"/>
      <c r="B212" s="884">
        <f t="shared" ca="1" si="94"/>
        <v>6.7485434822055144</v>
      </c>
      <c r="C212" s="1132">
        <f t="shared" ca="1" si="89"/>
        <v>6.7539097407764448</v>
      </c>
      <c r="D212" s="879">
        <f t="shared" ca="1" si="88"/>
        <v>235</v>
      </c>
      <c r="E212" s="1135">
        <f t="shared" ca="1" si="90"/>
        <v>6.7485434822055144</v>
      </c>
      <c r="F212" s="1135">
        <f t="shared" ca="1" si="91"/>
        <v>6.7539097407764448</v>
      </c>
      <c r="G212" s="1134">
        <f t="shared" ca="1" si="92"/>
        <v>6.7512266114909796</v>
      </c>
      <c r="H212" s="879">
        <f t="shared" ca="1" si="93"/>
        <v>0.11749999999999999</v>
      </c>
      <c r="I212" s="879">
        <f t="shared" ca="1" si="95"/>
        <v>0.70650000000000013</v>
      </c>
      <c r="J212" s="879"/>
      <c r="K212" s="879"/>
      <c r="L212" s="879"/>
      <c r="M212" s="879"/>
      <c r="N212" s="879"/>
      <c r="O212" s="879"/>
      <c r="P212" s="879"/>
      <c r="Q212" s="879"/>
      <c r="R212" s="879"/>
      <c r="S212" s="879"/>
      <c r="T212" s="879"/>
      <c r="U212" s="879"/>
      <c r="V212" s="879"/>
      <c r="W212" s="879"/>
      <c r="X212" s="879"/>
      <c r="Y212" s="879"/>
      <c r="Z212" s="879"/>
      <c r="AA212" s="879"/>
      <c r="AB212" s="879"/>
      <c r="AC212" s="879"/>
      <c r="AD212" s="879"/>
      <c r="AE212" s="879"/>
      <c r="AF212" s="879"/>
      <c r="AG212" s="879"/>
      <c r="AH212" s="879"/>
      <c r="AI212" s="879"/>
      <c r="AJ212" s="879"/>
    </row>
    <row r="213" spans="1:36" x14ac:dyDescent="0.25">
      <c r="A213" s="879"/>
      <c r="B213" s="884">
        <f t="shared" ca="1" si="94"/>
        <v>6.7539097407764448</v>
      </c>
      <c r="C213" s="1132">
        <f t="shared" ca="1" si="89"/>
        <v>6.7592759993473752</v>
      </c>
      <c r="D213" s="879">
        <f t="shared" ca="1" si="88"/>
        <v>179</v>
      </c>
      <c r="E213" s="1135">
        <f t="shared" ca="1" si="90"/>
        <v>6.7539097407764448</v>
      </c>
      <c r="F213" s="1135">
        <f t="shared" ca="1" si="91"/>
        <v>6.7592759993473752</v>
      </c>
      <c r="G213" s="1134">
        <f t="shared" ca="1" si="92"/>
        <v>6.75659287006191</v>
      </c>
      <c r="H213" s="879">
        <f t="shared" ca="1" si="93"/>
        <v>8.9499999999999996E-2</v>
      </c>
      <c r="I213" s="879">
        <f t="shared" ca="1" si="95"/>
        <v>0.79600000000000015</v>
      </c>
      <c r="J213" s="879"/>
      <c r="K213" s="879"/>
      <c r="L213" s="879"/>
      <c r="M213" s="879"/>
      <c r="N213" s="879"/>
      <c r="O213" s="879"/>
      <c r="P213" s="879"/>
      <c r="Q213" s="879"/>
      <c r="R213" s="879"/>
      <c r="S213" s="879"/>
      <c r="T213" s="879"/>
      <c r="U213" s="879"/>
      <c r="V213" s="879"/>
      <c r="W213" s="879"/>
      <c r="X213" s="879"/>
      <c r="Y213" s="879"/>
      <c r="Z213" s="879"/>
      <c r="AA213" s="879"/>
      <c r="AB213" s="879"/>
      <c r="AC213" s="879"/>
      <c r="AD213" s="879"/>
      <c r="AE213" s="879"/>
      <c r="AF213" s="879"/>
      <c r="AG213" s="879"/>
      <c r="AH213" s="879"/>
      <c r="AI213" s="879"/>
      <c r="AJ213" s="879"/>
    </row>
    <row r="214" spans="1:36" x14ac:dyDescent="0.25">
      <c r="A214" s="879"/>
      <c r="B214" s="884">
        <f t="shared" ca="1" si="94"/>
        <v>6.7592759993473752</v>
      </c>
      <c r="C214" s="1132">
        <f t="shared" ca="1" si="89"/>
        <v>6.7646422579183056</v>
      </c>
      <c r="D214" s="879">
        <f t="shared" ca="1" si="88"/>
        <v>132</v>
      </c>
      <c r="E214" s="1135">
        <f t="shared" ca="1" si="90"/>
        <v>6.7592759993473752</v>
      </c>
      <c r="F214" s="1135">
        <f t="shared" ca="1" si="91"/>
        <v>6.7646422579183056</v>
      </c>
      <c r="G214" s="1134">
        <f t="shared" ca="1" si="92"/>
        <v>6.7619591286328404</v>
      </c>
      <c r="H214" s="879">
        <f t="shared" ca="1" si="93"/>
        <v>6.6000000000000003E-2</v>
      </c>
      <c r="I214" s="879">
        <f t="shared" ca="1" si="95"/>
        <v>0.8620000000000001</v>
      </c>
      <c r="J214" s="879"/>
      <c r="K214" s="879"/>
      <c r="L214" s="879"/>
      <c r="M214" s="879"/>
      <c r="N214" s="879"/>
      <c r="O214" s="879"/>
      <c r="P214" s="879"/>
      <c r="Q214" s="879"/>
      <c r="R214" s="879"/>
      <c r="S214" s="879"/>
      <c r="T214" s="879"/>
      <c r="U214" s="879"/>
      <c r="V214" s="879"/>
      <c r="W214" s="879"/>
      <c r="X214" s="879"/>
      <c r="Y214" s="879"/>
      <c r="Z214" s="879"/>
      <c r="AA214" s="879"/>
      <c r="AB214" s="879"/>
      <c r="AC214" s="879"/>
      <c r="AD214" s="879"/>
      <c r="AE214" s="879"/>
      <c r="AF214" s="879"/>
      <c r="AG214" s="879"/>
      <c r="AH214" s="879"/>
      <c r="AI214" s="879"/>
      <c r="AJ214" s="879"/>
    </row>
    <row r="215" spans="1:36" x14ac:dyDescent="0.25">
      <c r="A215" s="879"/>
      <c r="B215" s="884">
        <f t="shared" ca="1" si="94"/>
        <v>6.7646422579183056</v>
      </c>
      <c r="C215" s="1132">
        <f t="shared" ca="1" si="89"/>
        <v>6.7700085164892361</v>
      </c>
      <c r="D215" s="879">
        <f t="shared" ca="1" si="88"/>
        <v>106</v>
      </c>
      <c r="E215" s="1135">
        <f t="shared" ca="1" si="90"/>
        <v>6.7646422579183056</v>
      </c>
      <c r="F215" s="1135">
        <f t="shared" ca="1" si="91"/>
        <v>6.7700085164892361</v>
      </c>
      <c r="G215" s="1134">
        <f t="shared" ca="1" si="92"/>
        <v>6.7673253872037709</v>
      </c>
      <c r="H215" s="879">
        <f t="shared" ca="1" si="93"/>
        <v>5.2999999999999999E-2</v>
      </c>
      <c r="I215" s="879">
        <f t="shared" ca="1" si="95"/>
        <v>0.91500000000000015</v>
      </c>
      <c r="J215" s="879"/>
      <c r="K215" s="879"/>
      <c r="L215" s="879"/>
      <c r="M215" s="879"/>
      <c r="N215" s="879"/>
      <c r="O215" s="879"/>
      <c r="P215" s="879"/>
      <c r="Q215" s="879"/>
      <c r="R215" s="879"/>
      <c r="S215" s="879"/>
      <c r="T215" s="879"/>
      <c r="U215" s="879"/>
      <c r="V215" s="879"/>
      <c r="W215" s="879"/>
      <c r="X215" s="879"/>
      <c r="Y215" s="879"/>
      <c r="Z215" s="879"/>
      <c r="AA215" s="879"/>
      <c r="AB215" s="879"/>
      <c r="AC215" s="879"/>
      <c r="AD215" s="879"/>
      <c r="AE215" s="879"/>
      <c r="AF215" s="879"/>
      <c r="AG215" s="879"/>
      <c r="AH215" s="879"/>
      <c r="AI215" s="879"/>
      <c r="AJ215" s="879"/>
    </row>
    <row r="216" spans="1:36" x14ac:dyDescent="0.25">
      <c r="A216" s="879"/>
      <c r="B216" s="884">
        <f t="shared" ca="1" si="94"/>
        <v>6.7700085164892361</v>
      </c>
      <c r="C216" s="1132">
        <f t="shared" ca="1" si="89"/>
        <v>6.7753747750601665</v>
      </c>
      <c r="D216" s="879">
        <f t="shared" ca="1" si="88"/>
        <v>63</v>
      </c>
      <c r="E216" s="1135">
        <f t="shared" ca="1" si="90"/>
        <v>6.7700085164892361</v>
      </c>
      <c r="F216" s="1135">
        <f t="shared" ca="1" si="91"/>
        <v>6.7753747750601665</v>
      </c>
      <c r="G216" s="1134">
        <f t="shared" ca="1" si="92"/>
        <v>6.7726916457747013</v>
      </c>
      <c r="H216" s="879">
        <f t="shared" ca="1" si="93"/>
        <v>3.15E-2</v>
      </c>
      <c r="I216" s="879">
        <f t="shared" ca="1" si="95"/>
        <v>0.94650000000000012</v>
      </c>
      <c r="J216" s="879"/>
      <c r="K216" s="879"/>
      <c r="L216" s="879"/>
      <c r="M216" s="879"/>
      <c r="N216" s="879"/>
      <c r="O216" s="879"/>
      <c r="P216" s="879"/>
      <c r="Q216" s="879"/>
      <c r="R216" s="879"/>
      <c r="S216" s="879"/>
      <c r="T216" s="879"/>
      <c r="U216" s="879"/>
      <c r="V216" s="879"/>
      <c r="W216" s="879"/>
      <c r="X216" s="879"/>
      <c r="Y216" s="879"/>
      <c r="Z216" s="879"/>
      <c r="AA216" s="879"/>
      <c r="AB216" s="879"/>
      <c r="AC216" s="879"/>
      <c r="AD216" s="879"/>
      <c r="AE216" s="879"/>
      <c r="AF216" s="879"/>
      <c r="AG216" s="879"/>
      <c r="AH216" s="879"/>
      <c r="AI216" s="879"/>
      <c r="AJ216" s="879"/>
    </row>
    <row r="217" spans="1:36" x14ac:dyDescent="0.25">
      <c r="A217" s="879"/>
      <c r="B217" s="884">
        <f t="shared" ca="1" si="94"/>
        <v>6.7753747750601665</v>
      </c>
      <c r="C217" s="1132">
        <f t="shared" ca="1" si="89"/>
        <v>6.7807410336310969</v>
      </c>
      <c r="D217" s="879">
        <f t="shared" ca="1" si="88"/>
        <v>56</v>
      </c>
      <c r="E217" s="1135">
        <f t="shared" ca="1" si="90"/>
        <v>6.7753747750601665</v>
      </c>
      <c r="F217" s="1135">
        <f t="shared" ca="1" si="91"/>
        <v>6.7807410336310969</v>
      </c>
      <c r="G217" s="1134">
        <f t="shared" ca="1" si="92"/>
        <v>6.7780579043456317</v>
      </c>
      <c r="H217" s="879">
        <f t="shared" ca="1" si="93"/>
        <v>2.8000000000000001E-2</v>
      </c>
      <c r="I217" s="879">
        <f t="shared" ca="1" si="95"/>
        <v>0.97450000000000014</v>
      </c>
      <c r="J217" s="879"/>
      <c r="K217" s="879"/>
      <c r="L217" s="879"/>
      <c r="M217" s="879"/>
      <c r="N217" s="879"/>
      <c r="O217" s="879"/>
      <c r="P217" s="879"/>
      <c r="Q217" s="879"/>
      <c r="R217" s="879"/>
      <c r="S217" s="879"/>
      <c r="T217" s="879"/>
      <c r="U217" s="879"/>
      <c r="V217" s="879"/>
      <c r="W217" s="879"/>
      <c r="X217" s="879"/>
      <c r="Y217" s="879"/>
      <c r="Z217" s="879"/>
      <c r="AA217" s="879"/>
      <c r="AB217" s="879"/>
      <c r="AC217" s="879"/>
      <c r="AD217" s="879"/>
      <c r="AE217" s="879"/>
      <c r="AF217" s="879"/>
      <c r="AG217" s="879"/>
      <c r="AH217" s="879"/>
      <c r="AI217" s="879"/>
      <c r="AJ217" s="879"/>
    </row>
    <row r="218" spans="1:36" x14ac:dyDescent="0.25">
      <c r="A218" s="879"/>
      <c r="B218" s="884">
        <f t="shared" ca="1" si="94"/>
        <v>6.7807410336310969</v>
      </c>
      <c r="C218" s="1132">
        <f t="shared" ca="1" si="89"/>
        <v>6.7861072922020274</v>
      </c>
      <c r="D218" s="879">
        <f t="shared" ca="1" si="88"/>
        <v>22</v>
      </c>
      <c r="E218" s="1135">
        <f t="shared" ca="1" si="90"/>
        <v>6.7807410336310969</v>
      </c>
      <c r="F218" s="1135">
        <f t="shared" ca="1" si="91"/>
        <v>6.7861072922020274</v>
      </c>
      <c r="G218" s="1134">
        <f t="shared" ca="1" si="92"/>
        <v>6.7834241629165621</v>
      </c>
      <c r="H218" s="879">
        <f t="shared" ca="1" si="93"/>
        <v>1.0999999999999999E-2</v>
      </c>
      <c r="I218" s="879">
        <f t="shared" ca="1" si="95"/>
        <v>0.98550000000000015</v>
      </c>
      <c r="J218" s="879"/>
      <c r="K218" s="879"/>
      <c r="L218" s="879"/>
      <c r="M218" s="879"/>
      <c r="N218" s="879"/>
      <c r="O218" s="879"/>
      <c r="P218" s="879"/>
      <c r="Q218" s="879"/>
      <c r="R218" s="879"/>
      <c r="S218" s="879"/>
      <c r="T218" s="879"/>
      <c r="U218" s="879"/>
      <c r="V218" s="879"/>
      <c r="W218" s="879"/>
      <c r="X218" s="879"/>
      <c r="Y218" s="879"/>
      <c r="Z218" s="879"/>
      <c r="AA218" s="879"/>
      <c r="AB218" s="879"/>
      <c r="AC218" s="879"/>
      <c r="AD218" s="879"/>
      <c r="AE218" s="879"/>
      <c r="AF218" s="879"/>
      <c r="AG218" s="879"/>
      <c r="AH218" s="879"/>
      <c r="AI218" s="879"/>
      <c r="AJ218" s="879"/>
    </row>
    <row r="219" spans="1:36" x14ac:dyDescent="0.25">
      <c r="A219" s="879"/>
      <c r="B219" s="884">
        <f t="shared" ca="1" si="94"/>
        <v>6.7861072922020274</v>
      </c>
      <c r="C219" s="1132">
        <f t="shared" ca="1" si="89"/>
        <v>6.7914735507729578</v>
      </c>
      <c r="D219" s="879">
        <f t="shared" ca="1" si="88"/>
        <v>12</v>
      </c>
      <c r="E219" s="1135">
        <f t="shared" ca="1" si="90"/>
        <v>6.7861072922020274</v>
      </c>
      <c r="F219" s="1135">
        <f t="shared" ca="1" si="91"/>
        <v>6.7914735507729578</v>
      </c>
      <c r="G219" s="1134">
        <f t="shared" ca="1" si="92"/>
        <v>6.7887904214874926</v>
      </c>
      <c r="H219" s="879">
        <f t="shared" ca="1" si="93"/>
        <v>6.0000000000000001E-3</v>
      </c>
      <c r="I219" s="879">
        <f t="shared" ca="1" si="95"/>
        <v>0.99150000000000016</v>
      </c>
      <c r="J219" s="879"/>
      <c r="K219" s="879"/>
      <c r="L219" s="879"/>
      <c r="M219" s="879"/>
      <c r="N219" s="879"/>
      <c r="O219" s="879"/>
      <c r="P219" s="879"/>
      <c r="Q219" s="879"/>
      <c r="R219" s="879"/>
      <c r="S219" s="879"/>
      <c r="T219" s="879"/>
      <c r="U219" s="879"/>
      <c r="V219" s="879"/>
      <c r="W219" s="879"/>
      <c r="X219" s="879"/>
      <c r="Y219" s="879"/>
      <c r="Z219" s="879"/>
      <c r="AA219" s="879"/>
      <c r="AB219" s="879"/>
      <c r="AC219" s="879"/>
      <c r="AD219" s="879"/>
      <c r="AE219" s="879"/>
      <c r="AF219" s="879"/>
      <c r="AG219" s="879"/>
      <c r="AH219" s="879"/>
      <c r="AI219" s="879"/>
      <c r="AJ219" s="879"/>
    </row>
    <row r="220" spans="1:36" x14ac:dyDescent="0.25">
      <c r="A220" s="879"/>
      <c r="B220" s="884">
        <f t="shared" ca="1" si="94"/>
        <v>6.7914735507729578</v>
      </c>
      <c r="C220" s="1132">
        <f t="shared" ca="1" si="89"/>
        <v>6.7968398093438882</v>
      </c>
      <c r="D220" s="879">
        <f t="shared" ca="1" si="88"/>
        <v>12</v>
      </c>
      <c r="E220" s="1135">
        <f t="shared" ca="1" si="90"/>
        <v>6.7914735507729578</v>
      </c>
      <c r="F220" s="1135">
        <f t="shared" ca="1" si="91"/>
        <v>6.7968398093438882</v>
      </c>
      <c r="G220" s="1134">
        <f t="shared" ca="1" si="92"/>
        <v>6.794156680058423</v>
      </c>
      <c r="H220" s="879">
        <f t="shared" ca="1" si="93"/>
        <v>6.0000000000000001E-3</v>
      </c>
      <c r="I220" s="879">
        <f t="shared" ca="1" si="95"/>
        <v>0.99750000000000016</v>
      </c>
      <c r="J220" s="879"/>
      <c r="K220" s="879"/>
      <c r="L220" s="879"/>
      <c r="M220" s="879"/>
      <c r="N220" s="879"/>
      <c r="O220" s="879"/>
      <c r="P220" s="879"/>
      <c r="Q220" s="879"/>
      <c r="R220" s="879"/>
      <c r="S220" s="879"/>
      <c r="T220" s="879"/>
      <c r="U220" s="879"/>
      <c r="V220" s="879"/>
      <c r="W220" s="879"/>
      <c r="X220" s="879"/>
      <c r="Y220" s="879"/>
      <c r="Z220" s="879"/>
      <c r="AA220" s="879"/>
      <c r="AB220" s="879"/>
      <c r="AC220" s="879"/>
      <c r="AD220" s="879"/>
      <c r="AE220" s="879"/>
      <c r="AF220" s="879"/>
      <c r="AG220" s="879"/>
      <c r="AH220" s="879"/>
      <c r="AI220" s="879"/>
      <c r="AJ220" s="879"/>
    </row>
    <row r="221" spans="1:36" x14ac:dyDescent="0.25">
      <c r="A221" s="879"/>
      <c r="B221" s="884">
        <f t="shared" ca="1" si="94"/>
        <v>6.7968398093438882</v>
      </c>
      <c r="C221" s="1132">
        <f ca="1">+B221+($C$197/20)+0.000001</f>
        <v>6.8022070679148188</v>
      </c>
      <c r="D221" s="879">
        <f t="shared" ca="1" si="88"/>
        <v>5</v>
      </c>
      <c r="E221" s="1135">
        <f t="shared" ca="1" si="90"/>
        <v>6.7968398093438882</v>
      </c>
      <c r="F221" s="1135">
        <f t="shared" ca="1" si="91"/>
        <v>6.8022070679148188</v>
      </c>
      <c r="G221" s="1134">
        <f t="shared" ca="1" si="92"/>
        <v>6.7995234386293539</v>
      </c>
      <c r="H221" s="879">
        <f t="shared" ca="1" si="93"/>
        <v>2.5000000000000001E-3</v>
      </c>
      <c r="I221" s="879">
        <f t="shared" ca="1" si="95"/>
        <v>1.0000000000000002</v>
      </c>
      <c r="J221" s="879"/>
      <c r="K221" s="879"/>
      <c r="L221" s="879"/>
      <c r="M221" s="879"/>
      <c r="N221" s="879"/>
      <c r="O221" s="879"/>
      <c r="P221" s="879"/>
      <c r="Q221" s="879"/>
      <c r="R221" s="879"/>
      <c r="S221" s="879"/>
      <c r="T221" s="879"/>
      <c r="U221" s="879"/>
      <c r="V221" s="879"/>
      <c r="W221" s="879"/>
      <c r="X221" s="879"/>
      <c r="Y221" s="879"/>
      <c r="Z221" s="879"/>
      <c r="AA221" s="879"/>
      <c r="AB221" s="879"/>
      <c r="AC221" s="879"/>
      <c r="AD221" s="879"/>
      <c r="AE221" s="879"/>
      <c r="AF221" s="879"/>
      <c r="AG221" s="879"/>
      <c r="AH221" s="879"/>
      <c r="AI221" s="879"/>
      <c r="AJ221" s="879"/>
    </row>
    <row r="222" spans="1:36" x14ac:dyDescent="0.25">
      <c r="A222" s="879"/>
      <c r="B222" s="880"/>
      <c r="C222" s="1136"/>
      <c r="D222" s="879"/>
      <c r="E222" s="879"/>
      <c r="F222" s="879">
        <f t="shared" ca="1" si="91"/>
        <v>0</v>
      </c>
      <c r="G222" s="1134">
        <f t="shared" ca="1" si="92"/>
        <v>0</v>
      </c>
      <c r="H222" s="879"/>
      <c r="I222" s="879"/>
      <c r="J222" s="879"/>
      <c r="K222" s="879"/>
      <c r="L222" s="879"/>
      <c r="M222" s="879"/>
      <c r="N222" s="879"/>
      <c r="O222" s="879"/>
      <c r="P222" s="879"/>
      <c r="Q222" s="879"/>
      <c r="R222" s="879"/>
      <c r="S222" s="879"/>
      <c r="T222" s="879"/>
      <c r="U222" s="879"/>
      <c r="V222" s="879"/>
      <c r="W222" s="879"/>
      <c r="X222" s="879"/>
      <c r="Y222" s="879"/>
      <c r="Z222" s="879"/>
      <c r="AA222" s="879"/>
      <c r="AB222" s="879"/>
      <c r="AC222" s="879"/>
      <c r="AD222" s="879"/>
      <c r="AE222" s="879"/>
      <c r="AF222" s="879"/>
      <c r="AG222" s="879"/>
      <c r="AH222" s="879"/>
      <c r="AI222" s="879"/>
      <c r="AJ222" s="879"/>
    </row>
    <row r="223" spans="1:36" x14ac:dyDescent="0.25">
      <c r="A223" s="879"/>
      <c r="B223" s="880" t="s">
        <v>1214</v>
      </c>
      <c r="C223" s="879"/>
      <c r="D223" s="879">
        <f ca="1">+SUM(D202:D221)</f>
        <v>2000</v>
      </c>
      <c r="E223" s="879"/>
      <c r="F223" s="879"/>
      <c r="G223" s="879"/>
      <c r="H223" s="879"/>
      <c r="I223" s="879"/>
      <c r="J223" s="879"/>
      <c r="K223" s="879"/>
      <c r="L223" s="879"/>
      <c r="M223" s="879"/>
      <c r="N223" s="879"/>
      <c r="O223" s="879"/>
      <c r="P223" s="879"/>
      <c r="Q223" s="879"/>
      <c r="R223" s="879"/>
      <c r="S223" s="879"/>
      <c r="T223" s="879"/>
      <c r="U223" s="879"/>
      <c r="V223" s="879"/>
      <c r="W223" s="879"/>
      <c r="X223" s="879"/>
      <c r="Y223" s="879"/>
      <c r="Z223" s="879"/>
      <c r="AA223" s="879"/>
      <c r="AB223" s="879"/>
      <c r="AC223" s="879"/>
      <c r="AD223" s="879"/>
      <c r="AE223" s="879"/>
      <c r="AF223" s="879"/>
      <c r="AG223" s="879"/>
      <c r="AH223" s="879"/>
      <c r="AI223" s="879"/>
      <c r="AJ223" s="879"/>
    </row>
    <row r="224" spans="1:36" x14ac:dyDescent="0.25">
      <c r="A224" s="879"/>
      <c r="B224" s="879" t="str">
        <f t="array" ref="B224:B238">+TRANSPOSE(Sensitivity_output)</f>
        <v>Cost of hydrogen ($/kg)</v>
      </c>
      <c r="C224" s="879"/>
      <c r="D224" s="879"/>
      <c r="E224" s="879"/>
      <c r="F224" s="879"/>
      <c r="G224" s="879"/>
      <c r="H224" s="879"/>
      <c r="I224" s="879"/>
      <c r="J224" s="879"/>
      <c r="K224" s="879"/>
      <c r="L224" s="879"/>
      <c r="M224" s="879"/>
      <c r="N224" s="879"/>
      <c r="O224" s="879"/>
      <c r="P224" s="879"/>
      <c r="Q224" s="879"/>
      <c r="R224" s="879"/>
      <c r="S224" s="879"/>
      <c r="T224" s="879"/>
      <c r="U224" s="879"/>
      <c r="V224" s="879"/>
      <c r="W224" s="879"/>
      <c r="X224" s="879"/>
      <c r="Y224" s="879"/>
      <c r="Z224" s="879"/>
      <c r="AA224" s="879"/>
      <c r="AB224" s="879"/>
      <c r="AC224" s="879"/>
      <c r="AD224" s="879"/>
      <c r="AE224" s="879"/>
      <c r="AF224" s="879"/>
      <c r="AG224" s="879"/>
      <c r="AH224" s="879"/>
      <c r="AI224" s="879"/>
      <c r="AJ224" s="879"/>
    </row>
    <row r="225" spans="1:36" x14ac:dyDescent="0.25">
      <c r="A225" s="879"/>
      <c r="B225" s="879" t="str">
        <v>Revenue from byproduct sales ($/kg)</v>
      </c>
      <c r="C225" s="879"/>
      <c r="D225" s="879"/>
      <c r="E225" s="879"/>
      <c r="F225" s="879"/>
      <c r="G225" s="879"/>
      <c r="H225" s="879"/>
      <c r="I225" s="879"/>
      <c r="J225" s="879"/>
      <c r="K225" s="879"/>
      <c r="L225" s="879"/>
      <c r="M225" s="879"/>
      <c r="N225" s="879"/>
      <c r="O225" s="879"/>
      <c r="P225" s="879"/>
      <c r="Q225" s="879"/>
      <c r="R225" s="879"/>
      <c r="S225" s="879"/>
      <c r="T225" s="879"/>
      <c r="U225" s="879"/>
      <c r="V225" s="879"/>
      <c r="W225" s="879"/>
      <c r="X225" s="879"/>
      <c r="Y225" s="879"/>
      <c r="Z225" s="879"/>
      <c r="AA225" s="879"/>
      <c r="AB225" s="879"/>
      <c r="AC225" s="879"/>
      <c r="AD225" s="879"/>
      <c r="AE225" s="879"/>
      <c r="AF225" s="879"/>
      <c r="AG225" s="879"/>
      <c r="AH225" s="879"/>
      <c r="AI225" s="879"/>
      <c r="AJ225" s="879"/>
    </row>
    <row r="226" spans="1:36" x14ac:dyDescent="0.25">
      <c r="A226" s="879"/>
      <c r="B226" s="879" t="str">
        <v>Salvage value ($/kg)</v>
      </c>
      <c r="C226" s="879"/>
      <c r="D226" s="879"/>
      <c r="E226" s="879"/>
      <c r="F226" s="879"/>
      <c r="G226" s="879"/>
      <c r="H226" s="879"/>
      <c r="I226" s="879"/>
      <c r="J226" s="879"/>
      <c r="K226" s="879"/>
      <c r="L226" s="879"/>
      <c r="M226" s="879"/>
      <c r="N226" s="879"/>
      <c r="O226" s="879"/>
      <c r="P226" s="879"/>
      <c r="Q226" s="879"/>
      <c r="R226" s="879"/>
      <c r="S226" s="879"/>
      <c r="T226" s="879"/>
      <c r="U226" s="879"/>
      <c r="V226" s="879"/>
      <c r="W226" s="879"/>
      <c r="X226" s="879"/>
      <c r="Y226" s="879"/>
      <c r="Z226" s="879"/>
      <c r="AA226" s="879"/>
      <c r="AB226" s="879"/>
      <c r="AC226" s="879"/>
      <c r="AD226" s="879"/>
      <c r="AE226" s="879"/>
      <c r="AF226" s="879"/>
      <c r="AG226" s="879"/>
      <c r="AH226" s="879"/>
      <c r="AI226" s="879"/>
      <c r="AJ226" s="879"/>
    </row>
    <row r="227" spans="1:36" x14ac:dyDescent="0.25">
      <c r="A227" s="879"/>
      <c r="B227" s="879" t="str">
        <v>Initial equity depreciable capital ($/kg)</v>
      </c>
      <c r="C227" s="879"/>
      <c r="D227" s="879"/>
      <c r="E227" s="879"/>
      <c r="F227" s="879"/>
      <c r="G227" s="879"/>
      <c r="H227" s="879"/>
      <c r="I227" s="879"/>
      <c r="J227" s="879"/>
      <c r="K227" s="879"/>
      <c r="L227" s="879"/>
      <c r="M227" s="879"/>
      <c r="N227" s="879"/>
      <c r="O227" s="879"/>
      <c r="P227" s="879"/>
      <c r="Q227" s="879"/>
      <c r="R227" s="879"/>
      <c r="S227" s="879"/>
      <c r="T227" s="879"/>
      <c r="U227" s="879"/>
      <c r="V227" s="879"/>
      <c r="W227" s="879"/>
      <c r="X227" s="879"/>
      <c r="Y227" s="879"/>
      <c r="Z227" s="879"/>
      <c r="AA227" s="879"/>
      <c r="AB227" s="879"/>
      <c r="AC227" s="879"/>
      <c r="AD227" s="879"/>
      <c r="AE227" s="879"/>
      <c r="AF227" s="879"/>
      <c r="AG227" s="879"/>
      <c r="AH227" s="879"/>
      <c r="AI227" s="879"/>
      <c r="AJ227" s="879"/>
    </row>
    <row r="228" spans="1:36" x14ac:dyDescent="0.25">
      <c r="A228" s="879"/>
      <c r="B228" s="879" t="str">
        <v>Yearly replacement costs ($/kg)</v>
      </c>
      <c r="C228" s="879"/>
      <c r="D228" s="879"/>
      <c r="E228" s="879"/>
      <c r="F228" s="879"/>
      <c r="G228" s="879"/>
      <c r="H228" s="879"/>
      <c r="I228" s="879"/>
      <c r="J228" s="879"/>
      <c r="K228" s="879"/>
      <c r="L228" s="879"/>
      <c r="M228" s="879"/>
      <c r="N228" s="879"/>
      <c r="O228" s="879"/>
      <c r="P228" s="879"/>
      <c r="Q228" s="879"/>
      <c r="R228" s="879"/>
      <c r="S228" s="879"/>
      <c r="T228" s="879"/>
      <c r="U228" s="879"/>
      <c r="V228" s="879"/>
      <c r="W228" s="879"/>
      <c r="X228" s="879"/>
      <c r="Y228" s="879"/>
      <c r="Z228" s="879"/>
      <c r="AA228" s="879"/>
      <c r="AB228" s="879"/>
      <c r="AC228" s="879"/>
      <c r="AD228" s="879"/>
      <c r="AE228" s="879"/>
      <c r="AF228" s="879"/>
      <c r="AG228" s="879"/>
      <c r="AH228" s="879"/>
      <c r="AI228" s="879"/>
      <c r="AJ228" s="879"/>
    </row>
    <row r="229" spans="1:36" x14ac:dyDescent="0.25">
      <c r="A229" s="879"/>
      <c r="B229" s="879" t="str">
        <v>Cash from working capital reserve ($/kg)</v>
      </c>
      <c r="C229" s="879"/>
      <c r="D229" s="879"/>
      <c r="E229" s="879"/>
      <c r="F229" s="879"/>
      <c r="G229" s="879"/>
      <c r="H229" s="879"/>
      <c r="I229" s="879"/>
      <c r="J229" s="879"/>
      <c r="K229" s="879"/>
      <c r="L229" s="879"/>
      <c r="M229" s="879"/>
      <c r="N229" s="879"/>
      <c r="O229" s="879"/>
      <c r="P229" s="879"/>
      <c r="Q229" s="879"/>
      <c r="R229" s="879"/>
      <c r="S229" s="879"/>
      <c r="T229" s="879"/>
      <c r="U229" s="879"/>
      <c r="V229" s="879"/>
      <c r="W229" s="879"/>
      <c r="X229" s="879"/>
      <c r="Y229" s="879"/>
      <c r="Z229" s="879"/>
      <c r="AA229" s="879"/>
      <c r="AB229" s="879"/>
      <c r="AC229" s="879"/>
      <c r="AD229" s="879"/>
      <c r="AE229" s="879"/>
      <c r="AF229" s="879"/>
      <c r="AG229" s="879"/>
      <c r="AH229" s="879"/>
      <c r="AI229" s="879"/>
      <c r="AJ229" s="879"/>
    </row>
    <row r="230" spans="1:36" x14ac:dyDescent="0.25">
      <c r="A230" s="879"/>
      <c r="B230" s="879" t="str">
        <v>Other non-depreciable capital costs ($/kg)</v>
      </c>
      <c r="C230" s="879"/>
      <c r="D230" s="879"/>
      <c r="E230" s="879"/>
      <c r="F230" s="879"/>
      <c r="G230" s="879"/>
      <c r="H230" s="879"/>
      <c r="I230" s="879"/>
      <c r="J230" s="879"/>
      <c r="K230" s="879"/>
      <c r="L230" s="879"/>
      <c r="M230" s="879"/>
      <c r="N230" s="879"/>
      <c r="O230" s="879"/>
      <c r="P230" s="879"/>
      <c r="Q230" s="879"/>
      <c r="R230" s="879"/>
      <c r="S230" s="879"/>
      <c r="T230" s="879"/>
      <c r="U230" s="879"/>
      <c r="V230" s="879"/>
      <c r="W230" s="879"/>
      <c r="X230" s="879"/>
      <c r="Y230" s="879"/>
      <c r="Z230" s="879"/>
      <c r="AA230" s="879"/>
      <c r="AB230" s="879"/>
      <c r="AC230" s="879"/>
      <c r="AD230" s="879"/>
      <c r="AE230" s="879"/>
      <c r="AF230" s="879"/>
      <c r="AG230" s="879"/>
      <c r="AH230" s="879"/>
      <c r="AI230" s="879"/>
      <c r="AJ230" s="879"/>
    </row>
    <row r="231" spans="1:36" x14ac:dyDescent="0.25">
      <c r="A231" s="879"/>
      <c r="B231" s="879" t="str">
        <v>Decommissioning costs ($/kg)</v>
      </c>
      <c r="C231" s="879"/>
      <c r="D231" s="879"/>
      <c r="E231" s="879"/>
      <c r="F231" s="879"/>
      <c r="G231" s="879"/>
      <c r="H231" s="879"/>
      <c r="I231" s="879"/>
      <c r="J231" s="879"/>
      <c r="K231" s="879"/>
      <c r="L231" s="879"/>
      <c r="M231" s="879"/>
      <c r="N231" s="879"/>
      <c r="O231" s="879"/>
      <c r="P231" s="879"/>
      <c r="Q231" s="879"/>
      <c r="R231" s="879"/>
      <c r="S231" s="879"/>
      <c r="T231" s="879"/>
      <c r="U231" s="879"/>
      <c r="V231" s="879"/>
      <c r="W231" s="879"/>
      <c r="X231" s="879"/>
      <c r="Y231" s="879"/>
      <c r="Z231" s="879"/>
      <c r="AA231" s="879"/>
      <c r="AB231" s="879"/>
      <c r="AC231" s="879"/>
      <c r="AD231" s="879"/>
      <c r="AE231" s="879"/>
      <c r="AF231" s="879"/>
      <c r="AG231" s="879"/>
      <c r="AH231" s="879"/>
      <c r="AI231" s="879"/>
      <c r="AJ231" s="879"/>
    </row>
    <row r="232" spans="1:36" x14ac:dyDescent="0.25">
      <c r="A232" s="879"/>
      <c r="B232" s="879" t="str">
        <v>Fixed operating cost ($/kg)</v>
      </c>
      <c r="C232" s="879"/>
      <c r="D232" s="879"/>
      <c r="E232" s="879"/>
      <c r="F232" s="879"/>
      <c r="G232" s="879"/>
      <c r="H232" s="879"/>
      <c r="I232" s="879"/>
      <c r="J232" s="879"/>
      <c r="K232" s="879"/>
      <c r="L232" s="879"/>
      <c r="M232" s="879"/>
      <c r="N232" s="879"/>
      <c r="O232" s="879"/>
      <c r="P232" s="879"/>
      <c r="Q232" s="879"/>
      <c r="R232" s="879"/>
      <c r="S232" s="879"/>
      <c r="T232" s="879"/>
      <c r="U232" s="879"/>
      <c r="V232" s="879"/>
      <c r="W232" s="879"/>
      <c r="X232" s="879"/>
      <c r="Y232" s="879"/>
      <c r="Z232" s="879"/>
      <c r="AA232" s="879"/>
      <c r="AB232" s="879"/>
      <c r="AC232" s="879"/>
      <c r="AD232" s="879"/>
      <c r="AE232" s="879"/>
      <c r="AF232" s="879"/>
      <c r="AG232" s="879"/>
      <c r="AH232" s="879"/>
      <c r="AI232" s="879"/>
      <c r="AJ232" s="879"/>
    </row>
    <row r="233" spans="1:36" x14ac:dyDescent="0.25">
      <c r="A233" s="879"/>
      <c r="B233" s="879" t="str">
        <v>Feedstock cost ($/kg)</v>
      </c>
      <c r="C233" s="879"/>
      <c r="D233" s="879"/>
      <c r="E233" s="879"/>
      <c r="F233" s="879"/>
      <c r="G233" s="879"/>
      <c r="H233" s="879"/>
      <c r="I233" s="879"/>
      <c r="J233" s="879"/>
      <c r="K233" s="879"/>
      <c r="L233" s="879"/>
      <c r="M233" s="879"/>
      <c r="N233" s="879"/>
      <c r="O233" s="879"/>
      <c r="P233" s="879"/>
      <c r="Q233" s="879"/>
      <c r="R233" s="879"/>
      <c r="S233" s="879"/>
      <c r="T233" s="879"/>
      <c r="U233" s="879"/>
      <c r="V233" s="879"/>
      <c r="W233" s="879"/>
      <c r="X233" s="879"/>
      <c r="Y233" s="879"/>
      <c r="Z233" s="879"/>
      <c r="AA233" s="879"/>
      <c r="AB233" s="879"/>
      <c r="AC233" s="879"/>
      <c r="AD233" s="879"/>
      <c r="AE233" s="879"/>
      <c r="AF233" s="879"/>
      <c r="AG233" s="879"/>
      <c r="AH233" s="879"/>
      <c r="AI233" s="879"/>
      <c r="AJ233" s="879"/>
    </row>
    <row r="234" spans="1:36" x14ac:dyDescent="0.25">
      <c r="A234" s="879"/>
      <c r="B234" s="879" t="str">
        <v>Other raw material cost ($/kg)</v>
      </c>
      <c r="C234" s="879"/>
      <c r="D234" s="879"/>
      <c r="E234" s="879"/>
      <c r="F234" s="879"/>
      <c r="G234" s="879"/>
      <c r="H234" s="879"/>
      <c r="I234" s="879"/>
      <c r="J234" s="879"/>
      <c r="K234" s="879"/>
      <c r="L234" s="879"/>
      <c r="M234" s="879"/>
      <c r="N234" s="879"/>
      <c r="O234" s="879"/>
      <c r="P234" s="879"/>
      <c r="Q234" s="879"/>
      <c r="R234" s="879"/>
      <c r="S234" s="879"/>
      <c r="T234" s="879"/>
      <c r="U234" s="879"/>
      <c r="V234" s="879"/>
      <c r="W234" s="879"/>
      <c r="X234" s="879"/>
      <c r="Y234" s="879"/>
      <c r="Z234" s="879"/>
      <c r="AA234" s="879"/>
      <c r="AB234" s="879"/>
      <c r="AC234" s="879"/>
      <c r="AD234" s="879"/>
      <c r="AE234" s="879"/>
      <c r="AF234" s="879"/>
      <c r="AG234" s="879"/>
      <c r="AH234" s="879"/>
      <c r="AI234" s="879"/>
      <c r="AJ234" s="879"/>
    </row>
    <row r="235" spans="1:36" x14ac:dyDescent="0.25">
      <c r="A235" s="879"/>
      <c r="B235" s="879" t="str">
        <v>Other variable operating costs ($/kg)</v>
      </c>
      <c r="C235" s="879"/>
      <c r="D235" s="879"/>
      <c r="E235" s="879"/>
      <c r="F235" s="879"/>
      <c r="G235" s="879"/>
      <c r="H235" s="879"/>
      <c r="I235" s="879"/>
      <c r="J235" s="879"/>
      <c r="K235" s="879"/>
      <c r="L235" s="879"/>
      <c r="M235" s="879"/>
      <c r="N235" s="879"/>
      <c r="O235" s="879"/>
      <c r="P235" s="879"/>
      <c r="Q235" s="879"/>
      <c r="R235" s="879"/>
      <c r="S235" s="879"/>
      <c r="T235" s="879"/>
      <c r="U235" s="879"/>
      <c r="V235" s="879"/>
      <c r="W235" s="879"/>
      <c r="X235" s="879"/>
      <c r="Y235" s="879"/>
      <c r="Z235" s="879"/>
      <c r="AA235" s="879"/>
      <c r="AB235" s="879"/>
      <c r="AC235" s="879"/>
      <c r="AD235" s="879"/>
      <c r="AE235" s="879"/>
      <c r="AF235" s="879"/>
      <c r="AG235" s="879"/>
      <c r="AH235" s="879"/>
      <c r="AI235" s="879"/>
      <c r="AJ235" s="879"/>
    </row>
    <row r="236" spans="1:36" x14ac:dyDescent="0.25">
      <c r="A236" s="879"/>
      <c r="B236" s="879" t="str">
        <v>Debt interest ($/kg)</v>
      </c>
      <c r="C236" s="879"/>
      <c r="D236" s="879"/>
      <c r="E236" s="879"/>
      <c r="F236" s="879"/>
      <c r="G236" s="879"/>
      <c r="H236" s="879"/>
      <c r="I236" s="879"/>
      <c r="J236" s="879"/>
      <c r="K236" s="879"/>
      <c r="L236" s="879"/>
      <c r="M236" s="879"/>
      <c r="N236" s="879"/>
      <c r="O236" s="879"/>
      <c r="P236" s="879"/>
      <c r="Q236" s="879"/>
      <c r="R236" s="879"/>
      <c r="S236" s="879"/>
      <c r="T236" s="879"/>
      <c r="U236" s="879"/>
      <c r="V236" s="879"/>
      <c r="W236" s="879"/>
      <c r="X236" s="879"/>
      <c r="Y236" s="879"/>
      <c r="Z236" s="879"/>
      <c r="AA236" s="879"/>
      <c r="AB236" s="879"/>
      <c r="AC236" s="879"/>
      <c r="AD236" s="879"/>
      <c r="AE236" s="879"/>
      <c r="AF236" s="879"/>
      <c r="AG236" s="879"/>
      <c r="AH236" s="879"/>
      <c r="AI236" s="879"/>
      <c r="AJ236" s="879"/>
    </row>
    <row r="237" spans="1:36" x14ac:dyDescent="0.25">
      <c r="A237" s="879"/>
      <c r="B237" s="879" t="str">
        <v>Taxes ($/kg)</v>
      </c>
      <c r="C237" s="879"/>
      <c r="D237" s="879"/>
      <c r="E237" s="879"/>
      <c r="F237" s="879"/>
      <c r="G237" s="879"/>
      <c r="H237" s="879"/>
      <c r="I237" s="879"/>
      <c r="J237" s="879"/>
      <c r="K237" s="879"/>
      <c r="L237" s="879"/>
      <c r="M237" s="879"/>
      <c r="N237" s="879"/>
      <c r="O237" s="879"/>
      <c r="P237" s="879"/>
      <c r="Q237" s="879"/>
      <c r="R237" s="879"/>
      <c r="S237" s="879"/>
      <c r="T237" s="879"/>
      <c r="U237" s="879"/>
      <c r="V237" s="879"/>
      <c r="W237" s="879"/>
      <c r="X237" s="879"/>
      <c r="Y237" s="879"/>
      <c r="Z237" s="879"/>
      <c r="AA237" s="879"/>
      <c r="AB237" s="879"/>
      <c r="AC237" s="879"/>
      <c r="AD237" s="879"/>
      <c r="AE237" s="879"/>
      <c r="AF237" s="879"/>
      <c r="AG237" s="879"/>
      <c r="AH237" s="879"/>
      <c r="AI237" s="879"/>
      <c r="AJ237" s="879"/>
    </row>
    <row r="238" spans="1:36" x14ac:dyDescent="0.25">
      <c r="A238" s="879"/>
      <c r="B238" s="879" t="str">
        <v>Principal payment ($/kg)</v>
      </c>
      <c r="C238" s="879"/>
      <c r="D238" s="879"/>
      <c r="E238" s="879"/>
      <c r="F238" s="879"/>
      <c r="G238" s="879"/>
      <c r="H238" s="879"/>
      <c r="I238" s="879"/>
      <c r="J238" s="879"/>
      <c r="K238" s="879"/>
      <c r="L238" s="879"/>
      <c r="M238" s="879"/>
      <c r="N238" s="879"/>
      <c r="O238" s="879"/>
      <c r="P238" s="879"/>
      <c r="Q238" s="879"/>
      <c r="R238" s="879"/>
      <c r="S238" s="879"/>
      <c r="T238" s="879"/>
      <c r="U238" s="879"/>
      <c r="V238" s="879"/>
      <c r="W238" s="879"/>
      <c r="X238" s="879"/>
      <c r="Y238" s="879"/>
      <c r="Z238" s="879"/>
      <c r="AA238" s="879"/>
      <c r="AB238" s="879"/>
      <c r="AC238" s="879"/>
      <c r="AD238" s="879"/>
      <c r="AE238" s="879"/>
      <c r="AF238" s="879"/>
      <c r="AG238" s="879"/>
      <c r="AH238" s="879"/>
      <c r="AI238" s="879"/>
      <c r="AJ238" s="879"/>
    </row>
    <row r="239" spans="1:36" x14ac:dyDescent="0.25">
      <c r="A239" s="879"/>
      <c r="B239" s="879" t="str">
        <f t="array" ref="B239:B245">+TRANSPOSE(C50:I50)</f>
        <v>Operating capacity factor</v>
      </c>
      <c r="C239" s="879"/>
      <c r="D239" s="879"/>
      <c r="E239" s="879"/>
      <c r="F239" s="879"/>
      <c r="G239" s="879"/>
      <c r="H239" s="879"/>
      <c r="I239" s="879"/>
      <c r="J239" s="879"/>
      <c r="K239" s="879"/>
      <c r="L239" s="879"/>
      <c r="M239" s="879"/>
      <c r="N239" s="879"/>
      <c r="O239" s="879"/>
      <c r="P239" s="879"/>
      <c r="Q239" s="879"/>
      <c r="R239" s="879"/>
      <c r="S239" s="879"/>
      <c r="T239" s="879"/>
      <c r="U239" s="879"/>
      <c r="V239" s="879"/>
      <c r="W239" s="879"/>
      <c r="X239" s="879"/>
      <c r="Y239" s="879"/>
      <c r="Z239" s="879"/>
      <c r="AA239" s="879"/>
      <c r="AB239" s="879"/>
      <c r="AC239" s="879"/>
      <c r="AD239" s="879"/>
      <c r="AE239" s="879"/>
      <c r="AF239" s="879"/>
      <c r="AG239" s="879"/>
      <c r="AH239" s="879"/>
      <c r="AI239" s="879"/>
      <c r="AJ239" s="879"/>
    </row>
    <row r="240" spans="1:36" x14ac:dyDescent="0.25">
      <c r="A240" s="879"/>
      <c r="B240" s="879" t="str">
        <v>Plant design capacity (kg of H2/day)</v>
      </c>
      <c r="C240" s="879"/>
      <c r="D240" s="879"/>
      <c r="E240" s="879"/>
      <c r="F240" s="879"/>
      <c r="G240" s="879"/>
      <c r="H240" s="879"/>
      <c r="I240" s="879"/>
      <c r="J240" s="879"/>
      <c r="K240" s="879"/>
      <c r="L240" s="879"/>
      <c r="M240" s="879"/>
      <c r="N240" s="879"/>
      <c r="O240" s="879"/>
      <c r="P240" s="879"/>
      <c r="Q240" s="879"/>
      <c r="R240" s="879"/>
      <c r="S240" s="879"/>
      <c r="T240" s="879"/>
      <c r="U240" s="879"/>
      <c r="V240" s="879"/>
      <c r="W240" s="879"/>
      <c r="X240" s="879"/>
      <c r="Y240" s="879"/>
      <c r="Z240" s="879"/>
      <c r="AA240" s="879"/>
      <c r="AB240" s="879"/>
      <c r="AC240" s="879"/>
      <c r="AD240" s="879"/>
      <c r="AE240" s="879"/>
      <c r="AF240" s="879"/>
      <c r="AG240" s="879"/>
      <c r="AH240" s="879"/>
      <c r="AI240" s="879"/>
      <c r="AJ240" s="879"/>
    </row>
    <row r="241" spans="1:36" x14ac:dyDescent="0.25">
      <c r="A241" s="879"/>
      <c r="B241" s="879" t="str">
        <v>After-tax real IRR (%)</v>
      </c>
      <c r="C241" s="879"/>
      <c r="D241" s="879"/>
      <c r="E241" s="879"/>
      <c r="F241" s="879"/>
      <c r="G241" s="879"/>
      <c r="H241" s="879"/>
      <c r="I241" s="879"/>
      <c r="J241" s="879"/>
      <c r="K241" s="879"/>
      <c r="L241" s="879"/>
      <c r="M241" s="879"/>
      <c r="N241" s="879"/>
      <c r="O241" s="879"/>
      <c r="P241" s="879"/>
      <c r="Q241" s="879"/>
      <c r="R241" s="879"/>
      <c r="S241" s="879"/>
      <c r="T241" s="879"/>
      <c r="U241" s="879"/>
      <c r="V241" s="879"/>
      <c r="W241" s="879"/>
      <c r="X241" s="879"/>
      <c r="Y241" s="879"/>
      <c r="Z241" s="879"/>
      <c r="AA241" s="879"/>
      <c r="AB241" s="879"/>
      <c r="AC241" s="879"/>
      <c r="AD241" s="879"/>
      <c r="AE241" s="879"/>
      <c r="AF241" s="879"/>
      <c r="AG241" s="879"/>
      <c r="AH241" s="879"/>
      <c r="AI241" s="879"/>
      <c r="AJ241" s="879"/>
    </row>
    <row r="242" spans="1:36" x14ac:dyDescent="0.25">
      <c r="A242" s="879"/>
      <c r="B242" s="879" t="str">
        <v>Feedstock consumption (% of most likely value)</v>
      </c>
      <c r="C242" s="879"/>
      <c r="D242" s="879"/>
      <c r="E242" s="879"/>
      <c r="F242" s="879"/>
      <c r="G242" s="879"/>
      <c r="H242" s="879"/>
      <c r="I242" s="879"/>
      <c r="J242" s="879"/>
      <c r="K242" s="879"/>
      <c r="L242" s="879"/>
      <c r="M242" s="879"/>
      <c r="N242" s="879"/>
      <c r="O242" s="879"/>
      <c r="P242" s="879"/>
      <c r="Q242" s="879"/>
      <c r="R242" s="879"/>
      <c r="S242" s="879"/>
      <c r="T242" s="879"/>
      <c r="U242" s="879"/>
      <c r="V242" s="879"/>
      <c r="W242" s="879"/>
      <c r="X242" s="879"/>
      <c r="Y242" s="879"/>
      <c r="Z242" s="879"/>
      <c r="AA242" s="879"/>
      <c r="AB242" s="879"/>
      <c r="AC242" s="879"/>
      <c r="AD242" s="879"/>
      <c r="AE242" s="879"/>
      <c r="AF242" s="879"/>
      <c r="AG242" s="879"/>
      <c r="AH242" s="879"/>
      <c r="AI242" s="879"/>
      <c r="AJ242" s="879"/>
    </row>
    <row r="243" spans="1:36" x14ac:dyDescent="0.25">
      <c r="A243" s="879"/>
      <c r="B243" s="879" t="str">
        <v>Utilities consumption (% of most likely value)</v>
      </c>
      <c r="C243" s="879"/>
      <c r="D243" s="879"/>
      <c r="E243" s="879"/>
      <c r="F243" s="879"/>
      <c r="G243" s="879"/>
      <c r="H243" s="879"/>
      <c r="I243" s="879"/>
      <c r="J243" s="879"/>
      <c r="K243" s="879"/>
      <c r="L243" s="879"/>
      <c r="M243" s="879"/>
      <c r="N243" s="879"/>
      <c r="O243" s="879"/>
      <c r="P243" s="879"/>
      <c r="Q243" s="879"/>
      <c r="R243" s="879"/>
      <c r="S243" s="879"/>
      <c r="T243" s="879"/>
      <c r="U243" s="879"/>
      <c r="V243" s="879"/>
      <c r="W243" s="879"/>
      <c r="X243" s="879"/>
      <c r="Y243" s="879"/>
      <c r="Z243" s="879"/>
      <c r="AA243" s="879"/>
      <c r="AB243" s="879"/>
      <c r="AC243" s="879"/>
      <c r="AD243" s="879"/>
      <c r="AE243" s="879"/>
      <c r="AF243" s="879"/>
      <c r="AG243" s="879"/>
      <c r="AH243" s="879"/>
      <c r="AI243" s="879"/>
      <c r="AJ243" s="879"/>
    </row>
    <row r="244" spans="1:36" x14ac:dyDescent="0.25">
      <c r="A244" s="879"/>
      <c r="B244" s="879" t="str">
        <v>Total capital investment ($)</v>
      </c>
      <c r="C244" s="879"/>
      <c r="D244" s="879"/>
      <c r="E244" s="879"/>
      <c r="F244" s="879"/>
      <c r="G244" s="879"/>
      <c r="H244" s="879"/>
      <c r="I244" s="879"/>
      <c r="J244" s="879"/>
      <c r="K244" s="879"/>
      <c r="L244" s="879"/>
      <c r="M244" s="879"/>
      <c r="N244" s="879"/>
      <c r="O244" s="879"/>
      <c r="P244" s="879"/>
      <c r="Q244" s="879"/>
      <c r="R244" s="879"/>
      <c r="S244" s="879"/>
      <c r="T244" s="879"/>
      <c r="U244" s="879"/>
      <c r="V244" s="879"/>
      <c r="W244" s="879"/>
      <c r="X244" s="879"/>
      <c r="Y244" s="879"/>
      <c r="Z244" s="879"/>
      <c r="AA244" s="879"/>
      <c r="AB244" s="879"/>
      <c r="AC244" s="879"/>
      <c r="AD244" s="879"/>
      <c r="AE244" s="879"/>
      <c r="AF244" s="879"/>
      <c r="AG244" s="879"/>
      <c r="AH244" s="879"/>
      <c r="AI244" s="879"/>
      <c r="AJ244" s="879"/>
    </row>
    <row r="245" spans="1:36" x14ac:dyDescent="0.25">
      <c r="A245" s="879"/>
      <c r="B245" s="879" t="str">
        <v>Total fixed operating cost ($/year)</v>
      </c>
      <c r="C245" s="879"/>
      <c r="D245" s="879"/>
      <c r="E245" s="879"/>
      <c r="F245" s="879"/>
      <c r="G245" s="879"/>
      <c r="H245" s="879"/>
      <c r="I245" s="879"/>
      <c r="J245" s="879"/>
      <c r="K245" s="879"/>
      <c r="L245" s="879"/>
      <c r="M245" s="879"/>
      <c r="N245" s="879"/>
      <c r="O245" s="879"/>
      <c r="P245" s="879"/>
      <c r="Q245" s="879"/>
      <c r="R245" s="879"/>
      <c r="S245" s="879"/>
      <c r="T245" s="879"/>
      <c r="U245" s="879"/>
      <c r="V245" s="879"/>
      <c r="W245" s="879"/>
      <c r="X245" s="879"/>
      <c r="Y245" s="879"/>
      <c r="Z245" s="879"/>
      <c r="AA245" s="879"/>
      <c r="AB245" s="879"/>
      <c r="AC245" s="879"/>
      <c r="AD245" s="879"/>
      <c r="AE245" s="879"/>
      <c r="AF245" s="879"/>
      <c r="AG245" s="879"/>
      <c r="AH245" s="879"/>
      <c r="AI245" s="879"/>
      <c r="AJ245" s="879"/>
    </row>
    <row r="246" spans="1:36" x14ac:dyDescent="0.25">
      <c r="A246" s="879"/>
      <c r="B246" s="879"/>
      <c r="C246" s="879"/>
      <c r="D246" s="879"/>
      <c r="E246" s="879"/>
      <c r="F246" s="879"/>
      <c r="G246" s="879"/>
      <c r="H246" s="879"/>
      <c r="I246" s="879"/>
      <c r="J246" s="879"/>
      <c r="K246" s="879"/>
      <c r="L246" s="879"/>
      <c r="M246" s="879"/>
      <c r="N246" s="879"/>
      <c r="O246" s="879"/>
      <c r="P246" s="879"/>
      <c r="Q246" s="879"/>
      <c r="R246" s="879"/>
      <c r="S246" s="879"/>
      <c r="T246" s="879"/>
      <c r="U246" s="879"/>
      <c r="V246" s="879"/>
      <c r="W246" s="879"/>
      <c r="X246" s="879"/>
      <c r="Y246" s="879"/>
      <c r="Z246" s="879"/>
      <c r="AA246" s="879"/>
      <c r="AB246" s="879"/>
      <c r="AC246" s="879"/>
      <c r="AD246" s="879"/>
      <c r="AE246" s="879"/>
      <c r="AF246" s="879"/>
      <c r="AG246" s="879"/>
      <c r="AH246" s="879"/>
      <c r="AI246" s="879"/>
      <c r="AJ246" s="879"/>
    </row>
    <row r="247" spans="1:36" x14ac:dyDescent="0.25">
      <c r="A247" s="879"/>
      <c r="B247" s="879"/>
      <c r="C247" s="879"/>
      <c r="D247" s="879"/>
      <c r="E247" s="879"/>
      <c r="F247" s="879"/>
      <c r="G247" s="879"/>
      <c r="H247" s="879"/>
      <c r="I247" s="879"/>
      <c r="J247" s="879"/>
      <c r="K247" s="879"/>
      <c r="L247" s="879"/>
      <c r="M247" s="879"/>
      <c r="N247" s="879"/>
      <c r="O247" s="879"/>
      <c r="P247" s="879"/>
      <c r="Q247" s="879"/>
      <c r="R247" s="879"/>
      <c r="S247" s="879"/>
      <c r="T247" s="879"/>
      <c r="U247" s="879"/>
      <c r="V247" s="879"/>
      <c r="W247" s="879"/>
      <c r="X247" s="879"/>
      <c r="Y247" s="879"/>
      <c r="Z247" s="879"/>
      <c r="AA247" s="879"/>
      <c r="AB247" s="879"/>
      <c r="AC247" s="879"/>
      <c r="AD247" s="879"/>
      <c r="AE247" s="879"/>
      <c r="AF247" s="879"/>
      <c r="AG247" s="879"/>
      <c r="AH247" s="879"/>
      <c r="AI247" s="879"/>
      <c r="AJ247" s="879"/>
    </row>
    <row r="248" spans="1:36" x14ac:dyDescent="0.25">
      <c r="A248" s="879"/>
      <c r="B248" s="880"/>
      <c r="C248">
        <f ca="1">+RAND()</f>
        <v>4.5077002436460178E-2</v>
      </c>
      <c r="D248">
        <f t="shared" ref="D248:I248" ca="1" si="96">+RAND()</f>
        <v>0.13967110088067125</v>
      </c>
      <c r="E248">
        <f t="shared" ca="1" si="96"/>
        <v>0.43749967125940536</v>
      </c>
      <c r="F248">
        <f t="shared" ca="1" si="96"/>
        <v>5.9152858554867294E-4</v>
      </c>
      <c r="G248">
        <f t="shared" ca="1" si="96"/>
        <v>0.67542940974792376</v>
      </c>
      <c r="H248">
        <f t="shared" ca="1" si="96"/>
        <v>0.41990160481375671</v>
      </c>
      <c r="I248">
        <f t="shared" ca="1" si="96"/>
        <v>0.76978390988848422</v>
      </c>
      <c r="J248" s="879"/>
      <c r="K248" s="879"/>
      <c r="L248" s="879"/>
      <c r="M248" s="879"/>
      <c r="N248" s="879"/>
      <c r="O248" s="879"/>
      <c r="P248" s="879"/>
      <c r="Q248" s="879"/>
      <c r="R248" s="879"/>
      <c r="S248" s="879"/>
      <c r="T248" s="879"/>
      <c r="U248" s="879"/>
      <c r="V248" s="879"/>
      <c r="W248" s="879"/>
      <c r="X248" s="879"/>
      <c r="Y248" s="879"/>
      <c r="Z248" s="879"/>
      <c r="AA248" s="879"/>
      <c r="AB248" s="879"/>
      <c r="AC248" s="879"/>
      <c r="AD248" s="879"/>
      <c r="AE248" s="879"/>
      <c r="AF248" s="879"/>
      <c r="AG248" s="879"/>
      <c r="AH248" s="879"/>
      <c r="AI248" s="879"/>
      <c r="AJ248" s="879"/>
    </row>
    <row r="249" spans="1:36" x14ac:dyDescent="0.25">
      <c r="A249" s="879"/>
      <c r="B249" s="299"/>
      <c r="C249" s="884">
        <f ca="1">IFERROR(IF(C$248&lt;=(C$190-C$189)/(C$191-C$189),C$189+SQRT(C$248*(C$191-C$189)*(C$190-C$189)),C$191-SQRT((1-C$248)*(C$191-C$189)*(C$191-C$190))),1)</f>
        <v>0.96501282825394008</v>
      </c>
      <c r="D249" s="884">
        <f t="shared" ref="D249:I249" ca="1" si="97">IFERROR(IF(D$248&lt;=(D$190-D$189)/(D$191-D$189),D$189+SQRT(D$248*(D$191-D$189)*(D$190-D$189)),D$191-SQRT((1-D$248)*(D$191-D$189)*(D$191-D$190))),1)</f>
        <v>0.97642641679084308</v>
      </c>
      <c r="E249" s="884">
        <f t="shared" ca="1" si="97"/>
        <v>0.99677069976274701</v>
      </c>
      <c r="F249" s="884">
        <f t="shared" ca="1" si="97"/>
        <v>0.95171977990677392</v>
      </c>
      <c r="G249" s="884">
        <f t="shared" ca="1" si="97"/>
        <v>1.0097153509229586</v>
      </c>
      <c r="H249" s="884">
        <f t="shared" ca="1" si="97"/>
        <v>0.99582038873764367</v>
      </c>
      <c r="I249" s="884">
        <f t="shared" ca="1" si="97"/>
        <v>1.0160724234499783</v>
      </c>
    </row>
    <row r="250" spans="1:36" x14ac:dyDescent="0.25">
      <c r="A250" s="879"/>
      <c r="B250" s="299"/>
    </row>
    <row r="251" spans="1:36" x14ac:dyDescent="0.25">
      <c r="A251" s="879"/>
      <c r="B251" s="1133">
        <v>1</v>
      </c>
      <c r="C251" s="884">
        <v>0.98224588310145378</v>
      </c>
      <c r="D251" s="884">
        <v>1.0269308714891683</v>
      </c>
      <c r="E251" s="884">
        <v>1.0042726933527857</v>
      </c>
      <c r="F251" s="884">
        <v>0.99289844267369454</v>
      </c>
      <c r="G251" s="884">
        <v>1.0266140805115191</v>
      </c>
      <c r="H251" s="884">
        <v>1.037232385691566</v>
      </c>
      <c r="I251" s="884">
        <v>1.0380273719048421</v>
      </c>
      <c r="K251">
        <v>6.7776891609079062</v>
      </c>
      <c r="L251">
        <v>0</v>
      </c>
      <c r="M251">
        <v>1.0840851814633677E-2</v>
      </c>
      <c r="N251">
        <v>0.20339820773486916</v>
      </c>
      <c r="O251">
        <v>0.1227939473263867</v>
      </c>
      <c r="P251">
        <v>8.3677665455081457E-2</v>
      </c>
      <c r="Q251">
        <v>0</v>
      </c>
      <c r="R251">
        <v>1.0840851814633677E-2</v>
      </c>
      <c r="S251">
        <v>0.28872415386265438</v>
      </c>
      <c r="T251">
        <v>5.9115085244410368</v>
      </c>
      <c r="U251">
        <v>0</v>
      </c>
      <c r="V251">
        <v>1.925363191278107E-2</v>
      </c>
      <c r="W251">
        <v>0.10682796963841808</v>
      </c>
      <c r="X251">
        <v>-3.1356376362951053E-3</v>
      </c>
      <c r="Y251">
        <v>4.4640698172970901E-2</v>
      </c>
    </row>
    <row r="252" spans="1:36" x14ac:dyDescent="0.25">
      <c r="A252" s="879"/>
      <c r="B252" s="1133">
        <v>2</v>
      </c>
      <c r="C252" s="884">
        <v>0.99899214327333963</v>
      </c>
      <c r="D252" s="884">
        <v>1.0107253781616941</v>
      </c>
      <c r="E252" s="884">
        <v>0.96047677023867084</v>
      </c>
      <c r="F252" s="884">
        <v>1.0088874793118841</v>
      </c>
      <c r="G252" s="884">
        <v>1.0052334839531387</v>
      </c>
      <c r="H252" s="884">
        <v>0.95732922033758172</v>
      </c>
      <c r="I252" s="884">
        <v>0.99395119046916758</v>
      </c>
      <c r="K252">
        <v>6.7215911909989003</v>
      </c>
      <c r="L252">
        <v>0</v>
      </c>
      <c r="M252">
        <v>1.0290746845011344E-2</v>
      </c>
      <c r="N252">
        <v>0.18093204141373803</v>
      </c>
      <c r="O252">
        <v>0.12231714431429627</v>
      </c>
      <c r="P252">
        <v>8.0637558297921644E-2</v>
      </c>
      <c r="Q252">
        <v>0</v>
      </c>
      <c r="R252">
        <v>1.0290746845011344E-2</v>
      </c>
      <c r="S252">
        <v>0.26447047651542804</v>
      </c>
      <c r="T252">
        <v>5.9147909821625255</v>
      </c>
      <c r="U252">
        <v>0</v>
      </c>
      <c r="V252">
        <v>1.9160593651570086E-2</v>
      </c>
      <c r="W252">
        <v>9.7133244691212511E-2</v>
      </c>
      <c r="X252">
        <v>-2.2631387089748104E-4</v>
      </c>
      <c r="Y252">
        <v>4.2375463823100618E-2</v>
      </c>
    </row>
    <row r="253" spans="1:36" x14ac:dyDescent="0.25">
      <c r="A253" s="879"/>
      <c r="B253" s="1133">
        <v>3</v>
      </c>
      <c r="C253" s="884">
        <v>0.98650213666886599</v>
      </c>
      <c r="D253" s="884">
        <v>0.97477363336145562</v>
      </c>
      <c r="E253" s="884">
        <v>0.97124956779601523</v>
      </c>
      <c r="F253" s="884">
        <v>1.0075202622514554</v>
      </c>
      <c r="G253" s="884">
        <v>0.98918788445137718</v>
      </c>
      <c r="H253" s="884">
        <v>1.0009712640726143</v>
      </c>
      <c r="I253" s="884">
        <v>0.97350987777223963</v>
      </c>
      <c r="K253">
        <v>6.7498393446671816</v>
      </c>
      <c r="L253">
        <v>0</v>
      </c>
      <c r="M253">
        <v>1.0963232293947571E-2</v>
      </c>
      <c r="N253">
        <v>0.19586461626753254</v>
      </c>
      <c r="O253">
        <v>0.12547006898058585</v>
      </c>
      <c r="P253">
        <v>8.1339085450131229E-2</v>
      </c>
      <c r="Q253">
        <v>0</v>
      </c>
      <c r="R253">
        <v>1.0963232293947571E-2</v>
      </c>
      <c r="S253">
        <v>0.26673572633013237</v>
      </c>
      <c r="T253">
        <v>5.9141321883951976</v>
      </c>
      <c r="U253">
        <v>0</v>
      </c>
      <c r="V253">
        <v>1.9229685785487793E-2</v>
      </c>
      <c r="W253">
        <v>0.10458086084548193</v>
      </c>
      <c r="X253">
        <v>-2.6575265912421125E-3</v>
      </c>
      <c r="Y253">
        <v>4.5144639203872232E-2</v>
      </c>
    </row>
    <row r="254" spans="1:36" x14ac:dyDescent="0.25">
      <c r="A254" s="879"/>
      <c r="B254" s="1133">
        <v>4</v>
      </c>
      <c r="C254" s="884">
        <v>1.0171364224020421</v>
      </c>
      <c r="D254" s="884">
        <v>0.98461573555736948</v>
      </c>
      <c r="E254" s="884">
        <v>0.99503829397741372</v>
      </c>
      <c r="F254" s="884">
        <v>0.99074469051094305</v>
      </c>
      <c r="G254" s="884">
        <v>1.0033402511309932</v>
      </c>
      <c r="H254" s="884">
        <v>0.99484554766041389</v>
      </c>
      <c r="I254" s="884">
        <v>1.025626296599655</v>
      </c>
      <c r="K254">
        <v>6.7392114629736639</v>
      </c>
      <c r="L254">
        <v>0</v>
      </c>
      <c r="M254">
        <v>1.0306539738260756E-2</v>
      </c>
      <c r="N254">
        <v>0.19074582390771866</v>
      </c>
      <c r="O254">
        <v>0.12076573127710971</v>
      </c>
      <c r="P254">
        <v>8.2873918738019844E-2</v>
      </c>
      <c r="Q254">
        <v>0</v>
      </c>
      <c r="R254">
        <v>1.0306539738260756E-2</v>
      </c>
      <c r="S254">
        <v>0.27189930029137388</v>
      </c>
      <c r="T254">
        <v>5.9119108542554901</v>
      </c>
      <c r="U254">
        <v>0</v>
      </c>
      <c r="V254">
        <v>1.9063246223797833E-2</v>
      </c>
      <c r="W254">
        <v>0.10064330662159761</v>
      </c>
      <c r="X254">
        <v>-1.1312144879131365E-3</v>
      </c>
      <c r="Y254">
        <v>4.2440496146471482E-2</v>
      </c>
    </row>
    <row r="255" spans="1:36" x14ac:dyDescent="0.25">
      <c r="A255" s="879"/>
      <c r="B255" s="1133">
        <v>5</v>
      </c>
      <c r="C255" s="884">
        <v>1.0196604395962314</v>
      </c>
      <c r="D255" s="884">
        <v>0.99508030058619246</v>
      </c>
      <c r="E255" s="884">
        <v>0.99344428145332209</v>
      </c>
      <c r="F255" s="884">
        <v>1.014439900476741</v>
      </c>
      <c r="G255" s="884">
        <v>1.0163174900051051</v>
      </c>
      <c r="H255" s="884">
        <v>1.000079636199493</v>
      </c>
      <c r="I255" s="884">
        <v>0.96383369552268539</v>
      </c>
      <c r="K255">
        <v>6.7220296731587164</v>
      </c>
      <c r="L255">
        <v>0</v>
      </c>
      <c r="M255">
        <v>1.0302734116228937E-2</v>
      </c>
      <c r="N255">
        <v>0.19022545186491863</v>
      </c>
      <c r="O255">
        <v>0.11998771024174473</v>
      </c>
      <c r="P255">
        <v>8.2569747515399264E-2</v>
      </c>
      <c r="Q255">
        <v>0</v>
      </c>
      <c r="R255">
        <v>1.0302734116228937E-2</v>
      </c>
      <c r="S255">
        <v>0.25524932044244952</v>
      </c>
      <c r="T255">
        <v>5.9132805993884299</v>
      </c>
      <c r="U255">
        <v>0</v>
      </c>
      <c r="V255">
        <v>1.9049978892503198E-2</v>
      </c>
      <c r="W255">
        <v>0.10044841723718526</v>
      </c>
      <c r="X255">
        <v>-1.2063776962364606E-3</v>
      </c>
      <c r="Y255">
        <v>4.242482527231993E-2</v>
      </c>
    </row>
    <row r="256" spans="1:36" x14ac:dyDescent="0.25">
      <c r="A256" s="879"/>
      <c r="B256" s="1133">
        <v>6</v>
      </c>
      <c r="C256" s="884">
        <v>1.01658206612472</v>
      </c>
      <c r="D256" s="884">
        <v>1.0108746946579958</v>
      </c>
      <c r="E256" s="884">
        <v>1.0408944864221192</v>
      </c>
      <c r="F256" s="884">
        <v>1.0180214080571948</v>
      </c>
      <c r="G256" s="884">
        <v>1.0037722090606265</v>
      </c>
      <c r="H256" s="884">
        <v>0.96910504620237214</v>
      </c>
      <c r="I256" s="884">
        <v>0.97728391380239854</v>
      </c>
      <c r="K256">
        <v>6.7171458432549898</v>
      </c>
      <c r="L256">
        <v>0</v>
      </c>
      <c r="M256">
        <v>9.5419605515939601E-3</v>
      </c>
      <c r="N256">
        <v>0.18899243808935753</v>
      </c>
      <c r="O256">
        <v>0.11871735549866727</v>
      </c>
      <c r="P256">
        <v>8.5524242927008109E-2</v>
      </c>
      <c r="Q256">
        <v>0</v>
      </c>
      <c r="R256">
        <v>9.5419605515939601E-3</v>
      </c>
      <c r="S256">
        <v>0.25672851193870788</v>
      </c>
      <c r="T256">
        <v>5.9107619311206339</v>
      </c>
      <c r="U256">
        <v>0</v>
      </c>
      <c r="V256">
        <v>1.9066168985181133E-2</v>
      </c>
      <c r="W256">
        <v>9.748907339251571E-2</v>
      </c>
      <c r="X256">
        <v>5.7402615711820955E-4</v>
      </c>
      <c r="Y256">
        <v>3.9292095145799621E-2</v>
      </c>
    </row>
    <row r="257" spans="1:25" x14ac:dyDescent="0.25">
      <c r="A257" s="879"/>
      <c r="B257" s="1133">
        <v>7</v>
      </c>
      <c r="C257" s="884">
        <v>0.99874715157781058</v>
      </c>
      <c r="D257" s="884">
        <v>1.0147421077610492</v>
      </c>
      <c r="E257" s="884">
        <v>1.0235627539392922</v>
      </c>
      <c r="F257" s="884">
        <v>0.99792613503771843</v>
      </c>
      <c r="G257" s="884">
        <v>0.9983706555283115</v>
      </c>
      <c r="H257" s="884">
        <v>0.98942609481038679</v>
      </c>
      <c r="I257" s="884">
        <v>1.0325206824252666</v>
      </c>
      <c r="K257">
        <v>6.7491582081700692</v>
      </c>
      <c r="L257">
        <v>0</v>
      </c>
      <c r="M257">
        <v>1.0051370791189793E-2</v>
      </c>
      <c r="N257">
        <v>0.19404722579287403</v>
      </c>
      <c r="O257">
        <v>0.12098110102653352</v>
      </c>
      <c r="P257">
        <v>8.473228993026799E-2</v>
      </c>
      <c r="Q257">
        <v>0</v>
      </c>
      <c r="R257">
        <v>1.0051370791189793E-2</v>
      </c>
      <c r="S257">
        <v>0.27798696014210705</v>
      </c>
      <c r="T257">
        <v>5.9106813283774526</v>
      </c>
      <c r="U257">
        <v>0</v>
      </c>
      <c r="V257">
        <v>1.9161932279178898E-2</v>
      </c>
      <c r="W257">
        <v>0.10095045567782361</v>
      </c>
      <c r="X257">
        <v>-7.7284089697884516E-4</v>
      </c>
      <c r="Y257">
        <v>4.1389755840812704E-2</v>
      </c>
    </row>
    <row r="258" spans="1:25" x14ac:dyDescent="0.25">
      <c r="A258" s="879"/>
      <c r="B258" s="1133">
        <v>8</v>
      </c>
      <c r="C258" s="884">
        <v>1.0145685872694479</v>
      </c>
      <c r="D258" s="884">
        <v>1.0349958404763819</v>
      </c>
      <c r="E258" s="884">
        <v>1.0012694501804398</v>
      </c>
      <c r="F258" s="884">
        <v>1.0248191869397312</v>
      </c>
      <c r="G258" s="884">
        <v>0.98437039393592007</v>
      </c>
      <c r="H258" s="884">
        <v>1.0204529327388105</v>
      </c>
      <c r="I258" s="884">
        <v>0.96828311777502052</v>
      </c>
      <c r="K258">
        <v>6.7284063339915248</v>
      </c>
      <c r="L258">
        <v>0</v>
      </c>
      <c r="M258">
        <v>1.0318233591218366E-2</v>
      </c>
      <c r="N258">
        <v>0.19273348813811234</v>
      </c>
      <c r="O258">
        <v>0.1185652789237558</v>
      </c>
      <c r="P258">
        <v>8.3115149282958517E-2</v>
      </c>
      <c r="Q258">
        <v>0</v>
      </c>
      <c r="R258">
        <v>1.0318233591218366E-2</v>
      </c>
      <c r="S258">
        <v>0.25917245305499953</v>
      </c>
      <c r="T258">
        <v>5.9134027963462801</v>
      </c>
      <c r="U258">
        <v>0</v>
      </c>
      <c r="V258">
        <v>1.9076811622404721E-2</v>
      </c>
      <c r="W258">
        <v>0.10137761189352368</v>
      </c>
      <c r="X258">
        <v>-1.5259046220317219E-3</v>
      </c>
      <c r="Y258">
        <v>4.2488649351522682E-2</v>
      </c>
    </row>
    <row r="259" spans="1:25" x14ac:dyDescent="0.25">
      <c r="A259" s="879"/>
      <c r="B259" s="1133">
        <v>9</v>
      </c>
      <c r="C259" s="884">
        <v>1.0329490510576822</v>
      </c>
      <c r="D259" s="884">
        <v>0.99807034037995779</v>
      </c>
      <c r="E259" s="884">
        <v>1.0288336505423326</v>
      </c>
      <c r="F259" s="884">
        <v>0.98467124444486576</v>
      </c>
      <c r="G259" s="884">
        <v>0.99778992813379785</v>
      </c>
      <c r="H259" s="884">
        <v>0.99115944286203561</v>
      </c>
      <c r="I259" s="884">
        <v>1.0186936229027101</v>
      </c>
      <c r="K259">
        <v>6.7252310117536824</v>
      </c>
      <c r="L259">
        <v>0</v>
      </c>
      <c r="M259">
        <v>9.7597242668880022E-3</v>
      </c>
      <c r="N259">
        <v>0.1898910144015846</v>
      </c>
      <c r="O259">
        <v>0.11765612331504877</v>
      </c>
      <c r="P259">
        <v>8.4875488595750448E-2</v>
      </c>
      <c r="Q259">
        <v>0</v>
      </c>
      <c r="R259">
        <v>9.7597242668880022E-3</v>
      </c>
      <c r="S259">
        <v>0.265507215389641</v>
      </c>
      <c r="T259">
        <v>5.9096615078563124</v>
      </c>
      <c r="U259">
        <v>0</v>
      </c>
      <c r="V259">
        <v>1.898119746682984E-2</v>
      </c>
      <c r="W259">
        <v>9.8532727338017545E-2</v>
      </c>
      <c r="X259">
        <v>-6.3069974388933053E-5</v>
      </c>
      <c r="Y259">
        <v>4.0188807364884102E-2</v>
      </c>
    </row>
    <row r="260" spans="1:25" x14ac:dyDescent="0.25">
      <c r="A260" s="879"/>
      <c r="B260" s="1133">
        <v>10</v>
      </c>
      <c r="C260" s="884">
        <v>1.0340693604090927</v>
      </c>
      <c r="D260" s="884">
        <v>0.98042558811387148</v>
      </c>
      <c r="E260" s="884">
        <v>1.0035585199861896</v>
      </c>
      <c r="F260" s="884">
        <v>0.96554741481336326</v>
      </c>
      <c r="G260" s="884">
        <v>1.0245246237383323</v>
      </c>
      <c r="H260" s="884">
        <v>0.99395536264332018</v>
      </c>
      <c r="I260" s="884">
        <v>1.0293677217196608</v>
      </c>
      <c r="K260">
        <v>6.7284381543722231</v>
      </c>
      <c r="L260">
        <v>0</v>
      </c>
      <c r="M260">
        <v>1.0071989700450845E-2</v>
      </c>
      <c r="N260">
        <v>0.18877288857607721</v>
      </c>
      <c r="O260">
        <v>0.11883542195414852</v>
      </c>
      <c r="P260">
        <v>8.3336575601449886E-2</v>
      </c>
      <c r="Q260">
        <v>0</v>
      </c>
      <c r="R260">
        <v>1.0071989700450845E-2</v>
      </c>
      <c r="S260">
        <v>0.26839650402293369</v>
      </c>
      <c r="T260">
        <v>5.9100707715159899</v>
      </c>
      <c r="U260">
        <v>0</v>
      </c>
      <c r="V260">
        <v>1.8975479581638352E-2</v>
      </c>
      <c r="W260">
        <v>9.9181635250254863E-2</v>
      </c>
      <c r="X260">
        <v>-6.0578296939824779E-4</v>
      </c>
      <c r="Y260">
        <v>4.1474660839120672E-2</v>
      </c>
    </row>
    <row r="261" spans="1:25" x14ac:dyDescent="0.25">
      <c r="A261" s="879"/>
      <c r="B261" s="1133">
        <v>11</v>
      </c>
      <c r="C261" s="884">
        <v>1.0160536525181996</v>
      </c>
      <c r="D261" s="884">
        <v>0.95168519613949165</v>
      </c>
      <c r="E261" s="884">
        <v>1.0060727593654197</v>
      </c>
      <c r="F261" s="884">
        <v>1.0013225119739033</v>
      </c>
      <c r="G261" s="884">
        <v>1.032925719463659</v>
      </c>
      <c r="H261" s="884">
        <v>1.0275326350692273</v>
      </c>
      <c r="I261" s="884">
        <v>0.98899274928513281</v>
      </c>
      <c r="K261">
        <v>6.7511268844799117</v>
      </c>
      <c r="L261">
        <v>0</v>
      </c>
      <c r="M261">
        <v>1.0709382037593125E-2</v>
      </c>
      <c r="N261">
        <v>0.2014678921875509</v>
      </c>
      <c r="O261">
        <v>0.1223430269920457</v>
      </c>
      <c r="P261">
        <v>8.3486138025412909E-2</v>
      </c>
      <c r="Q261">
        <v>0</v>
      </c>
      <c r="R261">
        <v>1.0709382037593125E-2</v>
      </c>
      <c r="S261">
        <v>0.26590257661245525</v>
      </c>
      <c r="T261">
        <v>5.9118620722020889</v>
      </c>
      <c r="U261">
        <v>0</v>
      </c>
      <c r="V261">
        <v>1.9068957936590223E-2</v>
      </c>
      <c r="W261">
        <v>0.10571978399230329</v>
      </c>
      <c r="X261">
        <v>-2.8228925004035533E-3</v>
      </c>
      <c r="Y261">
        <v>4.4099329031865878E-2</v>
      </c>
    </row>
    <row r="262" spans="1:25" x14ac:dyDescent="0.25">
      <c r="A262" s="879"/>
      <c r="B262" s="1133">
        <v>12</v>
      </c>
      <c r="C262" s="884">
        <v>1.0305835549038325</v>
      </c>
      <c r="D262" s="884">
        <v>0.9796216223782076</v>
      </c>
      <c r="E262" s="884">
        <v>0.96497723587105233</v>
      </c>
      <c r="F262" s="884">
        <v>1.0207914799142002</v>
      </c>
      <c r="G262" s="884">
        <v>0.98687027838928443</v>
      </c>
      <c r="H262" s="884">
        <v>1.0105198636632302</v>
      </c>
      <c r="I262" s="884">
        <v>1.0144660469167748</v>
      </c>
      <c r="K262">
        <v>6.7330285710594273</v>
      </c>
      <c r="L262">
        <v>0</v>
      </c>
      <c r="M262">
        <v>1.0629780788415094E-2</v>
      </c>
      <c r="N262">
        <v>0.18814665867910843</v>
      </c>
      <c r="O262">
        <v>0.11997839506921119</v>
      </c>
      <c r="P262">
        <v>8.0956270411852244E-2</v>
      </c>
      <c r="Q262">
        <v>0</v>
      </c>
      <c r="R262">
        <v>1.0629780788415094E-2</v>
      </c>
      <c r="S262">
        <v>0.26689932684268663</v>
      </c>
      <c r="T262">
        <v>5.9151911274877733</v>
      </c>
      <c r="U262">
        <v>0</v>
      </c>
      <c r="V262">
        <v>1.8993311428024351E-2</v>
      </c>
      <c r="W262">
        <v>0.10077744306109619</v>
      </c>
      <c r="X262">
        <v>-1.6855071765676543E-3</v>
      </c>
      <c r="Y262">
        <v>4.3771545256244937E-2</v>
      </c>
    </row>
    <row r="263" spans="1:25" x14ac:dyDescent="0.25">
      <c r="A263" s="879"/>
      <c r="B263" s="1133">
        <v>13</v>
      </c>
      <c r="C263" s="884">
        <v>1.0010119551078751</v>
      </c>
      <c r="D263" s="884">
        <v>0.97724693811320917</v>
      </c>
      <c r="E263" s="884">
        <v>0.96705899065379786</v>
      </c>
      <c r="F263" s="884">
        <v>1.0102730676576117</v>
      </c>
      <c r="G263" s="884">
        <v>1.0406018385855413</v>
      </c>
      <c r="H263" s="884">
        <v>0.96342749128147465</v>
      </c>
      <c r="I263" s="884">
        <v>1.013065821606975</v>
      </c>
      <c r="K263">
        <v>6.7346268317093854</v>
      </c>
      <c r="L263">
        <v>0</v>
      </c>
      <c r="M263">
        <v>1.0425753164369885E-2</v>
      </c>
      <c r="N263">
        <v>0.18510681982284818</v>
      </c>
      <c r="O263">
        <v>0.1236040627617255</v>
      </c>
      <c r="P263">
        <v>8.111997716345612E-2</v>
      </c>
      <c r="Q263">
        <v>0</v>
      </c>
      <c r="R263">
        <v>1.0425753164369885E-2</v>
      </c>
      <c r="S263">
        <v>0.26989917459741741</v>
      </c>
      <c r="T263">
        <v>5.9145093248948672</v>
      </c>
      <c r="U263">
        <v>0</v>
      </c>
      <c r="V263">
        <v>1.9149582427088221E-2</v>
      </c>
      <c r="W263">
        <v>9.9045320166555748E-2</v>
      </c>
      <c r="X263">
        <v>-7.3882594055888157E-4</v>
      </c>
      <c r="Y263">
        <v>4.2931395815990044E-2</v>
      </c>
    </row>
    <row r="264" spans="1:25" x14ac:dyDescent="0.25">
      <c r="A264" s="879"/>
      <c r="B264" s="1133">
        <v>14</v>
      </c>
      <c r="C264" s="884">
        <v>0.96037077786514513</v>
      </c>
      <c r="D264" s="884">
        <v>0.97494577315666153</v>
      </c>
      <c r="E264" s="884">
        <v>1.0082705965778955</v>
      </c>
      <c r="F264" s="884">
        <v>1.025606396641507</v>
      </c>
      <c r="G264" s="884">
        <v>1.0126025625787278</v>
      </c>
      <c r="H264" s="884">
        <v>0.97250214369242138</v>
      </c>
      <c r="I264" s="884">
        <v>0.95727094869979135</v>
      </c>
      <c r="K264">
        <v>6.7573375107298173</v>
      </c>
      <c r="L264">
        <v>0</v>
      </c>
      <c r="M264">
        <v>1.059264322182191E-2</v>
      </c>
      <c r="N264">
        <v>0.19992132062934637</v>
      </c>
      <c r="O264">
        <v>0.1281488642472208</v>
      </c>
      <c r="P264">
        <v>8.3656036937510281E-2</v>
      </c>
      <c r="Q264">
        <v>0</v>
      </c>
      <c r="R264">
        <v>1.059264322182191E-2</v>
      </c>
      <c r="S264">
        <v>0.26678022653776134</v>
      </c>
      <c r="T264">
        <v>5.9130498740371236</v>
      </c>
      <c r="U264">
        <v>0</v>
      </c>
      <c r="V264">
        <v>1.9380052277196705E-2</v>
      </c>
      <c r="W264">
        <v>0.10479411201183492</v>
      </c>
      <c r="X264">
        <v>-2.0115953154317885E-3</v>
      </c>
      <c r="Y264">
        <v>4.3618619367254627E-2</v>
      </c>
    </row>
    <row r="265" spans="1:25" x14ac:dyDescent="0.25">
      <c r="A265" s="879"/>
      <c r="B265" s="1133">
        <v>15</v>
      </c>
      <c r="C265" s="884">
        <v>1.0321268026561661</v>
      </c>
      <c r="D265" s="884">
        <v>1.0113817828184757</v>
      </c>
      <c r="E265" s="884">
        <v>0.98623983751874356</v>
      </c>
      <c r="F265" s="884">
        <v>1.0113899261884389</v>
      </c>
      <c r="G265" s="884">
        <v>0.9930651016011155</v>
      </c>
      <c r="H265" s="884">
        <v>0.99232577479221529</v>
      </c>
      <c r="I265" s="884">
        <v>1.0404550786039843</v>
      </c>
      <c r="K265">
        <v>6.7273269820577193</v>
      </c>
      <c r="L265">
        <v>0</v>
      </c>
      <c r="M265">
        <v>1.0092590526639267E-2</v>
      </c>
      <c r="N265">
        <v>0.18436562994005992</v>
      </c>
      <c r="O265">
        <v>0.11790006096278584</v>
      </c>
      <c r="P265">
        <v>8.2332585156685248E-2</v>
      </c>
      <c r="Q265">
        <v>0</v>
      </c>
      <c r="R265">
        <v>1.0092590526639267E-2</v>
      </c>
      <c r="S265">
        <v>0.27130439686331487</v>
      </c>
      <c r="T265">
        <v>5.9135166323742201</v>
      </c>
      <c r="U265">
        <v>0</v>
      </c>
      <c r="V265">
        <v>1.8985401993597724E-2</v>
      </c>
      <c r="W265">
        <v>9.7704550729717163E-2</v>
      </c>
      <c r="X265">
        <v>-3.4176733721479323E-4</v>
      </c>
      <c r="Y265">
        <v>4.1559491374554232E-2</v>
      </c>
    </row>
    <row r="266" spans="1:25" x14ac:dyDescent="0.25">
      <c r="A266" s="879"/>
      <c r="B266" s="1133">
        <v>16</v>
      </c>
      <c r="C266" s="884">
        <v>1.0048496784518159</v>
      </c>
      <c r="D266" s="884">
        <v>0.980462155622434</v>
      </c>
      <c r="E266" s="884">
        <v>0.98646461453643619</v>
      </c>
      <c r="F266" s="884">
        <v>1.0115826165094588</v>
      </c>
      <c r="G266" s="884">
        <v>1.037904178282552</v>
      </c>
      <c r="H266" s="884">
        <v>0.98231755348768535</v>
      </c>
      <c r="I266" s="884">
        <v>1.0322676021193953</v>
      </c>
      <c r="K266">
        <v>6.74584509506216</v>
      </c>
      <c r="L266">
        <v>0</v>
      </c>
      <c r="M266">
        <v>1.0397371418094988E-2</v>
      </c>
      <c r="N266">
        <v>0.18999651457660702</v>
      </c>
      <c r="O266">
        <v>0.1226097043323514</v>
      </c>
      <c r="P266">
        <v>8.2408389671939877E-2</v>
      </c>
      <c r="Q266">
        <v>0</v>
      </c>
      <c r="R266">
        <v>1.0397371418094988E-2</v>
      </c>
      <c r="S266">
        <v>0.27581224108471958</v>
      </c>
      <c r="T266">
        <v>5.9135145846379116</v>
      </c>
      <c r="U266">
        <v>0</v>
      </c>
      <c r="V266">
        <v>1.9128782618293202E-2</v>
      </c>
      <c r="W266">
        <v>0.100677335298966</v>
      </c>
      <c r="X266">
        <v>-1.1169819952233954E-3</v>
      </c>
      <c r="Y266">
        <v>4.2814524836592552E-2</v>
      </c>
    </row>
    <row r="267" spans="1:25" x14ac:dyDescent="0.25">
      <c r="A267" s="879"/>
      <c r="B267" s="1133">
        <v>17</v>
      </c>
      <c r="C267" s="884">
        <v>1.0084581829183072</v>
      </c>
      <c r="D267" s="884">
        <v>0.99357330416302803</v>
      </c>
      <c r="E267" s="884">
        <v>1.0048527837108776</v>
      </c>
      <c r="F267" s="884">
        <v>0.99932651775610803</v>
      </c>
      <c r="G267" s="884">
        <v>0.99017955557719883</v>
      </c>
      <c r="H267" s="884">
        <v>0.98303686303318316</v>
      </c>
      <c r="I267" s="884">
        <v>1.0049197799245166</v>
      </c>
      <c r="K267">
        <v>6.7346238481980478</v>
      </c>
      <c r="L267">
        <v>0</v>
      </c>
      <c r="M267">
        <v>1.0144708286681242E-2</v>
      </c>
      <c r="N267">
        <v>0.19050061438322449</v>
      </c>
      <c r="O267">
        <v>0.12118168711116242</v>
      </c>
      <c r="P267">
        <v>8.3431299132374417E-2</v>
      </c>
      <c r="Q267">
        <v>0</v>
      </c>
      <c r="R267">
        <v>1.0144708286681242E-2</v>
      </c>
      <c r="S267">
        <v>0.26751579326884201</v>
      </c>
      <c r="T267">
        <v>5.9118231442582072</v>
      </c>
      <c r="U267">
        <v>0</v>
      </c>
      <c r="V267">
        <v>1.9109369544919971E-2</v>
      </c>
      <c r="W267">
        <v>0.10002518176425669</v>
      </c>
      <c r="X267">
        <v>-7.3734429873806469E-4</v>
      </c>
      <c r="Y267">
        <v>4.1774103033791629E-2</v>
      </c>
    </row>
    <row r="268" spans="1:25" x14ac:dyDescent="0.25">
      <c r="A268" s="879"/>
      <c r="B268" s="1133">
        <v>18</v>
      </c>
      <c r="C268" s="884">
        <v>0.9877954976954485</v>
      </c>
      <c r="D268" s="884">
        <v>0.99711322185908147</v>
      </c>
      <c r="E268" s="884">
        <v>1.0290972978886415</v>
      </c>
      <c r="F268" s="884">
        <v>0.98902612880905372</v>
      </c>
      <c r="G268" s="884">
        <v>0.98983252128179189</v>
      </c>
      <c r="H268" s="884">
        <v>1.0151638718223799</v>
      </c>
      <c r="I268" s="884">
        <v>1.0058975011253872</v>
      </c>
      <c r="K268">
        <v>6.763500193055517</v>
      </c>
      <c r="L268">
        <v>0</v>
      </c>
      <c r="M268">
        <v>1.0454907279273033E-2</v>
      </c>
      <c r="N268">
        <v>0.20349620726466128</v>
      </c>
      <c r="O268">
        <v>0.12307650429622156</v>
      </c>
      <c r="P268">
        <v>8.5048445352306587E-2</v>
      </c>
      <c r="Q268">
        <v>0</v>
      </c>
      <c r="R268">
        <v>1.0454907279273033E-2</v>
      </c>
      <c r="S268">
        <v>0.27647386858777584</v>
      </c>
      <c r="T268">
        <v>5.9098815158017626</v>
      </c>
      <c r="U268">
        <v>0</v>
      </c>
      <c r="V268">
        <v>1.9222450082385528E-2</v>
      </c>
      <c r="W268">
        <v>0.1055786762946362</v>
      </c>
      <c r="X268">
        <v>-2.3289218961544422E-3</v>
      </c>
      <c r="Y268">
        <v>4.3051447271922207E-2</v>
      </c>
    </row>
    <row r="269" spans="1:25" x14ac:dyDescent="0.25">
      <c r="A269" s="879"/>
      <c r="B269" s="1133">
        <v>19</v>
      </c>
      <c r="C269" s="884">
        <v>1.020459998380832</v>
      </c>
      <c r="D269" s="884">
        <v>0.99246161296916291</v>
      </c>
      <c r="E269" s="884">
        <v>0.98016253487893223</v>
      </c>
      <c r="F269" s="884">
        <v>0.97409803764052583</v>
      </c>
      <c r="G269" s="884">
        <v>0.9883419485650059</v>
      </c>
      <c r="H269" s="884">
        <v>0.95897794823652383</v>
      </c>
      <c r="I269" s="884">
        <v>1.0101227202857914</v>
      </c>
      <c r="K269">
        <v>6.7150584149951467</v>
      </c>
      <c r="L269">
        <v>0</v>
      </c>
      <c r="M269">
        <v>9.9978822081548853E-3</v>
      </c>
      <c r="N269">
        <v>0.18099655976053947</v>
      </c>
      <c r="O269">
        <v>0.12026320819389795</v>
      </c>
      <c r="P269">
        <v>8.1824804738853563E-2</v>
      </c>
      <c r="Q269">
        <v>0</v>
      </c>
      <c r="R269">
        <v>9.9978822081548853E-3</v>
      </c>
      <c r="S269">
        <v>0.26345509927033212</v>
      </c>
      <c r="T269">
        <v>5.9118365457155351</v>
      </c>
      <c r="U269">
        <v>0</v>
      </c>
      <c r="V269">
        <v>1.9045789752404067E-2</v>
      </c>
      <c r="W269">
        <v>9.6211052554177071E-2</v>
      </c>
      <c r="X269">
        <v>2.5585563292170662E-4</v>
      </c>
      <c r="Y269">
        <v>4.1169499376487832E-2</v>
      </c>
    </row>
    <row r="270" spans="1:25" x14ac:dyDescent="0.25">
      <c r="A270" s="879"/>
      <c r="B270" s="1133">
        <v>20</v>
      </c>
      <c r="C270" s="884">
        <v>0.99581428139797834</v>
      </c>
      <c r="D270" s="884">
        <v>0.9886126274941931</v>
      </c>
      <c r="E270" s="884">
        <v>1.0077984836660849</v>
      </c>
      <c r="F270" s="884">
        <v>0.98684590101556513</v>
      </c>
      <c r="G270" s="884">
        <v>1.0097410691869202</v>
      </c>
      <c r="H270" s="884">
        <v>1.0424852348195244</v>
      </c>
      <c r="I270" s="884">
        <v>1.018372991867559</v>
      </c>
      <c r="K270">
        <v>6.7716781075197048</v>
      </c>
      <c r="L270">
        <v>0</v>
      </c>
      <c r="M270">
        <v>1.0890109994485458E-2</v>
      </c>
      <c r="N270">
        <v>0.20539196844011412</v>
      </c>
      <c r="O270">
        <v>0.12291042669894127</v>
      </c>
      <c r="P270">
        <v>8.3778775423580434E-2</v>
      </c>
      <c r="Q270">
        <v>0</v>
      </c>
      <c r="R270">
        <v>1.0890109994485458E-2</v>
      </c>
      <c r="S270">
        <v>0.28035273265821964</v>
      </c>
      <c r="T270">
        <v>5.9109821640768123</v>
      </c>
      <c r="U270">
        <v>0</v>
      </c>
      <c r="V270">
        <v>1.9178008537526402E-2</v>
      </c>
      <c r="W270">
        <v>0.10768686186707907</v>
      </c>
      <c r="X270">
        <v>-3.4463647725407691E-3</v>
      </c>
      <c r="Y270">
        <v>4.4843534589971382E-2</v>
      </c>
    </row>
    <row r="271" spans="1:25" x14ac:dyDescent="0.25">
      <c r="A271" s="879"/>
      <c r="B271" s="1133">
        <v>21</v>
      </c>
      <c r="C271" s="884">
        <v>1.0407822043875739</v>
      </c>
      <c r="D271" s="884">
        <v>0.9820969447715292</v>
      </c>
      <c r="E271" s="884">
        <v>1.0109013295838802</v>
      </c>
      <c r="F271" s="884">
        <v>0.99713488133758621</v>
      </c>
      <c r="G271" s="884">
        <v>1.0150771567728027</v>
      </c>
      <c r="H271" s="884">
        <v>1.0471921656228247</v>
      </c>
      <c r="I271" s="884">
        <v>1.0064284164244266</v>
      </c>
      <c r="K271">
        <v>6.7404646164541271</v>
      </c>
      <c r="L271">
        <v>0</v>
      </c>
      <c r="M271">
        <v>1.0467900528632218E-2</v>
      </c>
      <c r="N271">
        <v>0.19833792478665407</v>
      </c>
      <c r="O271">
        <v>0.11785491474106996</v>
      </c>
      <c r="P271">
        <v>8.3776577675228878E-2</v>
      </c>
      <c r="Q271">
        <v>0</v>
      </c>
      <c r="R271">
        <v>1.0467900528632218E-2</v>
      </c>
      <c r="S271">
        <v>0.26560889767523344</v>
      </c>
      <c r="T271">
        <v>5.911362163047964</v>
      </c>
      <c r="U271">
        <v>0</v>
      </c>
      <c r="V271">
        <v>1.894147612511193E-2</v>
      </c>
      <c r="W271">
        <v>0.10382892129816072</v>
      </c>
      <c r="X271">
        <v>-2.351210055369285E-3</v>
      </c>
      <c r="Y271">
        <v>4.3104951160071146E-2</v>
      </c>
    </row>
    <row r="272" spans="1:25" x14ac:dyDescent="0.25">
      <c r="A272" s="879"/>
      <c r="B272" s="1133">
        <v>22</v>
      </c>
      <c r="C272" s="884">
        <v>1.0379540424530462</v>
      </c>
      <c r="D272" s="884">
        <v>1.0001860833474663</v>
      </c>
      <c r="E272" s="884">
        <v>0.97759896798217638</v>
      </c>
      <c r="F272" s="884">
        <v>0.99136315787746809</v>
      </c>
      <c r="G272" s="884">
        <v>1.0377585619292984</v>
      </c>
      <c r="H272" s="884">
        <v>1.0336592224447658</v>
      </c>
      <c r="I272" s="884">
        <v>1.0062613999395553</v>
      </c>
      <c r="K272">
        <v>6.7303182849446932</v>
      </c>
      <c r="L272">
        <v>0</v>
      </c>
      <c r="M272">
        <v>1.0583336028336554E-2</v>
      </c>
      <c r="N272">
        <v>0.190867905894686</v>
      </c>
      <c r="O272">
        <v>0.11791594497697717</v>
      </c>
      <c r="P272">
        <v>8.1693863626084717E-2</v>
      </c>
      <c r="Q272">
        <v>0</v>
      </c>
      <c r="R272">
        <v>1.0583336028336554E-2</v>
      </c>
      <c r="S272">
        <v>0.26478033824857566</v>
      </c>
      <c r="T272">
        <v>5.9129109190993558</v>
      </c>
      <c r="U272">
        <v>0</v>
      </c>
      <c r="V272">
        <v>1.8955748371385597E-2</v>
      </c>
      <c r="W272">
        <v>0.10158866923674016</v>
      </c>
      <c r="X272">
        <v>-1.9753985102147651E-3</v>
      </c>
      <c r="Y272">
        <v>4.3580294001100611E-2</v>
      </c>
    </row>
    <row r="273" spans="1:25" x14ac:dyDescent="0.25">
      <c r="A273" s="879"/>
      <c r="B273" s="1133">
        <v>23</v>
      </c>
      <c r="C273" s="884">
        <v>1.0427493278513258</v>
      </c>
      <c r="D273" s="884">
        <v>1.0422471006340872</v>
      </c>
      <c r="E273" s="884">
        <v>1.0161397659405482</v>
      </c>
      <c r="F273" s="884">
        <v>0.97937785896246987</v>
      </c>
      <c r="G273" s="884">
        <v>1.0104337635712803</v>
      </c>
      <c r="H273" s="884">
        <v>0.98894668746731818</v>
      </c>
      <c r="I273" s="884">
        <v>1.021567525583005</v>
      </c>
      <c r="K273">
        <v>6.7094370284280949</v>
      </c>
      <c r="L273">
        <v>0</v>
      </c>
      <c r="M273">
        <v>9.5750928778491635E-3</v>
      </c>
      <c r="N273">
        <v>0.18283368263185956</v>
      </c>
      <c r="O273">
        <v>0.11477534490496775</v>
      </c>
      <c r="P273">
        <v>8.4054308531205907E-2</v>
      </c>
      <c r="Q273">
        <v>0</v>
      </c>
      <c r="R273">
        <v>9.5750928778491635E-3</v>
      </c>
      <c r="S273">
        <v>0.2631442224117439</v>
      </c>
      <c r="T273">
        <v>5.910104470691147</v>
      </c>
      <c r="U273">
        <v>0</v>
      </c>
      <c r="V273">
        <v>1.8931594738690095E-2</v>
      </c>
      <c r="W273">
        <v>9.5465214599146753E-2</v>
      </c>
      <c r="X273">
        <v>6.9966175134428136E-4</v>
      </c>
      <c r="Y273">
        <v>3.9428528167984325E-2</v>
      </c>
    </row>
    <row r="274" spans="1:25" x14ac:dyDescent="0.25">
      <c r="A274" s="879"/>
      <c r="B274" s="1133">
        <v>24</v>
      </c>
      <c r="C274" s="884">
        <v>0.99624756508982937</v>
      </c>
      <c r="D274" s="884">
        <v>1.0258096960630911</v>
      </c>
      <c r="E274" s="884">
        <v>0.98694004851734285</v>
      </c>
      <c r="F274" s="884">
        <v>1.0054404800816152</v>
      </c>
      <c r="G274" s="884">
        <v>0.99005314904982233</v>
      </c>
      <c r="H274" s="884">
        <v>1.0317624256176672</v>
      </c>
      <c r="I274" s="884">
        <v>1.0143083629515004</v>
      </c>
      <c r="K274">
        <v>6.7577411311530113</v>
      </c>
      <c r="L274">
        <v>0</v>
      </c>
      <c r="M274">
        <v>1.0799299233749084E-2</v>
      </c>
      <c r="N274">
        <v>0.19748033091764922</v>
      </c>
      <c r="O274">
        <v>0.12144309410743842</v>
      </c>
      <c r="P274">
        <v>8.2458253994125943E-2</v>
      </c>
      <c r="Q274">
        <v>0</v>
      </c>
      <c r="R274">
        <v>1.0799299233749084E-2</v>
      </c>
      <c r="S274">
        <v>0.27762374722615746</v>
      </c>
      <c r="T274">
        <v>5.9131562069795081</v>
      </c>
      <c r="U274">
        <v>0</v>
      </c>
      <c r="V274">
        <v>1.917562757390006E-2</v>
      </c>
      <c r="W274">
        <v>0.10461809835984068</v>
      </c>
      <c r="X274">
        <v>-2.6838200465870692E-3</v>
      </c>
      <c r="Y274">
        <v>4.4469592040971832E-2</v>
      </c>
    </row>
    <row r="275" spans="1:25" x14ac:dyDescent="0.25">
      <c r="A275" s="879"/>
      <c r="B275" s="1133">
        <v>25</v>
      </c>
      <c r="C275" s="884">
        <v>1.0026080903752077</v>
      </c>
      <c r="D275" s="884">
        <v>1.0366461834004583</v>
      </c>
      <c r="E275" s="884">
        <v>0.98803071998388836</v>
      </c>
      <c r="F275" s="884">
        <v>0.96090811688396549</v>
      </c>
      <c r="G275" s="884">
        <v>1.03336832362416</v>
      </c>
      <c r="H275" s="884">
        <v>0.99626490416672109</v>
      </c>
      <c r="I275" s="884">
        <v>0.98481815924058602</v>
      </c>
      <c r="K275">
        <v>6.726871462093972</v>
      </c>
      <c r="L275">
        <v>0</v>
      </c>
      <c r="M275">
        <v>1.0305310263674013E-2</v>
      </c>
      <c r="N275">
        <v>0.18875207352483706</v>
      </c>
      <c r="O275">
        <v>0.12014652151516257</v>
      </c>
      <c r="P275">
        <v>8.2319577123648208E-2</v>
      </c>
      <c r="Q275">
        <v>0</v>
      </c>
      <c r="R275">
        <v>1.0305310263674013E-2</v>
      </c>
      <c r="S275">
        <v>0.26449963797415021</v>
      </c>
      <c r="T275">
        <v>5.9106885622321066</v>
      </c>
      <c r="U275">
        <v>0</v>
      </c>
      <c r="V275">
        <v>1.9140912303951072E-2</v>
      </c>
      <c r="W275">
        <v>9.9939749970903921E-2</v>
      </c>
      <c r="X275">
        <v>-1.0510059397518439E-3</v>
      </c>
      <c r="Y275">
        <v>4.2435433388961587E-2</v>
      </c>
    </row>
    <row r="276" spans="1:25" x14ac:dyDescent="0.25">
      <c r="A276" s="879"/>
      <c r="B276" s="1133">
        <v>26</v>
      </c>
      <c r="C276" s="884">
        <v>0.99672707002910355</v>
      </c>
      <c r="D276" s="884">
        <v>0.99145575635689098</v>
      </c>
      <c r="E276" s="884">
        <v>1.0026431522572374</v>
      </c>
      <c r="F276" s="884">
        <v>0.99392915389386749</v>
      </c>
      <c r="G276" s="884">
        <v>1.0016262521981683</v>
      </c>
      <c r="H276" s="884">
        <v>1.0224049280328495</v>
      </c>
      <c r="I276" s="884">
        <v>1.0348699424599104</v>
      </c>
      <c r="K276">
        <v>6.7668621738968016</v>
      </c>
      <c r="L276">
        <v>0</v>
      </c>
      <c r="M276">
        <v>1.0705573981789212E-2</v>
      </c>
      <c r="N276">
        <v>0.20037590358468121</v>
      </c>
      <c r="O276">
        <v>0.12275439141097057</v>
      </c>
      <c r="P276">
        <v>8.3493904499213206E-2</v>
      </c>
      <c r="Q276">
        <v>0</v>
      </c>
      <c r="R276">
        <v>1.0705573981789212E-2</v>
      </c>
      <c r="S276">
        <v>0.28261561937983398</v>
      </c>
      <c r="T276">
        <v>5.9116561063350694</v>
      </c>
      <c r="U276">
        <v>0</v>
      </c>
      <c r="V276">
        <v>1.9172995030135889E-2</v>
      </c>
      <c r="W276">
        <v>0.10532569128974761</v>
      </c>
      <c r="X276">
        <v>-2.6160857687212188E-3</v>
      </c>
      <c r="Y276">
        <v>4.408364813587403E-2</v>
      </c>
    </row>
    <row r="277" spans="1:25" x14ac:dyDescent="0.25">
      <c r="A277" s="879"/>
      <c r="B277" s="1133">
        <v>27</v>
      </c>
      <c r="C277" s="884">
        <v>1.000820031395508</v>
      </c>
      <c r="D277" s="884">
        <v>1.0254658575506839</v>
      </c>
      <c r="E277" s="884">
        <v>0.97295502129032008</v>
      </c>
      <c r="F277" s="884">
        <v>1.0226037545076301</v>
      </c>
      <c r="G277" s="884">
        <v>0.97947299065589644</v>
      </c>
      <c r="H277" s="884">
        <v>0.98585407897254052</v>
      </c>
      <c r="I277" s="884">
        <v>1.0113660417056507</v>
      </c>
      <c r="K277">
        <v>6.7353964911087481</v>
      </c>
      <c r="L277">
        <v>0</v>
      </c>
      <c r="M277">
        <v>1.0399109040112943E-2</v>
      </c>
      <c r="N277">
        <v>0.18625719640184024</v>
      </c>
      <c r="O277">
        <v>0.12116116534808209</v>
      </c>
      <c r="P277">
        <v>8.15137195431372E-2</v>
      </c>
      <c r="Q277">
        <v>0</v>
      </c>
      <c r="R277">
        <v>1.0399109040112943E-2</v>
      </c>
      <c r="S277">
        <v>0.27120721593570568</v>
      </c>
      <c r="T277">
        <v>5.914854499034873</v>
      </c>
      <c r="U277">
        <v>0</v>
      </c>
      <c r="V277">
        <v>1.9150626809196374E-2</v>
      </c>
      <c r="W277">
        <v>9.9365867422941526E-2</v>
      </c>
      <c r="X277">
        <v>-9.3547944180401321E-4</v>
      </c>
      <c r="Y277">
        <v>4.2821680054777281E-2</v>
      </c>
    </row>
    <row r="278" spans="1:25" x14ac:dyDescent="0.25">
      <c r="A278" s="879"/>
      <c r="B278" s="1133">
        <v>28</v>
      </c>
      <c r="C278" s="884">
        <v>0.9748126635301827</v>
      </c>
      <c r="D278" s="884">
        <v>1.0176557501916101</v>
      </c>
      <c r="E278" s="884">
        <v>1.0073241046916801</v>
      </c>
      <c r="F278" s="884">
        <v>1.0194283473504417</v>
      </c>
      <c r="G278" s="884">
        <v>1.0166901151889143</v>
      </c>
      <c r="H278" s="884">
        <v>0.97526338041110527</v>
      </c>
      <c r="I278" s="884">
        <v>0.99378780442178571</v>
      </c>
      <c r="K278">
        <v>6.7493001084083888</v>
      </c>
      <c r="L278">
        <v>0</v>
      </c>
      <c r="M278">
        <v>1.0283388133500212E-2</v>
      </c>
      <c r="N278">
        <v>0.19381276375266523</v>
      </c>
      <c r="O278">
        <v>0.12412172829186746</v>
      </c>
      <c r="P278">
        <v>8.3671786598646519E-2</v>
      </c>
      <c r="Q278">
        <v>0</v>
      </c>
      <c r="R278">
        <v>1.0283388133500212E-2</v>
      </c>
      <c r="S278">
        <v>0.27272207310102126</v>
      </c>
      <c r="T278">
        <v>5.9127696561021494</v>
      </c>
      <c r="U278">
        <v>0</v>
      </c>
      <c r="V278">
        <v>1.9295953468436659E-2</v>
      </c>
      <c r="W278">
        <v>0.10163976206773889</v>
      </c>
      <c r="X278">
        <v>-1.0787769330372699E-3</v>
      </c>
      <c r="Y278">
        <v>4.2345161958899605E-2</v>
      </c>
    </row>
    <row r="279" spans="1:25" x14ac:dyDescent="0.25">
      <c r="A279" s="879"/>
      <c r="B279" s="1133">
        <v>29</v>
      </c>
      <c r="C279" s="884">
        <v>0.99960460712079779</v>
      </c>
      <c r="D279" s="884">
        <v>1.0006853478429316</v>
      </c>
      <c r="E279" s="884">
        <v>0.98991865845813576</v>
      </c>
      <c r="F279" s="884">
        <v>0.99337183373190963</v>
      </c>
      <c r="G279" s="884">
        <v>1.0336233723977981</v>
      </c>
      <c r="H279" s="884">
        <v>1.0114019860166485</v>
      </c>
      <c r="I279" s="884">
        <v>0.99084230693407571</v>
      </c>
      <c r="K279">
        <v>6.7451915311064132</v>
      </c>
      <c r="L279">
        <v>0</v>
      </c>
      <c r="M279">
        <v>1.0635562399018396E-2</v>
      </c>
      <c r="N279">
        <v>0.1953470290070948</v>
      </c>
      <c r="O279">
        <v>0.12218623863964727</v>
      </c>
      <c r="P279">
        <v>8.2515709483631475E-2</v>
      </c>
      <c r="Q279">
        <v>0</v>
      </c>
      <c r="R279">
        <v>1.0635562399018396E-2</v>
      </c>
      <c r="S279">
        <v>0.26866221435051557</v>
      </c>
      <c r="T279">
        <v>5.9123383912286291</v>
      </c>
      <c r="U279">
        <v>0</v>
      </c>
      <c r="V279">
        <v>1.9157250037243018E-2</v>
      </c>
      <c r="W279">
        <v>0.10333425161330999</v>
      </c>
      <c r="X279">
        <v>-2.1449061532835224E-3</v>
      </c>
      <c r="Y279">
        <v>4.3795352899621012E-2</v>
      </c>
    </row>
    <row r="280" spans="1:25" x14ac:dyDescent="0.25">
      <c r="A280" s="879"/>
      <c r="B280" s="1133">
        <v>30</v>
      </c>
      <c r="C280" s="884">
        <v>0.99109407836271601</v>
      </c>
      <c r="D280" s="884">
        <v>1.0108502916584146</v>
      </c>
      <c r="E280" s="884">
        <v>1.0016547655918659</v>
      </c>
      <c r="F280" s="884">
        <v>0.98477696006323145</v>
      </c>
      <c r="G280" s="884">
        <v>0.97761947663313986</v>
      </c>
      <c r="H280" s="884">
        <v>1.0061767713047312</v>
      </c>
      <c r="I280" s="884">
        <v>0.97233983611265251</v>
      </c>
      <c r="K280">
        <v>6.7427342024696344</v>
      </c>
      <c r="L280">
        <v>0</v>
      </c>
      <c r="M280">
        <v>1.0517057768121904E-2</v>
      </c>
      <c r="N280">
        <v>0.19655946896066465</v>
      </c>
      <c r="O280">
        <v>0.12251775693596607</v>
      </c>
      <c r="P280">
        <v>8.3194561119046384E-2</v>
      </c>
      <c r="Q280">
        <v>0</v>
      </c>
      <c r="R280">
        <v>1.0517057768121904E-2</v>
      </c>
      <c r="S280">
        <v>0.26534584020685853</v>
      </c>
      <c r="T280">
        <v>5.9112171695798468</v>
      </c>
      <c r="U280">
        <v>0</v>
      </c>
      <c r="V280">
        <v>1.9204081686683486E-2</v>
      </c>
      <c r="W280">
        <v>0.10337030269310006</v>
      </c>
      <c r="X280">
        <v>-1.9823506351571221E-3</v>
      </c>
      <c r="Y280">
        <v>4.3307371922627243E-2</v>
      </c>
    </row>
    <row r="281" spans="1:25" x14ac:dyDescent="0.25">
      <c r="A281" s="879"/>
      <c r="B281" s="1133">
        <v>31</v>
      </c>
      <c r="C281" s="884">
        <v>1.0023942682449203</v>
      </c>
      <c r="D281" s="884">
        <v>1.0212738055814985</v>
      </c>
      <c r="E281" s="884">
        <v>0.99851196002832521</v>
      </c>
      <c r="F281" s="884">
        <v>0.99690255817593432</v>
      </c>
      <c r="G281" s="884">
        <v>1.0212239844450548</v>
      </c>
      <c r="H281" s="884">
        <v>1.0458448574218135</v>
      </c>
      <c r="I281" s="884">
        <v>0.99437915883697015</v>
      </c>
      <c r="K281">
        <v>6.7547336508109472</v>
      </c>
      <c r="L281">
        <v>0</v>
      </c>
      <c r="M281">
        <v>1.0790677965618958E-2</v>
      </c>
      <c r="N281">
        <v>0.20073651324859007</v>
      </c>
      <c r="O281">
        <v>0.12069878314605555</v>
      </c>
      <c r="P281">
        <v>8.3094876097773565E-2</v>
      </c>
      <c r="Q281">
        <v>0</v>
      </c>
      <c r="R281">
        <v>1.0790677965618958E-2</v>
      </c>
      <c r="S281">
        <v>0.27187184385922697</v>
      </c>
      <c r="T281">
        <v>5.9120490821808076</v>
      </c>
      <c r="U281">
        <v>0</v>
      </c>
      <c r="V281">
        <v>1.9142072172877635E-2</v>
      </c>
      <c r="W281">
        <v>0.10573189794122537</v>
      </c>
      <c r="X281">
        <v>-3.0255090289522586E-3</v>
      </c>
      <c r="Y281">
        <v>4.4434091193340505E-2</v>
      </c>
    </row>
    <row r="282" spans="1:25" x14ac:dyDescent="0.25">
      <c r="A282" s="879"/>
      <c r="B282" s="1133">
        <v>32</v>
      </c>
      <c r="C282" s="883">
        <v>1.0194781796503851</v>
      </c>
      <c r="D282" s="883">
        <v>1.0175774706727767</v>
      </c>
      <c r="E282" s="883">
        <v>1.0004930286064309</v>
      </c>
      <c r="F282" s="883">
        <v>0.97938808570384694</v>
      </c>
      <c r="G282" s="883">
        <v>1.0194622363678356</v>
      </c>
      <c r="H282" s="883">
        <v>1.0298143891772404</v>
      </c>
      <c r="I282" s="883">
        <v>0.98903991642045841</v>
      </c>
      <c r="K282">
        <v>6.7349182966075158</v>
      </c>
      <c r="L282">
        <v>0</v>
      </c>
      <c r="M282">
        <v>1.0445362136594591E-2</v>
      </c>
      <c r="N282">
        <v>0.19488383214824118</v>
      </c>
      <c r="O282">
        <v>0.11881226800387092</v>
      </c>
      <c r="P282">
        <v>8.3104803740541466E-2</v>
      </c>
      <c r="Q282">
        <v>0</v>
      </c>
      <c r="R282">
        <v>1.0445362136594591E-2</v>
      </c>
      <c r="S282">
        <v>0.26446871336124</v>
      </c>
      <c r="T282">
        <v>5.9109912856047284</v>
      </c>
      <c r="U282">
        <v>0</v>
      </c>
      <c r="V282">
        <v>1.9050934729360598E-2</v>
      </c>
      <c r="W282">
        <v>0.10254821102942535</v>
      </c>
      <c r="X282">
        <v>-1.953894083243072E-3</v>
      </c>
      <c r="Y282">
        <v>4.3012142073344438E-2</v>
      </c>
    </row>
    <row r="283" spans="1:25" x14ac:dyDescent="0.25">
      <c r="A283" s="879"/>
      <c r="B283" s="1133">
        <v>33</v>
      </c>
      <c r="C283" s="883">
        <v>0.97881452262421953</v>
      </c>
      <c r="D283" s="883">
        <v>1.0258821503980493</v>
      </c>
      <c r="E283" s="883">
        <v>1.0152258842922954</v>
      </c>
      <c r="F283" s="883">
        <v>0.98961069592282236</v>
      </c>
      <c r="G283" s="883">
        <v>1.0041135425251453</v>
      </c>
      <c r="H283" s="883">
        <v>1.019359770715992</v>
      </c>
      <c r="I283" s="883">
        <v>0.98967755667436597</v>
      </c>
      <c r="K283">
        <v>6.7604464546940246</v>
      </c>
      <c r="L283">
        <v>0</v>
      </c>
      <c r="M283">
        <v>1.0594114054502259E-2</v>
      </c>
      <c r="N283">
        <v>0.20201822330822525</v>
      </c>
      <c r="O283">
        <v>0.12306625624612073</v>
      </c>
      <c r="P283">
        <v>8.4164957417511801E-2</v>
      </c>
      <c r="Q283">
        <v>0</v>
      </c>
      <c r="R283">
        <v>1.0594114054502259E-2</v>
      </c>
      <c r="S283">
        <v>0.27458616586543116</v>
      </c>
      <c r="T283">
        <v>5.9107094830008053</v>
      </c>
      <c r="U283">
        <v>0</v>
      </c>
      <c r="V283">
        <v>1.9273088728435282E-2</v>
      </c>
      <c r="W283">
        <v>0.10552985604470223</v>
      </c>
      <c r="X283">
        <v>-2.5262519116468706E-3</v>
      </c>
      <c r="Y283">
        <v>4.3624675994433849E-2</v>
      </c>
    </row>
    <row r="284" spans="1:25" x14ac:dyDescent="0.25">
      <c r="A284" s="879"/>
      <c r="B284" s="1133">
        <v>34</v>
      </c>
      <c r="C284" s="883">
        <v>1.0111508590308478</v>
      </c>
      <c r="D284" s="883">
        <v>1.021441853192369</v>
      </c>
      <c r="E284" s="883">
        <v>0.97630235231550699</v>
      </c>
      <c r="F284" s="883">
        <v>0.98959427555462676</v>
      </c>
      <c r="G284" s="883">
        <v>1.0088145540680116</v>
      </c>
      <c r="H284" s="883">
        <v>0.98872453472205946</v>
      </c>
      <c r="I284" s="883">
        <v>0.99152948269506014</v>
      </c>
      <c r="K284">
        <v>6.7231723767750102</v>
      </c>
      <c r="L284">
        <v>0</v>
      </c>
      <c r="M284">
        <v>1.0310107356196804E-2</v>
      </c>
      <c r="N284">
        <v>0.1855828510451755</v>
      </c>
      <c r="O284">
        <v>0.12005128054998816</v>
      </c>
      <c r="P284">
        <v>8.1596530022960065E-2</v>
      </c>
      <c r="Q284">
        <v>0</v>
      </c>
      <c r="R284">
        <v>1.0310107356196804E-2</v>
      </c>
      <c r="S284">
        <v>0.26347381708086542</v>
      </c>
      <c r="T284">
        <v>5.9128864761288504</v>
      </c>
      <c r="U284">
        <v>0</v>
      </c>
      <c r="V284">
        <v>1.9094973728188785E-2</v>
      </c>
      <c r="W284">
        <v>9.8839949075444591E-2</v>
      </c>
      <c r="X284">
        <v>-8.0868781858685465E-4</v>
      </c>
      <c r="Y284">
        <v>4.2455186962119813E-2</v>
      </c>
    </row>
    <row r="285" spans="1:25" x14ac:dyDescent="0.25">
      <c r="A285" s="879"/>
      <c r="B285" s="1133">
        <v>35</v>
      </c>
      <c r="C285" s="883">
        <v>0.98175881600148429</v>
      </c>
      <c r="D285" s="883">
        <v>0.97267084958946326</v>
      </c>
      <c r="E285" s="883">
        <v>1.002054240562529</v>
      </c>
      <c r="F285" s="883">
        <v>0.96916564377555303</v>
      </c>
      <c r="G285" s="883">
        <v>1.0022761431692351</v>
      </c>
      <c r="H285" s="883">
        <v>0.98156398183000138</v>
      </c>
      <c r="I285" s="883">
        <v>1.0209429233304028</v>
      </c>
      <c r="K285">
        <v>6.7597728036286879</v>
      </c>
      <c r="L285">
        <v>0</v>
      </c>
      <c r="M285">
        <v>1.0525948099053252E-2</v>
      </c>
      <c r="N285">
        <v>0.19684206916476985</v>
      </c>
      <c r="O285">
        <v>0.12559455448323634</v>
      </c>
      <c r="P285">
        <v>8.3395139121224413E-2</v>
      </c>
      <c r="Q285">
        <v>0</v>
      </c>
      <c r="R285">
        <v>1.0525948099053252E-2</v>
      </c>
      <c r="S285">
        <v>0.27923760136409753</v>
      </c>
      <c r="T285">
        <v>5.9103510333919216</v>
      </c>
      <c r="U285">
        <v>0</v>
      </c>
      <c r="V285">
        <v>1.9256385442759354E-2</v>
      </c>
      <c r="W285">
        <v>0.10349840186117196</v>
      </c>
      <c r="X285">
        <v>-1.7463619234724167E-3</v>
      </c>
      <c r="Y285">
        <v>4.3343980722982609E-2</v>
      </c>
    </row>
    <row r="286" spans="1:25" x14ac:dyDescent="0.25">
      <c r="A286" s="879"/>
      <c r="B286" s="1133">
        <v>36</v>
      </c>
      <c r="C286" s="883">
        <v>1.0155051435646758</v>
      </c>
      <c r="D286" s="883">
        <v>1.0226391075766981</v>
      </c>
      <c r="E286" s="883">
        <v>1.0402905543045724</v>
      </c>
      <c r="F286" s="883">
        <v>0.98759074920836687</v>
      </c>
      <c r="G286" s="883">
        <v>0.98604682156142565</v>
      </c>
      <c r="H286" s="883">
        <v>1.0291062283600541</v>
      </c>
      <c r="I286" s="883">
        <v>1.0069169598499761</v>
      </c>
      <c r="K286">
        <v>6.7453937508834105</v>
      </c>
      <c r="L286">
        <v>0</v>
      </c>
      <c r="M286">
        <v>1.0098722366287954E-2</v>
      </c>
      <c r="N286">
        <v>0.1998415728055728</v>
      </c>
      <c r="O286">
        <v>0.11830574058482983</v>
      </c>
      <c r="P286">
        <v>8.5651196143166713E-2</v>
      </c>
      <c r="Q286">
        <v>0</v>
      </c>
      <c r="R286">
        <v>1.0098722366287954E-2</v>
      </c>
      <c r="S286">
        <v>0.27025306272177246</v>
      </c>
      <c r="T286">
        <v>5.9091537151454574</v>
      </c>
      <c r="U286">
        <v>0</v>
      </c>
      <c r="V286">
        <v>1.907185602075083E-2</v>
      </c>
      <c r="W286">
        <v>0.10311586090306257</v>
      </c>
      <c r="X286">
        <v>-1.5839946400057158E-3</v>
      </c>
      <c r="Y286">
        <v>4.1584741198800769E-2</v>
      </c>
    </row>
    <row r="287" spans="1:25" x14ac:dyDescent="0.25">
      <c r="A287" s="879"/>
      <c r="B287" s="1133">
        <v>37</v>
      </c>
      <c r="C287" s="883">
        <v>0.95888957442789202</v>
      </c>
      <c r="D287" s="883">
        <v>1.019635658787748</v>
      </c>
      <c r="E287" s="883">
        <v>0.97379822608871702</v>
      </c>
      <c r="F287" s="883">
        <v>1.0351277379821466</v>
      </c>
      <c r="G287" s="883">
        <v>0.98732762385084682</v>
      </c>
      <c r="H287" s="883">
        <v>0.9919156041850925</v>
      </c>
      <c r="I287" s="883">
        <v>1.0086259895796263</v>
      </c>
      <c r="K287">
        <v>6.7696594069895806</v>
      </c>
      <c r="L287">
        <v>0</v>
      </c>
      <c r="M287">
        <v>1.0939219814579185E-2</v>
      </c>
      <c r="N287">
        <v>0.19617644853230728</v>
      </c>
      <c r="O287">
        <v>0.12673191955485164</v>
      </c>
      <c r="P287">
        <v>8.1732524327703421E-2</v>
      </c>
      <c r="Q287">
        <v>0</v>
      </c>
      <c r="R287">
        <v>1.0939219814579185E-2</v>
      </c>
      <c r="S287">
        <v>0.28295022718689766</v>
      </c>
      <c r="T287">
        <v>5.9154854631348401</v>
      </c>
      <c r="U287">
        <v>0</v>
      </c>
      <c r="V287">
        <v>1.9388820936947614E-2</v>
      </c>
      <c r="W287">
        <v>0.10461336644386293</v>
      </c>
      <c r="X287">
        <v>-2.465123215724205E-3</v>
      </c>
      <c r="Y287">
        <v>4.5045760087895223E-2</v>
      </c>
    </row>
    <row r="288" spans="1:25" x14ac:dyDescent="0.25">
      <c r="A288" s="879"/>
      <c r="B288" s="1133">
        <v>38</v>
      </c>
      <c r="C288" s="883">
        <v>1.0095966152808631</v>
      </c>
      <c r="D288" s="883">
        <v>1.0130828173352229</v>
      </c>
      <c r="E288" s="883">
        <v>0.99344880196454466</v>
      </c>
      <c r="F288" s="883">
        <v>1.0188701451817801</v>
      </c>
      <c r="G288" s="883">
        <v>0.96972802534382485</v>
      </c>
      <c r="H288" s="883">
        <v>1.0064103583803272</v>
      </c>
      <c r="I288" s="883">
        <v>1.0057226558471186</v>
      </c>
      <c r="K288">
        <v>6.7396297823584854</v>
      </c>
      <c r="L288">
        <v>0</v>
      </c>
      <c r="M288">
        <v>1.0391165514391242E-2</v>
      </c>
      <c r="N288">
        <v>0.19185949839898986</v>
      </c>
      <c r="O288">
        <v>0.12031767117037813</v>
      </c>
      <c r="P288">
        <v>8.2762731903521097E-2</v>
      </c>
      <c r="Q288">
        <v>0</v>
      </c>
      <c r="R288">
        <v>1.0391165514391242E-2</v>
      </c>
      <c r="S288">
        <v>0.26941185117207384</v>
      </c>
      <c r="T288">
        <v>5.913519794119396</v>
      </c>
      <c r="U288">
        <v>0</v>
      </c>
      <c r="V288">
        <v>1.9103273790056371E-2</v>
      </c>
      <c r="W288">
        <v>0.10131104631292995</v>
      </c>
      <c r="X288">
        <v>-1.4450545386045866E-3</v>
      </c>
      <c r="Y288">
        <v>4.2788970029750198E-2</v>
      </c>
    </row>
    <row r="289" spans="1:25" x14ac:dyDescent="0.25">
      <c r="A289" s="879"/>
      <c r="B289" s="1133">
        <v>39</v>
      </c>
      <c r="C289" s="883">
        <v>1.0053681387240865</v>
      </c>
      <c r="D289" s="883">
        <v>1.0042838524136763</v>
      </c>
      <c r="E289" s="883">
        <v>0.98732154955837403</v>
      </c>
      <c r="F289" s="883">
        <v>0.98073990495527297</v>
      </c>
      <c r="G289" s="883">
        <v>1.0133011889337256</v>
      </c>
      <c r="H289" s="883">
        <v>0.97356719289135063</v>
      </c>
      <c r="I289" s="883">
        <v>0.98728473835417063</v>
      </c>
      <c r="K289">
        <v>6.7237036236286638</v>
      </c>
      <c r="L289">
        <v>0</v>
      </c>
      <c r="M289">
        <v>1.0186433199234981E-2</v>
      </c>
      <c r="N289">
        <v>0.18637862544075107</v>
      </c>
      <c r="O289">
        <v>0.12135952477700147</v>
      </c>
      <c r="P289">
        <v>8.2264663561767426E-2</v>
      </c>
      <c r="Q289">
        <v>0</v>
      </c>
      <c r="R289">
        <v>1.0186433199234981E-2</v>
      </c>
      <c r="S289">
        <v>0.26262619733394016</v>
      </c>
      <c r="T289">
        <v>5.9117998848879196</v>
      </c>
      <c r="U289">
        <v>0</v>
      </c>
      <c r="V289">
        <v>1.9125984827034846E-2</v>
      </c>
      <c r="W289">
        <v>9.8718003095421822E-2</v>
      </c>
      <c r="X289">
        <v>-5.1517909209917556E-4</v>
      </c>
      <c r="Y289">
        <v>4.1945918796930333E-2</v>
      </c>
    </row>
    <row r="290" spans="1:25" x14ac:dyDescent="0.25">
      <c r="A290" s="879"/>
      <c r="B290" s="1133">
        <v>40</v>
      </c>
      <c r="C290" s="883">
        <v>1.0080043525999276</v>
      </c>
      <c r="D290" s="883">
        <v>0.98431384934481814</v>
      </c>
      <c r="E290" s="883">
        <v>1.0445218902069431</v>
      </c>
      <c r="F290" s="883">
        <v>0.98755093248205428</v>
      </c>
      <c r="G290" s="883">
        <v>0.9751176668682161</v>
      </c>
      <c r="H290" s="883">
        <v>1.0038979541098725</v>
      </c>
      <c r="I290" s="883">
        <v>1.0431208664579483</v>
      </c>
      <c r="K290">
        <v>6.7583592636285195</v>
      </c>
      <c r="L290">
        <v>0</v>
      </c>
      <c r="M290">
        <v>1.0050953655084436E-2</v>
      </c>
      <c r="N290">
        <v>0.20014308518545099</v>
      </c>
      <c r="O290">
        <v>0.12094035875637935</v>
      </c>
      <c r="P290">
        <v>8.604792835366272E-2</v>
      </c>
      <c r="Q290">
        <v>0</v>
      </c>
      <c r="R290">
        <v>1.0050953655084436E-2</v>
      </c>
      <c r="S290">
        <v>0.28002328311084163</v>
      </c>
      <c r="T290">
        <v>5.9089039790484454</v>
      </c>
      <c r="U290">
        <v>0</v>
      </c>
      <c r="V290">
        <v>1.9111803425385598E-2</v>
      </c>
      <c r="W290">
        <v>0.10305836594900628</v>
      </c>
      <c r="X290">
        <v>-1.2575783492276725E-3</v>
      </c>
      <c r="Y290">
        <v>4.1388038148578318E-2</v>
      </c>
    </row>
    <row r="291" spans="1:25" x14ac:dyDescent="0.25">
      <c r="A291" s="879"/>
      <c r="B291" s="1133">
        <v>41</v>
      </c>
      <c r="C291" s="883">
        <v>0.98930519450713017</v>
      </c>
      <c r="D291" s="883">
        <v>0.99221278113085321</v>
      </c>
      <c r="E291" s="883">
        <v>0.99002852220101634</v>
      </c>
      <c r="F291" s="883">
        <v>1.0070924497709157</v>
      </c>
      <c r="G291" s="883">
        <v>1.0239730862680714</v>
      </c>
      <c r="H291" s="883">
        <v>1.0065732116231898</v>
      </c>
      <c r="I291" s="883">
        <v>0.97957067392057529</v>
      </c>
      <c r="K291">
        <v>6.7499657766156629</v>
      </c>
      <c r="L291">
        <v>0</v>
      </c>
      <c r="M291">
        <v>1.0732977458544457E-2</v>
      </c>
      <c r="N291">
        <v>0.19716839745951237</v>
      </c>
      <c r="O291">
        <v>0.12387682443667565</v>
      </c>
      <c r="P291">
        <v>8.2524443654704835E-2</v>
      </c>
      <c r="Q291">
        <v>0</v>
      </c>
      <c r="R291">
        <v>1.0732977458544457E-2</v>
      </c>
      <c r="S291">
        <v>0.26800807642976315</v>
      </c>
      <c r="T291">
        <v>5.9130738951253541</v>
      </c>
      <c r="U291">
        <v>0</v>
      </c>
      <c r="V291">
        <v>1.921402802013553E-2</v>
      </c>
      <c r="W291">
        <v>0.10429200127925084</v>
      </c>
      <c r="X291">
        <v>-2.3883805652536705E-3</v>
      </c>
      <c r="Y291">
        <v>4.4196490775515102E-2</v>
      </c>
    </row>
    <row r="292" spans="1:25" x14ac:dyDescent="0.25">
      <c r="A292" s="879"/>
      <c r="B292" s="1133">
        <v>42</v>
      </c>
      <c r="C292" s="883">
        <v>0.96895941176369471</v>
      </c>
      <c r="D292" s="883">
        <v>1.0052935905896605</v>
      </c>
      <c r="E292" s="883">
        <v>0.99959810965719353</v>
      </c>
      <c r="F292" s="883">
        <v>0.99697455791423473</v>
      </c>
      <c r="G292" s="883">
        <v>0.96650922038141629</v>
      </c>
      <c r="H292" s="883">
        <v>0.97566709011632191</v>
      </c>
      <c r="I292" s="883">
        <v>1.027631463070213</v>
      </c>
      <c r="K292">
        <v>6.7637158343835093</v>
      </c>
      <c r="L292">
        <v>0</v>
      </c>
      <c r="M292">
        <v>1.0474572050137191E-2</v>
      </c>
      <c r="N292">
        <v>0.19516988656876136</v>
      </c>
      <c r="O292">
        <v>0.12563283911969783</v>
      </c>
      <c r="P292">
        <v>8.3325369895314305E-2</v>
      </c>
      <c r="Q292">
        <v>0</v>
      </c>
      <c r="R292">
        <v>1.0474572050137191E-2</v>
      </c>
      <c r="S292">
        <v>0.28385246464648456</v>
      </c>
      <c r="T292">
        <v>5.911991992226433</v>
      </c>
      <c r="U292">
        <v>0</v>
      </c>
      <c r="V292">
        <v>1.9329736335016071E-2</v>
      </c>
      <c r="W292">
        <v>0.1027443867999394</v>
      </c>
      <c r="X292">
        <v>-1.4632645062789247E-3</v>
      </c>
      <c r="Y292">
        <v>4.313242329814207E-2</v>
      </c>
    </row>
    <row r="293" spans="1:25" x14ac:dyDescent="0.25">
      <c r="A293" s="879"/>
      <c r="B293" s="1133">
        <v>43</v>
      </c>
      <c r="C293" s="883">
        <v>0.98721352503219384</v>
      </c>
      <c r="D293" s="883">
        <v>1.0253778160863229</v>
      </c>
      <c r="E293" s="883">
        <v>0.9881094133058993</v>
      </c>
      <c r="F293" s="883">
        <v>1.0291073444449346</v>
      </c>
      <c r="G293" s="883">
        <v>0.99010929011676752</v>
      </c>
      <c r="H293" s="883">
        <v>0.99637248242055954</v>
      </c>
      <c r="I293" s="883">
        <v>0.99615334319936177</v>
      </c>
      <c r="K293">
        <v>6.7467497680011137</v>
      </c>
      <c r="L293">
        <v>0</v>
      </c>
      <c r="M293">
        <v>1.051547733168786E-2</v>
      </c>
      <c r="N293">
        <v>0.19262396893490993</v>
      </c>
      <c r="O293">
        <v>0.12255322832917716</v>
      </c>
      <c r="P293">
        <v>8.2471742807040158E-2</v>
      </c>
      <c r="Q293">
        <v>0</v>
      </c>
      <c r="R293">
        <v>1.051547733168786E-2</v>
      </c>
      <c r="S293">
        <v>0.27182611207804497</v>
      </c>
      <c r="T293">
        <v>5.914370559208125</v>
      </c>
      <c r="U293">
        <v>0</v>
      </c>
      <c r="V293">
        <v>1.9225703579959251E-2</v>
      </c>
      <c r="W293">
        <v>0.1019858214929581</v>
      </c>
      <c r="X293">
        <v>-1.6082323958013583E-3</v>
      </c>
      <c r="Y293">
        <v>4.3300863966699035E-2</v>
      </c>
    </row>
    <row r="294" spans="1:25" x14ac:dyDescent="0.25">
      <c r="A294" s="879"/>
      <c r="B294" s="1133">
        <v>44</v>
      </c>
      <c r="C294" s="883">
        <v>1.0287942466476501</v>
      </c>
      <c r="D294" s="883">
        <v>1.0083914687066939</v>
      </c>
      <c r="E294" s="883">
        <v>0.99642690031083336</v>
      </c>
      <c r="F294" s="883">
        <v>0.97622865464516695</v>
      </c>
      <c r="G294" s="883">
        <v>1.0253317457119415</v>
      </c>
      <c r="H294" s="883">
        <v>1.0116155570105518</v>
      </c>
      <c r="I294" s="883">
        <v>1.0095914719356784</v>
      </c>
      <c r="K294">
        <v>6.7282735436476999</v>
      </c>
      <c r="L294">
        <v>0</v>
      </c>
      <c r="M294">
        <v>1.0243723521852441E-2</v>
      </c>
      <c r="N294">
        <v>0.18997380246123738</v>
      </c>
      <c r="O294">
        <v>0.11823799058500066</v>
      </c>
      <c r="P294">
        <v>8.2869194683572137E-2</v>
      </c>
      <c r="Q294">
        <v>0</v>
      </c>
      <c r="R294">
        <v>1.0243723521852441E-2</v>
      </c>
      <c r="S294">
        <v>0.26593185283416287</v>
      </c>
      <c r="T294">
        <v>5.9110486259300421</v>
      </c>
      <c r="U294">
        <v>0</v>
      </c>
      <c r="V294">
        <v>1.9002511674702488E-2</v>
      </c>
      <c r="W294">
        <v>0.10016674225480776</v>
      </c>
      <c r="X294">
        <v>-1.1390069239943605E-3</v>
      </c>
      <c r="Y294">
        <v>4.2181830148171763E-2</v>
      </c>
    </row>
    <row r="295" spans="1:25" x14ac:dyDescent="0.25">
      <c r="A295" s="879"/>
      <c r="B295" s="1133">
        <v>45</v>
      </c>
      <c r="C295" s="883">
        <v>1.0093048710750503</v>
      </c>
      <c r="D295" s="883">
        <v>0.98601729980384178</v>
      </c>
      <c r="E295" s="883">
        <v>1.0099285233073181</v>
      </c>
      <c r="F295" s="883">
        <v>1.0454390079381077</v>
      </c>
      <c r="G295" s="883">
        <v>1.0234249937856923</v>
      </c>
      <c r="H295" s="883">
        <v>1.0136858714130514</v>
      </c>
      <c r="I295" s="883">
        <v>1.0038294230289313</v>
      </c>
      <c r="K295">
        <v>6.750304296982935</v>
      </c>
      <c r="L295">
        <v>0</v>
      </c>
      <c r="M295">
        <v>1.0440037438596996E-2</v>
      </c>
      <c r="N295">
        <v>0.19752533796798188</v>
      </c>
      <c r="O295">
        <v>0.12135521583502701</v>
      </c>
      <c r="P295">
        <v>8.381263598294951E-2</v>
      </c>
      <c r="Q295">
        <v>0</v>
      </c>
      <c r="R295">
        <v>1.0440037438596996E-2</v>
      </c>
      <c r="S295">
        <v>0.26997392950932897</v>
      </c>
      <c r="T295">
        <v>5.9140274672732165</v>
      </c>
      <c r="U295">
        <v>0</v>
      </c>
      <c r="V295">
        <v>1.9104834628759164E-2</v>
      </c>
      <c r="W295">
        <v>0.10345329318268891</v>
      </c>
      <c r="X295">
        <v>-1.9386333117726567E-3</v>
      </c>
      <c r="Y295">
        <v>4.2990215914751259E-2</v>
      </c>
    </row>
    <row r="296" spans="1:25" x14ac:dyDescent="0.25">
      <c r="A296" s="879"/>
      <c r="B296" s="1133">
        <v>46</v>
      </c>
      <c r="C296" s="883">
        <v>1.006135227470536</v>
      </c>
      <c r="D296" s="883">
        <v>1.0299009304550109</v>
      </c>
      <c r="E296" s="883">
        <v>0.97152445201989512</v>
      </c>
      <c r="F296" s="883">
        <v>1.0195992484769743</v>
      </c>
      <c r="G296" s="883">
        <v>1.0146743634013295</v>
      </c>
      <c r="H296" s="883">
        <v>1.0347950586996852</v>
      </c>
      <c r="I296" s="883">
        <v>0.97879194572303452</v>
      </c>
      <c r="K296">
        <v>6.7406009137637763</v>
      </c>
      <c r="L296">
        <v>0</v>
      </c>
      <c r="M296">
        <v>1.0851171026257428E-2</v>
      </c>
      <c r="N296">
        <v>0.19394170720058915</v>
      </c>
      <c r="O296">
        <v>0.12033920151456157</v>
      </c>
      <c r="P296">
        <v>8.1346865658644463E-2</v>
      </c>
      <c r="Q296">
        <v>0</v>
      </c>
      <c r="R296">
        <v>1.0851171026257428E-2</v>
      </c>
      <c r="S296">
        <v>0.26547765597135992</v>
      </c>
      <c r="T296">
        <v>5.9147702550544734</v>
      </c>
      <c r="U296">
        <v>0</v>
      </c>
      <c r="V296">
        <v>1.9121850639439004E-2</v>
      </c>
      <c r="W296">
        <v>0.10353983166962419</v>
      </c>
      <c r="X296">
        <v>-2.6196447946035557E-3</v>
      </c>
      <c r="Y296">
        <v>4.4683190849686319E-2</v>
      </c>
    </row>
    <row r="297" spans="1:25" x14ac:dyDescent="0.25">
      <c r="A297" s="879"/>
      <c r="B297" s="1133">
        <v>47</v>
      </c>
      <c r="C297" s="883">
        <v>1.0113572207534012</v>
      </c>
      <c r="D297" s="883">
        <v>0.98947532073395728</v>
      </c>
      <c r="E297" s="883">
        <v>0.98156675388399917</v>
      </c>
      <c r="F297" s="883">
        <v>1.0356682812833145</v>
      </c>
      <c r="G297" s="883">
        <v>0.98966874681561201</v>
      </c>
      <c r="H297" s="883">
        <v>1.0280354147525201</v>
      </c>
      <c r="I297" s="883">
        <v>1.0188639328509781</v>
      </c>
      <c r="K297">
        <v>6.7548344588064246</v>
      </c>
      <c r="L297">
        <v>0</v>
      </c>
      <c r="M297">
        <v>1.0815036919727643E-2</v>
      </c>
      <c r="N297">
        <v>0.19619822169787093</v>
      </c>
      <c r="O297">
        <v>0.12146611758233865</v>
      </c>
      <c r="P297">
        <v>8.2105792603771086E-2</v>
      </c>
      <c r="Q297">
        <v>0</v>
      </c>
      <c r="R297">
        <v>1.0815036919727643E-2</v>
      </c>
      <c r="S297">
        <v>0.27474226642522587</v>
      </c>
      <c r="T297">
        <v>5.9150875563395644</v>
      </c>
      <c r="U297">
        <v>0</v>
      </c>
      <c r="V297">
        <v>1.9093873621891525E-2</v>
      </c>
      <c r="W297">
        <v>0.10421841527228688</v>
      </c>
      <c r="X297">
        <v>-2.6121817671567872E-3</v>
      </c>
      <c r="Y297">
        <v>4.4534397030627858E-2</v>
      </c>
    </row>
    <row r="298" spans="1:25" x14ac:dyDescent="0.25">
      <c r="A298" s="879"/>
      <c r="B298" s="1133">
        <v>48</v>
      </c>
      <c r="C298" s="883">
        <v>0.98555636574482575</v>
      </c>
      <c r="D298" s="883">
        <v>0.96726074356211622</v>
      </c>
      <c r="E298" s="883">
        <v>1.0162146211242917</v>
      </c>
      <c r="F298" s="883">
        <v>1.0359677475466746</v>
      </c>
      <c r="G298" s="883">
        <v>0.99177094764930029</v>
      </c>
      <c r="H298" s="883">
        <v>0.99102149550718488</v>
      </c>
      <c r="I298" s="883">
        <v>1.0206994571931849</v>
      </c>
      <c r="K298">
        <v>6.7668294184417821</v>
      </c>
      <c r="L298">
        <v>0</v>
      </c>
      <c r="M298">
        <v>1.0481180500923405E-2</v>
      </c>
      <c r="N298">
        <v>0.20015733775994582</v>
      </c>
      <c r="O298">
        <v>0.1251160087962426</v>
      </c>
      <c r="P298">
        <v>8.432106142276187E-2</v>
      </c>
      <c r="Q298">
        <v>0</v>
      </c>
      <c r="R298">
        <v>1.0481180500923405E-2</v>
      </c>
      <c r="S298">
        <v>0.2791153122300481</v>
      </c>
      <c r="T298">
        <v>5.9131576839556432</v>
      </c>
      <c r="U298">
        <v>0</v>
      </c>
      <c r="V298">
        <v>1.9234988918274305E-2</v>
      </c>
      <c r="W298">
        <v>0.10450676957036727</v>
      </c>
      <c r="X298">
        <v>-1.9393799337219409E-3</v>
      </c>
      <c r="Y298">
        <v>4.3159635722219314E-2</v>
      </c>
    </row>
    <row r="299" spans="1:25" x14ac:dyDescent="0.25">
      <c r="A299" s="879"/>
      <c r="B299" s="1133">
        <v>49</v>
      </c>
      <c r="C299" s="883">
        <v>1.0173974344905856</v>
      </c>
      <c r="D299" s="883">
        <v>1.0229577028225689</v>
      </c>
      <c r="E299" s="883">
        <v>0.98940450388752044</v>
      </c>
      <c r="F299" s="883">
        <v>1.0117488973313977</v>
      </c>
      <c r="G299" s="883">
        <v>1.0255914389464658</v>
      </c>
      <c r="H299" s="883">
        <v>1.0118776374285854</v>
      </c>
      <c r="I299" s="883">
        <v>0.99375321508227243</v>
      </c>
      <c r="K299">
        <v>6.7305183433434985</v>
      </c>
      <c r="L299">
        <v>0</v>
      </c>
      <c r="M299">
        <v>1.0361059092632857E-2</v>
      </c>
      <c r="N299">
        <v>0.19016011922901427</v>
      </c>
      <c r="O299">
        <v>0.11900629231692318</v>
      </c>
      <c r="P299">
        <v>8.2441184495843436E-2</v>
      </c>
      <c r="Q299">
        <v>0</v>
      </c>
      <c r="R299">
        <v>1.0361059092632857E-2</v>
      </c>
      <c r="S299">
        <v>0.26456333304213708</v>
      </c>
      <c r="T299">
        <v>5.9133603001390584</v>
      </c>
      <c r="U299">
        <v>0</v>
      </c>
      <c r="V299">
        <v>1.9061871179091507E-2</v>
      </c>
      <c r="W299">
        <v>0.10061628870889974</v>
      </c>
      <c r="X299">
        <v>-1.3560429111641686E-3</v>
      </c>
      <c r="Y299">
        <v>4.2664997143692471E-2</v>
      </c>
    </row>
    <row r="300" spans="1:25" x14ac:dyDescent="0.25">
      <c r="A300" s="879"/>
      <c r="B300" s="1133">
        <v>50</v>
      </c>
      <c r="C300" s="883">
        <v>1.0201557134335781</v>
      </c>
      <c r="D300" s="883">
        <v>1.0140100051643688</v>
      </c>
      <c r="E300" s="883">
        <v>1.0055451989407787</v>
      </c>
      <c r="F300" s="883">
        <v>1.0116428868665139</v>
      </c>
      <c r="G300" s="883">
        <v>0.9947579778465202</v>
      </c>
      <c r="H300" s="883">
        <v>0.99654437050548994</v>
      </c>
      <c r="I300" s="883">
        <v>0.96601592123809421</v>
      </c>
      <c r="K300">
        <v>6.7183277049757697</v>
      </c>
      <c r="L300">
        <v>0</v>
      </c>
      <c r="M300">
        <v>1.0071825882433922E-2</v>
      </c>
      <c r="N300">
        <v>0.18932604147026263</v>
      </c>
      <c r="O300">
        <v>0.11880785072067018</v>
      </c>
      <c r="P300">
        <v>8.3317083005028506E-2</v>
      </c>
      <c r="Q300">
        <v>0</v>
      </c>
      <c r="R300">
        <v>1.0071825882433922E-2</v>
      </c>
      <c r="S300">
        <v>0.25523248396018866</v>
      </c>
      <c r="T300">
        <v>5.9124495830553823</v>
      </c>
      <c r="U300">
        <v>0</v>
      </c>
      <c r="V300">
        <v>1.9047383223015916E-2</v>
      </c>
      <c r="W300">
        <v>9.9374348904017071E-2</v>
      </c>
      <c r="X300">
        <v>-7.0105562848303017E-4</v>
      </c>
      <c r="Y300">
        <v>4.147398626568552E-2</v>
      </c>
    </row>
    <row r="301" spans="1:25" x14ac:dyDescent="0.25">
      <c r="A301" s="879"/>
      <c r="B301" s="1133">
        <v>51</v>
      </c>
      <c r="C301" s="883">
        <v>0.99243219925996773</v>
      </c>
      <c r="D301" s="883">
        <v>1.031430916278073</v>
      </c>
      <c r="E301" s="883">
        <v>0.98380062649240019</v>
      </c>
      <c r="F301" s="883">
        <v>0.98684664476143424</v>
      </c>
      <c r="G301" s="883">
        <v>0.98870403198038737</v>
      </c>
      <c r="H301" s="883">
        <v>0.99953794231129811</v>
      </c>
      <c r="I301" s="883">
        <v>1.0013427870013258</v>
      </c>
      <c r="K301">
        <v>6.7418605092818442</v>
      </c>
      <c r="L301">
        <v>0</v>
      </c>
      <c r="M301">
        <v>1.0506432005006519E-2</v>
      </c>
      <c r="N301">
        <v>0.19123238102193285</v>
      </c>
      <c r="O301">
        <v>0.12170191487675551</v>
      </c>
      <c r="P301">
        <v>8.2175749562458086E-2</v>
      </c>
      <c r="Q301">
        <v>0</v>
      </c>
      <c r="R301">
        <v>1.0506432005006519E-2</v>
      </c>
      <c r="S301">
        <v>0.27204084128778472</v>
      </c>
      <c r="T301">
        <v>5.9123249743671149</v>
      </c>
      <c r="U301">
        <v>0</v>
      </c>
      <c r="V301">
        <v>1.9196665072858853E-2</v>
      </c>
      <c r="W301">
        <v>0.10146718115207862</v>
      </c>
      <c r="X301">
        <v>-1.5428149805740725E-3</v>
      </c>
      <c r="Y301">
        <v>4.3263616921433413E-2</v>
      </c>
    </row>
    <row r="302" spans="1:25" x14ac:dyDescent="0.25">
      <c r="A302" s="879"/>
      <c r="B302" s="1133">
        <v>52</v>
      </c>
      <c r="C302" s="883">
        <v>1.0285402661228522</v>
      </c>
      <c r="D302" s="883">
        <v>1.0041773201504547</v>
      </c>
      <c r="E302" s="883">
        <v>0.99422756608271523</v>
      </c>
      <c r="F302" s="883">
        <v>0.98382326705021561</v>
      </c>
      <c r="G302" s="883">
        <v>1.0017122636711036</v>
      </c>
      <c r="H302" s="883">
        <v>1.0117461561789303</v>
      </c>
      <c r="I302" s="883">
        <v>1.0037443093178511</v>
      </c>
      <c r="K302">
        <v>6.7279331032093568</v>
      </c>
      <c r="L302">
        <v>0</v>
      </c>
      <c r="M302">
        <v>1.0285701738759768E-2</v>
      </c>
      <c r="N302">
        <v>0.19013157855192098</v>
      </c>
      <c r="O302">
        <v>0.11850538061769443</v>
      </c>
      <c r="P302">
        <v>8.2719151865545529E-2</v>
      </c>
      <c r="Q302">
        <v>0</v>
      </c>
      <c r="R302">
        <v>1.0285701738759768E-2</v>
      </c>
      <c r="S302">
        <v>0.2645073913189645</v>
      </c>
      <c r="T302">
        <v>5.9115820816789109</v>
      </c>
      <c r="U302">
        <v>0</v>
      </c>
      <c r="V302">
        <v>1.9003820183454825E-2</v>
      </c>
      <c r="W302">
        <v>0.10035970092267719</v>
      </c>
      <c r="X302">
        <v>-1.2306909033634971E-3</v>
      </c>
      <c r="Y302">
        <v>4.235468897355206E-2</v>
      </c>
    </row>
    <row r="303" spans="1:25" x14ac:dyDescent="0.25">
      <c r="A303" s="879"/>
      <c r="B303" s="1133">
        <v>53</v>
      </c>
      <c r="C303" s="883">
        <v>0.98162651885464869</v>
      </c>
      <c r="D303" s="883">
        <v>0.99998294249715636</v>
      </c>
      <c r="E303" s="883">
        <v>0.96826421323029188</v>
      </c>
      <c r="F303" s="883">
        <v>1.0088708016404002</v>
      </c>
      <c r="G303" s="883">
        <v>0.98972742866374097</v>
      </c>
      <c r="H303" s="883">
        <v>0.9882423048786827</v>
      </c>
      <c r="I303" s="883">
        <v>0.97955328367479044</v>
      </c>
      <c r="K303">
        <v>6.7448280717320515</v>
      </c>
      <c r="L303">
        <v>0</v>
      </c>
      <c r="M303">
        <v>1.0787211714698404E-2</v>
      </c>
      <c r="N303">
        <v>0.19186753003319568</v>
      </c>
      <c r="O303">
        <v>0.12486814782969063</v>
      </c>
      <c r="P303">
        <v>8.1174145571337092E-2</v>
      </c>
      <c r="Q303">
        <v>0</v>
      </c>
      <c r="R303">
        <v>1.0787211714698404E-2</v>
      </c>
      <c r="S303">
        <v>0.26825765027123288</v>
      </c>
      <c r="T303">
        <v>5.9143679466068502</v>
      </c>
      <c r="U303">
        <v>0</v>
      </c>
      <c r="V303">
        <v>1.9257133828366968E-2</v>
      </c>
      <c r="W303">
        <v>0.10260053315286868</v>
      </c>
      <c r="X303">
        <v>-1.9848333505146265E-3</v>
      </c>
      <c r="Y303">
        <v>4.4419817789019322E-2</v>
      </c>
    </row>
    <row r="304" spans="1:25" x14ac:dyDescent="0.25">
      <c r="A304" s="879"/>
      <c r="B304" s="1133">
        <v>54</v>
      </c>
      <c r="C304" s="883">
        <v>1.0261677866889141</v>
      </c>
      <c r="D304" s="883">
        <v>0.99297216887005757</v>
      </c>
      <c r="E304" s="883">
        <v>1.0275170632633277</v>
      </c>
      <c r="F304" s="883">
        <v>0.97380099749719429</v>
      </c>
      <c r="G304" s="883">
        <v>1.04221719898078</v>
      </c>
      <c r="H304" s="883">
        <v>1.0121203467365552</v>
      </c>
      <c r="I304" s="883">
        <v>0.99684137315266719</v>
      </c>
      <c r="K304">
        <v>6.7323673524914263</v>
      </c>
      <c r="L304">
        <v>0</v>
      </c>
      <c r="M304">
        <v>1.0065618959006673E-2</v>
      </c>
      <c r="N304">
        <v>0.1954618591498834</v>
      </c>
      <c r="O304">
        <v>0.1187009206256725</v>
      </c>
      <c r="P304">
        <v>8.4759201351638586E-2</v>
      </c>
      <c r="Q304">
        <v>0</v>
      </c>
      <c r="R304">
        <v>1.0065618959006673E-2</v>
      </c>
      <c r="S304">
        <v>0.26350067760768536</v>
      </c>
      <c r="T304">
        <v>5.9091503216906638</v>
      </c>
      <c r="U304">
        <v>0</v>
      </c>
      <c r="V304">
        <v>1.9016074492301065E-2</v>
      </c>
      <c r="W304">
        <v>0.10148896754983623</v>
      </c>
      <c r="X304">
        <v>-1.1590972360573395E-3</v>
      </c>
      <c r="Y304">
        <v>4.14484272598033E-2</v>
      </c>
    </row>
    <row r="305" spans="1:25" x14ac:dyDescent="0.25">
      <c r="A305" s="879"/>
      <c r="B305" s="1133">
        <v>55</v>
      </c>
      <c r="C305" s="883">
        <v>0.97025508641818947</v>
      </c>
      <c r="D305" s="883">
        <v>0.9933539432352414</v>
      </c>
      <c r="E305" s="883">
        <v>0.99360677937640896</v>
      </c>
      <c r="F305" s="883">
        <v>1.0111687421043252</v>
      </c>
      <c r="G305" s="883">
        <v>0.97314154526734331</v>
      </c>
      <c r="H305" s="883">
        <v>1.0206092266748759</v>
      </c>
      <c r="I305" s="883">
        <v>1.0139736616014263</v>
      </c>
      <c r="K305">
        <v>6.7799025924666045</v>
      </c>
      <c r="L305">
        <v>0</v>
      </c>
      <c r="M305">
        <v>1.1056266594143325E-2</v>
      </c>
      <c r="N305">
        <v>0.20418753939122475</v>
      </c>
      <c r="O305">
        <v>0.12618195578179761</v>
      </c>
      <c r="P305">
        <v>8.2967737866098054E-2</v>
      </c>
      <c r="Q305">
        <v>0</v>
      </c>
      <c r="R305">
        <v>1.1056266594143325E-2</v>
      </c>
      <c r="S305">
        <v>0.28424805253510782</v>
      </c>
      <c r="T305">
        <v>5.9130947235283102</v>
      </c>
      <c r="U305">
        <v>0</v>
      </c>
      <c r="V305">
        <v>1.9322223039159665E-2</v>
      </c>
      <c r="W305">
        <v>0.10781236375064185</v>
      </c>
      <c r="X305">
        <v>-3.4397413183233656E-3</v>
      </c>
      <c r="Y305">
        <v>4.552773789259023E-2</v>
      </c>
    </row>
    <row r="306" spans="1:25" x14ac:dyDescent="0.25">
      <c r="A306" s="879"/>
      <c r="B306" s="1133">
        <v>56</v>
      </c>
      <c r="C306" s="883">
        <v>1.0206477224163577</v>
      </c>
      <c r="D306" s="883">
        <v>1.0273492325060645</v>
      </c>
      <c r="E306" s="883">
        <v>0.98090837999552472</v>
      </c>
      <c r="F306" s="883">
        <v>1.0086449759411298</v>
      </c>
      <c r="G306" s="883">
        <v>1.0040774882813606</v>
      </c>
      <c r="H306" s="883">
        <v>1.0034946689718216</v>
      </c>
      <c r="I306" s="883">
        <v>1.0039826301074082</v>
      </c>
      <c r="K306">
        <v>6.7261280419933032</v>
      </c>
      <c r="L306">
        <v>0</v>
      </c>
      <c r="M306">
        <v>1.0299779960412826E-2</v>
      </c>
      <c r="N306">
        <v>0.18666840657792189</v>
      </c>
      <c r="O306">
        <v>0.11857741989455937</v>
      </c>
      <c r="P306">
        <v>8.1924277542268234E-2</v>
      </c>
      <c r="Q306">
        <v>0</v>
      </c>
      <c r="R306">
        <v>1.0299779960412826E-2</v>
      </c>
      <c r="S306">
        <v>0.26561142316041708</v>
      </c>
      <c r="T306">
        <v>5.9136630323169923</v>
      </c>
      <c r="U306">
        <v>0</v>
      </c>
      <c r="V306">
        <v>1.9044807158497202E-2</v>
      </c>
      <c r="W306">
        <v>9.9188954660236694E-2</v>
      </c>
      <c r="X306">
        <v>-9.6293990208348094E-4</v>
      </c>
      <c r="Y306">
        <v>4.2412660584489302E-2</v>
      </c>
    </row>
    <row r="307" spans="1:25" x14ac:dyDescent="0.25">
      <c r="A307" s="879"/>
      <c r="B307" s="1133">
        <v>57</v>
      </c>
      <c r="C307" s="883">
        <v>1.0068516042943778</v>
      </c>
      <c r="D307" s="883">
        <v>1.0172150589963878</v>
      </c>
      <c r="E307" s="883">
        <v>1.0061530525749482</v>
      </c>
      <c r="F307" s="883">
        <v>1.0200963915414065</v>
      </c>
      <c r="G307" s="883">
        <v>1.0347010799291567</v>
      </c>
      <c r="H307" s="883">
        <v>0.98612065382505953</v>
      </c>
      <c r="I307" s="883">
        <v>1.0161603196250435</v>
      </c>
      <c r="K307">
        <v>6.7368733323119319</v>
      </c>
      <c r="L307">
        <v>0</v>
      </c>
      <c r="M307">
        <v>1.007917961083004E-2</v>
      </c>
      <c r="N307">
        <v>0.18963489382801282</v>
      </c>
      <c r="O307">
        <v>0.1202146004766077</v>
      </c>
      <c r="P307">
        <v>8.3574228597376288E-2</v>
      </c>
      <c r="Q307">
        <v>0</v>
      </c>
      <c r="R307">
        <v>1.007917961083004E-2</v>
      </c>
      <c r="S307">
        <v>0.27101523417709439</v>
      </c>
      <c r="T307">
        <v>5.9128720245729909</v>
      </c>
      <c r="U307">
        <v>0</v>
      </c>
      <c r="V307">
        <v>1.9117995449795009E-2</v>
      </c>
      <c r="W307">
        <v>9.9506488891420497E-2</v>
      </c>
      <c r="X307">
        <v>-5.6640129167637209E-4</v>
      </c>
      <c r="Y307">
        <v>4.1504267610305873E-2</v>
      </c>
    </row>
    <row r="308" spans="1:25" x14ac:dyDescent="0.25">
      <c r="A308" s="879"/>
      <c r="B308" s="1133">
        <v>58</v>
      </c>
      <c r="C308" s="883">
        <v>0.95970475364368002</v>
      </c>
      <c r="D308" s="883">
        <v>0.99751525782120676</v>
      </c>
      <c r="E308" s="883">
        <v>1.0412571605753949</v>
      </c>
      <c r="F308" s="883">
        <v>0.98790454183923604</v>
      </c>
      <c r="G308" s="883">
        <v>1.0134674078934995</v>
      </c>
      <c r="H308" s="883">
        <v>0.98389152484014697</v>
      </c>
      <c r="I308" s="883">
        <v>1.0483844449748325</v>
      </c>
      <c r="K308">
        <v>6.7849440943987762</v>
      </c>
      <c r="L308">
        <v>0</v>
      </c>
      <c r="M308">
        <v>1.0317035027139791E-2</v>
      </c>
      <c r="N308">
        <v>0.20445340715507304</v>
      </c>
      <c r="O308">
        <v>0.12641694915667614</v>
      </c>
      <c r="P308">
        <v>8.6034853470557823E-2</v>
      </c>
      <c r="Q308">
        <v>0</v>
      </c>
      <c r="R308">
        <v>1.0317035027139791E-2</v>
      </c>
      <c r="S308">
        <v>0.29337956514771862</v>
      </c>
      <c r="T308">
        <v>5.9091141891405554</v>
      </c>
      <c r="U308">
        <v>0</v>
      </c>
      <c r="V308">
        <v>1.9383991762473265E-2</v>
      </c>
      <c r="W308">
        <v>0.10544571713300954</v>
      </c>
      <c r="X308">
        <v>-1.7682924452700826E-3</v>
      </c>
      <c r="Y308">
        <v>4.2483713877983588E-2</v>
      </c>
    </row>
    <row r="309" spans="1:25" x14ac:dyDescent="0.25">
      <c r="A309" s="879"/>
      <c r="B309" s="1133">
        <v>59</v>
      </c>
      <c r="C309" s="883">
        <v>1.0296387243622607</v>
      </c>
      <c r="D309" s="883">
        <v>1.0295823620309452</v>
      </c>
      <c r="E309" s="883">
        <v>0.97021890134233491</v>
      </c>
      <c r="F309" s="883">
        <v>0.98621662319796422</v>
      </c>
      <c r="G309" s="883">
        <v>0.98062883812700108</v>
      </c>
      <c r="H309" s="883">
        <v>0.99187121255357447</v>
      </c>
      <c r="I309" s="883">
        <v>1.004130887101677</v>
      </c>
      <c r="K309">
        <v>6.713148548848114</v>
      </c>
      <c r="L309">
        <v>0</v>
      </c>
      <c r="M309">
        <v>1.0176542234534174E-2</v>
      </c>
      <c r="N309">
        <v>0.18153193563100503</v>
      </c>
      <c r="O309">
        <v>0.11762992885422865</v>
      </c>
      <c r="P309">
        <v>8.1197836372507881E-2</v>
      </c>
      <c r="Q309">
        <v>0</v>
      </c>
      <c r="R309">
        <v>1.0176542234534174E-2</v>
      </c>
      <c r="S309">
        <v>0.26223807584341469</v>
      </c>
      <c r="T309">
        <v>5.9130365772742328</v>
      </c>
      <c r="U309">
        <v>0</v>
      </c>
      <c r="V309">
        <v>1.899816556344798E-2</v>
      </c>
      <c r="W309">
        <v>9.6978226934162498E-2</v>
      </c>
      <c r="X309">
        <v>-3.6738718970199467E-4</v>
      </c>
      <c r="Y309">
        <v>4.1905189564818521E-2</v>
      </c>
    </row>
    <row r="310" spans="1:25" x14ac:dyDescent="0.25">
      <c r="A310" s="879"/>
      <c r="B310" s="1133">
        <v>60</v>
      </c>
      <c r="C310" s="883">
        <v>0.96243893423029014</v>
      </c>
      <c r="D310" s="883">
        <v>1.0063625156738609</v>
      </c>
      <c r="E310" s="883">
        <v>0.98576776986639547</v>
      </c>
      <c r="F310" s="883">
        <v>0.98841663360440102</v>
      </c>
      <c r="G310" s="883">
        <v>1.00434222254362</v>
      </c>
      <c r="H310" s="883">
        <v>0.98577729789620849</v>
      </c>
      <c r="I310" s="883">
        <v>0.99123829353770188</v>
      </c>
      <c r="K310">
        <v>6.7605720330342205</v>
      </c>
      <c r="L310">
        <v>0</v>
      </c>
      <c r="M310">
        <v>1.0779311721452267E-2</v>
      </c>
      <c r="N310">
        <v>0.19677245141026292</v>
      </c>
      <c r="O310">
        <v>0.12669789148250454</v>
      </c>
      <c r="P310">
        <v>8.2362016714961753E-2</v>
      </c>
      <c r="Q310">
        <v>0</v>
      </c>
      <c r="R310">
        <v>1.0779311721452267E-2</v>
      </c>
      <c r="S310">
        <v>0.27659977301081035</v>
      </c>
      <c r="T310">
        <v>5.9123009796911852</v>
      </c>
      <c r="U310">
        <v>0</v>
      </c>
      <c r="V310">
        <v>1.9367854033890391E-2</v>
      </c>
      <c r="W310">
        <v>0.10430413569384363</v>
      </c>
      <c r="X310">
        <v>-2.2203560262180257E-3</v>
      </c>
      <c r="Y310">
        <v>4.438728702297811E-2</v>
      </c>
    </row>
    <row r="311" spans="1:25" x14ac:dyDescent="0.25">
      <c r="A311" s="879"/>
      <c r="B311" s="1133">
        <v>61</v>
      </c>
      <c r="C311" s="883">
        <v>0.96421442443147654</v>
      </c>
      <c r="D311" s="883">
        <v>0.96356415415428875</v>
      </c>
      <c r="E311" s="883">
        <v>1.0056033379247966</v>
      </c>
      <c r="F311" s="883">
        <v>0.98483583109858897</v>
      </c>
      <c r="G311" s="883">
        <v>0.97602918440571196</v>
      </c>
      <c r="H311" s="883">
        <v>1.0326682933148847</v>
      </c>
      <c r="I311" s="883">
        <v>1.0142034983423311</v>
      </c>
      <c r="K311">
        <v>6.7956211701178351</v>
      </c>
      <c r="L311">
        <v>0</v>
      </c>
      <c r="M311">
        <v>1.1285987171213778E-2</v>
      </c>
      <c r="N311">
        <v>0.21216761217715538</v>
      </c>
      <c r="O311">
        <v>0.12829175372581575</v>
      </c>
      <c r="P311">
        <v>8.3742183587838095E-2</v>
      </c>
      <c r="Q311">
        <v>0</v>
      </c>
      <c r="R311">
        <v>1.1285987171213778E-2</v>
      </c>
      <c r="S311">
        <v>0.28769682932901097</v>
      </c>
      <c r="T311">
        <v>5.910997700301917</v>
      </c>
      <c r="U311">
        <v>0</v>
      </c>
      <c r="V311">
        <v>1.9357423716761673E-2</v>
      </c>
      <c r="W311">
        <v>0.11136033254101453</v>
      </c>
      <c r="X311">
        <v>-4.466351601909134E-3</v>
      </c>
      <c r="Y311">
        <v>4.6473686340227909E-2</v>
      </c>
    </row>
    <row r="312" spans="1:25" x14ac:dyDescent="0.25">
      <c r="A312" s="879"/>
      <c r="B312" s="1133">
        <v>62</v>
      </c>
      <c r="C312" s="883">
        <v>1.0279148814907477</v>
      </c>
      <c r="D312" s="883">
        <v>1.0039507181490999</v>
      </c>
      <c r="E312" s="883">
        <v>0.96829866609398674</v>
      </c>
      <c r="F312" s="883">
        <v>0.97857927923072174</v>
      </c>
      <c r="G312" s="883">
        <v>1.0135140759192185</v>
      </c>
      <c r="H312" s="883">
        <v>0.99832465143459637</v>
      </c>
      <c r="I312" s="883">
        <v>0.99747265274679064</v>
      </c>
      <c r="K312">
        <v>6.7189901228385951</v>
      </c>
      <c r="L312">
        <v>0</v>
      </c>
      <c r="M312">
        <v>1.038860169184383E-2</v>
      </c>
      <c r="N312">
        <v>0.18478707745069531</v>
      </c>
      <c r="O312">
        <v>0.11905581844224973</v>
      </c>
      <c r="P312">
        <v>8.1066523275630908E-2</v>
      </c>
      <c r="Q312">
        <v>0</v>
      </c>
      <c r="R312">
        <v>1.038860169184383E-2</v>
      </c>
      <c r="S312">
        <v>0.26174817203685663</v>
      </c>
      <c r="T312">
        <v>5.9127282113051907</v>
      </c>
      <c r="U312">
        <v>0</v>
      </c>
      <c r="V312">
        <v>1.9007044924117221E-2</v>
      </c>
      <c r="W312">
        <v>9.8812571522370191E-2</v>
      </c>
      <c r="X312">
        <v>-9.9370878336355788E-4</v>
      </c>
      <c r="Y312">
        <v>4.2778412664843349E-2</v>
      </c>
    </row>
    <row r="313" spans="1:25" x14ac:dyDescent="0.25">
      <c r="A313" s="879"/>
      <c r="B313" s="1133">
        <v>63</v>
      </c>
      <c r="C313" s="883">
        <v>0.9798029612998137</v>
      </c>
      <c r="D313" s="883">
        <v>1.0008889108497194</v>
      </c>
      <c r="E313" s="883">
        <v>1.0057763842935128</v>
      </c>
      <c r="F313" s="883">
        <v>1.0209282795457435</v>
      </c>
      <c r="G313" s="883">
        <v>0.99694389279407292</v>
      </c>
      <c r="H313" s="883">
        <v>1.036673682837713</v>
      </c>
      <c r="I313" s="883">
        <v>0.96439009210460891</v>
      </c>
      <c r="K313">
        <v>6.7652303619284524</v>
      </c>
      <c r="L313">
        <v>0</v>
      </c>
      <c r="M313">
        <v>1.0967701808036308E-2</v>
      </c>
      <c r="N313">
        <v>0.20623694254726535</v>
      </c>
      <c r="O313">
        <v>0.12434259486415915</v>
      </c>
      <c r="P313">
        <v>8.3528282667212905E-2</v>
      </c>
      <c r="Q313">
        <v>0</v>
      </c>
      <c r="R313">
        <v>1.0967701808036308E-2</v>
      </c>
      <c r="S313">
        <v>0.26914330271767978</v>
      </c>
      <c r="T313">
        <v>5.9129382774361341</v>
      </c>
      <c r="U313">
        <v>0</v>
      </c>
      <c r="V313">
        <v>1.9267470018412516E-2</v>
      </c>
      <c r="W313">
        <v>0.10823822340073581</v>
      </c>
      <c r="X313">
        <v>-3.6277755904916835E-3</v>
      </c>
      <c r="Y313">
        <v>4.5163043867345792E-2</v>
      </c>
    </row>
    <row r="314" spans="1:25" x14ac:dyDescent="0.25">
      <c r="A314" s="879"/>
      <c r="B314" s="1133">
        <v>64</v>
      </c>
      <c r="C314" s="883">
        <v>0.97186501426172511</v>
      </c>
      <c r="D314" s="883">
        <v>0.98527384095447879</v>
      </c>
      <c r="E314" s="883">
        <v>1.0212993539551685</v>
      </c>
      <c r="F314" s="883">
        <v>1.0102698111342063</v>
      </c>
      <c r="G314" s="883">
        <v>0.98705463206194743</v>
      </c>
      <c r="H314" s="883">
        <v>1.0247449518061602</v>
      </c>
      <c r="I314" s="883">
        <v>1.0166194910052879</v>
      </c>
      <c r="K314">
        <v>6.7853332938796056</v>
      </c>
      <c r="L314">
        <v>0</v>
      </c>
      <c r="M314">
        <v>1.0855505129695159E-2</v>
      </c>
      <c r="N314">
        <v>0.20887108691990858</v>
      </c>
      <c r="O314">
        <v>0.12584610591857762</v>
      </c>
      <c r="P314">
        <v>8.4699679318185644E-2</v>
      </c>
      <c r="Q314">
        <v>0</v>
      </c>
      <c r="R314">
        <v>1.0855505129695159E-2</v>
      </c>
      <c r="S314">
        <v>0.28507351541964265</v>
      </c>
      <c r="T314">
        <v>5.9114781863972174</v>
      </c>
      <c r="U314">
        <v>0</v>
      </c>
      <c r="V314">
        <v>1.931291537775796E-2</v>
      </c>
      <c r="W314">
        <v>0.10878346854342132</v>
      </c>
      <c r="X314">
        <v>-3.4327019313134585E-3</v>
      </c>
      <c r="Y314">
        <v>4.4701037916201232E-2</v>
      </c>
    </row>
    <row r="315" spans="1:25" x14ac:dyDescent="0.25">
      <c r="A315" s="879"/>
      <c r="B315" s="1133">
        <v>65</v>
      </c>
      <c r="C315" s="883">
        <v>1.0118449573027088</v>
      </c>
      <c r="D315" s="883">
        <v>1.0005823021906268</v>
      </c>
      <c r="E315" s="883">
        <v>1.0227577175482081</v>
      </c>
      <c r="F315" s="883">
        <v>0.99573543433375733</v>
      </c>
      <c r="G315" s="883">
        <v>0.99965281326398858</v>
      </c>
      <c r="H315" s="883">
        <v>0.9957765540379957</v>
      </c>
      <c r="I315" s="883">
        <v>1.0047589182552643</v>
      </c>
      <c r="K315">
        <v>6.7373154512976265</v>
      </c>
      <c r="L315">
        <v>0</v>
      </c>
      <c r="M315">
        <v>1.0052285203763606E-2</v>
      </c>
      <c r="N315">
        <v>0.19383396211255746</v>
      </c>
      <c r="O315">
        <v>0.12010324968700191</v>
      </c>
      <c r="P315">
        <v>8.4540137515263292E-2</v>
      </c>
      <c r="Q315">
        <v>0</v>
      </c>
      <c r="R315">
        <v>1.0052285203763606E-2</v>
      </c>
      <c r="S315">
        <v>0.26773490407076261</v>
      </c>
      <c r="T315">
        <v>5.9106092485381634</v>
      </c>
      <c r="U315">
        <v>0</v>
      </c>
      <c r="V315">
        <v>1.9091275300964463E-2</v>
      </c>
      <c r="W315">
        <v>0.10087945292381664</v>
      </c>
      <c r="X315">
        <v>-8.7030007994018334E-4</v>
      </c>
      <c r="Y315">
        <v>4.1393521229032303E-2</v>
      </c>
    </row>
    <row r="316" spans="1:25" x14ac:dyDescent="0.25">
      <c r="A316" s="879"/>
      <c r="B316" s="1133">
        <v>66</v>
      </c>
      <c r="C316" s="883">
        <v>0.9815569863853425</v>
      </c>
      <c r="D316" s="883">
        <v>0.99323052859340233</v>
      </c>
      <c r="E316" s="883">
        <v>0.98165130156838454</v>
      </c>
      <c r="F316" s="883">
        <v>0.98819243223569575</v>
      </c>
      <c r="G316" s="883">
        <v>0.99321348670264142</v>
      </c>
      <c r="H316" s="883">
        <v>1.0320002846207579</v>
      </c>
      <c r="I316" s="883">
        <v>1.0197395714270991</v>
      </c>
      <c r="K316">
        <v>6.7752005666843029</v>
      </c>
      <c r="L316">
        <v>0</v>
      </c>
      <c r="M316">
        <v>1.116739673359847E-2</v>
      </c>
      <c r="N316">
        <v>0.20261587884085758</v>
      </c>
      <c r="O316">
        <v>0.12496275709300565</v>
      </c>
      <c r="P316">
        <v>8.2197334126994398E-2</v>
      </c>
      <c r="Q316">
        <v>0</v>
      </c>
      <c r="R316">
        <v>1.116739673359847E-2</v>
      </c>
      <c r="S316">
        <v>0.28367152760489117</v>
      </c>
      <c r="T316">
        <v>5.9125164194561064</v>
      </c>
      <c r="U316">
        <v>0</v>
      </c>
      <c r="V316">
        <v>1.9257527244253083E-2</v>
      </c>
      <c r="W316">
        <v>0.10762285351530874</v>
      </c>
      <c r="X316">
        <v>-3.6290832235518961E-3</v>
      </c>
      <c r="Y316">
        <v>4.5985352026439059E-2</v>
      </c>
    </row>
    <row r="317" spans="1:25" x14ac:dyDescent="0.25">
      <c r="A317" s="879"/>
      <c r="B317" s="1133">
        <v>67</v>
      </c>
      <c r="C317" s="883">
        <v>1.0212582458534722</v>
      </c>
      <c r="D317" s="883">
        <v>0.96628806417953839</v>
      </c>
      <c r="E317" s="883">
        <v>1.0127015924059746</v>
      </c>
      <c r="F317" s="883">
        <v>0.97995505135900363</v>
      </c>
      <c r="G317" s="883">
        <v>1.0051779762467488</v>
      </c>
      <c r="H317" s="883">
        <v>1.0076521200016457</v>
      </c>
      <c r="I317" s="883">
        <v>0.9968738129794209</v>
      </c>
      <c r="K317">
        <v>6.7382101134653363</v>
      </c>
      <c r="L317">
        <v>0</v>
      </c>
      <c r="M317">
        <v>1.0320622943419086E-2</v>
      </c>
      <c r="N317">
        <v>0.19606919490168448</v>
      </c>
      <c r="O317">
        <v>0.12085651738026677</v>
      </c>
      <c r="P317">
        <v>8.3863597308736354E-2</v>
      </c>
      <c r="Q317">
        <v>0</v>
      </c>
      <c r="R317">
        <v>1.0320622943419086E-2</v>
      </c>
      <c r="S317">
        <v>0.264627840829744</v>
      </c>
      <c r="T317">
        <v>5.9103315607907136</v>
      </c>
      <c r="U317">
        <v>0</v>
      </c>
      <c r="V317">
        <v>1.9041614026037462E-2</v>
      </c>
      <c r="W317">
        <v>0.10254996580487651</v>
      </c>
      <c r="X317">
        <v>-1.6286658553259184E-3</v>
      </c>
      <c r="Y317">
        <v>4.2498488278596411E-2</v>
      </c>
    </row>
    <row r="318" spans="1:25" x14ac:dyDescent="0.25">
      <c r="A318" s="879"/>
      <c r="B318" s="1133">
        <v>68</v>
      </c>
      <c r="C318" s="883">
        <v>0.99389746880182006</v>
      </c>
      <c r="D318" s="883">
        <v>0.99228548400601091</v>
      </c>
      <c r="E318" s="883">
        <v>0.99132693384175719</v>
      </c>
      <c r="F318" s="883">
        <v>1.009104146833868</v>
      </c>
      <c r="G318" s="883">
        <v>1.0248568253787604</v>
      </c>
      <c r="H318" s="883">
        <v>0.99810106640933083</v>
      </c>
      <c r="I318" s="883">
        <v>0.97811799844826086</v>
      </c>
      <c r="K318">
        <v>6.7430983121386863</v>
      </c>
      <c r="L318">
        <v>0</v>
      </c>
      <c r="M318">
        <v>1.058113716204348E-2</v>
      </c>
      <c r="N318">
        <v>0.19475356121145893</v>
      </c>
      <c r="O318">
        <v>0.12327639551204836</v>
      </c>
      <c r="P318">
        <v>8.2574038560684321E-2</v>
      </c>
      <c r="Q318">
        <v>0</v>
      </c>
      <c r="R318">
        <v>1.058113716204348E-2</v>
      </c>
      <c r="S318">
        <v>0.26558706159455459</v>
      </c>
      <c r="T318">
        <v>5.9131103237883575</v>
      </c>
      <c r="U318">
        <v>0</v>
      </c>
      <c r="V318">
        <v>1.9188566637274113E-2</v>
      </c>
      <c r="W318">
        <v>0.10294801693674248</v>
      </c>
      <c r="X318">
        <v>-1.9108915635275405E-3</v>
      </c>
      <c r="Y318">
        <v>4.3571239461089366E-2</v>
      </c>
    </row>
    <row r="319" spans="1:25" x14ac:dyDescent="0.25">
      <c r="A319" s="879"/>
      <c r="B319" s="1133">
        <v>69</v>
      </c>
      <c r="C319" s="883">
        <v>1.0026157152747774</v>
      </c>
      <c r="D319" s="883">
        <v>0.99440924362635386</v>
      </c>
      <c r="E319" s="883">
        <v>0.95955201570487858</v>
      </c>
      <c r="F319" s="883">
        <v>0.98475906797536772</v>
      </c>
      <c r="G319" s="883">
        <v>1.0247115000168165</v>
      </c>
      <c r="H319" s="883">
        <v>1.0119496563643184</v>
      </c>
      <c r="I319" s="883">
        <v>0.9831998913847253</v>
      </c>
      <c r="K319">
        <v>6.7391475065139739</v>
      </c>
      <c r="L319">
        <v>0</v>
      </c>
      <c r="M319">
        <v>1.0923162633112406E-2</v>
      </c>
      <c r="N319">
        <v>0.19178747199868151</v>
      </c>
      <c r="O319">
        <v>0.12268803827244405</v>
      </c>
      <c r="P319">
        <v>8.0580617212619179E-2</v>
      </c>
      <c r="Q319">
        <v>0</v>
      </c>
      <c r="R319">
        <v>1.0923162633112406E-2</v>
      </c>
      <c r="S319">
        <v>0.26585391104393652</v>
      </c>
      <c r="T319">
        <v>5.9135360783065414</v>
      </c>
      <c r="U319">
        <v>0</v>
      </c>
      <c r="V319">
        <v>1.9140870952147476E-2</v>
      </c>
      <c r="W319">
        <v>0.10300905213539772</v>
      </c>
      <c r="X319">
        <v>-2.428172880482408E-3</v>
      </c>
      <c r="Y319">
        <v>4.497963947268678E-2</v>
      </c>
    </row>
    <row r="320" spans="1:25" x14ac:dyDescent="0.25">
      <c r="A320" s="879"/>
      <c r="B320" s="1133">
        <v>70</v>
      </c>
      <c r="C320" s="883">
        <v>1.0208575847736956</v>
      </c>
      <c r="D320" s="883">
        <v>0.989514243896776</v>
      </c>
      <c r="E320" s="883">
        <v>1.0389810494029235</v>
      </c>
      <c r="F320" s="883">
        <v>0.98071547645260448</v>
      </c>
      <c r="G320" s="883">
        <v>1.0000869172038807</v>
      </c>
      <c r="H320" s="883">
        <v>0.99159421342870979</v>
      </c>
      <c r="I320" s="883">
        <v>1.0018590252732715</v>
      </c>
      <c r="K320">
        <v>6.7313737519903638</v>
      </c>
      <c r="L320">
        <v>0</v>
      </c>
      <c r="M320">
        <v>9.8283317589636238E-3</v>
      </c>
      <c r="N320">
        <v>0.19411502227733698</v>
      </c>
      <c r="O320">
        <v>0.11927034432897839</v>
      </c>
      <c r="P320">
        <v>8.5483535775986164E-2</v>
      </c>
      <c r="Q320">
        <v>0</v>
      </c>
      <c r="R320">
        <v>9.8283317589636238E-3</v>
      </c>
      <c r="S320">
        <v>0.26435290407837564</v>
      </c>
      <c r="T320">
        <v>5.9088588113833653</v>
      </c>
      <c r="U320">
        <v>0</v>
      </c>
      <c r="V320">
        <v>1.9043709114967292E-2</v>
      </c>
      <c r="W320">
        <v>0.10022514325078666</v>
      </c>
      <c r="X320">
        <v>-4.4703902500403252E-4</v>
      </c>
      <c r="Y320">
        <v>4.0471320805573155E-2</v>
      </c>
    </row>
    <row r="321" spans="1:25" x14ac:dyDescent="0.25">
      <c r="A321" s="879"/>
      <c r="B321" s="1133">
        <v>71</v>
      </c>
      <c r="C321" s="883">
        <v>0.98576602275554182</v>
      </c>
      <c r="D321" s="883">
        <v>0.99017030289246666</v>
      </c>
      <c r="E321" s="883">
        <v>1.0237674383963846</v>
      </c>
      <c r="F321" s="883">
        <v>1.0029311649277994</v>
      </c>
      <c r="G321" s="883">
        <v>1.010943948573837</v>
      </c>
      <c r="H321" s="883">
        <v>1.0111552929666368</v>
      </c>
      <c r="I321" s="883">
        <v>1.0045000107995921</v>
      </c>
      <c r="K321">
        <v>6.7646395241856823</v>
      </c>
      <c r="L321">
        <v>0</v>
      </c>
      <c r="M321">
        <v>1.0515332351458673E-2</v>
      </c>
      <c r="N321">
        <v>0.2030657180005267</v>
      </c>
      <c r="O321">
        <v>0.12377806838669139</v>
      </c>
      <c r="P321">
        <v>8.47271517557803E-2</v>
      </c>
      <c r="Q321">
        <v>0</v>
      </c>
      <c r="R321">
        <v>1.0515332351458673E-2</v>
      </c>
      <c r="S321">
        <v>0.27633887761364545</v>
      </c>
      <c r="T321">
        <v>5.9109399423297821</v>
      </c>
      <c r="U321">
        <v>0</v>
      </c>
      <c r="V321">
        <v>1.9233812450276448E-2</v>
      </c>
      <c r="W321">
        <v>0.10563156974589136</v>
      </c>
      <c r="X321">
        <v>-2.3758830608382074E-3</v>
      </c>
      <c r="Y321">
        <v>4.3300266963920767E-2</v>
      </c>
    </row>
    <row r="322" spans="1:25" x14ac:dyDescent="0.25">
      <c r="A322" s="879"/>
      <c r="B322" s="1133">
        <v>72</v>
      </c>
      <c r="C322" s="883">
        <v>0.99587784753701425</v>
      </c>
      <c r="D322" s="883">
        <v>0.98736184893713475</v>
      </c>
      <c r="E322" s="883">
        <v>0.98953204509955051</v>
      </c>
      <c r="F322" s="883">
        <v>0.99450812911403408</v>
      </c>
      <c r="G322" s="883">
        <v>0.97552571700956436</v>
      </c>
      <c r="H322" s="883">
        <v>1.0250768439473203</v>
      </c>
      <c r="I322" s="883">
        <v>0.97121052301272981</v>
      </c>
      <c r="K322">
        <v>6.7504712759266674</v>
      </c>
      <c r="L322">
        <v>0</v>
      </c>
      <c r="M322">
        <v>1.0885682168246353E-2</v>
      </c>
      <c r="N322">
        <v>0.19982649201515548</v>
      </c>
      <c r="O322">
        <v>0.12331008022558725</v>
      </c>
      <c r="P322">
        <v>8.245374474126016E-2</v>
      </c>
      <c r="Q322">
        <v>0</v>
      </c>
      <c r="R322">
        <v>1.0885682168246353E-2</v>
      </c>
      <c r="S322">
        <v>0.26572687745538065</v>
      </c>
      <c r="T322">
        <v>5.912421313845563</v>
      </c>
      <c r="U322">
        <v>0</v>
      </c>
      <c r="V322">
        <v>1.9177659101681864E-2</v>
      </c>
      <c r="W322">
        <v>0.10572417137072472</v>
      </c>
      <c r="X322">
        <v>-2.9943644183301949E-3</v>
      </c>
      <c r="Y322">
        <v>4.482530158964243E-2</v>
      </c>
    </row>
    <row r="323" spans="1:25" x14ac:dyDescent="0.25">
      <c r="A323" s="879"/>
      <c r="B323" s="1133">
        <v>73</v>
      </c>
      <c r="C323" s="883">
        <v>1.0317234908130455</v>
      </c>
      <c r="D323" s="883">
        <v>1.0209730081989241</v>
      </c>
      <c r="E323" s="883">
        <v>0.97061326519482582</v>
      </c>
      <c r="F323" s="883">
        <v>1.0057360466581839</v>
      </c>
      <c r="G323" s="883">
        <v>1.0163746572966335</v>
      </c>
      <c r="H323" s="883">
        <v>0.97513418703072274</v>
      </c>
      <c r="I323" s="883">
        <v>1.0012130050342789</v>
      </c>
      <c r="K323">
        <v>6.7072818789587583</v>
      </c>
      <c r="L323">
        <v>0</v>
      </c>
      <c r="M323">
        <v>1.0017106481196457E-2</v>
      </c>
      <c r="N323">
        <v>0.17879253419397803</v>
      </c>
      <c r="O323">
        <v>0.11778020497449222</v>
      </c>
      <c r="P323">
        <v>8.1200259190828919E-2</v>
      </c>
      <c r="Q323">
        <v>0</v>
      </c>
      <c r="R323">
        <v>1.0017106481196457E-2</v>
      </c>
      <c r="S323">
        <v>0.2595045845946658</v>
      </c>
      <c r="T323">
        <v>5.9140704473062087</v>
      </c>
      <c r="U323">
        <v>0</v>
      </c>
      <c r="V323">
        <v>1.8987466758651241E-2</v>
      </c>
      <c r="W323">
        <v>9.5495847631746886E-2</v>
      </c>
      <c r="X323">
        <v>2.0187279710130008E-4</v>
      </c>
      <c r="Y323">
        <v>4.1248661511079976E-2</v>
      </c>
    </row>
    <row r="324" spans="1:25" x14ac:dyDescent="0.25">
      <c r="A324" s="879"/>
      <c r="B324" s="1133">
        <v>74</v>
      </c>
      <c r="C324" s="883">
        <v>1.0417515786649993</v>
      </c>
      <c r="D324" s="883">
        <v>1.0103959962827223</v>
      </c>
      <c r="E324" s="883">
        <v>0.97191491135136587</v>
      </c>
      <c r="F324" s="883">
        <v>1.0265136592640614</v>
      </c>
      <c r="G324" s="883">
        <v>0.99358165415454824</v>
      </c>
      <c r="H324" s="883">
        <v>1.012593802409913</v>
      </c>
      <c r="I324" s="883">
        <v>1.0200294891597872</v>
      </c>
      <c r="K324">
        <v>6.7229851377702099</v>
      </c>
      <c r="L324">
        <v>0</v>
      </c>
      <c r="M324">
        <v>1.0336084401497851E-2</v>
      </c>
      <c r="N324">
        <v>0.18484274158329142</v>
      </c>
      <c r="O324">
        <v>0.11711034811624775</v>
      </c>
      <c r="P324">
        <v>8.1372232503504685E-2</v>
      </c>
      <c r="Q324">
        <v>0</v>
      </c>
      <c r="R324">
        <v>1.0336084401497851E-2</v>
      </c>
      <c r="S324">
        <v>0.26536809969672454</v>
      </c>
      <c r="T324">
        <v>5.9151227634174077</v>
      </c>
      <c r="U324">
        <v>0</v>
      </c>
      <c r="V324">
        <v>1.8936602035526173E-2</v>
      </c>
      <c r="W324">
        <v>9.8662802239859695E-2</v>
      </c>
      <c r="X324">
        <v>-9.9260763327708675E-4</v>
      </c>
      <c r="Y324">
        <v>4.2562155810927815E-2</v>
      </c>
    </row>
    <row r="325" spans="1:25" x14ac:dyDescent="0.25">
      <c r="A325" s="879"/>
      <c r="B325" s="1133">
        <v>75</v>
      </c>
      <c r="C325" s="883">
        <v>1.0191278713786476</v>
      </c>
      <c r="D325" s="883">
        <v>0.96528220989639191</v>
      </c>
      <c r="E325" s="883">
        <v>1.0252449229722036</v>
      </c>
      <c r="F325" s="883">
        <v>1.0300277099680277</v>
      </c>
      <c r="G325" s="883">
        <v>0.99293838974784898</v>
      </c>
      <c r="H325" s="883">
        <v>1.0023728067901652</v>
      </c>
      <c r="I325" s="883">
        <v>0.9916093813099115</v>
      </c>
      <c r="K325">
        <v>6.740257447255229</v>
      </c>
      <c r="L325">
        <v>0</v>
      </c>
      <c r="M325">
        <v>1.0180214501336774E-2</v>
      </c>
      <c r="N325">
        <v>0.1970241334845256</v>
      </c>
      <c r="O325">
        <v>0.12092358471907569</v>
      </c>
      <c r="P325">
        <v>8.4658378598276948E-2</v>
      </c>
      <c r="Q325">
        <v>0</v>
      </c>
      <c r="R325">
        <v>1.0180214501336774E-2</v>
      </c>
      <c r="S325">
        <v>0.26332146910984666</v>
      </c>
      <c r="T325">
        <v>5.9123186960256033</v>
      </c>
      <c r="U325">
        <v>0</v>
      </c>
      <c r="V325">
        <v>1.9052772832257626E-2</v>
      </c>
      <c r="W325">
        <v>0.10241440607315475</v>
      </c>
      <c r="X325">
        <v>-1.3763048933857149E-3</v>
      </c>
      <c r="Y325">
        <v>4.1920311305872496E-2</v>
      </c>
    </row>
    <row r="326" spans="1:25" x14ac:dyDescent="0.25">
      <c r="A326" s="879"/>
      <c r="B326" s="1133">
        <v>76</v>
      </c>
      <c r="C326" s="883">
        <v>0.98410884764845774</v>
      </c>
      <c r="D326" s="883">
        <v>1.0163376415630598</v>
      </c>
      <c r="E326" s="883">
        <v>0.98266985620942382</v>
      </c>
      <c r="F326" s="883">
        <v>0.95337594558741223</v>
      </c>
      <c r="G326" s="883">
        <v>0.99778262941905926</v>
      </c>
      <c r="H326" s="883">
        <v>0.978120936762787</v>
      </c>
      <c r="I326" s="883">
        <v>0.99503994319421563</v>
      </c>
      <c r="K326">
        <v>6.7384535069662039</v>
      </c>
      <c r="L326">
        <v>0</v>
      </c>
      <c r="M326">
        <v>1.0444175340916762E-2</v>
      </c>
      <c r="N326">
        <v>0.18978063315041582</v>
      </c>
      <c r="O326">
        <v>0.12347829206627438</v>
      </c>
      <c r="P326">
        <v>8.2064674930072357E-2</v>
      </c>
      <c r="Q326">
        <v>0</v>
      </c>
      <c r="R326">
        <v>1.0444175340916762E-2</v>
      </c>
      <c r="S326">
        <v>0.27072547970168093</v>
      </c>
      <c r="T326">
        <v>5.9105781081804585</v>
      </c>
      <c r="U326">
        <v>0</v>
      </c>
      <c r="V326">
        <v>1.9243125189903398E-2</v>
      </c>
      <c r="W326">
        <v>0.10075384330275283</v>
      </c>
      <c r="X326">
        <v>-1.1779046153466404E-3</v>
      </c>
      <c r="Y326">
        <v>4.30072550599849E-2</v>
      </c>
    </row>
    <row r="327" spans="1:25" x14ac:dyDescent="0.25">
      <c r="A327" s="879"/>
      <c r="B327" s="1133">
        <v>77</v>
      </c>
      <c r="C327" s="883">
        <v>1.0091108073763455</v>
      </c>
      <c r="D327" s="883">
        <v>0.99533280826160997</v>
      </c>
      <c r="E327" s="883">
        <v>1.014198084126023</v>
      </c>
      <c r="F327" s="883">
        <v>0.96643205160365353</v>
      </c>
      <c r="G327" s="883">
        <v>0.98026706029887078</v>
      </c>
      <c r="H327" s="883">
        <v>0.96320336158297126</v>
      </c>
      <c r="I327" s="883">
        <v>0.97894925396991694</v>
      </c>
      <c r="K327">
        <v>6.7180298329117694</v>
      </c>
      <c r="L327">
        <v>0</v>
      </c>
      <c r="M327">
        <v>9.8452889045535768E-3</v>
      </c>
      <c r="N327">
        <v>0.18745360716227</v>
      </c>
      <c r="O327">
        <v>0.12084297662704795</v>
      </c>
      <c r="P327">
        <v>8.3865782135620071E-2</v>
      </c>
      <c r="Q327">
        <v>0</v>
      </c>
      <c r="R327">
        <v>9.8452889045535768E-3</v>
      </c>
      <c r="S327">
        <v>0.25861545923731177</v>
      </c>
      <c r="T327">
        <v>5.909515716401172</v>
      </c>
      <c r="U327">
        <v>0</v>
      </c>
      <c r="V327">
        <v>1.9105873374171665E-2</v>
      </c>
      <c r="W327">
        <v>9.7971318655912687E-2</v>
      </c>
      <c r="X327">
        <v>1.1795200541067696E-4</v>
      </c>
      <c r="Y327">
        <v>4.0541147312853174E-2</v>
      </c>
    </row>
    <row r="328" spans="1:25" x14ac:dyDescent="0.25">
      <c r="A328" s="879"/>
      <c r="B328" s="1133">
        <v>78</v>
      </c>
      <c r="C328" s="883">
        <v>1.0295323692411837</v>
      </c>
      <c r="D328" s="883">
        <v>0.99576389562692824</v>
      </c>
      <c r="E328" s="883">
        <v>1.0056208952144585</v>
      </c>
      <c r="F328" s="883">
        <v>0.98575507210966529</v>
      </c>
      <c r="G328" s="883">
        <v>1.0137477765648886</v>
      </c>
      <c r="H328" s="883">
        <v>1.0144902493623218</v>
      </c>
      <c r="I328" s="883">
        <v>0.98782681829353658</v>
      </c>
      <c r="K328">
        <v>6.7267491314500711</v>
      </c>
      <c r="L328">
        <v>0</v>
      </c>
      <c r="M328">
        <v>1.0238449649350813E-2</v>
      </c>
      <c r="N328">
        <v>0.1924797415778558</v>
      </c>
      <c r="O328">
        <v>0.11858257630002171</v>
      </c>
      <c r="P328">
        <v>8.3372034680664356E-2</v>
      </c>
      <c r="Q328">
        <v>0</v>
      </c>
      <c r="R328">
        <v>1.0238449649350813E-2</v>
      </c>
      <c r="S328">
        <v>0.26041413081959969</v>
      </c>
      <c r="T328">
        <v>5.9110463821937573</v>
      </c>
      <c r="U328">
        <v>0</v>
      </c>
      <c r="V328">
        <v>1.8998712528494357E-2</v>
      </c>
      <c r="W328">
        <v>0.10102588862844684</v>
      </c>
      <c r="X328">
        <v>-1.3304485586959091E-3</v>
      </c>
      <c r="Y328">
        <v>4.2160113279924361E-2</v>
      </c>
    </row>
    <row r="329" spans="1:25" x14ac:dyDescent="0.25">
      <c r="A329" s="879"/>
      <c r="B329" s="1133">
        <v>79</v>
      </c>
      <c r="C329" s="883">
        <v>0.9920535015299301</v>
      </c>
      <c r="D329" s="883">
        <v>1.0095017503071664</v>
      </c>
      <c r="E329" s="883">
        <v>0.98050447792733064</v>
      </c>
      <c r="F329" s="883">
        <v>0.99692350526736373</v>
      </c>
      <c r="G329" s="883">
        <v>1.0023971053662302</v>
      </c>
      <c r="H329" s="883">
        <v>0.95690667511118199</v>
      </c>
      <c r="I329" s="883">
        <v>0.99599623403465476</v>
      </c>
      <c r="K329">
        <v>6.7281057238187616</v>
      </c>
      <c r="L329">
        <v>0</v>
      </c>
      <c r="M329">
        <v>1.0184362275248292E-2</v>
      </c>
      <c r="N329">
        <v>0.18446605961074108</v>
      </c>
      <c r="O329">
        <v>0.1228609309648568</v>
      </c>
      <c r="P329">
        <v>8.1909459536137555E-2</v>
      </c>
      <c r="Q329">
        <v>0</v>
      </c>
      <c r="R329">
        <v>1.0184362275248292E-2</v>
      </c>
      <c r="S329">
        <v>0.2668720107653697</v>
      </c>
      <c r="T329">
        <v>5.9130516433126781</v>
      </c>
      <c r="U329">
        <v>0</v>
      </c>
      <c r="V329">
        <v>1.9198761997398631E-2</v>
      </c>
      <c r="W329">
        <v>9.8038525144237304E-2</v>
      </c>
      <c r="X329">
        <v>-2.2905861322936245E-4</v>
      </c>
      <c r="Y329">
        <v>4.1937391100563881E-2</v>
      </c>
    </row>
    <row r="330" spans="1:25" x14ac:dyDescent="0.25">
      <c r="A330" s="879"/>
      <c r="B330" s="1133">
        <v>80</v>
      </c>
      <c r="C330" s="883">
        <v>0.99025311275952665</v>
      </c>
      <c r="D330" s="883">
        <v>0.99962253188436268</v>
      </c>
      <c r="E330" s="883">
        <v>1.0132597594750672</v>
      </c>
      <c r="F330" s="883">
        <v>1.0009567846513929</v>
      </c>
      <c r="G330" s="883">
        <v>1.0237901806689544</v>
      </c>
      <c r="H330" s="883">
        <v>0.99830526756554916</v>
      </c>
      <c r="I330" s="883">
        <v>1.0183328077252738</v>
      </c>
      <c r="K330">
        <v>6.7570657671261012</v>
      </c>
      <c r="L330">
        <v>0</v>
      </c>
      <c r="M330">
        <v>1.0387784834512231E-2</v>
      </c>
      <c r="N330">
        <v>0.19750822157614953</v>
      </c>
      <c r="O330">
        <v>0.12295044755018403</v>
      </c>
      <c r="P330">
        <v>8.4090016833937103E-2</v>
      </c>
      <c r="Q330">
        <v>0</v>
      </c>
      <c r="R330">
        <v>1.0387784834512231E-2</v>
      </c>
      <c r="S330">
        <v>0.27750663551932986</v>
      </c>
      <c r="T330">
        <v>5.9114345531080765</v>
      </c>
      <c r="U330">
        <v>0</v>
      </c>
      <c r="V330">
        <v>1.9208753044948051E-2</v>
      </c>
      <c r="W330">
        <v>0.10327413856096974</v>
      </c>
      <c r="X330">
        <v>-1.6820480592435951E-3</v>
      </c>
      <c r="Y330">
        <v>4.2775048991747007E-2</v>
      </c>
    </row>
    <row r="331" spans="1:25" x14ac:dyDescent="0.25">
      <c r="A331" s="879"/>
      <c r="B331" s="1133">
        <v>81</v>
      </c>
      <c r="C331" s="883">
        <v>1.0127125959318923</v>
      </c>
      <c r="D331" s="883">
        <v>1.0208506942997631</v>
      </c>
      <c r="E331" s="883">
        <v>1.0013942820372848</v>
      </c>
      <c r="F331" s="883">
        <v>1.0034238354933178</v>
      </c>
      <c r="G331" s="883">
        <v>1.0171595281964763</v>
      </c>
      <c r="H331" s="883">
        <v>1.032088262004955</v>
      </c>
      <c r="I331" s="883">
        <v>0.98073904066730266</v>
      </c>
      <c r="K331">
        <v>6.7390088330541564</v>
      </c>
      <c r="L331">
        <v>0</v>
      </c>
      <c r="M331">
        <v>1.0515603109707054E-2</v>
      </c>
      <c r="N331">
        <v>0.19645646307291662</v>
      </c>
      <c r="O331">
        <v>0.11943591612454878</v>
      </c>
      <c r="P331">
        <v>8.3174626800383775E-2</v>
      </c>
      <c r="Q331">
        <v>0</v>
      </c>
      <c r="R331">
        <v>1.0515603109707054E-2</v>
      </c>
      <c r="S331">
        <v>0.26417506902225707</v>
      </c>
      <c r="T331">
        <v>5.9122395322420349</v>
      </c>
      <c r="U331">
        <v>0</v>
      </c>
      <c r="V331">
        <v>1.9086659312262447E-2</v>
      </c>
      <c r="W331">
        <v>0.10332949009117741</v>
      </c>
      <c r="X331">
        <v>-2.1903055096166688E-3</v>
      </c>
      <c r="Y331">
        <v>4.3301381898194422E-2</v>
      </c>
    </row>
    <row r="332" spans="1:25" x14ac:dyDescent="0.25">
      <c r="A332" s="879"/>
      <c r="B332" s="1133">
        <v>82</v>
      </c>
      <c r="C332" s="883">
        <v>0.97957326024183178</v>
      </c>
      <c r="D332" s="883">
        <v>1.0147095986951689</v>
      </c>
      <c r="E332" s="883">
        <v>0.98070387196909303</v>
      </c>
      <c r="F332" s="883">
        <v>1.0041522058561443</v>
      </c>
      <c r="G332" s="883">
        <v>0.98113090609418152</v>
      </c>
      <c r="H332" s="883">
        <v>1.021100968149087</v>
      </c>
      <c r="I332" s="883">
        <v>0.98626898034874522</v>
      </c>
      <c r="K332">
        <v>6.7593786446702442</v>
      </c>
      <c r="L332">
        <v>0</v>
      </c>
      <c r="M332">
        <v>1.0979913251459176E-2</v>
      </c>
      <c r="N332">
        <v>0.19893445791376138</v>
      </c>
      <c r="O332">
        <v>0.12416664832868729</v>
      </c>
      <c r="P332">
        <v>8.2017371026603947E-2</v>
      </c>
      <c r="Q332">
        <v>0</v>
      </c>
      <c r="R332">
        <v>1.0979913251459176E-2</v>
      </c>
      <c r="S332">
        <v>0.27364560296771862</v>
      </c>
      <c r="T332">
        <v>5.9134314320896069</v>
      </c>
      <c r="U332">
        <v>0</v>
      </c>
      <c r="V332">
        <v>1.9268774726538564E-2</v>
      </c>
      <c r="W332">
        <v>0.10571751951443119</v>
      </c>
      <c r="X332">
        <v>-3.0164903149149116E-3</v>
      </c>
      <c r="Y332">
        <v>4.5213328417805274E-2</v>
      </c>
    </row>
    <row r="333" spans="1:25" x14ac:dyDescent="0.25">
      <c r="A333" s="879"/>
      <c r="B333" s="1133">
        <v>83</v>
      </c>
      <c r="C333" s="883">
        <v>0.98318125538162993</v>
      </c>
      <c r="D333" s="883">
        <v>1.0063518946499319</v>
      </c>
      <c r="E333" s="883">
        <v>1.0092938414618426</v>
      </c>
      <c r="F333" s="883">
        <v>0.97412674158882329</v>
      </c>
      <c r="G333" s="883">
        <v>1.0098348660611387</v>
      </c>
      <c r="H333" s="883">
        <v>1.0052487638429672</v>
      </c>
      <c r="I333" s="883">
        <v>0.97573918624212641</v>
      </c>
      <c r="K333">
        <v>6.7500124659853897</v>
      </c>
      <c r="L333">
        <v>0</v>
      </c>
      <c r="M333">
        <v>1.0541545953935059E-2</v>
      </c>
      <c r="N333">
        <v>0.1992585659957794</v>
      </c>
      <c r="O333">
        <v>0.12357871936134111</v>
      </c>
      <c r="P333">
        <v>8.3701889007041008E-2</v>
      </c>
      <c r="Q333">
        <v>0</v>
      </c>
      <c r="R333">
        <v>1.0541545953935059E-2</v>
      </c>
      <c r="S333">
        <v>0.26838739836168946</v>
      </c>
      <c r="T333">
        <v>5.9102101585289288</v>
      </c>
      <c r="U333">
        <v>0</v>
      </c>
      <c r="V333">
        <v>1.9248351635498678E-2</v>
      </c>
      <c r="W333">
        <v>0.10439383738621461</v>
      </c>
      <c r="X333">
        <v>-2.1746642041742537E-3</v>
      </c>
      <c r="Y333">
        <v>4.3408209913071219E-2</v>
      </c>
    </row>
    <row r="334" spans="1:25" x14ac:dyDescent="0.25">
      <c r="A334" s="879"/>
      <c r="B334" s="1133">
        <v>84</v>
      </c>
      <c r="C334" s="883">
        <v>0.98631997208320132</v>
      </c>
      <c r="D334" s="883">
        <v>0.97614149545275897</v>
      </c>
      <c r="E334" s="883">
        <v>1.0040037839279863</v>
      </c>
      <c r="F334" s="883">
        <v>0.98445633327240112</v>
      </c>
      <c r="G334" s="883">
        <v>1.0099322179851722</v>
      </c>
      <c r="H334" s="883">
        <v>0.97892412226653658</v>
      </c>
      <c r="I334" s="883">
        <v>1.0080369222613916</v>
      </c>
      <c r="K334">
        <v>6.7520791562190521</v>
      </c>
      <c r="L334">
        <v>0</v>
      </c>
      <c r="M334">
        <v>1.041539026404263E-2</v>
      </c>
      <c r="N334">
        <v>0.19533780273424481</v>
      </c>
      <c r="O334">
        <v>0.12479831546944413</v>
      </c>
      <c r="P334">
        <v>8.3458551330185149E-2</v>
      </c>
      <c r="Q334">
        <v>0</v>
      </c>
      <c r="R334">
        <v>1.041539026404263E-2</v>
      </c>
      <c r="S334">
        <v>0.27414288960557137</v>
      </c>
      <c r="T334">
        <v>5.911067491700007</v>
      </c>
      <c r="U334">
        <v>0</v>
      </c>
      <c r="V334">
        <v>1.9230706429128146E-2</v>
      </c>
      <c r="W334">
        <v>0.10260819610780589</v>
      </c>
      <c r="X334">
        <v>-1.4535203943095798E-3</v>
      </c>
      <c r="Y334">
        <v>4.2888723236969913E-2</v>
      </c>
    </row>
    <row r="335" spans="1:25" x14ac:dyDescent="0.25">
      <c r="A335" s="879"/>
      <c r="B335" s="1133">
        <v>85</v>
      </c>
      <c r="C335" s="883">
        <v>0.97500205717935606</v>
      </c>
      <c r="D335" s="883">
        <v>1.0186308664522217</v>
      </c>
      <c r="E335" s="883">
        <v>1.0309262076885282</v>
      </c>
      <c r="F335" s="883">
        <v>1.0307364702306694</v>
      </c>
      <c r="G335" s="883">
        <v>0.99236318777090726</v>
      </c>
      <c r="H335" s="883">
        <v>1.0472536646025514</v>
      </c>
      <c r="I335" s="883">
        <v>0.9848522679715066</v>
      </c>
      <c r="K335">
        <v>6.7783209091313195</v>
      </c>
      <c r="L335">
        <v>0</v>
      </c>
      <c r="M335">
        <v>1.0810131776520673E-2</v>
      </c>
      <c r="N335">
        <v>0.21097997222883413</v>
      </c>
      <c r="O335">
        <v>0.1235957080408986</v>
      </c>
      <c r="P335">
        <v>8.5201331558208887E-2</v>
      </c>
      <c r="Q335">
        <v>0</v>
      </c>
      <c r="R335">
        <v>1.0810131776520673E-2</v>
      </c>
      <c r="S335">
        <v>0.27705205703208524</v>
      </c>
      <c r="T335">
        <v>5.9120287685668487</v>
      </c>
      <c r="U335">
        <v>0</v>
      </c>
      <c r="V335">
        <v>1.9294867130968955E-2</v>
      </c>
      <c r="W335">
        <v>0.10936326325893091</v>
      </c>
      <c r="X335">
        <v>-3.7092572094369483E-3</v>
      </c>
      <c r="Y335">
        <v>4.45141985239845E-2</v>
      </c>
    </row>
    <row r="336" spans="1:25" x14ac:dyDescent="0.25">
      <c r="A336" s="879"/>
      <c r="B336" s="1133">
        <v>86</v>
      </c>
      <c r="C336" s="883">
        <v>1.0005041281487039</v>
      </c>
      <c r="D336" s="883">
        <v>0.99473458979130414</v>
      </c>
      <c r="E336" s="883">
        <v>0.98451500144893378</v>
      </c>
      <c r="F336" s="883">
        <v>1.01329856910901</v>
      </c>
      <c r="G336" s="883">
        <v>0.98839010279332129</v>
      </c>
      <c r="H336" s="883">
        <v>0.9951902569566814</v>
      </c>
      <c r="I336" s="883">
        <v>0.9989489597195913</v>
      </c>
      <c r="K336">
        <v>6.742125113072726</v>
      </c>
      <c r="L336">
        <v>0</v>
      </c>
      <c r="M336">
        <v>1.0531952924589466E-2</v>
      </c>
      <c r="N336">
        <v>0.19190012417882266</v>
      </c>
      <c r="O336">
        <v>0.12246877423096442</v>
      </c>
      <c r="P336">
        <v>8.2200148201463472E-2</v>
      </c>
      <c r="Q336">
        <v>0</v>
      </c>
      <c r="R336">
        <v>1.0531952924589466E-2</v>
      </c>
      <c r="S336">
        <v>0.26914105613113709</v>
      </c>
      <c r="T336">
        <v>5.9137153507403264</v>
      </c>
      <c r="U336">
        <v>0</v>
      </c>
      <c r="V336">
        <v>1.9152346717354322E-2</v>
      </c>
      <c r="W336">
        <v>0.1017851305033249</v>
      </c>
      <c r="X336">
        <v>-1.6065251563956175E-3</v>
      </c>
      <c r="Y336">
        <v>4.3368707525721618E-2</v>
      </c>
    </row>
    <row r="337" spans="1:25" x14ac:dyDescent="0.25">
      <c r="A337" s="879"/>
      <c r="B337" s="1133">
        <v>87</v>
      </c>
      <c r="C337" s="883">
        <v>0.96431554880177617</v>
      </c>
      <c r="D337" s="883">
        <v>1.024956124317729</v>
      </c>
      <c r="E337" s="883">
        <v>0.96861992837103772</v>
      </c>
      <c r="F337" s="883">
        <v>0.97185143010653008</v>
      </c>
      <c r="G337" s="883">
        <v>1.0071789209045365</v>
      </c>
      <c r="H337" s="883">
        <v>0.98321992488688248</v>
      </c>
      <c r="I337" s="883">
        <v>0.9905914723184327</v>
      </c>
      <c r="K337">
        <v>6.7519340218942396</v>
      </c>
      <c r="L337">
        <v>0</v>
      </c>
      <c r="M337">
        <v>1.0806940798843517E-2</v>
      </c>
      <c r="N337">
        <v>0.19232000331125373</v>
      </c>
      <c r="O337">
        <v>0.1258549935529395</v>
      </c>
      <c r="P337">
        <v>8.1265391825706232E-2</v>
      </c>
      <c r="Q337">
        <v>0</v>
      </c>
      <c r="R337">
        <v>1.0806940798843517E-2</v>
      </c>
      <c r="S337">
        <v>0.27543663137914398</v>
      </c>
      <c r="T337">
        <v>5.9123469582000849</v>
      </c>
      <c r="U337">
        <v>0</v>
      </c>
      <c r="V337">
        <v>1.9356830806348722E-2</v>
      </c>
      <c r="W337">
        <v>0.10282408935051894</v>
      </c>
      <c r="X337">
        <v>-1.9719351776364856E-3</v>
      </c>
      <c r="Y337">
        <v>4.4501058645882823E-2</v>
      </c>
    </row>
    <row r="338" spans="1:25" x14ac:dyDescent="0.25">
      <c r="A338" s="879"/>
      <c r="B338" s="1133">
        <v>88</v>
      </c>
      <c r="C338" s="883">
        <v>1.0083358667709055</v>
      </c>
      <c r="D338" s="883">
        <v>0.97165372394198868</v>
      </c>
      <c r="E338" s="883">
        <v>0.97619561294326807</v>
      </c>
      <c r="F338" s="883">
        <v>0.98620832931455515</v>
      </c>
      <c r="G338" s="883">
        <v>0.9804817255472128</v>
      </c>
      <c r="H338" s="883">
        <v>1.0316532750694256</v>
      </c>
      <c r="I338" s="883">
        <v>1.0031964790365513</v>
      </c>
      <c r="K338">
        <v>6.7544599535656467</v>
      </c>
      <c r="L338">
        <v>0</v>
      </c>
      <c r="M338">
        <v>1.1022230385904013E-2</v>
      </c>
      <c r="N338">
        <v>0.19836970257811573</v>
      </c>
      <c r="O338">
        <v>0.12281895913186956</v>
      </c>
      <c r="P338">
        <v>8.1698185111207133E-2</v>
      </c>
      <c r="Q338">
        <v>0</v>
      </c>
      <c r="R338">
        <v>1.1022230385904013E-2</v>
      </c>
      <c r="S338">
        <v>0.27187343538227354</v>
      </c>
      <c r="T338">
        <v>5.9127092772621337</v>
      </c>
      <c r="U338">
        <v>0</v>
      </c>
      <c r="V338">
        <v>1.9110025307642074E-2</v>
      </c>
      <c r="W338">
        <v>0.10565577974451172</v>
      </c>
      <c r="X338">
        <v>-3.1629937973877975E-3</v>
      </c>
      <c r="Y338">
        <v>4.5387582845279967E-2</v>
      </c>
    </row>
    <row r="339" spans="1:25" x14ac:dyDescent="0.25">
      <c r="A339" s="879"/>
      <c r="B339" s="1133">
        <v>89</v>
      </c>
      <c r="C339" s="883">
        <v>1.0260362719754492</v>
      </c>
      <c r="D339" s="883">
        <v>0.96865383786996784</v>
      </c>
      <c r="E339" s="883">
        <v>0.96601650161140873</v>
      </c>
      <c r="F339" s="883">
        <v>0.98979494302892612</v>
      </c>
      <c r="G339" s="883">
        <v>1.04136709128244</v>
      </c>
      <c r="H339" s="883">
        <v>0.9820300047686884</v>
      </c>
      <c r="I339" s="883">
        <v>1.0135293375961458</v>
      </c>
      <c r="K339">
        <v>6.7252839086543554</v>
      </c>
      <c r="L339">
        <v>0</v>
      </c>
      <c r="M339">
        <v>1.0416657241083843E-2</v>
      </c>
      <c r="N339">
        <v>0.1846592008434722</v>
      </c>
      <c r="O339">
        <v>0.12103518677802286</v>
      </c>
      <c r="P339">
        <v>8.0978338220775409E-2</v>
      </c>
      <c r="Q339">
        <v>0</v>
      </c>
      <c r="R339">
        <v>1.0416657241083843E-2</v>
      </c>
      <c r="S339">
        <v>0.2652716026977569</v>
      </c>
      <c r="T339">
        <v>5.913458673742924</v>
      </c>
      <c r="U339">
        <v>0</v>
      </c>
      <c r="V339">
        <v>1.9016755448680461E-2</v>
      </c>
      <c r="W339">
        <v>9.8857685559701161E-2</v>
      </c>
      <c r="X339">
        <v>-8.874750598923363E-4</v>
      </c>
      <c r="Y339">
        <v>4.2893940422912114E-2</v>
      </c>
    </row>
    <row r="340" spans="1:25" x14ac:dyDescent="0.25">
      <c r="A340" s="879"/>
      <c r="B340" s="1133">
        <v>90</v>
      </c>
      <c r="C340" s="883">
        <v>0.97265255401441009</v>
      </c>
      <c r="D340" s="883">
        <v>1.004967471835013</v>
      </c>
      <c r="E340" s="883">
        <v>1.0140980338377144</v>
      </c>
      <c r="F340" s="883">
        <v>0.99896323235104967</v>
      </c>
      <c r="G340" s="883">
        <v>1.0238500933626786</v>
      </c>
      <c r="H340" s="883">
        <v>1.0056823614619952</v>
      </c>
      <c r="I340" s="883">
        <v>0.99408750728627815</v>
      </c>
      <c r="K340">
        <v>6.7652396214688046</v>
      </c>
      <c r="L340">
        <v>0</v>
      </c>
      <c r="M340">
        <v>1.062180977551053E-2</v>
      </c>
      <c r="N340">
        <v>0.20220856711251814</v>
      </c>
      <c r="O340">
        <v>0.12489233888868079</v>
      </c>
      <c r="P340">
        <v>8.4127712635415214E-2</v>
      </c>
      <c r="Q340">
        <v>0</v>
      </c>
      <c r="R340">
        <v>1.062180977551053E-2</v>
      </c>
      <c r="S340">
        <v>0.27645848162258158</v>
      </c>
      <c r="T340">
        <v>5.9112790950337297</v>
      </c>
      <c r="U340">
        <v>0</v>
      </c>
      <c r="V340">
        <v>1.9308373506225478E-2</v>
      </c>
      <c r="W340">
        <v>0.10568811650583927</v>
      </c>
      <c r="X340">
        <v>-2.4617858800798486E-3</v>
      </c>
      <c r="Y340">
        <v>4.3738722043891343E-2</v>
      </c>
    </row>
    <row r="341" spans="1:25" x14ac:dyDescent="0.25">
      <c r="A341" s="879"/>
      <c r="B341" s="1133">
        <v>91</v>
      </c>
      <c r="C341" s="883">
        <v>0.99772496557053547</v>
      </c>
      <c r="D341" s="883">
        <v>1.0041059403479584</v>
      </c>
      <c r="E341" s="883">
        <v>1.012637489941409</v>
      </c>
      <c r="F341" s="883">
        <v>0.99952176276471005</v>
      </c>
      <c r="G341" s="883">
        <v>1.0094808304499563</v>
      </c>
      <c r="H341" s="883">
        <v>0.99284659506728146</v>
      </c>
      <c r="I341" s="883">
        <v>1.0256095751530623</v>
      </c>
      <c r="K341">
        <v>6.7504723848603705</v>
      </c>
      <c r="L341">
        <v>0</v>
      </c>
      <c r="M341">
        <v>1.0239556523327004E-2</v>
      </c>
      <c r="N341">
        <v>0.19451065518623506</v>
      </c>
      <c r="O341">
        <v>0.12182318401281773</v>
      </c>
      <c r="P341">
        <v>8.404054770098747E-2</v>
      </c>
      <c r="Q341">
        <v>0</v>
      </c>
      <c r="R341">
        <v>1.0239556523327004E-2</v>
      </c>
      <c r="S341">
        <v>0.27682189349161362</v>
      </c>
      <c r="T341">
        <v>5.9113924334379888</v>
      </c>
      <c r="U341">
        <v>0</v>
      </c>
      <c r="V341">
        <v>1.9167524567824352E-2</v>
      </c>
      <c r="W341">
        <v>0.10173802571889735</v>
      </c>
      <c r="X341">
        <v>-1.1865504459414612E-3</v>
      </c>
      <c r="Y341">
        <v>4.2164671189942098E-2</v>
      </c>
    </row>
    <row r="342" spans="1:25" x14ac:dyDescent="0.25">
      <c r="A342" s="879"/>
      <c r="B342" s="1133">
        <v>92</v>
      </c>
      <c r="C342" s="883">
        <v>1.0229024829359694</v>
      </c>
      <c r="D342" s="883">
        <v>0.99070938013568066</v>
      </c>
      <c r="E342" s="883">
        <v>0.95596194389418654</v>
      </c>
      <c r="F342" s="883">
        <v>0.98849891127922151</v>
      </c>
      <c r="G342" s="883">
        <v>0.97314975493696987</v>
      </c>
      <c r="H342" s="883">
        <v>1.0085988846764722</v>
      </c>
      <c r="I342" s="883">
        <v>1.0128006726843808</v>
      </c>
      <c r="K342">
        <v>6.7323766472500282</v>
      </c>
      <c r="L342">
        <v>0</v>
      </c>
      <c r="M342">
        <v>1.0721548333726032E-2</v>
      </c>
      <c r="N342">
        <v>0.18724586793366416</v>
      </c>
      <c r="O342">
        <v>0.12049889638323395</v>
      </c>
      <c r="P342">
        <v>8.0387317808826644E-2</v>
      </c>
      <c r="Q342">
        <v>0</v>
      </c>
      <c r="R342">
        <v>1.0721548333726032E-2</v>
      </c>
      <c r="S342">
        <v>0.26814601734575999</v>
      </c>
      <c r="T342">
        <v>5.9139315138123525</v>
      </c>
      <c r="U342">
        <v>0</v>
      </c>
      <c r="V342">
        <v>1.9033033366494694E-2</v>
      </c>
      <c r="W342">
        <v>0.10075235664793662</v>
      </c>
      <c r="X342">
        <v>-1.767783722067606E-3</v>
      </c>
      <c r="Y342">
        <v>4.4149427673821219E-2</v>
      </c>
    </row>
    <row r="343" spans="1:25" x14ac:dyDescent="0.25">
      <c r="A343" s="879"/>
      <c r="B343" s="1133">
        <v>93</v>
      </c>
      <c r="C343" s="883">
        <v>1.0303661124187169</v>
      </c>
      <c r="D343" s="883">
        <v>0.98402923772589179</v>
      </c>
      <c r="E343" s="883">
        <v>1.000024056834784</v>
      </c>
      <c r="F343" s="883">
        <v>1.033676710460504</v>
      </c>
      <c r="G343" s="883">
        <v>0.99620457969164378</v>
      </c>
      <c r="H343" s="883">
        <v>1.002110987745205</v>
      </c>
      <c r="I343" s="883">
        <v>1.0017425582092345</v>
      </c>
      <c r="K343">
        <v>6.7294988115581083</v>
      </c>
      <c r="L343">
        <v>0</v>
      </c>
      <c r="M343">
        <v>1.0206587739379519E-2</v>
      </c>
      <c r="N343">
        <v>0.19029665415202038</v>
      </c>
      <c r="O343">
        <v>0.11915238709487966</v>
      </c>
      <c r="P343">
        <v>8.3092429124428061E-2</v>
      </c>
      <c r="Q343">
        <v>0</v>
      </c>
      <c r="R343">
        <v>1.0206587739379519E-2</v>
      </c>
      <c r="S343">
        <v>0.26284246309654991</v>
      </c>
      <c r="T343">
        <v>5.9139515420236952</v>
      </c>
      <c r="U343">
        <v>0</v>
      </c>
      <c r="V343">
        <v>1.899442776592327E-2</v>
      </c>
      <c r="W343">
        <v>0.10015775228354531</v>
      </c>
      <c r="X343">
        <v>-1.0177555888111606E-3</v>
      </c>
      <c r="Y343">
        <v>4.202891160587114E-2</v>
      </c>
    </row>
    <row r="344" spans="1:25" x14ac:dyDescent="0.25">
      <c r="A344" s="879"/>
      <c r="B344" s="1133">
        <v>94</v>
      </c>
      <c r="C344" s="883">
        <v>1.0159118556259288</v>
      </c>
      <c r="D344" s="883">
        <v>0.96527951934062739</v>
      </c>
      <c r="E344" s="883">
        <v>1.0032214468628504</v>
      </c>
      <c r="F344" s="883">
        <v>1.0076219659142274</v>
      </c>
      <c r="G344" s="883">
        <v>0.98302446303556401</v>
      </c>
      <c r="H344" s="883">
        <v>1.0235302863751687</v>
      </c>
      <c r="I344" s="883">
        <v>0.97881515979740263</v>
      </c>
      <c r="K344">
        <v>6.7441485728847308</v>
      </c>
      <c r="L344">
        <v>0</v>
      </c>
      <c r="M344">
        <v>1.0630893733425247E-2</v>
      </c>
      <c r="N344">
        <v>0.19914862270234801</v>
      </c>
      <c r="O344">
        <v>0.12172133666679963</v>
      </c>
      <c r="P344">
        <v>8.3270402975771707E-2</v>
      </c>
      <c r="Q344">
        <v>0</v>
      </c>
      <c r="R344">
        <v>1.0630893733425247E-2</v>
      </c>
      <c r="S344">
        <v>0.26266114406754854</v>
      </c>
      <c r="T344">
        <v>5.9123634740874325</v>
      </c>
      <c r="U344">
        <v>0</v>
      </c>
      <c r="V344">
        <v>1.9069706830129048E-2</v>
      </c>
      <c r="W344">
        <v>0.10465055871847352</v>
      </c>
      <c r="X344">
        <v>-2.5128013294682967E-3</v>
      </c>
      <c r="Y344">
        <v>4.3776128165699903E-2</v>
      </c>
    </row>
    <row r="345" spans="1:25" x14ac:dyDescent="0.25">
      <c r="A345" s="879"/>
      <c r="B345" s="1133">
        <v>95</v>
      </c>
      <c r="C345" s="883">
        <v>1.0369249490889243</v>
      </c>
      <c r="D345" s="883">
        <v>0.97533363282436669</v>
      </c>
      <c r="E345" s="883">
        <v>0.99441914156081601</v>
      </c>
      <c r="F345" s="883">
        <v>0.99314303138315274</v>
      </c>
      <c r="G345" s="883">
        <v>0.99620984932659362</v>
      </c>
      <c r="H345" s="883">
        <v>1.0227570236988479</v>
      </c>
      <c r="I345" s="883">
        <v>0.99431345888995415</v>
      </c>
      <c r="K345">
        <v>6.7300226577712472</v>
      </c>
      <c r="L345">
        <v>0</v>
      </c>
      <c r="M345">
        <v>1.0441420844013576E-2</v>
      </c>
      <c r="N345">
        <v>0.19306486206812612</v>
      </c>
      <c r="O345">
        <v>0.11892199828751798</v>
      </c>
      <c r="P345">
        <v>8.2693199852047622E-2</v>
      </c>
      <c r="Q345">
        <v>0</v>
      </c>
      <c r="R345">
        <v>1.0441420844013576E-2</v>
      </c>
      <c r="S345">
        <v>0.26121058900650385</v>
      </c>
      <c r="T345">
        <v>5.9120750880571959</v>
      </c>
      <c r="U345">
        <v>0</v>
      </c>
      <c r="V345">
        <v>1.8960960983032706E-2</v>
      </c>
      <c r="W345">
        <v>0.10189829742637707</v>
      </c>
      <c r="X345">
        <v>-1.7982504415734444E-3</v>
      </c>
      <c r="Y345">
        <v>4.2995912532019745E-2</v>
      </c>
    </row>
    <row r="346" spans="1:25" x14ac:dyDescent="0.25">
      <c r="A346" s="879"/>
      <c r="B346" s="1133">
        <v>96</v>
      </c>
      <c r="C346" s="883">
        <v>0.99338542742287195</v>
      </c>
      <c r="D346" s="883">
        <v>1.0425284913760122</v>
      </c>
      <c r="E346" s="883">
        <v>0.98676008332058374</v>
      </c>
      <c r="F346" s="883">
        <v>1.0394106898741304</v>
      </c>
      <c r="G346" s="883">
        <v>0.97346699189111308</v>
      </c>
      <c r="H346" s="883">
        <v>0.96654158232276433</v>
      </c>
      <c r="I346" s="883">
        <v>1.022696318165863</v>
      </c>
      <c r="K346">
        <v>6.7352480364995193</v>
      </c>
      <c r="L346">
        <v>0</v>
      </c>
      <c r="M346">
        <v>1.0077448596047039E-2</v>
      </c>
      <c r="N346">
        <v>0.18423110646887755</v>
      </c>
      <c r="O346">
        <v>0.12101125398445857</v>
      </c>
      <c r="P346">
        <v>8.2427964468998041E-2</v>
      </c>
      <c r="Q346">
        <v>0</v>
      </c>
      <c r="R346">
        <v>1.0077448596047039E-2</v>
      </c>
      <c r="S346">
        <v>0.27433589890093169</v>
      </c>
      <c r="T346">
        <v>5.9150024167679547</v>
      </c>
      <c r="U346">
        <v>0</v>
      </c>
      <c r="V346">
        <v>1.9191393936212629E-2</v>
      </c>
      <c r="W346">
        <v>9.7607898103092103E-2</v>
      </c>
      <c r="X346">
        <v>-5.7035730546221226E-5</v>
      </c>
      <c r="Y346">
        <v>4.1497139599538616E-2</v>
      </c>
    </row>
    <row r="347" spans="1:25" x14ac:dyDescent="0.25">
      <c r="A347" s="879"/>
      <c r="B347" s="1133">
        <v>97</v>
      </c>
      <c r="C347" s="883">
        <v>0.98474442941524487</v>
      </c>
      <c r="D347" s="883">
        <v>1.0229862479042109</v>
      </c>
      <c r="E347" s="883">
        <v>1.0244564616441985</v>
      </c>
      <c r="F347" s="883">
        <v>0.99809799507038621</v>
      </c>
      <c r="G347" s="883">
        <v>1.0038411610722542</v>
      </c>
      <c r="H347" s="883">
        <v>1.0198934747235282</v>
      </c>
      <c r="I347" s="883">
        <v>0.99268995886412037</v>
      </c>
      <c r="K347">
        <v>6.7589905290306378</v>
      </c>
      <c r="L347">
        <v>0</v>
      </c>
      <c r="M347">
        <v>1.0463686874767694E-2</v>
      </c>
      <c r="N347">
        <v>0.20227437545758167</v>
      </c>
      <c r="O347">
        <v>0.12228786923241318</v>
      </c>
      <c r="P347">
        <v>8.4732489331753494E-2</v>
      </c>
      <c r="Q347">
        <v>0</v>
      </c>
      <c r="R347">
        <v>1.0463686874767694E-2</v>
      </c>
      <c r="S347">
        <v>0.2738586995816551</v>
      </c>
      <c r="T347">
        <v>5.9106392057602681</v>
      </c>
      <c r="U347">
        <v>0</v>
      </c>
      <c r="V347">
        <v>1.9239549739140348E-2</v>
      </c>
      <c r="W347">
        <v>0.1051842793336062</v>
      </c>
      <c r="X347">
        <v>-2.3135394892462424E-3</v>
      </c>
      <c r="Y347">
        <v>4.3087600083459486E-2</v>
      </c>
    </row>
    <row r="348" spans="1:25" x14ac:dyDescent="0.25">
      <c r="A348" s="879"/>
      <c r="B348" s="1133">
        <v>98</v>
      </c>
      <c r="C348" s="883">
        <v>0.99679723034798129</v>
      </c>
      <c r="D348" s="883">
        <v>0.98359341516162946</v>
      </c>
      <c r="E348" s="883">
        <v>1.0345221785142553</v>
      </c>
      <c r="F348" s="883">
        <v>0.99049886990114544</v>
      </c>
      <c r="G348" s="883">
        <v>0.98770707377099487</v>
      </c>
      <c r="H348" s="883">
        <v>0.99393566532384514</v>
      </c>
      <c r="I348" s="883">
        <v>0.97063008629378567</v>
      </c>
      <c r="K348">
        <v>6.7418730794729624</v>
      </c>
      <c r="L348">
        <v>0</v>
      </c>
      <c r="M348">
        <v>1.0154948172632981E-2</v>
      </c>
      <c r="N348">
        <v>0.19924893289182952</v>
      </c>
      <c r="O348">
        <v>0.12252867618836225</v>
      </c>
      <c r="P348">
        <v>8.5193039410583607E-2</v>
      </c>
      <c r="Q348">
        <v>0</v>
      </c>
      <c r="R348">
        <v>1.0154948172632981E-2</v>
      </c>
      <c r="S348">
        <v>0.26256238010580735</v>
      </c>
      <c r="T348">
        <v>5.909646752121434</v>
      </c>
      <c r="U348">
        <v>0</v>
      </c>
      <c r="V348">
        <v>1.9172610053370495E-2</v>
      </c>
      <c r="W348">
        <v>0.10310053802994869</v>
      </c>
      <c r="X348">
        <v>-1.3961183898842688E-3</v>
      </c>
      <c r="Y348">
        <v>4.1816269061509141E-2</v>
      </c>
    </row>
    <row r="349" spans="1:25" x14ac:dyDescent="0.25">
      <c r="A349" s="879"/>
      <c r="B349" s="1133">
        <v>99</v>
      </c>
      <c r="C349" s="883">
        <v>1.0142943516490415</v>
      </c>
      <c r="D349" s="883">
        <v>1.0299043220960047</v>
      </c>
      <c r="E349" s="883">
        <v>1.0333729806481236</v>
      </c>
      <c r="F349" s="883">
        <v>0.95715871258656893</v>
      </c>
      <c r="G349" s="883">
        <v>0.99964201666122954</v>
      </c>
      <c r="H349" s="883">
        <v>0.99147749850464506</v>
      </c>
      <c r="I349" s="883">
        <v>1.042713636350197</v>
      </c>
      <c r="K349">
        <v>6.7376114880192803</v>
      </c>
      <c r="L349">
        <v>0</v>
      </c>
      <c r="M349">
        <v>9.7707177998608875E-3</v>
      </c>
      <c r="N349">
        <v>0.19138470390021098</v>
      </c>
      <c r="O349">
        <v>0.11824052470721565</v>
      </c>
      <c r="P349">
        <v>8.5287674092421217E-2</v>
      </c>
      <c r="Q349">
        <v>0</v>
      </c>
      <c r="R349">
        <v>9.7707177998608875E-3</v>
      </c>
      <c r="S349">
        <v>0.27650460306592894</v>
      </c>
      <c r="T349">
        <v>5.9079126275407106</v>
      </c>
      <c r="U349">
        <v>0</v>
      </c>
      <c r="V349">
        <v>1.9078264417907557E-2</v>
      </c>
      <c r="W349">
        <v>9.9086982886348679E-2</v>
      </c>
      <c r="X349">
        <v>-1.179693683563146E-4</v>
      </c>
      <c r="Y349">
        <v>4.0234076776890518E-2</v>
      </c>
    </row>
    <row r="350" spans="1:25" x14ac:dyDescent="0.25">
      <c r="A350" s="879"/>
      <c r="B350" s="1133">
        <v>100</v>
      </c>
      <c r="C350" s="883">
        <v>1.0151889494715938</v>
      </c>
      <c r="D350" s="883">
        <v>0.98123387615033208</v>
      </c>
      <c r="E350" s="883">
        <v>0.9955167285042632</v>
      </c>
      <c r="F350" s="883">
        <v>1.0064519291674632</v>
      </c>
      <c r="G350" s="883">
        <v>1.0228675034976598</v>
      </c>
      <c r="H350" s="883">
        <v>1.0228673685918073</v>
      </c>
      <c r="I350" s="883">
        <v>0.98027512288703123</v>
      </c>
      <c r="K350">
        <v>6.7408306909000366</v>
      </c>
      <c r="L350">
        <v>0</v>
      </c>
      <c r="M350">
        <v>1.0628399681377866E-2</v>
      </c>
      <c r="N350">
        <v>0.19684208940482109</v>
      </c>
      <c r="O350">
        <v>0.12115515905041421</v>
      </c>
      <c r="P350">
        <v>8.2796030927759265E-2</v>
      </c>
      <c r="Q350">
        <v>0</v>
      </c>
      <c r="R350">
        <v>1.0628399681377866E-2</v>
      </c>
      <c r="S350">
        <v>0.26298123926693873</v>
      </c>
      <c r="T350">
        <v>5.9127330176545518</v>
      </c>
      <c r="U350">
        <v>0</v>
      </c>
      <c r="V350">
        <v>1.9073528076618679E-2</v>
      </c>
      <c r="W350">
        <v>0.10383515945223788</v>
      </c>
      <c r="X350">
        <v>-2.3513910365998013E-3</v>
      </c>
      <c r="Y350">
        <v>4.3765858103293517E-2</v>
      </c>
    </row>
    <row r="351" spans="1:25" x14ac:dyDescent="0.25">
      <c r="A351" s="879"/>
      <c r="B351" s="1133">
        <v>101</v>
      </c>
      <c r="C351" s="883">
        <v>1.0109661028024062</v>
      </c>
      <c r="D351" s="883">
        <v>1.0201014438226335</v>
      </c>
      <c r="E351" s="883">
        <v>1.0061268132551757</v>
      </c>
      <c r="F351" s="883">
        <v>1.0414615684304678</v>
      </c>
      <c r="G351" s="883">
        <v>0.9831616055050787</v>
      </c>
      <c r="H351" s="883">
        <v>1.0134160095569411</v>
      </c>
      <c r="I351" s="883">
        <v>0.95782091579694206</v>
      </c>
      <c r="K351">
        <v>6.7294026358955712</v>
      </c>
      <c r="L351">
        <v>0</v>
      </c>
      <c r="M351">
        <v>1.030374287414149E-2</v>
      </c>
      <c r="N351">
        <v>0.19385241075355117</v>
      </c>
      <c r="O351">
        <v>0.11959020599471198</v>
      </c>
      <c r="P351">
        <v>8.3396610251018577E-2</v>
      </c>
      <c r="Q351">
        <v>0</v>
      </c>
      <c r="R351">
        <v>1.030374287414149E-2</v>
      </c>
      <c r="S351">
        <v>0.25680921097300302</v>
      </c>
      <c r="T351">
        <v>5.9140280281880804</v>
      </c>
      <c r="U351">
        <v>0</v>
      </c>
      <c r="V351">
        <v>1.9095959037483876E-2</v>
      </c>
      <c r="W351">
        <v>0.10172085478866955</v>
      </c>
      <c r="X351">
        <v>-1.5196232488039951E-3</v>
      </c>
      <c r="Y351">
        <v>4.2428979157851605E-2</v>
      </c>
    </row>
    <row r="352" spans="1:25" x14ac:dyDescent="0.25">
      <c r="A352" s="879"/>
      <c r="B352" s="1133">
        <v>102</v>
      </c>
      <c r="C352" s="883">
        <v>0.98238465993234125</v>
      </c>
      <c r="D352" s="883">
        <v>1.0072107786418301</v>
      </c>
      <c r="E352" s="883">
        <v>0.99563173860104748</v>
      </c>
      <c r="F352" s="883">
        <v>0.97598734753578908</v>
      </c>
      <c r="G352" s="883">
        <v>1.0397200540831779</v>
      </c>
      <c r="H352" s="883">
        <v>0.99932236825748255</v>
      </c>
      <c r="I352" s="883">
        <v>0.99555738324810361</v>
      </c>
      <c r="K352">
        <v>6.7524581283059044</v>
      </c>
      <c r="L352">
        <v>0</v>
      </c>
      <c r="M352">
        <v>1.0609973913126803E-2</v>
      </c>
      <c r="N352">
        <v>0.19653433171538734</v>
      </c>
      <c r="O352">
        <v>0.12389689760993662</v>
      </c>
      <c r="P352">
        <v>8.2923584553548105E-2</v>
      </c>
      <c r="Q352">
        <v>0</v>
      </c>
      <c r="R352">
        <v>1.0609973913126803E-2</v>
      </c>
      <c r="S352">
        <v>0.27346372853660433</v>
      </c>
      <c r="T352">
        <v>5.9110800800116241</v>
      </c>
      <c r="U352">
        <v>0</v>
      </c>
      <c r="V352">
        <v>1.9252847867370169E-2</v>
      </c>
      <c r="W352">
        <v>0.10366688365229861</v>
      </c>
      <c r="X352">
        <v>-2.050209710166521E-3</v>
      </c>
      <c r="Y352">
        <v>4.3689984069300115E-2</v>
      </c>
    </row>
    <row r="353" spans="1:25" x14ac:dyDescent="0.25">
      <c r="A353" s="879"/>
      <c r="B353" s="1133">
        <v>103</v>
      </c>
      <c r="C353" s="883">
        <v>1.0380817722833351</v>
      </c>
      <c r="D353" s="883">
        <v>0.99604857560284998</v>
      </c>
      <c r="E353" s="883">
        <v>0.96651346019919626</v>
      </c>
      <c r="F353" s="883">
        <v>0.98990487361275237</v>
      </c>
      <c r="G353" s="883">
        <v>1.0093742093068743</v>
      </c>
      <c r="H353" s="883">
        <v>0.9975951598266849</v>
      </c>
      <c r="I353" s="883">
        <v>1.039271831584399</v>
      </c>
      <c r="K353">
        <v>6.7249395830321355</v>
      </c>
      <c r="L353">
        <v>0</v>
      </c>
      <c r="M353">
        <v>1.0330230236538829E-2</v>
      </c>
      <c r="N353">
        <v>0.18326229567097088</v>
      </c>
      <c r="O353">
        <v>0.1182947803789903</v>
      </c>
      <c r="P353">
        <v>8.1071028557798325E-2</v>
      </c>
      <c r="Q353">
        <v>0</v>
      </c>
      <c r="R353">
        <v>1.0330230236538829E-2</v>
      </c>
      <c r="S353">
        <v>0.27005242718872857</v>
      </c>
      <c r="T353">
        <v>5.9134376339777868</v>
      </c>
      <c r="U353">
        <v>0</v>
      </c>
      <c r="V353">
        <v>1.8955102109287577E-2</v>
      </c>
      <c r="W353">
        <v>9.8085302187756115E-2</v>
      </c>
      <c r="X353">
        <v>-7.5703644081173856E-4</v>
      </c>
      <c r="Y353">
        <v>4.2538049401629086E-2</v>
      </c>
    </row>
    <row r="354" spans="1:25" x14ac:dyDescent="0.25">
      <c r="A354" s="879"/>
      <c r="B354" s="1133">
        <v>104</v>
      </c>
      <c r="C354" s="883">
        <v>1.0340818638656954</v>
      </c>
      <c r="D354" s="883">
        <v>0.98164030490213761</v>
      </c>
      <c r="E354" s="883">
        <v>1.0193127612919382</v>
      </c>
      <c r="F354" s="883">
        <v>0.99880446448995708</v>
      </c>
      <c r="G354" s="883">
        <v>1.0131469239163462</v>
      </c>
      <c r="H354" s="883">
        <v>1.0406380684083134</v>
      </c>
      <c r="I354" s="883">
        <v>1.0464079858101554</v>
      </c>
      <c r="K354">
        <v>6.7542489533178518</v>
      </c>
      <c r="L354">
        <v>0</v>
      </c>
      <c r="M354">
        <v>1.0395084498099639E-2</v>
      </c>
      <c r="N354">
        <v>0.19942521145230724</v>
      </c>
      <c r="O354">
        <v>0.11848595608382122</v>
      </c>
      <c r="P354">
        <v>8.4458299903203415E-2</v>
      </c>
      <c r="Q354">
        <v>0</v>
      </c>
      <c r="R354">
        <v>1.0395084498099639E-2</v>
      </c>
      <c r="S354">
        <v>0.27733989869093123</v>
      </c>
      <c r="T354">
        <v>5.9109726458037546</v>
      </c>
      <c r="U354">
        <v>0</v>
      </c>
      <c r="V354">
        <v>1.8975415835843515E-2</v>
      </c>
      <c r="W354">
        <v>0.1039655789412689</v>
      </c>
      <c r="X354">
        <v>-2.1791611003901625E-3</v>
      </c>
      <c r="Y354">
        <v>4.2805107707108277E-2</v>
      </c>
    </row>
    <row r="355" spans="1:25" x14ac:dyDescent="0.25">
      <c r="A355" s="879"/>
      <c r="B355" s="1133">
        <v>105</v>
      </c>
      <c r="C355" s="883">
        <v>1.009120289373552</v>
      </c>
      <c r="D355" s="883">
        <v>1.0380458782603847</v>
      </c>
      <c r="E355" s="883">
        <v>0.97191400859089083</v>
      </c>
      <c r="F355" s="883">
        <v>1.0223203782837376</v>
      </c>
      <c r="G355" s="883">
        <v>0.98775486524078604</v>
      </c>
      <c r="H355" s="883">
        <v>0.99663880372581193</v>
      </c>
      <c r="I355" s="883">
        <v>1.0014833291560499</v>
      </c>
      <c r="K355">
        <v>6.7287578187032473</v>
      </c>
      <c r="L355">
        <v>0</v>
      </c>
      <c r="M355">
        <v>1.0381561009756551E-2</v>
      </c>
      <c r="N355">
        <v>0.18565576214478444</v>
      </c>
      <c r="O355">
        <v>0.11959873378947115</v>
      </c>
      <c r="P355">
        <v>8.1395904530396551E-2</v>
      </c>
      <c r="Q355">
        <v>0</v>
      </c>
      <c r="R355">
        <v>1.0381561009756551E-2</v>
      </c>
      <c r="S355">
        <v>0.26723491143362288</v>
      </c>
      <c r="T355">
        <v>5.9148960954628045</v>
      </c>
      <c r="U355">
        <v>0</v>
      </c>
      <c r="V355">
        <v>1.9105822611547068E-2</v>
      </c>
      <c r="W355">
        <v>9.9096810053317191E-2</v>
      </c>
      <c r="X355">
        <v>-9.7564171189706969E-4</v>
      </c>
      <c r="Y355">
        <v>4.2749420389202632E-2</v>
      </c>
    </row>
    <row r="356" spans="1:25" x14ac:dyDescent="0.25">
      <c r="A356" s="879"/>
      <c r="B356" s="1133">
        <v>106</v>
      </c>
      <c r="C356" s="883">
        <v>0.98808406838537632</v>
      </c>
      <c r="D356" s="883">
        <v>0.98908481242411916</v>
      </c>
      <c r="E356" s="883">
        <v>0.99567300989111962</v>
      </c>
      <c r="F356" s="883">
        <v>1.0265593964194928</v>
      </c>
      <c r="G356" s="883">
        <v>1.0231394662155353</v>
      </c>
      <c r="H356" s="883">
        <v>0.96325609272648238</v>
      </c>
      <c r="I356" s="883">
        <v>0.99608716587745572</v>
      </c>
      <c r="K356">
        <v>6.7402324173649575</v>
      </c>
      <c r="L356">
        <v>0</v>
      </c>
      <c r="M356">
        <v>1.0247095820380253E-2</v>
      </c>
      <c r="N356">
        <v>0.18982415268587666</v>
      </c>
      <c r="O356">
        <v>0.12407951799639833</v>
      </c>
      <c r="P356">
        <v>8.2899509790207729E-2</v>
      </c>
      <c r="Q356">
        <v>0</v>
      </c>
      <c r="R356">
        <v>1.0247095820380253E-2</v>
      </c>
      <c r="S356">
        <v>0.26877137743707868</v>
      </c>
      <c r="T356">
        <v>5.9138110082196356</v>
      </c>
      <c r="U356">
        <v>0</v>
      </c>
      <c r="V356">
        <v>1.922083825949366E-2</v>
      </c>
      <c r="W356">
        <v>0.10012537820699381</v>
      </c>
      <c r="X356">
        <v>-6.9508190399292333E-4</v>
      </c>
      <c r="Y356">
        <v>4.219571667326253E-2</v>
      </c>
    </row>
    <row r="357" spans="1:25" x14ac:dyDescent="0.25">
      <c r="A357" s="879"/>
      <c r="B357" s="1133">
        <v>107</v>
      </c>
      <c r="C357" s="883">
        <v>0.96304310078798572</v>
      </c>
      <c r="D357" s="883">
        <v>1.0247159032741247</v>
      </c>
      <c r="E357" s="883">
        <v>0.96686476890820616</v>
      </c>
      <c r="F357" s="883">
        <v>1.0068412182069282</v>
      </c>
      <c r="G357" s="883">
        <v>1.0091739032746234</v>
      </c>
      <c r="H357" s="883">
        <v>1.0233909563710708</v>
      </c>
      <c r="I357" s="883">
        <v>0.9940153712655212</v>
      </c>
      <c r="K357">
        <v>6.7719048218802911</v>
      </c>
      <c r="L357">
        <v>0</v>
      </c>
      <c r="M357">
        <v>1.1281691009445627E-2</v>
      </c>
      <c r="N357">
        <v>0.20024602930036656</v>
      </c>
      <c r="O357">
        <v>0.12606638402021927</v>
      </c>
      <c r="P357">
        <v>8.1248263887545344E-2</v>
      </c>
      <c r="Q357">
        <v>0</v>
      </c>
      <c r="R357">
        <v>1.1281691009445627E-2</v>
      </c>
      <c r="S357">
        <v>0.28061995035883192</v>
      </c>
      <c r="T357">
        <v>5.9143343177972554</v>
      </c>
      <c r="U357">
        <v>0</v>
      </c>
      <c r="V357">
        <v>1.9364300472559277E-2</v>
      </c>
      <c r="W357">
        <v>0.10715635050157289</v>
      </c>
      <c r="X357">
        <v>-3.5867699688182687E-3</v>
      </c>
      <c r="Y357">
        <v>4.6455995510754938E-2</v>
      </c>
    </row>
    <row r="358" spans="1:25" x14ac:dyDescent="0.25">
      <c r="A358" s="879"/>
      <c r="B358" s="1133">
        <v>108</v>
      </c>
      <c r="C358" s="883">
        <v>0.98393801010029702</v>
      </c>
      <c r="D358" s="883">
        <v>0.98546064577866976</v>
      </c>
      <c r="E358" s="883">
        <v>1.0028682665503308</v>
      </c>
      <c r="F358" s="883">
        <v>1.0011142213842812</v>
      </c>
      <c r="G358" s="883">
        <v>1.00225990493513</v>
      </c>
      <c r="H358" s="883">
        <v>1.0072150116162371</v>
      </c>
      <c r="I358" s="883">
        <v>0.97135275146269284</v>
      </c>
      <c r="K358">
        <v>6.7540221370267872</v>
      </c>
      <c r="L358">
        <v>0</v>
      </c>
      <c r="M358">
        <v>1.0709297959468357E-2</v>
      </c>
      <c r="N358">
        <v>0.20051245180473753</v>
      </c>
      <c r="O358">
        <v>0.12464766007923411</v>
      </c>
      <c r="P358">
        <v>8.3309262406223383E-2</v>
      </c>
      <c r="Q358">
        <v>0</v>
      </c>
      <c r="R358">
        <v>1.0709297959468357E-2</v>
      </c>
      <c r="S358">
        <v>0.26736259220721759</v>
      </c>
      <c r="T358">
        <v>5.9120317045266306</v>
      </c>
      <c r="U358">
        <v>0</v>
      </c>
      <c r="V358">
        <v>1.924408702029699E-2</v>
      </c>
      <c r="W358">
        <v>0.10538569711185075</v>
      </c>
      <c r="X358">
        <v>-2.5703009425197482E-3</v>
      </c>
      <c r="Y358">
        <v>4.4098982813113433E-2</v>
      </c>
    </row>
    <row r="359" spans="1:25" x14ac:dyDescent="0.25">
      <c r="A359" s="879"/>
      <c r="B359" s="1133">
        <v>109</v>
      </c>
      <c r="C359" s="883">
        <v>0.98069879993729081</v>
      </c>
      <c r="D359" s="883">
        <v>1.030319220499307</v>
      </c>
      <c r="E359" s="883">
        <v>1.0214020129388421</v>
      </c>
      <c r="F359" s="883">
        <v>1.0198753471032458</v>
      </c>
      <c r="G359" s="883">
        <v>0.96684060155812868</v>
      </c>
      <c r="H359" s="883">
        <v>0.99040106232499747</v>
      </c>
      <c r="I359" s="883">
        <v>0.98345781075576</v>
      </c>
      <c r="K359">
        <v>6.7471250362020676</v>
      </c>
      <c r="L359">
        <v>0</v>
      </c>
      <c r="M359">
        <v>1.0199133231617783E-2</v>
      </c>
      <c r="N359">
        <v>0.1962716173597471</v>
      </c>
      <c r="O359">
        <v>0.12250031218285605</v>
      </c>
      <c r="P359">
        <v>8.4501756157959171E-2</v>
      </c>
      <c r="Q359">
        <v>0</v>
      </c>
      <c r="R359">
        <v>1.0199133231617783E-2</v>
      </c>
      <c r="S359">
        <v>0.26960041766305481</v>
      </c>
      <c r="T359">
        <v>5.91199122866362</v>
      </c>
      <c r="U359">
        <v>0</v>
      </c>
      <c r="V359">
        <v>1.9262387470995408E-2</v>
      </c>
      <c r="W359">
        <v>0.10221629304323827</v>
      </c>
      <c r="X359">
        <v>-1.2171916091625547E-3</v>
      </c>
      <c r="Y359">
        <v>4.1998215269761226E-2</v>
      </c>
    </row>
    <row r="360" spans="1:25" x14ac:dyDescent="0.25">
      <c r="A360" s="879"/>
      <c r="B360" s="1133">
        <v>110</v>
      </c>
      <c r="C360" s="883">
        <v>0.98684771370215629</v>
      </c>
      <c r="D360" s="883">
        <v>0.99629878679772621</v>
      </c>
      <c r="E360" s="883">
        <v>1.0281064585463917</v>
      </c>
      <c r="F360" s="883">
        <v>1.0230402000999732</v>
      </c>
      <c r="G360" s="883">
        <v>1.0137717509144937</v>
      </c>
      <c r="H360" s="883">
        <v>1.0002627290303592</v>
      </c>
      <c r="I360" s="883">
        <v>1.0065626100674585</v>
      </c>
      <c r="K360">
        <v>6.7602912631259615</v>
      </c>
      <c r="L360">
        <v>0</v>
      </c>
      <c r="M360">
        <v>1.0323907605345989E-2</v>
      </c>
      <c r="N360">
        <v>0.20065227373646144</v>
      </c>
      <c r="O360">
        <v>0.12325407946186073</v>
      </c>
      <c r="P360">
        <v>8.499892369344228E-2</v>
      </c>
      <c r="Q360">
        <v>0</v>
      </c>
      <c r="R360">
        <v>1.0323907605345989E-2</v>
      </c>
      <c r="S360">
        <v>0.2754942900573541</v>
      </c>
      <c r="T360">
        <v>5.9117761468188395</v>
      </c>
      <c r="U360">
        <v>0</v>
      </c>
      <c r="V360">
        <v>1.9227750599354269E-2</v>
      </c>
      <c r="W360">
        <v>0.10415382082578657</v>
      </c>
      <c r="X360">
        <v>-1.778035998904317E-3</v>
      </c>
      <c r="Y360">
        <v>4.2512013931763369E-2</v>
      </c>
    </row>
    <row r="361" spans="1:25" x14ac:dyDescent="0.25">
      <c r="A361" s="879"/>
      <c r="B361" s="1133">
        <v>111</v>
      </c>
      <c r="C361" s="883">
        <v>1.0254336282978684</v>
      </c>
      <c r="D361" s="883">
        <v>0.99773613205028333</v>
      </c>
      <c r="E361" s="883">
        <v>1.0237454312999108</v>
      </c>
      <c r="F361" s="883">
        <v>0.97088709429521169</v>
      </c>
      <c r="G361" s="883">
        <v>1.0275777045065264</v>
      </c>
      <c r="H361" s="883">
        <v>0.98241989897390225</v>
      </c>
      <c r="I361" s="883">
        <v>0.96632924765364747</v>
      </c>
      <c r="K361">
        <v>6.7117934347504091</v>
      </c>
      <c r="L361">
        <v>0</v>
      </c>
      <c r="M361">
        <v>9.7895042710910082E-3</v>
      </c>
      <c r="N361">
        <v>0.1890428138658472</v>
      </c>
      <c r="O361">
        <v>0.11862853238795601</v>
      </c>
      <c r="P361">
        <v>8.4379939781026592E-2</v>
      </c>
      <c r="Q361">
        <v>0</v>
      </c>
      <c r="R361">
        <v>9.7895042710910082E-3</v>
      </c>
      <c r="S361">
        <v>0.25292269137839252</v>
      </c>
      <c r="T361">
        <v>5.9092101098618848</v>
      </c>
      <c r="U361">
        <v>0</v>
      </c>
      <c r="V361">
        <v>1.9019878048828417E-2</v>
      </c>
      <c r="W361">
        <v>9.8338141551100267E-2</v>
      </c>
      <c r="X361">
        <v>-6.0108246178776069E-5</v>
      </c>
      <c r="Y361">
        <v>4.0311436121548923E-2</v>
      </c>
    </row>
    <row r="362" spans="1:25" x14ac:dyDescent="0.25">
      <c r="A362" s="879"/>
      <c r="B362" s="1133">
        <v>112</v>
      </c>
      <c r="C362" s="883">
        <v>1.0425039666626026</v>
      </c>
      <c r="D362" s="883">
        <v>1.0443738698907801</v>
      </c>
      <c r="E362" s="883">
        <v>1.0236598259010266</v>
      </c>
      <c r="F362" s="883">
        <v>0.98126439220215544</v>
      </c>
      <c r="G362" s="883">
        <v>0.96806169530330322</v>
      </c>
      <c r="H362" s="883">
        <v>0.98829630103715227</v>
      </c>
      <c r="I362" s="883">
        <v>1.0071547072264759</v>
      </c>
      <c r="K362">
        <v>6.705954620036918</v>
      </c>
      <c r="L362">
        <v>0</v>
      </c>
      <c r="M362">
        <v>9.4999595790165852E-3</v>
      </c>
      <c r="N362">
        <v>0.18342826085065425</v>
      </c>
      <c r="O362">
        <v>0.11457468324422629</v>
      </c>
      <c r="P362">
        <v>8.446985695338112E-2</v>
      </c>
      <c r="Q362">
        <v>0</v>
      </c>
      <c r="R362">
        <v>9.4999595790165852E-3</v>
      </c>
      <c r="S362">
        <v>0.25943038634171373</v>
      </c>
      <c r="T362">
        <v>5.9097756380109647</v>
      </c>
      <c r="U362">
        <v>0</v>
      </c>
      <c r="V362">
        <v>1.8932825217880315E-2</v>
      </c>
      <c r="W362">
        <v>9.5421526032841986E-2</v>
      </c>
      <c r="X362">
        <v>8.023007686364295E-4</v>
      </c>
      <c r="Y362">
        <v>3.9119142616620424E-2</v>
      </c>
    </row>
    <row r="363" spans="1:25" x14ac:dyDescent="0.25">
      <c r="A363" s="879"/>
      <c r="B363" s="1133">
        <v>113</v>
      </c>
      <c r="C363" s="883">
        <v>0.97746317985294373</v>
      </c>
      <c r="D363" s="883">
        <v>0.96878622521892754</v>
      </c>
      <c r="E363" s="883">
        <v>0.97581082954462051</v>
      </c>
      <c r="F363" s="883">
        <v>1.0076781842284557</v>
      </c>
      <c r="G363" s="883">
        <v>1.0480141551551163</v>
      </c>
      <c r="H363" s="883">
        <v>0.9771140314511122</v>
      </c>
      <c r="I363" s="883">
        <v>1.0362942362288343</v>
      </c>
      <c r="K363">
        <v>6.7659455694796033</v>
      </c>
      <c r="L363">
        <v>0</v>
      </c>
      <c r="M363">
        <v>1.0786530671792279E-2</v>
      </c>
      <c r="N363">
        <v>0.1940169309104382</v>
      </c>
      <c r="O363">
        <v>0.12685539017355291</v>
      </c>
      <c r="P363">
        <v>8.1854158521055251E-2</v>
      </c>
      <c r="Q363">
        <v>0</v>
      </c>
      <c r="R363">
        <v>1.0786530671792279E-2</v>
      </c>
      <c r="S363">
        <v>0.28422636675554236</v>
      </c>
      <c r="T363">
        <v>5.9138911151620528</v>
      </c>
      <c r="U363">
        <v>0</v>
      </c>
      <c r="V363">
        <v>1.9280788728921118E-2</v>
      </c>
      <c r="W363">
        <v>0.10335734808106253</v>
      </c>
      <c r="X363">
        <v>-1.9535422285794917E-3</v>
      </c>
      <c r="Y363">
        <v>4.4417013375553004E-2</v>
      </c>
    </row>
    <row r="364" spans="1:25" x14ac:dyDescent="0.25">
      <c r="A364" s="879"/>
      <c r="B364" s="1133">
        <v>114</v>
      </c>
      <c r="C364" s="883">
        <v>0.98511049364512504</v>
      </c>
      <c r="D364" s="883">
        <v>0.98303096439440019</v>
      </c>
      <c r="E364" s="883">
        <v>1.0154823049671331</v>
      </c>
      <c r="F364" s="883">
        <v>1.0051422292178926</v>
      </c>
      <c r="G364" s="883">
        <v>1.00353472231444</v>
      </c>
      <c r="H364" s="883">
        <v>0.99781605480518998</v>
      </c>
      <c r="I364" s="883">
        <v>0.96095771435406474</v>
      </c>
      <c r="K364">
        <v>6.7483345995432096</v>
      </c>
      <c r="L364">
        <v>0</v>
      </c>
      <c r="M364">
        <v>1.0491587818153521E-2</v>
      </c>
      <c r="N364">
        <v>0.20013908813495049</v>
      </c>
      <c r="O364">
        <v>0.12437963956599217</v>
      </c>
      <c r="P364">
        <v>8.4039598983296701E-2</v>
      </c>
      <c r="Q364">
        <v>0</v>
      </c>
      <c r="R364">
        <v>1.0491587818153521E-2</v>
      </c>
      <c r="S364">
        <v>0.26336294150493855</v>
      </c>
      <c r="T364">
        <v>5.9115340173488704</v>
      </c>
      <c r="U364">
        <v>0</v>
      </c>
      <c r="V364">
        <v>1.9237492546998851E-2</v>
      </c>
      <c r="W364">
        <v>0.10453500750941065</v>
      </c>
      <c r="X364">
        <v>-2.09567725338664E-3</v>
      </c>
      <c r="Y364">
        <v>4.3202491202139509E-2</v>
      </c>
    </row>
    <row r="365" spans="1:25" x14ac:dyDescent="0.25">
      <c r="A365" s="879"/>
      <c r="B365" s="1133">
        <v>115</v>
      </c>
      <c r="C365" s="883">
        <v>1.0060733275909677</v>
      </c>
      <c r="D365" s="883">
        <v>0.96929261181925741</v>
      </c>
      <c r="E365" s="883">
        <v>1.013480229197973</v>
      </c>
      <c r="F365" s="883">
        <v>0.97114336989326555</v>
      </c>
      <c r="G365" s="883">
        <v>0.98829228686327397</v>
      </c>
      <c r="H365" s="883">
        <v>0.99604934580436233</v>
      </c>
      <c r="I365" s="883">
        <v>1.0037397630783294</v>
      </c>
      <c r="K365">
        <v>6.7450826568467379</v>
      </c>
      <c r="L365">
        <v>0</v>
      </c>
      <c r="M365">
        <v>1.0334942088524354E-2</v>
      </c>
      <c r="N365">
        <v>0.19656762493416943</v>
      </c>
      <c r="O365">
        <v>0.12251360566056109</v>
      </c>
      <c r="P365">
        <v>8.3970120260228612E-2</v>
      </c>
      <c r="Q365">
        <v>0</v>
      </c>
      <c r="R365">
        <v>1.0334942088524354E-2</v>
      </c>
      <c r="S365">
        <v>0.26933270755983868</v>
      </c>
      <c r="T365">
        <v>5.9098111461088756</v>
      </c>
      <c r="U365">
        <v>0</v>
      </c>
      <c r="V365">
        <v>1.9122184012002497E-2</v>
      </c>
      <c r="W365">
        <v>0.10277112242963508</v>
      </c>
      <c r="X365">
        <v>-1.5633060880005658E-3</v>
      </c>
      <c r="Y365">
        <v>4.255745196942709E-2</v>
      </c>
    </row>
    <row r="366" spans="1:25" x14ac:dyDescent="0.25">
      <c r="A366" s="879"/>
      <c r="B366" s="1133">
        <v>116</v>
      </c>
      <c r="C366" s="883">
        <v>1.0184052547923648</v>
      </c>
      <c r="D366" s="883">
        <v>1.0040169933511482</v>
      </c>
      <c r="E366" s="883">
        <v>0.96277246633248947</v>
      </c>
      <c r="F366" s="883">
        <v>0.99712113971297434</v>
      </c>
      <c r="G366" s="883">
        <v>1.014777033350478</v>
      </c>
      <c r="H366" s="883">
        <v>0.97358084509868803</v>
      </c>
      <c r="I366" s="883">
        <v>1.0068080007007953</v>
      </c>
      <c r="K366">
        <v>6.7188880903037447</v>
      </c>
      <c r="L366">
        <v>0</v>
      </c>
      <c r="M366">
        <v>1.0274724042172402E-2</v>
      </c>
      <c r="N366">
        <v>0.18126752913561753</v>
      </c>
      <c r="O366">
        <v>0.12026416147145197</v>
      </c>
      <c r="P366">
        <v>8.0769687364330073E-2</v>
      </c>
      <c r="Q366">
        <v>0</v>
      </c>
      <c r="R366">
        <v>1.0274724042172402E-2</v>
      </c>
      <c r="S366">
        <v>0.26435348127384528</v>
      </c>
      <c r="T366">
        <v>5.9140306360828028</v>
      </c>
      <c r="U366">
        <v>0</v>
      </c>
      <c r="V366">
        <v>1.9056568469124353E-2</v>
      </c>
      <c r="W366">
        <v>9.720071309372047E-2</v>
      </c>
      <c r="X366">
        <v>-3.6417136010717747E-4</v>
      </c>
      <c r="Y366">
        <v>4.2309484772962432E-2</v>
      </c>
    </row>
    <row r="367" spans="1:25" x14ac:dyDescent="0.25">
      <c r="A367" s="879"/>
      <c r="B367" s="1133">
        <v>117</v>
      </c>
      <c r="C367" s="883">
        <v>0.98404962168537291</v>
      </c>
      <c r="D367" s="883">
        <v>1.0111497404721859</v>
      </c>
      <c r="E367" s="883">
        <v>0.99248317828210519</v>
      </c>
      <c r="F367" s="883">
        <v>1.0239997638403981</v>
      </c>
      <c r="G367" s="883">
        <v>0.96424623063233694</v>
      </c>
      <c r="H367" s="883">
        <v>0.97620415511331182</v>
      </c>
      <c r="I367" s="883">
        <v>0.99845701512724161</v>
      </c>
      <c r="K367">
        <v>6.7443988611677028</v>
      </c>
      <c r="L367">
        <v>0</v>
      </c>
      <c r="M367">
        <v>1.0358142496118916E-2</v>
      </c>
      <c r="N367">
        <v>0.19097623099506619</v>
      </c>
      <c r="O367">
        <v>0.12355383509994997</v>
      </c>
      <c r="P367">
        <v>8.2736769147638667E-2</v>
      </c>
      <c r="Q367">
        <v>0</v>
      </c>
      <c r="R367">
        <v>1.0358142496118916E-2</v>
      </c>
      <c r="S367">
        <v>0.27155154251112884</v>
      </c>
      <c r="T367">
        <v>5.9138509506351342</v>
      </c>
      <c r="U367">
        <v>0</v>
      </c>
      <c r="V367">
        <v>1.9243458599455036E-2</v>
      </c>
      <c r="W367">
        <v>0.10089315068416806</v>
      </c>
      <c r="X367">
        <v>-1.0600636232198368E-3</v>
      </c>
      <c r="Y367">
        <v>4.2652987118382897E-2</v>
      </c>
    </row>
    <row r="368" spans="1:25" x14ac:dyDescent="0.25">
      <c r="A368" s="879"/>
      <c r="B368" s="1133">
        <v>118</v>
      </c>
      <c r="C368" s="883">
        <v>0.9876834605955076</v>
      </c>
      <c r="D368" s="883">
        <v>1.0490620588340662</v>
      </c>
      <c r="E368" s="883">
        <v>1.0180320238120499</v>
      </c>
      <c r="F368" s="883">
        <v>1.0261688661816288</v>
      </c>
      <c r="G368" s="883">
        <v>0.9912251765335115</v>
      </c>
      <c r="H368" s="883">
        <v>1.0052951519943711</v>
      </c>
      <c r="I368" s="883">
        <v>0.98650978702856673</v>
      </c>
      <c r="K368">
        <v>6.745445006206233</v>
      </c>
      <c r="L368">
        <v>0</v>
      </c>
      <c r="M368">
        <v>1.0230486728493703E-2</v>
      </c>
      <c r="N368">
        <v>0.19589594498990662</v>
      </c>
      <c r="O368">
        <v>0.12082336835485746</v>
      </c>
      <c r="P368">
        <v>8.4299104930373098E-2</v>
      </c>
      <c r="Q368">
        <v>0</v>
      </c>
      <c r="R368">
        <v>1.0230486728493703E-2</v>
      </c>
      <c r="S368">
        <v>0.26973809572424706</v>
      </c>
      <c r="T368">
        <v>5.9125243656103859</v>
      </c>
      <c r="U368">
        <v>0</v>
      </c>
      <c r="V368">
        <v>1.9223076123817313E-2</v>
      </c>
      <c r="W368">
        <v>0.10219016462738008</v>
      </c>
      <c r="X368">
        <v>-1.3764375439147406E-3</v>
      </c>
      <c r="Y368">
        <v>4.2127323389181869E-2</v>
      </c>
    </row>
    <row r="369" spans="1:25" x14ac:dyDescent="0.25">
      <c r="A369" s="879"/>
      <c r="B369" s="1133">
        <v>119</v>
      </c>
      <c r="C369" s="883">
        <v>0.99621660002386392</v>
      </c>
      <c r="D369" s="883">
        <v>0.99793305379840591</v>
      </c>
      <c r="E369" s="883">
        <v>0.9834360223938976</v>
      </c>
      <c r="F369" s="883">
        <v>0.99387074435534406</v>
      </c>
      <c r="G369" s="883">
        <v>0.99680491315810682</v>
      </c>
      <c r="H369" s="883">
        <v>0.99550243061616484</v>
      </c>
      <c r="I369" s="883">
        <v>1.0164336862268353</v>
      </c>
      <c r="K369">
        <v>6.748336340703057</v>
      </c>
      <c r="L369">
        <v>0</v>
      </c>
      <c r="M369">
        <v>1.0576004409697784E-2</v>
      </c>
      <c r="N369">
        <v>0.19239462305779445</v>
      </c>
      <c r="O369">
        <v>0.12285817422685484</v>
      </c>
      <c r="P369">
        <v>8.2197284107242002E-2</v>
      </c>
      <c r="Q369">
        <v>0</v>
      </c>
      <c r="R369">
        <v>1.0576004409697784E-2</v>
      </c>
      <c r="S369">
        <v>0.27502616540091179</v>
      </c>
      <c r="T369">
        <v>5.9127248284393943</v>
      </c>
      <c r="U369">
        <v>0</v>
      </c>
      <c r="V369">
        <v>1.9175797663203816E-2</v>
      </c>
      <c r="W369">
        <v>0.10210247306891396</v>
      </c>
      <c r="X369">
        <v>-1.6931089617841573E-3</v>
      </c>
      <c r="Y369">
        <v>4.3550103700525637E-2</v>
      </c>
    </row>
    <row r="370" spans="1:25" x14ac:dyDescent="0.25">
      <c r="A370" s="879"/>
      <c r="B370" s="1133">
        <v>120</v>
      </c>
      <c r="C370" s="883">
        <v>1.0308059147435227</v>
      </c>
      <c r="D370" s="883">
        <v>1.0079252206337375</v>
      </c>
      <c r="E370" s="883">
        <v>1.0067167668529542</v>
      </c>
      <c r="F370" s="883">
        <v>1.0071687259633777</v>
      </c>
      <c r="G370" s="883">
        <v>1.0086278722939999</v>
      </c>
      <c r="H370" s="883">
        <v>0.9869576267452892</v>
      </c>
      <c r="I370" s="883">
        <v>1.0050700838682356</v>
      </c>
      <c r="K370">
        <v>6.7189300839943957</v>
      </c>
      <c r="L370">
        <v>0</v>
      </c>
      <c r="M370">
        <v>9.8872154296380833E-3</v>
      </c>
      <c r="N370">
        <v>0.18617852529243517</v>
      </c>
      <c r="O370">
        <v>0.1178424622825717</v>
      </c>
      <c r="P370">
        <v>8.3476546977326718E-2</v>
      </c>
      <c r="Q370">
        <v>0</v>
      </c>
      <c r="R370">
        <v>9.8872154296380833E-3</v>
      </c>
      <c r="S370">
        <v>0.26198736990269672</v>
      </c>
      <c r="T370">
        <v>5.912141561970599</v>
      </c>
      <c r="U370">
        <v>0</v>
      </c>
      <c r="V370">
        <v>1.8992170331760861E-2</v>
      </c>
      <c r="W370">
        <v>9.7665565663769549E-2</v>
      </c>
      <c r="X370">
        <v>-6.7911707276032779E-5</v>
      </c>
      <c r="Y370">
        <v>4.07137932805079E-2</v>
      </c>
    </row>
    <row r="371" spans="1:25" x14ac:dyDescent="0.25">
      <c r="A371" s="879"/>
      <c r="B371" s="1133">
        <v>121</v>
      </c>
      <c r="C371" s="883">
        <v>0.98437212552340381</v>
      </c>
      <c r="D371" s="883">
        <v>0.96321191854783961</v>
      </c>
      <c r="E371" s="883">
        <v>0.9735059095770201</v>
      </c>
      <c r="F371" s="883">
        <v>0.99274502182159785</v>
      </c>
      <c r="G371" s="883">
        <v>0.97657196826518788</v>
      </c>
      <c r="H371" s="883">
        <v>0.99461151336897025</v>
      </c>
      <c r="I371" s="883">
        <v>1.0309783215040043</v>
      </c>
      <c r="K371">
        <v>6.7665911876966511</v>
      </c>
      <c r="L371">
        <v>0</v>
      </c>
      <c r="M371">
        <v>1.0951609665135125E-2</v>
      </c>
      <c r="N371">
        <v>0.19631343907027557</v>
      </c>
      <c r="O371">
        <v>0.12630011784178818</v>
      </c>
      <c r="P371">
        <v>8.1677621398211331E-2</v>
      </c>
      <c r="Q371">
        <v>0</v>
      </c>
      <c r="R371">
        <v>1.0951609665135125E-2</v>
      </c>
      <c r="S371">
        <v>0.28259525061869334</v>
      </c>
      <c r="T371">
        <v>5.9132100290648051</v>
      </c>
      <c r="U371">
        <v>0</v>
      </c>
      <c r="V371">
        <v>1.9241643566050279E-2</v>
      </c>
      <c r="W371">
        <v>0.10470178169044927</v>
      </c>
      <c r="X371">
        <v>-2.5454748408016863E-3</v>
      </c>
      <c r="Y371">
        <v>4.50967792871734E-2</v>
      </c>
    </row>
    <row r="372" spans="1:25" x14ac:dyDescent="0.25">
      <c r="A372" s="879"/>
      <c r="B372" s="1133">
        <v>122</v>
      </c>
      <c r="C372" s="883">
        <v>0.99683810261356975</v>
      </c>
      <c r="D372" s="883">
        <v>1.0045231527906722</v>
      </c>
      <c r="E372" s="883">
        <v>1.0402630236569661</v>
      </c>
      <c r="F372" s="883">
        <v>1.0345969105292154</v>
      </c>
      <c r="G372" s="883">
        <v>1.0228413150927398</v>
      </c>
      <c r="H372" s="883">
        <v>0.97918127177030367</v>
      </c>
      <c r="I372" s="883">
        <v>0.99241130763565188</v>
      </c>
      <c r="K372">
        <v>6.7408464983310763</v>
      </c>
      <c r="L372">
        <v>0</v>
      </c>
      <c r="M372">
        <v>9.8641668489771375E-3</v>
      </c>
      <c r="N372">
        <v>0.19519206353831461</v>
      </c>
      <c r="O372">
        <v>0.12138644190685952</v>
      </c>
      <c r="P372">
        <v>8.5639081759756416E-2</v>
      </c>
      <c r="Q372">
        <v>0</v>
      </c>
      <c r="R372">
        <v>9.8641668489771375E-3</v>
      </c>
      <c r="S372">
        <v>0.26686275067737425</v>
      </c>
      <c r="T372">
        <v>5.9116940494731498</v>
      </c>
      <c r="U372">
        <v>0</v>
      </c>
      <c r="V372">
        <v>1.9172385808095858E-2</v>
      </c>
      <c r="W372">
        <v>0.10071812435443984</v>
      </c>
      <c r="X372">
        <v>-4.3728251475916638E-4</v>
      </c>
      <c r="Y372">
        <v>4.0618883327840555E-2</v>
      </c>
    </row>
    <row r="373" spans="1:25" x14ac:dyDescent="0.25">
      <c r="A373" s="879"/>
      <c r="B373" s="1133">
        <v>123</v>
      </c>
      <c r="C373" s="883">
        <v>1.017529852921401</v>
      </c>
      <c r="D373" s="883">
        <v>1.0039231027620625</v>
      </c>
      <c r="E373" s="883">
        <v>0.98813451113657147</v>
      </c>
      <c r="F373" s="883">
        <v>0.95071351146350158</v>
      </c>
      <c r="G373" s="883">
        <v>1.0018032094115321</v>
      </c>
      <c r="H373" s="883">
        <v>0.99101501003334924</v>
      </c>
      <c r="I373" s="883">
        <v>0.9823634947958727</v>
      </c>
      <c r="K373">
        <v>6.7193389804470707</v>
      </c>
      <c r="L373">
        <v>0</v>
      </c>
      <c r="M373">
        <v>1.0239369383688949E-2</v>
      </c>
      <c r="N373">
        <v>0.18757316568656207</v>
      </c>
      <c r="O373">
        <v>0.11991138611862467</v>
      </c>
      <c r="P373">
        <v>8.2255039695108043E-2</v>
      </c>
      <c r="Q373">
        <v>0</v>
      </c>
      <c r="R373">
        <v>1.0239369383688949E-2</v>
      </c>
      <c r="S373">
        <v>0.2597833002339035</v>
      </c>
      <c r="T373">
        <v>5.9101317541043512</v>
      </c>
      <c r="U373">
        <v>0</v>
      </c>
      <c r="V373">
        <v>1.9061173851771737E-2</v>
      </c>
      <c r="W373">
        <v>9.9310402010410401E-2</v>
      </c>
      <c r="X373">
        <v>-8.5114183588280668E-4</v>
      </c>
      <c r="Y373">
        <v>4.2163900582222191E-2</v>
      </c>
    </row>
    <row r="374" spans="1:25" x14ac:dyDescent="0.25">
      <c r="A374" s="879"/>
      <c r="B374" s="1133">
        <v>124</v>
      </c>
      <c r="C374" s="883">
        <v>0.99870900195120027</v>
      </c>
      <c r="D374" s="883">
        <v>0.95650229489771554</v>
      </c>
      <c r="E374" s="883">
        <v>1.0025736091425306</v>
      </c>
      <c r="F374" s="883">
        <v>1.0092650203175795</v>
      </c>
      <c r="G374" s="883">
        <v>0.98617236065155045</v>
      </c>
      <c r="H374" s="883">
        <v>0.99310117749855653</v>
      </c>
      <c r="I374" s="883">
        <v>1.042083485702415</v>
      </c>
      <c r="K374">
        <v>6.7633933110291622</v>
      </c>
      <c r="L374">
        <v>0</v>
      </c>
      <c r="M374">
        <v>1.0539675748910611E-2</v>
      </c>
      <c r="N374">
        <v>0.19725047217762168</v>
      </c>
      <c r="O374">
        <v>0.1242836246410082</v>
      </c>
      <c r="P374">
        <v>8.3485820795278526E-2</v>
      </c>
      <c r="Q374">
        <v>0</v>
      </c>
      <c r="R374">
        <v>1.0539675748910611E-2</v>
      </c>
      <c r="S374">
        <v>0.28151882336289963</v>
      </c>
      <c r="T374">
        <v>5.9124887819743384</v>
      </c>
      <c r="U374">
        <v>0</v>
      </c>
      <c r="V374">
        <v>1.9162140786742922E-2</v>
      </c>
      <c r="W374">
        <v>0.1036864151338981</v>
      </c>
      <c r="X374">
        <v>-1.8832765842861736E-3</v>
      </c>
      <c r="Y374">
        <v>4.3400508741664616E-2</v>
      </c>
    </row>
    <row r="375" spans="1:25" x14ac:dyDescent="0.25">
      <c r="A375" s="879"/>
      <c r="B375" s="1133">
        <v>125</v>
      </c>
      <c r="C375" s="883">
        <v>1.0074967237911796</v>
      </c>
      <c r="D375" s="883">
        <v>0.96022658440360098</v>
      </c>
      <c r="E375" s="883">
        <v>0.99924033201857687</v>
      </c>
      <c r="F375" s="883">
        <v>1.0256005843004854</v>
      </c>
      <c r="G375" s="883">
        <v>1.0197297412319382</v>
      </c>
      <c r="H375" s="883">
        <v>1.0295124697358042</v>
      </c>
      <c r="I375" s="883">
        <v>1.0108724063744223</v>
      </c>
      <c r="K375">
        <v>6.7629782643553131</v>
      </c>
      <c r="L375">
        <v>0</v>
      </c>
      <c r="M375">
        <v>1.0844295851403051E-2</v>
      </c>
      <c r="N375">
        <v>0.20195177512447585</v>
      </c>
      <c r="O375">
        <v>0.12307126476314306</v>
      </c>
      <c r="P375">
        <v>8.3191144335772557E-2</v>
      </c>
      <c r="Q375">
        <v>0</v>
      </c>
      <c r="R375">
        <v>1.0844295851403051E-2</v>
      </c>
      <c r="S375">
        <v>0.27416130733842264</v>
      </c>
      <c r="T375">
        <v>5.9135591326399632</v>
      </c>
      <c r="U375">
        <v>0</v>
      </c>
      <c r="V375">
        <v>1.9114528423788343E-2</v>
      </c>
      <c r="W375">
        <v>0.10633351135215681</v>
      </c>
      <c r="X375">
        <v>-3.0592797257849892E-3</v>
      </c>
      <c r="Y375">
        <v>4.4654880103371486E-2</v>
      </c>
    </row>
    <row r="376" spans="1:25" x14ac:dyDescent="0.25">
      <c r="A376" s="879"/>
      <c r="B376" s="1133">
        <v>126</v>
      </c>
      <c r="C376" s="883">
        <v>0.95454262879144591</v>
      </c>
      <c r="D376" s="883">
        <v>1.0087015406674309</v>
      </c>
      <c r="E376" s="883">
        <v>0.99776125144474648</v>
      </c>
      <c r="F376" s="883">
        <v>0.99667468825013716</v>
      </c>
      <c r="G376" s="883">
        <v>1.013170568382832</v>
      </c>
      <c r="H376" s="883">
        <v>1.0045816755686161</v>
      </c>
      <c r="I376" s="883">
        <v>0.99444002723676328</v>
      </c>
      <c r="K376">
        <v>6.776380877641877</v>
      </c>
      <c r="L376">
        <v>0</v>
      </c>
      <c r="M376">
        <v>1.0949582404840248E-2</v>
      </c>
      <c r="N376">
        <v>0.20346613195046689</v>
      </c>
      <c r="O376">
        <v>0.12739370555560672</v>
      </c>
      <c r="P376">
        <v>8.3182205997313366E-2</v>
      </c>
      <c r="Q376">
        <v>0</v>
      </c>
      <c r="R376">
        <v>1.0949582404840248E-2</v>
      </c>
      <c r="S376">
        <v>0.28162755755664753</v>
      </c>
      <c r="T376">
        <v>5.91207887668316</v>
      </c>
      <c r="U376">
        <v>0</v>
      </c>
      <c r="V376">
        <v>1.9414711787914887E-2</v>
      </c>
      <c r="W376">
        <v>0.10720963583893459</v>
      </c>
      <c r="X376">
        <v>-3.080379118286152E-3</v>
      </c>
      <c r="Y376">
        <v>4.5088431390117971E-2</v>
      </c>
    </row>
    <row r="377" spans="1:25" x14ac:dyDescent="0.25">
      <c r="A377" s="879"/>
      <c r="B377" s="1133">
        <v>127</v>
      </c>
      <c r="C377" s="883">
        <v>1.0400394325236562</v>
      </c>
      <c r="D377" s="883">
        <v>0.98702852725844636</v>
      </c>
      <c r="E377" s="883">
        <v>0.97871501993106391</v>
      </c>
      <c r="F377" s="883">
        <v>1.0005372319146613</v>
      </c>
      <c r="G377" s="883">
        <v>0.97747127970869296</v>
      </c>
      <c r="H377" s="883">
        <v>1.0247055884732816</v>
      </c>
      <c r="I377" s="883">
        <v>1.0032137409368609</v>
      </c>
      <c r="K377">
        <v>6.7277962050111224</v>
      </c>
      <c r="L377">
        <v>0</v>
      </c>
      <c r="M377">
        <v>1.0519960688394787E-2</v>
      </c>
      <c r="N377">
        <v>0.19003940884053813</v>
      </c>
      <c r="O377">
        <v>0.11828451065118445</v>
      </c>
      <c r="P377">
        <v>8.1743347589941534E-2</v>
      </c>
      <c r="Q377">
        <v>0</v>
      </c>
      <c r="R377">
        <v>1.0519960688394787E-2</v>
      </c>
      <c r="S377">
        <v>0.26277983103229158</v>
      </c>
      <c r="T377">
        <v>5.9133455277974489</v>
      </c>
      <c r="U377">
        <v>0</v>
      </c>
      <c r="V377">
        <v>1.8945216988269488E-2</v>
      </c>
      <c r="W377">
        <v>0.10109115506534859</v>
      </c>
      <c r="X377">
        <v>-1.7521185855164324E-3</v>
      </c>
      <c r="Y377">
        <v>4.3319325631610422E-2</v>
      </c>
    </row>
    <row r="378" spans="1:25" x14ac:dyDescent="0.25">
      <c r="A378" s="879"/>
      <c r="B378" s="1133">
        <v>128</v>
      </c>
      <c r="C378" s="883">
        <v>0.99639272644862953</v>
      </c>
      <c r="D378" s="883">
        <v>0.99644356520834376</v>
      </c>
      <c r="E378" s="883">
        <v>0.958604166704636</v>
      </c>
      <c r="F378" s="883">
        <v>1.0127726293708132</v>
      </c>
      <c r="G378" s="883">
        <v>1.0039142457769128</v>
      </c>
      <c r="H378" s="883">
        <v>0.97645274918201563</v>
      </c>
      <c r="I378" s="883">
        <v>1.0018798326295044</v>
      </c>
      <c r="K378">
        <v>6.735762909380413</v>
      </c>
      <c r="L378">
        <v>0</v>
      </c>
      <c r="M378">
        <v>1.060528735898268E-2</v>
      </c>
      <c r="N378">
        <v>0.18594417410502398</v>
      </c>
      <c r="O378">
        <v>0.12337090069309557</v>
      </c>
      <c r="P378">
        <v>8.0584989391438433E-2</v>
      </c>
      <c r="Q378">
        <v>0</v>
      </c>
      <c r="R378">
        <v>1.060528735898268E-2</v>
      </c>
      <c r="S378">
        <v>0.26920457368449319</v>
      </c>
      <c r="T378">
        <v>5.9151020788484763</v>
      </c>
      <c r="U378">
        <v>0</v>
      </c>
      <c r="V378">
        <v>1.9174830351956263E-2</v>
      </c>
      <c r="W378">
        <v>9.9918433835380696E-2</v>
      </c>
      <c r="X378">
        <v>-1.207757202961239E-3</v>
      </c>
      <c r="Y378">
        <v>4.3670685673510151E-2</v>
      </c>
    </row>
    <row r="379" spans="1:25" x14ac:dyDescent="0.25">
      <c r="A379" s="879"/>
      <c r="B379" s="1133">
        <v>129</v>
      </c>
      <c r="C379" s="883">
        <v>0.99567129823585654</v>
      </c>
      <c r="D379" s="883">
        <v>1.0020075869709446</v>
      </c>
      <c r="E379" s="883">
        <v>0.9955048808066026</v>
      </c>
      <c r="F379" s="883">
        <v>0.95121555576382932</v>
      </c>
      <c r="G379" s="883">
        <v>1.0237045586354889</v>
      </c>
      <c r="H379" s="883">
        <v>1.0280213098582804</v>
      </c>
      <c r="I379" s="883">
        <v>0.99232349320701319</v>
      </c>
      <c r="K379">
        <v>6.7529449255729528</v>
      </c>
      <c r="L379">
        <v>0</v>
      </c>
      <c r="M379">
        <v>1.0794133410540946E-2</v>
      </c>
      <c r="N379">
        <v>0.19990803241526917</v>
      </c>
      <c r="O379">
        <v>0.12249946690570908</v>
      </c>
      <c r="P379">
        <v>8.2873077735207384E-2</v>
      </c>
      <c r="Q379">
        <v>0</v>
      </c>
      <c r="R379">
        <v>1.0794133410540946E-2</v>
      </c>
      <c r="S379">
        <v>0.2716825925316409</v>
      </c>
      <c r="T379">
        <v>5.9097483459223135</v>
      </c>
      <c r="U379">
        <v>0</v>
      </c>
      <c r="V379">
        <v>1.9178794707766556E-2</v>
      </c>
      <c r="W379">
        <v>0.10545308092049928</v>
      </c>
      <c r="X379">
        <v>-2.8467856659420343E-3</v>
      </c>
      <c r="Y379">
        <v>4.4448320100482976E-2</v>
      </c>
    </row>
    <row r="380" spans="1:25" x14ac:dyDescent="0.25">
      <c r="A380" s="879"/>
      <c r="B380" s="1133">
        <v>130</v>
      </c>
      <c r="C380" s="883">
        <v>1.0110715939600057</v>
      </c>
      <c r="D380" s="883">
        <v>0.97341434064331234</v>
      </c>
      <c r="E380" s="883">
        <v>1.0094082587543225</v>
      </c>
      <c r="F380" s="883">
        <v>1.0003261673135602</v>
      </c>
      <c r="G380" s="883">
        <v>1.0043198131299884</v>
      </c>
      <c r="H380" s="883">
        <v>0.97291314910528692</v>
      </c>
      <c r="I380" s="883">
        <v>1.0039146286698262</v>
      </c>
      <c r="K380">
        <v>6.7328269942372474</v>
      </c>
      <c r="L380">
        <v>0</v>
      </c>
      <c r="M380">
        <v>1.0062492357983826E-2</v>
      </c>
      <c r="N380">
        <v>0.1902356132595816</v>
      </c>
      <c r="O380">
        <v>0.12177791976260366</v>
      </c>
      <c r="P380">
        <v>8.3691151650750875E-2</v>
      </c>
      <c r="Q380">
        <v>0</v>
      </c>
      <c r="R380">
        <v>1.0062492357983826E-2</v>
      </c>
      <c r="S380">
        <v>0.26580538623682742</v>
      </c>
      <c r="T380">
        <v>5.9116193482475579</v>
      </c>
      <c r="U380">
        <v>0</v>
      </c>
      <c r="V380">
        <v>1.9095396406563575E-2</v>
      </c>
      <c r="W380">
        <v>9.9660967793482644E-2</v>
      </c>
      <c r="X380">
        <v>-4.9434159342375038E-4</v>
      </c>
      <c r="Y380">
        <v>4.1435552473305444E-2</v>
      </c>
    </row>
    <row r="381" spans="1:25" x14ac:dyDescent="0.25">
      <c r="A381" s="879"/>
      <c r="B381" s="1133">
        <v>131</v>
      </c>
      <c r="C381" s="883">
        <v>0.97894265351632004</v>
      </c>
      <c r="D381" s="883">
        <v>1.0237003072793569</v>
      </c>
      <c r="E381" s="883">
        <v>0.99955151946176668</v>
      </c>
      <c r="F381" s="883">
        <v>0.99837151080651898</v>
      </c>
      <c r="G381" s="883">
        <v>0.98264955766672835</v>
      </c>
      <c r="H381" s="883">
        <v>0.97191106216522227</v>
      </c>
      <c r="I381" s="883">
        <v>0.98666698345010828</v>
      </c>
      <c r="K381">
        <v>6.7399956153095282</v>
      </c>
      <c r="L381">
        <v>0</v>
      </c>
      <c r="M381">
        <v>1.0248348660917748E-2</v>
      </c>
      <c r="N381">
        <v>0.19094154680689152</v>
      </c>
      <c r="O381">
        <v>0.12345328307237494</v>
      </c>
      <c r="P381">
        <v>8.3127088154973369E-2</v>
      </c>
      <c r="Q381">
        <v>0</v>
      </c>
      <c r="R381">
        <v>1.0248348660917748E-2</v>
      </c>
      <c r="S381">
        <v>0.269246347316417</v>
      </c>
      <c r="T381">
        <v>5.9120701049697102</v>
      </c>
      <c r="U381">
        <v>0</v>
      </c>
      <c r="V381">
        <v>1.9272359737320523E-2</v>
      </c>
      <c r="W381">
        <v>0.10052076424701763</v>
      </c>
      <c r="X381">
        <v>-8.3675464278003318E-4</v>
      </c>
      <c r="Y381">
        <v>4.2200875647598626E-2</v>
      </c>
    </row>
    <row r="382" spans="1:25" x14ac:dyDescent="0.25">
      <c r="A382" s="879"/>
      <c r="B382" s="1133">
        <v>132</v>
      </c>
      <c r="C382" s="883">
        <v>0.98325599472103697</v>
      </c>
      <c r="D382" s="883">
        <v>1.0055950185649913</v>
      </c>
      <c r="E382" s="883">
        <v>1.036622780163009</v>
      </c>
      <c r="F382" s="883">
        <v>0.97741093061069884</v>
      </c>
      <c r="G382" s="883">
        <v>0.99308074962797566</v>
      </c>
      <c r="H382" s="883">
        <v>1.0045336682754866</v>
      </c>
      <c r="I382" s="883">
        <v>0.98247472826790982</v>
      </c>
      <c r="K382">
        <v>6.7543807669438793</v>
      </c>
      <c r="L382">
        <v>0</v>
      </c>
      <c r="M382">
        <v>1.0287462392748718E-2</v>
      </c>
      <c r="N382">
        <v>0.20247645433372227</v>
      </c>
      <c r="O382">
        <v>0.12308118683900546</v>
      </c>
      <c r="P382">
        <v>8.5419122435320627E-2</v>
      </c>
      <c r="Q382">
        <v>0</v>
      </c>
      <c r="R382">
        <v>1.0287462392748718E-2</v>
      </c>
      <c r="S382">
        <v>0.27020709091380773</v>
      </c>
      <c r="T382">
        <v>5.9088177145008132</v>
      </c>
      <c r="U382">
        <v>0</v>
      </c>
      <c r="V382">
        <v>1.9247930157311896E-2</v>
      </c>
      <c r="W382">
        <v>0.10466293746787513</v>
      </c>
      <c r="X382">
        <v>-1.8936087372752981E-3</v>
      </c>
      <c r="Y382">
        <v>4.2361939033293827E-2</v>
      </c>
    </row>
    <row r="383" spans="1:25" x14ac:dyDescent="0.25">
      <c r="A383" s="879"/>
      <c r="B383" s="1133">
        <v>133</v>
      </c>
      <c r="C383" s="883">
        <v>1.0262371378646411</v>
      </c>
      <c r="D383" s="883">
        <v>0.99396009888318992</v>
      </c>
      <c r="E383" s="883">
        <v>1.0126878356625235</v>
      </c>
      <c r="F383" s="883">
        <v>0.96756789211725092</v>
      </c>
      <c r="G383" s="883">
        <v>0.99821269480717068</v>
      </c>
      <c r="H383" s="883">
        <v>0.99667962454277659</v>
      </c>
      <c r="I383" s="883">
        <v>1.0042086324879029</v>
      </c>
      <c r="K383">
        <v>6.7264443289188316</v>
      </c>
      <c r="L383">
        <v>0</v>
      </c>
      <c r="M383">
        <v>1.0036626385242635E-2</v>
      </c>
      <c r="N383">
        <v>0.19067000100587247</v>
      </c>
      <c r="O383">
        <v>0.11891972858087065</v>
      </c>
      <c r="P383">
        <v>8.3844409717352866E-2</v>
      </c>
      <c r="Q383">
        <v>0</v>
      </c>
      <c r="R383">
        <v>1.0036626385242635E-2</v>
      </c>
      <c r="S383">
        <v>0.26396653052916519</v>
      </c>
      <c r="T383">
        <v>5.9096630422984155</v>
      </c>
      <c r="U383">
        <v>0</v>
      </c>
      <c r="V383">
        <v>1.9015715476333291E-2</v>
      </c>
      <c r="W383">
        <v>9.9726706131319898E-2</v>
      </c>
      <c r="X383">
        <v>-6.9084582203217761E-4</v>
      </c>
      <c r="Y383">
        <v>4.1329041001528746E-2</v>
      </c>
    </row>
    <row r="384" spans="1:25" x14ac:dyDescent="0.25">
      <c r="A384" s="879"/>
      <c r="B384" s="1133">
        <v>134</v>
      </c>
      <c r="C384" s="883">
        <v>0.98219459504998474</v>
      </c>
      <c r="D384" s="883">
        <v>1.0122928553663217</v>
      </c>
      <c r="E384" s="883">
        <v>1.0126155021583927</v>
      </c>
      <c r="F384" s="883">
        <v>1.017332685396912</v>
      </c>
      <c r="G384" s="883">
        <v>1.0070980730797554</v>
      </c>
      <c r="H384" s="883">
        <v>1.0447244795898167</v>
      </c>
      <c r="I384" s="883">
        <v>0.97922266911588529</v>
      </c>
      <c r="K384">
        <v>6.7690541273545977</v>
      </c>
      <c r="L384">
        <v>0</v>
      </c>
      <c r="M384">
        <v>1.0907177248548243E-2</v>
      </c>
      <c r="N384">
        <v>0.20718603827238108</v>
      </c>
      <c r="O384">
        <v>0.12334855568218145</v>
      </c>
      <c r="P384">
        <v>8.400509545354333E-2</v>
      </c>
      <c r="Q384">
        <v>0</v>
      </c>
      <c r="R384">
        <v>1.0907177248548243E-2</v>
      </c>
      <c r="S384">
        <v>0.27325421016891832</v>
      </c>
      <c r="T384">
        <v>5.9123560425481028</v>
      </c>
      <c r="U384">
        <v>0</v>
      </c>
      <c r="V384">
        <v>1.9253921730199453E-2</v>
      </c>
      <c r="W384">
        <v>0.10836901178497844</v>
      </c>
      <c r="X384">
        <v>-3.6325627900520726E-3</v>
      </c>
      <c r="Y384">
        <v>4.4913814504343938E-2</v>
      </c>
    </row>
    <row r="385" spans="1:25" x14ac:dyDescent="0.25">
      <c r="A385" s="879"/>
      <c r="B385" s="1133">
        <v>135</v>
      </c>
      <c r="C385" s="883">
        <v>1.0202845415532835</v>
      </c>
      <c r="D385" s="883">
        <v>0.97622632475442661</v>
      </c>
      <c r="E385" s="883">
        <v>0.97497080951254267</v>
      </c>
      <c r="F385" s="883">
        <v>1.0171489493401662</v>
      </c>
      <c r="G385" s="883">
        <v>1.02426938912813</v>
      </c>
      <c r="H385" s="883">
        <v>0.98407491467998531</v>
      </c>
      <c r="I385" s="883">
        <v>1.0083083511524171</v>
      </c>
      <c r="K385">
        <v>6.7294370658027995</v>
      </c>
      <c r="L385">
        <v>0</v>
      </c>
      <c r="M385">
        <v>1.0380947801904284E-2</v>
      </c>
      <c r="N385">
        <v>0.18648907706914783</v>
      </c>
      <c r="O385">
        <v>0.12117531642639182</v>
      </c>
      <c r="P385">
        <v>8.1559492299132869E-2</v>
      </c>
      <c r="Q385">
        <v>0</v>
      </c>
      <c r="R385">
        <v>1.0380947801904284E-2</v>
      </c>
      <c r="S385">
        <v>0.26552319303709954</v>
      </c>
      <c r="T385">
        <v>5.9144492018512311</v>
      </c>
      <c r="U385">
        <v>0</v>
      </c>
      <c r="V385">
        <v>1.9046708463626931E-2</v>
      </c>
      <c r="W385">
        <v>9.9388958265767283E-2</v>
      </c>
      <c r="X385">
        <v>-9.4177691801380881E-4</v>
      </c>
      <c r="Y385">
        <v>4.2746895308413919E-2</v>
      </c>
    </row>
    <row r="386" spans="1:25" x14ac:dyDescent="0.25">
      <c r="A386" s="879"/>
      <c r="B386" s="1133">
        <v>136</v>
      </c>
      <c r="C386" s="883">
        <v>0.99756143385870399</v>
      </c>
      <c r="D386" s="883">
        <v>0.99925777263278748</v>
      </c>
      <c r="E386" s="883">
        <v>1.0095502947830053</v>
      </c>
      <c r="F386" s="883">
        <v>0.99787743340148971</v>
      </c>
      <c r="G386" s="883">
        <v>0.99936217768323909</v>
      </c>
      <c r="H386" s="883">
        <v>0.97758155439617467</v>
      </c>
      <c r="I386" s="883">
        <v>1.0110152333421176</v>
      </c>
      <c r="K386">
        <v>6.7410383004200449</v>
      </c>
      <c r="L386">
        <v>0</v>
      </c>
      <c r="M386">
        <v>1.0132021281277555E-2</v>
      </c>
      <c r="N386">
        <v>0.19159036918194522</v>
      </c>
      <c r="O386">
        <v>0.12213759173828649</v>
      </c>
      <c r="P386">
        <v>8.377614291343484E-2</v>
      </c>
      <c r="Q386">
        <v>0</v>
      </c>
      <c r="R386">
        <v>1.0132021281277555E-2</v>
      </c>
      <c r="S386">
        <v>0.27151063775209827</v>
      </c>
      <c r="T386">
        <v>5.9114789751679444</v>
      </c>
      <c r="U386">
        <v>0</v>
      </c>
      <c r="V386">
        <v>1.9168420298677557E-2</v>
      </c>
      <c r="W386">
        <v>0.10036364718417951</v>
      </c>
      <c r="X386">
        <v>-7.0934402026311344E-4</v>
      </c>
      <c r="Y386">
        <v>4.172186020374203E-2</v>
      </c>
    </row>
    <row r="387" spans="1:25" x14ac:dyDescent="0.25">
      <c r="A387" s="879"/>
      <c r="B387" s="1133">
        <v>137</v>
      </c>
      <c r="C387" s="883">
        <v>1.0175426798211997</v>
      </c>
      <c r="D387" s="883">
        <v>1.0179164672773771</v>
      </c>
      <c r="E387" s="883">
        <v>0.99173131539784631</v>
      </c>
      <c r="F387" s="883">
        <v>0.98390698876081295</v>
      </c>
      <c r="G387" s="883">
        <v>1.0023311198152585</v>
      </c>
      <c r="H387" s="883">
        <v>0.98515550220553139</v>
      </c>
      <c r="I387" s="883">
        <v>1.0210243729013817</v>
      </c>
      <c r="K387">
        <v>6.7270433720647391</v>
      </c>
      <c r="L387">
        <v>0</v>
      </c>
      <c r="M387">
        <v>1.008684542818122E-2</v>
      </c>
      <c r="N387">
        <v>0.18576708721985727</v>
      </c>
      <c r="O387">
        <v>0.11918232067920503</v>
      </c>
      <c r="P387">
        <v>8.2629190079025347E-2</v>
      </c>
      <c r="Q387">
        <v>0</v>
      </c>
      <c r="R387">
        <v>1.008684542818122E-2</v>
      </c>
      <c r="S387">
        <v>0.26932982633098734</v>
      </c>
      <c r="T387">
        <v>5.9117258847127054</v>
      </c>
      <c r="U387">
        <v>0</v>
      </c>
      <c r="V387">
        <v>1.906110631381009E-2</v>
      </c>
      <c r="W387">
        <v>9.8177920126582524E-2</v>
      </c>
      <c r="X387">
        <v>-3.6579747912687523E-4</v>
      </c>
      <c r="Y387">
        <v>4.1535834081693417E-2</v>
      </c>
    </row>
    <row r="388" spans="1:25" x14ac:dyDescent="0.25">
      <c r="A388" s="879"/>
      <c r="B388" s="1133">
        <v>138</v>
      </c>
      <c r="C388" s="883">
        <v>1.0109786108861354</v>
      </c>
      <c r="D388" s="883">
        <v>0.99279293595036733</v>
      </c>
      <c r="E388" s="883">
        <v>0.99942923853724808</v>
      </c>
      <c r="F388" s="883">
        <v>0.9747306138022086</v>
      </c>
      <c r="G388" s="883">
        <v>0.98333123939339995</v>
      </c>
      <c r="H388" s="883">
        <v>0.99043034213860026</v>
      </c>
      <c r="I388" s="883">
        <v>1.0012995380000389</v>
      </c>
      <c r="K388">
        <v>6.7331200836255301</v>
      </c>
      <c r="L388">
        <v>0</v>
      </c>
      <c r="M388">
        <v>1.0247405156145164E-2</v>
      </c>
      <c r="N388">
        <v>0.19088938257760688</v>
      </c>
      <c r="O388">
        <v>0.12101849631355824</v>
      </c>
      <c r="P388">
        <v>8.3064315089095939E-2</v>
      </c>
      <c r="Q388">
        <v>0</v>
      </c>
      <c r="R388">
        <v>1.0247405156145164E-2</v>
      </c>
      <c r="S388">
        <v>0.26657816444726995</v>
      </c>
      <c r="T388">
        <v>5.9107993443003952</v>
      </c>
      <c r="U388">
        <v>0</v>
      </c>
      <c r="V388">
        <v>1.9095892320215083E-2</v>
      </c>
      <c r="W388">
        <v>0.10049940679920102</v>
      </c>
      <c r="X388">
        <v>-1.0219086847010103E-3</v>
      </c>
      <c r="Y388">
        <v>4.2196990462882715E-2</v>
      </c>
    </row>
    <row r="389" spans="1:25" x14ac:dyDescent="0.25">
      <c r="A389" s="879"/>
      <c r="B389" s="1133">
        <v>139</v>
      </c>
      <c r="C389" s="883">
        <v>1.0119916366913584</v>
      </c>
      <c r="D389" s="883">
        <v>1.0178865850754899</v>
      </c>
      <c r="E389" s="883">
        <v>1.0081085189082857</v>
      </c>
      <c r="F389" s="883">
        <v>1.0252587405082725</v>
      </c>
      <c r="G389" s="883">
        <v>1.0205955433076781</v>
      </c>
      <c r="H389" s="883">
        <v>0.98595036960260662</v>
      </c>
      <c r="I389" s="883">
        <v>0.96963743041289452</v>
      </c>
      <c r="K389">
        <v>6.7210027684373754</v>
      </c>
      <c r="L389">
        <v>0</v>
      </c>
      <c r="M389">
        <v>1.0006301815587235E-2</v>
      </c>
      <c r="N389">
        <v>0.18880963294922101</v>
      </c>
      <c r="O389">
        <v>0.1195363699439584</v>
      </c>
      <c r="P389">
        <v>8.3513719196295313E-2</v>
      </c>
      <c r="Q389">
        <v>0</v>
      </c>
      <c r="R389">
        <v>1.0006301815587235E-2</v>
      </c>
      <c r="S389">
        <v>0.25727609738233564</v>
      </c>
      <c r="T389">
        <v>5.9130402738995178</v>
      </c>
      <c r="U389">
        <v>0</v>
      </c>
      <c r="V389">
        <v>1.9090494385115425E-2</v>
      </c>
      <c r="W389">
        <v>9.8977563555751158E-2</v>
      </c>
      <c r="X389">
        <v>-4.4555269607878461E-4</v>
      </c>
      <c r="Y389">
        <v>4.1204169821259989E-2</v>
      </c>
    </row>
    <row r="390" spans="1:25" x14ac:dyDescent="0.25">
      <c r="A390" s="879"/>
      <c r="B390" s="1133">
        <v>140</v>
      </c>
      <c r="C390" s="883">
        <v>0.98838941190212259</v>
      </c>
      <c r="D390" s="883">
        <v>0.97889721136032715</v>
      </c>
      <c r="E390" s="883">
        <v>0.99212821703331378</v>
      </c>
      <c r="F390" s="883">
        <v>1.0356513394136109</v>
      </c>
      <c r="G390" s="883">
        <v>1.0064556393684772</v>
      </c>
      <c r="H390" s="883">
        <v>0.97274745047816402</v>
      </c>
      <c r="I390" s="883">
        <v>0.97079316808130389</v>
      </c>
      <c r="K390">
        <v>6.7390153020323389</v>
      </c>
      <c r="L390">
        <v>0</v>
      </c>
      <c r="M390">
        <v>1.0423077597201208E-2</v>
      </c>
      <c r="N390">
        <v>0.19207237024451115</v>
      </c>
      <c r="O390">
        <v>0.12462353650584261</v>
      </c>
      <c r="P390">
        <v>8.2606689890407606E-2</v>
      </c>
      <c r="Q390">
        <v>0</v>
      </c>
      <c r="R390">
        <v>1.0423077597201208E-2</v>
      </c>
      <c r="S390">
        <v>0.26283735159783028</v>
      </c>
      <c r="T390">
        <v>5.9145005155566492</v>
      </c>
      <c r="U390">
        <v>0</v>
      </c>
      <c r="V390">
        <v>1.9219133776144939E-2</v>
      </c>
      <c r="W390">
        <v>0.10149018941822315</v>
      </c>
      <c r="X390">
        <v>-1.254863263898495E-3</v>
      </c>
      <c r="Y390">
        <v>4.2920378306622625E-2</v>
      </c>
    </row>
    <row r="391" spans="1:25" x14ac:dyDescent="0.25">
      <c r="A391" s="879"/>
      <c r="B391" s="1133">
        <v>141</v>
      </c>
      <c r="C391" s="883">
        <v>0.97794533982507437</v>
      </c>
      <c r="D391" s="883">
        <v>0.99828787634112026</v>
      </c>
      <c r="E391" s="883">
        <v>1.0035232337001123</v>
      </c>
      <c r="F391" s="883">
        <v>0.99832287911179984</v>
      </c>
      <c r="G391" s="883">
        <v>0.99454648466458362</v>
      </c>
      <c r="H391" s="883">
        <v>1.0117442409527826</v>
      </c>
      <c r="I391" s="883">
        <v>0.97558071450512007</v>
      </c>
      <c r="K391">
        <v>6.7588138786697796</v>
      </c>
      <c r="L391">
        <v>0</v>
      </c>
      <c r="M391">
        <v>1.075741072206113E-2</v>
      </c>
      <c r="N391">
        <v>0.20160876146431225</v>
      </c>
      <c r="O391">
        <v>0.12475182078475347</v>
      </c>
      <c r="P391">
        <v>8.3389977081928315E-2</v>
      </c>
      <c r="Q391">
        <v>0</v>
      </c>
      <c r="R391">
        <v>1.075741072206113E-2</v>
      </c>
      <c r="S391">
        <v>0.27046342591757333</v>
      </c>
      <c r="T391">
        <v>5.9118439358328896</v>
      </c>
      <c r="U391">
        <v>0</v>
      </c>
      <c r="V391">
        <v>1.9278038921966906E-2</v>
      </c>
      <c r="W391">
        <v>0.10592748092850385</v>
      </c>
      <c r="X391">
        <v>-2.7466648678671685E-3</v>
      </c>
      <c r="Y391">
        <v>4.4297102605717974E-2</v>
      </c>
    </row>
    <row r="392" spans="1:25" x14ac:dyDescent="0.25">
      <c r="A392" s="879"/>
      <c r="B392" s="1133">
        <v>142</v>
      </c>
      <c r="C392" s="883">
        <v>1.0190016539883358</v>
      </c>
      <c r="D392" s="883">
        <v>1.0061996050493049</v>
      </c>
      <c r="E392" s="883">
        <v>1.0196035720208299</v>
      </c>
      <c r="F392" s="883">
        <v>0.99613237659403286</v>
      </c>
      <c r="G392" s="883">
        <v>1.0314453454685684</v>
      </c>
      <c r="H392" s="883">
        <v>1.0067725905099516</v>
      </c>
      <c r="I392" s="883">
        <v>1.0101715661843786</v>
      </c>
      <c r="K392">
        <v>6.7368167685814528</v>
      </c>
      <c r="L392">
        <v>0</v>
      </c>
      <c r="M392">
        <v>1.0095585379952069E-2</v>
      </c>
      <c r="N392">
        <v>0.19376279096393881</v>
      </c>
      <c r="O392">
        <v>0.11905141441133234</v>
      </c>
      <c r="P392">
        <v>8.4351860635717257E-2</v>
      </c>
      <c r="Q392">
        <v>0</v>
      </c>
      <c r="R392">
        <v>1.0095585379952069E-2</v>
      </c>
      <c r="S392">
        <v>0.26825217851997851</v>
      </c>
      <c r="T392">
        <v>5.9108116283436685</v>
      </c>
      <c r="U392">
        <v>0</v>
      </c>
      <c r="V392">
        <v>1.9053435417363929E-2</v>
      </c>
      <c r="W392">
        <v>0.10099913852698826</v>
      </c>
      <c r="X392">
        <v>-1.0375018849717273E-3</v>
      </c>
      <c r="Y392">
        <v>4.1571823647432338E-2</v>
      </c>
    </row>
    <row r="393" spans="1:25" x14ac:dyDescent="0.25">
      <c r="A393" s="879"/>
      <c r="B393" s="1133">
        <v>143</v>
      </c>
      <c r="C393" s="883">
        <v>1.0293518250989548</v>
      </c>
      <c r="D393" s="883">
        <v>0.99924503861661051</v>
      </c>
      <c r="E393" s="883">
        <v>0.97147007867145851</v>
      </c>
      <c r="F393" s="883">
        <v>0.98310388691823647</v>
      </c>
      <c r="G393" s="883">
        <v>0.97499935279135264</v>
      </c>
      <c r="H393" s="883">
        <v>1.0085046300142899</v>
      </c>
      <c r="I393" s="883">
        <v>0.99782121627640918</v>
      </c>
      <c r="K393">
        <v>6.7234146544107967</v>
      </c>
      <c r="L393">
        <v>0</v>
      </c>
      <c r="M393">
        <v>1.0472037541566587E-2</v>
      </c>
      <c r="N393">
        <v>0.18715039083878893</v>
      </c>
      <c r="O393">
        <v>0.11905635703401247</v>
      </c>
      <c r="P393">
        <v>8.127642308388032E-2</v>
      </c>
      <c r="Q393">
        <v>0</v>
      </c>
      <c r="R393">
        <v>1.0472037541566587E-2</v>
      </c>
      <c r="S393">
        <v>0.26245481513674007</v>
      </c>
      <c r="T393">
        <v>5.9128000234967795</v>
      </c>
      <c r="U393">
        <v>0</v>
      </c>
      <c r="V393">
        <v>1.8999641292976349E-2</v>
      </c>
      <c r="W393">
        <v>9.9916875265002966E-2</v>
      </c>
      <c r="X393">
        <v>-1.361858380354025E-3</v>
      </c>
      <c r="Y393">
        <v>4.3121986642974043E-2</v>
      </c>
    </row>
    <row r="394" spans="1:25" x14ac:dyDescent="0.25">
      <c r="A394" s="879"/>
      <c r="B394" s="1133">
        <v>144</v>
      </c>
      <c r="C394" s="883">
        <v>0.98893454783640489</v>
      </c>
      <c r="D394" s="883">
        <v>1.0011437235702196</v>
      </c>
      <c r="E394" s="883">
        <v>1.0187878672883197</v>
      </c>
      <c r="F394" s="883">
        <v>0.99586224915438459</v>
      </c>
      <c r="G394" s="883">
        <v>0.97807245952377708</v>
      </c>
      <c r="H394" s="883">
        <v>0.99794915831575681</v>
      </c>
      <c r="I394" s="883">
        <v>0.96349172307604636</v>
      </c>
      <c r="K394">
        <v>6.7425778204851294</v>
      </c>
      <c r="L394">
        <v>0</v>
      </c>
      <c r="M394">
        <v>1.034100841294076E-2</v>
      </c>
      <c r="N394">
        <v>0.19823379181767339</v>
      </c>
      <c r="O394">
        <v>0.1229340154436056</v>
      </c>
      <c r="P394">
        <v>8.423031800524021E-2</v>
      </c>
      <c r="Q394">
        <v>0</v>
      </c>
      <c r="R394">
        <v>1.034100841294076E-2</v>
      </c>
      <c r="S394">
        <v>0.26287379919606252</v>
      </c>
      <c r="T394">
        <v>5.910843737918352</v>
      </c>
      <c r="U394">
        <v>0</v>
      </c>
      <c r="V394">
        <v>1.9216093344679219E-2</v>
      </c>
      <c r="W394">
        <v>0.10337119520916969</v>
      </c>
      <c r="X394">
        <v>-1.7075624632624212E-3</v>
      </c>
      <c r="Y394">
        <v>4.2582432013608347E-2</v>
      </c>
    </row>
    <row r="395" spans="1:25" x14ac:dyDescent="0.25">
      <c r="A395" s="879"/>
      <c r="B395" s="1133">
        <v>145</v>
      </c>
      <c r="C395" s="883">
        <v>1.009378540270067</v>
      </c>
      <c r="D395" s="883">
        <v>1.0195308428581165</v>
      </c>
      <c r="E395" s="883">
        <v>0.98085968452475614</v>
      </c>
      <c r="F395" s="883">
        <v>1.0214130750169885</v>
      </c>
      <c r="G395" s="883">
        <v>0.9770719366782028</v>
      </c>
      <c r="H395" s="883">
        <v>0.99892378418218764</v>
      </c>
      <c r="I395" s="883">
        <v>1.0079762730280721</v>
      </c>
      <c r="K395">
        <v>6.73530511540815</v>
      </c>
      <c r="L395">
        <v>0</v>
      </c>
      <c r="M395">
        <v>1.0401722706449045E-2</v>
      </c>
      <c r="N395">
        <v>0.18850235073925642</v>
      </c>
      <c r="O395">
        <v>0.12026911178346798</v>
      </c>
      <c r="P395">
        <v>8.1979719980648166E-2</v>
      </c>
      <c r="Q395">
        <v>0</v>
      </c>
      <c r="R395">
        <v>1.0401722706449045E-2</v>
      </c>
      <c r="S395">
        <v>0.26929112216608864</v>
      </c>
      <c r="T395">
        <v>5.9143559493476099</v>
      </c>
      <c r="U395">
        <v>0</v>
      </c>
      <c r="V395">
        <v>1.910444041159556E-2</v>
      </c>
      <c r="W395">
        <v>0.10016588874846802</v>
      </c>
      <c r="X395">
        <v>-1.1959104365208703E-3</v>
      </c>
      <c r="Y395">
        <v>4.2832442667534096E-2</v>
      </c>
    </row>
    <row r="396" spans="1:25" x14ac:dyDescent="0.25">
      <c r="A396" s="879"/>
      <c r="B396" s="1133">
        <v>146</v>
      </c>
      <c r="C396" s="883">
        <v>0.9951572227743295</v>
      </c>
      <c r="D396" s="883">
        <v>0.97748480030674978</v>
      </c>
      <c r="E396" s="883">
        <v>0.96456466827850507</v>
      </c>
      <c r="F396" s="883">
        <v>1.0006208044540394</v>
      </c>
      <c r="G396" s="883">
        <v>1.0061055181749661</v>
      </c>
      <c r="H396" s="883">
        <v>1.0009462430354634</v>
      </c>
      <c r="I396" s="883">
        <v>1.0393660345231321</v>
      </c>
      <c r="K396">
        <v>6.760265624501189</v>
      </c>
      <c r="L396">
        <v>0</v>
      </c>
      <c r="M396">
        <v>1.0918026873304183E-2</v>
      </c>
      <c r="N396">
        <v>0.19313021339627554</v>
      </c>
      <c r="O396">
        <v>0.1243657521600789</v>
      </c>
      <c r="P396">
        <v>8.1119013908341739E-2</v>
      </c>
      <c r="Q396">
        <v>0</v>
      </c>
      <c r="R396">
        <v>1.0918026873304183E-2</v>
      </c>
      <c r="S396">
        <v>0.28225764261383585</v>
      </c>
      <c r="T396">
        <v>5.9141228135034982</v>
      </c>
      <c r="U396">
        <v>0</v>
      </c>
      <c r="V396">
        <v>1.9181623136415672E-2</v>
      </c>
      <c r="W396">
        <v>0.10346830176264898</v>
      </c>
      <c r="X396">
        <v>-2.3382273078362153E-3</v>
      </c>
      <c r="Y396">
        <v>4.4958491327927688E-2</v>
      </c>
    </row>
    <row r="397" spans="1:25" x14ac:dyDescent="0.25">
      <c r="A397" s="879"/>
      <c r="B397" s="1133">
        <v>147</v>
      </c>
      <c r="C397" s="883">
        <v>1.0127991471296389</v>
      </c>
      <c r="D397" s="883">
        <v>0.99599358869525378</v>
      </c>
      <c r="E397" s="883">
        <v>0.98393493607835136</v>
      </c>
      <c r="F397" s="883">
        <v>0.96977338743293662</v>
      </c>
      <c r="G397" s="883">
        <v>0.99372622825666845</v>
      </c>
      <c r="H397" s="883">
        <v>1.0237181442909189</v>
      </c>
      <c r="I397" s="883">
        <v>0.96829866504941731</v>
      </c>
      <c r="K397">
        <v>6.7335970479106129</v>
      </c>
      <c r="L397">
        <v>0</v>
      </c>
      <c r="M397">
        <v>1.0701954866603889E-2</v>
      </c>
      <c r="N397">
        <v>0.19482999141243126</v>
      </c>
      <c r="O397">
        <v>0.12093151975549259</v>
      </c>
      <c r="P397">
        <v>8.2014778233623631E-2</v>
      </c>
      <c r="Q397">
        <v>0</v>
      </c>
      <c r="R397">
        <v>1.0701954866603889E-2</v>
      </c>
      <c r="S397">
        <v>0.26027833567702413</v>
      </c>
      <c r="T397">
        <v>5.9113946287850512</v>
      </c>
      <c r="U397">
        <v>0</v>
      </c>
      <c r="V397">
        <v>1.9086199278628879E-2</v>
      </c>
      <c r="W397">
        <v>0.10336911883811739</v>
      </c>
      <c r="X397">
        <v>-2.3762693334832539E-3</v>
      </c>
      <c r="Y397">
        <v>4.4068745263719365E-2</v>
      </c>
    </row>
    <row r="398" spans="1:25" x14ac:dyDescent="0.25">
      <c r="A398" s="879"/>
      <c r="B398" s="1133">
        <v>148</v>
      </c>
      <c r="C398" s="883">
        <v>1.0163460599267891</v>
      </c>
      <c r="D398" s="883">
        <v>0.98699347706344731</v>
      </c>
      <c r="E398" s="883">
        <v>0.95650147189164836</v>
      </c>
      <c r="F398" s="883">
        <v>0.99980629488562089</v>
      </c>
      <c r="G398" s="883">
        <v>1.0028222555669544</v>
      </c>
      <c r="H398" s="883">
        <v>0.97672554450983418</v>
      </c>
      <c r="I398" s="883">
        <v>1.0044057488451665</v>
      </c>
      <c r="K398">
        <v>6.7235959752577239</v>
      </c>
      <c r="L398">
        <v>0</v>
      </c>
      <c r="M398">
        <v>1.0461640725420249E-2</v>
      </c>
      <c r="N398">
        <v>0.18285329775608708</v>
      </c>
      <c r="O398">
        <v>0.12144887848609598</v>
      </c>
      <c r="P398">
        <v>8.0384669147992013E-2</v>
      </c>
      <c r="Q398">
        <v>0</v>
      </c>
      <c r="R398">
        <v>1.0461640725420249E-2</v>
      </c>
      <c r="S398">
        <v>0.26469421382648822</v>
      </c>
      <c r="T398">
        <v>5.9145140312193334</v>
      </c>
      <c r="U398">
        <v>0</v>
      </c>
      <c r="V398">
        <v>1.9067414260549094E-2</v>
      </c>
      <c r="W398">
        <v>9.8361988209799509E-2</v>
      </c>
      <c r="X398">
        <v>-8.0769205326836069E-4</v>
      </c>
      <c r="Y398">
        <v>4.3079174404647723E-2</v>
      </c>
    </row>
    <row r="399" spans="1:25" x14ac:dyDescent="0.25">
      <c r="A399" s="879"/>
      <c r="B399" s="1133">
        <v>149</v>
      </c>
      <c r="C399" s="883">
        <v>1.0010882604920026</v>
      </c>
      <c r="D399" s="883">
        <v>1.0169936611877848</v>
      </c>
      <c r="E399" s="883">
        <v>1.0191343099828811</v>
      </c>
      <c r="F399" s="883">
        <v>1.0114436336984336</v>
      </c>
      <c r="G399" s="883">
        <v>1.0005586600699274</v>
      </c>
      <c r="H399" s="883">
        <v>0.98833984957952659</v>
      </c>
      <c r="I399" s="883">
        <v>0.98263773461484316</v>
      </c>
      <c r="K399">
        <v>6.7333473234162522</v>
      </c>
      <c r="L399">
        <v>0</v>
      </c>
      <c r="M399">
        <v>1.0046235476581582E-2</v>
      </c>
      <c r="N399">
        <v>0.19268181945546523</v>
      </c>
      <c r="O399">
        <v>0.12067439414306384</v>
      </c>
      <c r="P399">
        <v>8.4274991521734691E-2</v>
      </c>
      <c r="Q399">
        <v>0</v>
      </c>
      <c r="R399">
        <v>1.0046235476581582E-2</v>
      </c>
      <c r="S399">
        <v>0.26381101432793702</v>
      </c>
      <c r="T399">
        <v>5.911665711923086</v>
      </c>
      <c r="U399">
        <v>0</v>
      </c>
      <c r="V399">
        <v>1.9149167310975216E-2</v>
      </c>
      <c r="W399">
        <v>0.10045890545397272</v>
      </c>
      <c r="X399">
        <v>-7.3729024928919338E-4</v>
      </c>
      <c r="Y399">
        <v>4.1368609529308008E-2</v>
      </c>
    </row>
    <row r="400" spans="1:25" x14ac:dyDescent="0.25">
      <c r="A400" s="879"/>
      <c r="B400" s="1133">
        <v>150</v>
      </c>
      <c r="C400" s="883">
        <v>0.99402409043563056</v>
      </c>
      <c r="D400" s="883">
        <v>1.0253173097104493</v>
      </c>
      <c r="E400" s="883">
        <v>0.9729737294353582</v>
      </c>
      <c r="F400" s="883">
        <v>0.96602608454780314</v>
      </c>
      <c r="G400" s="883">
        <v>0.96754167572966954</v>
      </c>
      <c r="H400" s="883">
        <v>0.99602734199668475</v>
      </c>
      <c r="I400" s="883">
        <v>0.98438660416485435</v>
      </c>
      <c r="K400">
        <v>6.7336762507596513</v>
      </c>
      <c r="L400">
        <v>0</v>
      </c>
      <c r="M400">
        <v>1.0578733591184088E-2</v>
      </c>
      <c r="N400">
        <v>0.18947969226116526</v>
      </c>
      <c r="O400">
        <v>0.12199624432367501</v>
      </c>
      <c r="P400">
        <v>8.1416372918764718E-2</v>
      </c>
      <c r="Q400">
        <v>0</v>
      </c>
      <c r="R400">
        <v>1.0578733591184088E-2</v>
      </c>
      <c r="S400">
        <v>0.266717865893285</v>
      </c>
      <c r="T400">
        <v>5.9117945535883516</v>
      </c>
      <c r="U400">
        <v>0</v>
      </c>
      <c r="V400">
        <v>1.9187867929686304E-2</v>
      </c>
      <c r="W400">
        <v>0.10108407873778628</v>
      </c>
      <c r="X400">
        <v>-1.5617668771738694E-3</v>
      </c>
      <c r="Y400">
        <v>4.3561341984110026E-2</v>
      </c>
    </row>
    <row r="401" spans="1:25" x14ac:dyDescent="0.25">
      <c r="A401" s="879"/>
      <c r="B401" s="1133">
        <v>151</v>
      </c>
      <c r="C401" s="883">
        <v>0.99044557227365237</v>
      </c>
      <c r="D401" s="883">
        <v>0.99652462191843938</v>
      </c>
      <c r="E401" s="883">
        <v>0.99263802947472934</v>
      </c>
      <c r="F401" s="883">
        <v>1.0087598376675344</v>
      </c>
      <c r="G401" s="883">
        <v>0.98592381595605061</v>
      </c>
      <c r="H401" s="883">
        <v>1.0276873568911826</v>
      </c>
      <c r="I401" s="883">
        <v>0.96321954372552621</v>
      </c>
      <c r="K401">
        <v>6.7524551484543283</v>
      </c>
      <c r="L401">
        <v>0</v>
      </c>
      <c r="M401">
        <v>1.0900330919044148E-2</v>
      </c>
      <c r="N401">
        <v>0.20101885994299168</v>
      </c>
      <c r="O401">
        <v>0.1234705297490357</v>
      </c>
      <c r="P401">
        <v>8.2649406324667524E-2</v>
      </c>
      <c r="Q401">
        <v>0</v>
      </c>
      <c r="R401">
        <v>1.0900330919044148E-2</v>
      </c>
      <c r="S401">
        <v>0.26512984454452887</v>
      </c>
      <c r="T401">
        <v>5.9130186063482686</v>
      </c>
      <c r="U401">
        <v>0</v>
      </c>
      <c r="V401">
        <v>1.9207683279430305E-2</v>
      </c>
      <c r="W401">
        <v>0.10619050131534648</v>
      </c>
      <c r="X401">
        <v>-3.1159055879936984E-3</v>
      </c>
      <c r="Y401">
        <v>4.4885622538047301E-2</v>
      </c>
    </row>
    <row r="402" spans="1:25" x14ac:dyDescent="0.25">
      <c r="A402" s="879"/>
      <c r="B402" s="1133">
        <v>152</v>
      </c>
      <c r="C402" s="883">
        <v>1.0311845439032885</v>
      </c>
      <c r="D402" s="883">
        <v>1.0382035569413948</v>
      </c>
      <c r="E402" s="883">
        <v>0.97760353780872378</v>
      </c>
      <c r="F402" s="883">
        <v>1.0045559027433275</v>
      </c>
      <c r="G402" s="883">
        <v>1.0011877698293787</v>
      </c>
      <c r="H402" s="883">
        <v>1.0242809090925731</v>
      </c>
      <c r="I402" s="883">
        <v>0.99125901899902136</v>
      </c>
      <c r="K402">
        <v>6.7210403646575463</v>
      </c>
      <c r="L402">
        <v>0</v>
      </c>
      <c r="M402">
        <v>1.0388904083402416E-2</v>
      </c>
      <c r="N402">
        <v>0.18736264335755648</v>
      </c>
      <c r="O402">
        <v>0.11693197230777803</v>
      </c>
      <c r="P402">
        <v>8.1658403746264735E-2</v>
      </c>
      <c r="Q402">
        <v>0</v>
      </c>
      <c r="R402">
        <v>1.0388904083402416E-2</v>
      </c>
      <c r="S402">
        <v>0.26131965526111578</v>
      </c>
      <c r="T402">
        <v>5.9136238929469265</v>
      </c>
      <c r="U402">
        <v>0</v>
      </c>
      <c r="V402">
        <v>1.8990228432028237E-2</v>
      </c>
      <c r="W402">
        <v>9.972277905425446E-2</v>
      </c>
      <c r="X402">
        <v>-1.3488683078366434E-3</v>
      </c>
      <c r="Y402">
        <v>4.277965785945792E-2</v>
      </c>
    </row>
    <row r="403" spans="1:25" x14ac:dyDescent="0.25">
      <c r="A403" s="879"/>
      <c r="B403" s="1133">
        <v>153</v>
      </c>
      <c r="C403" s="883">
        <v>0.99125833071674352</v>
      </c>
      <c r="D403" s="883">
        <v>1.0015757832868377</v>
      </c>
      <c r="E403" s="883">
        <v>1.0011114640570833</v>
      </c>
      <c r="F403" s="883">
        <v>0.97824624038910724</v>
      </c>
      <c r="G403" s="883">
        <v>0.98584739461512738</v>
      </c>
      <c r="H403" s="883">
        <v>1.0027729656367217</v>
      </c>
      <c r="I403" s="883">
        <v>0.98798568661444308</v>
      </c>
      <c r="K403">
        <v>6.7469771540996337</v>
      </c>
      <c r="L403">
        <v>0</v>
      </c>
      <c r="M403">
        <v>1.052618339367103E-2</v>
      </c>
      <c r="N403">
        <v>0.19657175679565653</v>
      </c>
      <c r="O403">
        <v>0.12296019969750989</v>
      </c>
      <c r="P403">
        <v>8.3209727497699351E-2</v>
      </c>
      <c r="Q403">
        <v>0</v>
      </c>
      <c r="R403">
        <v>1.052618339367103E-2</v>
      </c>
      <c r="S403">
        <v>0.26934302939749094</v>
      </c>
      <c r="T403">
        <v>5.910894805986163</v>
      </c>
      <c r="U403">
        <v>0</v>
      </c>
      <c r="V403">
        <v>1.9203170230255879E-2</v>
      </c>
      <c r="W403">
        <v>0.10340464616158378</v>
      </c>
      <c r="X403">
        <v>-1.9551312910707896E-3</v>
      </c>
      <c r="Y403">
        <v>4.3344949624337714E-2</v>
      </c>
    </row>
    <row r="404" spans="1:25" x14ac:dyDescent="0.25">
      <c r="A404" s="879"/>
      <c r="B404" s="1133">
        <v>154</v>
      </c>
      <c r="C404" s="883">
        <v>0.99785565424444944</v>
      </c>
      <c r="D404" s="883">
        <v>1.0140359107805583</v>
      </c>
      <c r="E404" s="883">
        <v>0.95843064304944769</v>
      </c>
      <c r="F404" s="883">
        <v>0.9945167160387588</v>
      </c>
      <c r="G404" s="883">
        <v>0.98393889701041581</v>
      </c>
      <c r="H404" s="883">
        <v>0.95618007753426915</v>
      </c>
      <c r="I404" s="883">
        <v>0.99586350192261319</v>
      </c>
      <c r="K404">
        <v>6.7208821579779618</v>
      </c>
      <c r="L404">
        <v>0</v>
      </c>
      <c r="M404">
        <v>1.029400608926233E-2</v>
      </c>
      <c r="N404">
        <v>0.1804398955284382</v>
      </c>
      <c r="O404">
        <v>0.12233383061628417</v>
      </c>
      <c r="P404">
        <v>8.0508565739768514E-2</v>
      </c>
      <c r="Q404">
        <v>0</v>
      </c>
      <c r="R404">
        <v>1.029400608926233E-2</v>
      </c>
      <c r="S404">
        <v>0.26514422876793442</v>
      </c>
      <c r="T404">
        <v>5.9141241767790111</v>
      </c>
      <c r="U404">
        <v>0</v>
      </c>
      <c r="V404">
        <v>1.9166808942945989E-2</v>
      </c>
      <c r="W404">
        <v>9.6969169449933321E-2</v>
      </c>
      <c r="X404">
        <v>-1.9340265715655602E-4</v>
      </c>
      <c r="Y404">
        <v>4.238888481080233E-2</v>
      </c>
    </row>
    <row r="405" spans="1:25" x14ac:dyDescent="0.25">
      <c r="A405" s="879"/>
      <c r="B405" s="1133">
        <v>155</v>
      </c>
      <c r="C405" s="883">
        <v>1.0191082555363229</v>
      </c>
      <c r="D405" s="883">
        <v>0.9947655022080174</v>
      </c>
      <c r="E405" s="883">
        <v>1.0338543905097646</v>
      </c>
      <c r="F405" s="883">
        <v>0.9898046682608852</v>
      </c>
      <c r="G405" s="883">
        <v>1.0096101986830379</v>
      </c>
      <c r="H405" s="883">
        <v>1.0010740407463619</v>
      </c>
      <c r="I405" s="883">
        <v>0.98098875275251773</v>
      </c>
      <c r="K405">
        <v>6.7297114040869923</v>
      </c>
      <c r="L405">
        <v>0</v>
      </c>
      <c r="M405">
        <v>9.9614972326320852E-3</v>
      </c>
      <c r="N405">
        <v>0.195260475501985</v>
      </c>
      <c r="O405">
        <v>0.11931847980126084</v>
      </c>
      <c r="P405">
        <v>8.5115779726675111E-2</v>
      </c>
      <c r="Q405">
        <v>0</v>
      </c>
      <c r="R405">
        <v>9.9614972326320852E-3</v>
      </c>
      <c r="S405">
        <v>0.26009379426800977</v>
      </c>
      <c r="T405">
        <v>5.9096480337452117</v>
      </c>
      <c r="U405">
        <v>0</v>
      </c>
      <c r="V405">
        <v>1.9052875795925309E-2</v>
      </c>
      <c r="W405">
        <v>0.10106977648090849</v>
      </c>
      <c r="X405">
        <v>-8.6748375655440382E-4</v>
      </c>
      <c r="Y405">
        <v>4.1019672523569146E-2</v>
      </c>
    </row>
    <row r="406" spans="1:25" x14ac:dyDescent="0.25">
      <c r="A406" s="879"/>
      <c r="B406" s="1133">
        <v>156</v>
      </c>
      <c r="C406" s="883">
        <v>1.03042770302085</v>
      </c>
      <c r="D406" s="883">
        <v>0.98310155810440947</v>
      </c>
      <c r="E406" s="883">
        <v>1.0229109970005092</v>
      </c>
      <c r="F406" s="883">
        <v>1.0156841629062492</v>
      </c>
      <c r="G406" s="883">
        <v>1.0143280210622825</v>
      </c>
      <c r="H406" s="883">
        <v>0.97369104662979655</v>
      </c>
      <c r="I406" s="883">
        <v>0.96173792768740163</v>
      </c>
      <c r="K406">
        <v>6.709021673675835</v>
      </c>
      <c r="L406">
        <v>0</v>
      </c>
      <c r="M406">
        <v>9.7239288341192786E-3</v>
      </c>
      <c r="N406">
        <v>0.18754491626935624</v>
      </c>
      <c r="O406">
        <v>0.11876886523840881</v>
      </c>
      <c r="P406">
        <v>8.4319297996054823E-2</v>
      </c>
      <c r="Q406">
        <v>0</v>
      </c>
      <c r="R406">
        <v>9.7239288341192786E-3</v>
      </c>
      <c r="S406">
        <v>0.24985774550384779</v>
      </c>
      <c r="T406">
        <v>5.9116781346129699</v>
      </c>
      <c r="U406">
        <v>0</v>
      </c>
      <c r="V406">
        <v>1.899411151529426E-2</v>
      </c>
      <c r="W406">
        <v>9.7599004587508031E-2</v>
      </c>
      <c r="X406">
        <v>2.1818980829910509E-4</v>
      </c>
      <c r="Y406">
        <v>4.0041408144092017E-2</v>
      </c>
    </row>
    <row r="407" spans="1:25" x14ac:dyDescent="0.25">
      <c r="A407" s="879"/>
      <c r="B407" s="1133">
        <v>157</v>
      </c>
      <c r="C407" s="883">
        <v>1.0308086906095433</v>
      </c>
      <c r="D407" s="883">
        <v>1.036325359197348</v>
      </c>
      <c r="E407" s="883">
        <v>1.0063587014222826</v>
      </c>
      <c r="F407" s="883">
        <v>0.99289605895891075</v>
      </c>
      <c r="G407" s="883">
        <v>0.97878641045579806</v>
      </c>
      <c r="H407" s="883">
        <v>0.97582169203950986</v>
      </c>
      <c r="I407" s="883">
        <v>1.0079795306107338</v>
      </c>
      <c r="K407">
        <v>6.7096169554051777</v>
      </c>
      <c r="L407">
        <v>0</v>
      </c>
      <c r="M407">
        <v>9.6630920861066685E-3</v>
      </c>
      <c r="N407">
        <v>0.1818617809326728</v>
      </c>
      <c r="O407">
        <v>0.11654603307593951</v>
      </c>
      <c r="P407">
        <v>8.3437322502947178E-2</v>
      </c>
      <c r="Q407">
        <v>0</v>
      </c>
      <c r="R407">
        <v>9.6630920861066685E-3</v>
      </c>
      <c r="S407">
        <v>0.26149144376284644</v>
      </c>
      <c r="T407">
        <v>5.9113905612841933</v>
      </c>
      <c r="U407">
        <v>0</v>
      </c>
      <c r="V407">
        <v>1.8992156089807196E-2</v>
      </c>
      <c r="W407">
        <v>9.5418008274341368E-2</v>
      </c>
      <c r="X407">
        <v>6.8875623811432362E-4</v>
      </c>
      <c r="Y407">
        <v>3.9790893244313549E-2</v>
      </c>
    </row>
    <row r="408" spans="1:25" x14ac:dyDescent="0.25">
      <c r="A408" s="879"/>
      <c r="B408" s="1133">
        <v>158</v>
      </c>
      <c r="C408" s="883">
        <v>0.98462223832717843</v>
      </c>
      <c r="D408" s="883">
        <v>0.9592140177119729</v>
      </c>
      <c r="E408" s="883">
        <v>1.028178933806569</v>
      </c>
      <c r="F408" s="883">
        <v>0.96670897495458952</v>
      </c>
      <c r="G408" s="883">
        <v>1.0070608763764715</v>
      </c>
      <c r="H408" s="883">
        <v>1.0002151296221817</v>
      </c>
      <c r="I408" s="883">
        <v>0.96140500183539979</v>
      </c>
      <c r="K408">
        <v>6.7536772356802635</v>
      </c>
      <c r="L408">
        <v>0</v>
      </c>
      <c r="M408">
        <v>1.051570925690829E-2</v>
      </c>
      <c r="N408">
        <v>0.2044019712526722</v>
      </c>
      <c r="O408">
        <v>0.125419920880805</v>
      </c>
      <c r="P408">
        <v>8.4806350448902779E-2</v>
      </c>
      <c r="Q408">
        <v>0</v>
      </c>
      <c r="R408">
        <v>1.051570925690829E-2</v>
      </c>
      <c r="S408">
        <v>0.26411899620534735</v>
      </c>
      <c r="T408">
        <v>5.9087290236987977</v>
      </c>
      <c r="U408">
        <v>0</v>
      </c>
      <c r="V408">
        <v>1.9240236763917531E-2</v>
      </c>
      <c r="W408">
        <v>0.10609642435782744</v>
      </c>
      <c r="X408">
        <v>-2.4375069214850327E-3</v>
      </c>
      <c r="Y408">
        <v>4.3301818993475613E-2</v>
      </c>
    </row>
    <row r="409" spans="1:25" x14ac:dyDescent="0.25">
      <c r="A409" s="879"/>
      <c r="B409" s="1133">
        <v>159</v>
      </c>
      <c r="C409" s="883">
        <v>1.0221517385841119</v>
      </c>
      <c r="D409" s="883">
        <v>0.99940997101177265</v>
      </c>
      <c r="E409" s="883">
        <v>1.0007120628388759</v>
      </c>
      <c r="F409" s="883">
        <v>0.99461636368097139</v>
      </c>
      <c r="G409" s="883">
        <v>0.95455188254337386</v>
      </c>
      <c r="H409" s="883">
        <v>1.0433462808997609</v>
      </c>
      <c r="I409" s="883">
        <v>1.0020364232726677</v>
      </c>
      <c r="K409">
        <v>6.7461599596277928</v>
      </c>
      <c r="L409">
        <v>0</v>
      </c>
      <c r="M409">
        <v>1.0634632248817999E-2</v>
      </c>
      <c r="N409">
        <v>0.19847952231323929</v>
      </c>
      <c r="O409">
        <v>0.11935448858213514</v>
      </c>
      <c r="P409">
        <v>8.3185779498140294E-2</v>
      </c>
      <c r="Q409">
        <v>0</v>
      </c>
      <c r="R409">
        <v>1.0634632248817999E-2</v>
      </c>
      <c r="S409">
        <v>0.26868830396894527</v>
      </c>
      <c r="T409">
        <v>5.911801940336467</v>
      </c>
      <c r="U409">
        <v>0</v>
      </c>
      <c r="V409">
        <v>1.9036947796304236E-2</v>
      </c>
      <c r="W409">
        <v>0.10442891186317303</v>
      </c>
      <c r="X409">
        <v>-2.6074574372646356E-3</v>
      </c>
      <c r="Y409">
        <v>4.379152270665633E-2</v>
      </c>
    </row>
    <row r="410" spans="1:25" x14ac:dyDescent="0.25">
      <c r="A410" s="879"/>
      <c r="B410" s="1133">
        <v>160</v>
      </c>
      <c r="C410" s="883">
        <v>0.97779482286690655</v>
      </c>
      <c r="D410" s="883">
        <v>0.97827788641832603</v>
      </c>
      <c r="E410" s="883">
        <v>0.98583764268845586</v>
      </c>
      <c r="F410" s="883">
        <v>0.96339794306727278</v>
      </c>
      <c r="G410" s="883">
        <v>0.99677636138944348</v>
      </c>
      <c r="H410" s="883">
        <v>1.0204816818315785</v>
      </c>
      <c r="I410" s="883">
        <v>1.0230147372342269</v>
      </c>
      <c r="K410">
        <v>6.7763669102048967</v>
      </c>
      <c r="L410">
        <v>0</v>
      </c>
      <c r="M410">
        <v>1.1116880302202222E-2</v>
      </c>
      <c r="N410">
        <v>0.20295567426082328</v>
      </c>
      <c r="O410">
        <v>0.12612672244466253</v>
      </c>
      <c r="P410">
        <v>8.2454971787859085E-2</v>
      </c>
      <c r="Q410">
        <v>0</v>
      </c>
      <c r="R410">
        <v>1.1116880302202222E-2</v>
      </c>
      <c r="S410">
        <v>0.28472413379237566</v>
      </c>
      <c r="T410">
        <v>5.9109447278813212</v>
      </c>
      <c r="U410">
        <v>0</v>
      </c>
      <c r="V410">
        <v>1.9278897044209375E-2</v>
      </c>
      <c r="W410">
        <v>0.1075779519991137</v>
      </c>
      <c r="X410">
        <v>-3.4735033590110199E-3</v>
      </c>
      <c r="Y410">
        <v>4.5777334353538916E-2</v>
      </c>
    </row>
    <row r="411" spans="1:25" x14ac:dyDescent="0.25">
      <c r="A411" s="879"/>
      <c r="B411" s="1133">
        <v>161</v>
      </c>
      <c r="C411" s="883">
        <v>0.99397353540016486</v>
      </c>
      <c r="D411" s="883">
        <v>0.99211003356862804</v>
      </c>
      <c r="E411" s="883">
        <v>0.9696161176186282</v>
      </c>
      <c r="F411" s="883">
        <v>0.97808333668146541</v>
      </c>
      <c r="G411" s="883">
        <v>0.98649374171203497</v>
      </c>
      <c r="H411" s="883">
        <v>1.0183204354507811</v>
      </c>
      <c r="I411" s="883">
        <v>0.95607319856351036</v>
      </c>
      <c r="K411">
        <v>6.7412807478875996</v>
      </c>
      <c r="L411">
        <v>0</v>
      </c>
      <c r="M411">
        <v>1.1001732075818348E-2</v>
      </c>
      <c r="N411">
        <v>0.19607632875692119</v>
      </c>
      <c r="O411">
        <v>0.12368237928163114</v>
      </c>
      <c r="P411">
        <v>8.1145878850831826E-2</v>
      </c>
      <c r="Q411">
        <v>0</v>
      </c>
      <c r="R411">
        <v>1.1001732075818348E-2</v>
      </c>
      <c r="S411">
        <v>0.26138654348495138</v>
      </c>
      <c r="T411">
        <v>5.9126296731413008</v>
      </c>
      <c r="U411">
        <v>0</v>
      </c>
      <c r="V411">
        <v>1.9188146874781355E-2</v>
      </c>
      <c r="W411">
        <v>0.10477990203257295</v>
      </c>
      <c r="X411">
        <v>-2.9112789883050339E-3</v>
      </c>
      <c r="Y411">
        <v>4.5303174452910391E-2</v>
      </c>
    </row>
    <row r="412" spans="1:25" x14ac:dyDescent="0.25">
      <c r="A412" s="879"/>
      <c r="B412" s="1133">
        <v>162</v>
      </c>
      <c r="C412" s="883">
        <v>0.97523114520664</v>
      </c>
      <c r="D412" s="883">
        <v>0.99949878802228542</v>
      </c>
      <c r="E412" s="883">
        <v>1.0181794612937112</v>
      </c>
      <c r="F412" s="883">
        <v>1.0275014089132146</v>
      </c>
      <c r="G412" s="883">
        <v>0.98841856782055304</v>
      </c>
      <c r="H412" s="883">
        <v>1.0267276402505756</v>
      </c>
      <c r="I412" s="883">
        <v>1.0301715180672901</v>
      </c>
      <c r="K412">
        <v>6.7851686176029551</v>
      </c>
      <c r="L412">
        <v>0</v>
      </c>
      <c r="M412">
        <v>1.0802067298825567E-2</v>
      </c>
      <c r="N412">
        <v>0.20688583796003104</v>
      </c>
      <c r="O412">
        <v>0.12475523603640488</v>
      </c>
      <c r="P412">
        <v>8.4556820847649941E-2</v>
      </c>
      <c r="Q412">
        <v>0</v>
      </c>
      <c r="R412">
        <v>1.0802067298825567E-2</v>
      </c>
      <c r="S412">
        <v>0.28789846453957157</v>
      </c>
      <c r="T412">
        <v>5.9125879225325368</v>
      </c>
      <c r="U412">
        <v>0</v>
      </c>
      <c r="V412">
        <v>1.9293553675543255E-2</v>
      </c>
      <c r="W412">
        <v>0.10791525703664326</v>
      </c>
      <c r="X412">
        <v>-3.2054654656810989E-3</v>
      </c>
      <c r="Y412">
        <v>4.4480990440259563E-2</v>
      </c>
    </row>
    <row r="413" spans="1:25" x14ac:dyDescent="0.25">
      <c r="A413" s="879"/>
      <c r="B413" s="1133">
        <v>163</v>
      </c>
      <c r="C413" s="883">
        <v>0.99013814445903281</v>
      </c>
      <c r="D413" s="883">
        <v>1.011786276067641</v>
      </c>
      <c r="E413" s="883">
        <v>0.96211725593988628</v>
      </c>
      <c r="F413" s="883">
        <v>1.0123986395658073</v>
      </c>
      <c r="G413" s="883">
        <v>1.0157209611261431</v>
      </c>
      <c r="H413" s="883">
        <v>1.014087252189519</v>
      </c>
      <c r="I413" s="883">
        <v>0.98576052486393773</v>
      </c>
      <c r="K413">
        <v>6.7480288759379761</v>
      </c>
      <c r="L413">
        <v>0</v>
      </c>
      <c r="M413">
        <v>1.0977726320133234E-2</v>
      </c>
      <c r="N413">
        <v>0.19348152865929091</v>
      </c>
      <c r="O413">
        <v>0.12332883754459398</v>
      </c>
      <c r="P413">
        <v>8.0814091106328229E-2</v>
      </c>
      <c r="Q413">
        <v>0</v>
      </c>
      <c r="R413">
        <v>1.0977726320133234E-2</v>
      </c>
      <c r="S413">
        <v>0.26992971109664088</v>
      </c>
      <c r="T413">
        <v>5.9148922094256049</v>
      </c>
      <c r="U413">
        <v>0</v>
      </c>
      <c r="V413">
        <v>1.9209392282301077E-2</v>
      </c>
      <c r="W413">
        <v>0.10378448909184339</v>
      </c>
      <c r="X413">
        <v>-2.6157062924972462E-3</v>
      </c>
      <c r="Y413">
        <v>4.5204323023864318E-2</v>
      </c>
    </row>
    <row r="414" spans="1:25" x14ac:dyDescent="0.25">
      <c r="A414" s="879"/>
      <c r="B414" s="1133">
        <v>164</v>
      </c>
      <c r="C414" s="883">
        <v>1.0066563858570474</v>
      </c>
      <c r="D414" s="883">
        <v>1.0122833879167232</v>
      </c>
      <c r="E414" s="883">
        <v>0.98143803203913138</v>
      </c>
      <c r="F414" s="883">
        <v>1.0408104484596095</v>
      </c>
      <c r="G414" s="883">
        <v>0.96674039622811248</v>
      </c>
      <c r="H414" s="883">
        <v>1.0038397334360647</v>
      </c>
      <c r="I414" s="883">
        <v>0.98299225907073828</v>
      </c>
      <c r="K414">
        <v>6.7347569328366257</v>
      </c>
      <c r="L414">
        <v>0</v>
      </c>
      <c r="M414">
        <v>1.0507935482002281E-2</v>
      </c>
      <c r="N414">
        <v>0.19059062084791933</v>
      </c>
      <c r="O414">
        <v>0.12092834280795987</v>
      </c>
      <c r="P414">
        <v>8.195780968366663E-2</v>
      </c>
      <c r="Q414">
        <v>0</v>
      </c>
      <c r="R414">
        <v>1.0507935482002281E-2</v>
      </c>
      <c r="S414">
        <v>0.26384409859488556</v>
      </c>
      <c r="T414">
        <v>5.9153726398093589</v>
      </c>
      <c r="U414">
        <v>0</v>
      </c>
      <c r="V414">
        <v>1.9119045476038824E-2</v>
      </c>
      <c r="W414">
        <v>0.10124623848878242</v>
      </c>
      <c r="X414">
        <v>-1.5716708440772266E-3</v>
      </c>
      <c r="Y414">
        <v>4.3269807972093031E-2</v>
      </c>
    </row>
    <row r="415" spans="1:25" x14ac:dyDescent="0.25">
      <c r="A415" s="879"/>
      <c r="B415" s="1133">
        <v>165</v>
      </c>
      <c r="C415" s="883">
        <v>0.98143407004749039</v>
      </c>
      <c r="D415" s="883">
        <v>1.0003982938852383</v>
      </c>
      <c r="E415" s="883">
        <v>1.0020597910794447</v>
      </c>
      <c r="F415" s="883">
        <v>1.0225818354343124</v>
      </c>
      <c r="G415" s="883">
        <v>1.0413205131782388</v>
      </c>
      <c r="H415" s="883">
        <v>1.0046914453093196</v>
      </c>
      <c r="I415" s="883">
        <v>1.0085271933336151</v>
      </c>
      <c r="K415">
        <v>6.7634277076126832</v>
      </c>
      <c r="L415">
        <v>0</v>
      </c>
      <c r="M415">
        <v>1.0648433024279907E-2</v>
      </c>
      <c r="N415">
        <v>0.19913425407903679</v>
      </c>
      <c r="O415">
        <v>0.12423137602442148</v>
      </c>
      <c r="P415">
        <v>8.3416173400748056E-2</v>
      </c>
      <c r="Q415">
        <v>0</v>
      </c>
      <c r="R415">
        <v>1.0648433024279907E-2</v>
      </c>
      <c r="S415">
        <v>0.27789492181317293</v>
      </c>
      <c r="T415">
        <v>5.9132373813459003</v>
      </c>
      <c r="U415">
        <v>0</v>
      </c>
      <c r="V415">
        <v>1.925822284334228E-2</v>
      </c>
      <c r="W415">
        <v>0.10470333082275737</v>
      </c>
      <c r="X415">
        <v>-2.2963045602588999E-3</v>
      </c>
      <c r="Y415">
        <v>4.3848351843562013E-2</v>
      </c>
    </row>
    <row r="416" spans="1:25" x14ac:dyDescent="0.25">
      <c r="A416" s="879"/>
      <c r="B416" s="1133">
        <v>166</v>
      </c>
      <c r="C416" s="883">
        <v>0.97578182417348747</v>
      </c>
      <c r="D416" s="883">
        <v>1.0334304947289601</v>
      </c>
      <c r="E416" s="883">
        <v>1.0078413206284402</v>
      </c>
      <c r="F416" s="883">
        <v>1.0114029077521303</v>
      </c>
      <c r="G416" s="883">
        <v>1.0288505879644907</v>
      </c>
      <c r="H416" s="883">
        <v>1.0133001697795776</v>
      </c>
      <c r="I416" s="883">
        <v>0.96385179360284368</v>
      </c>
      <c r="K416">
        <v>6.7520615965331627</v>
      </c>
      <c r="L416">
        <v>0</v>
      </c>
      <c r="M416">
        <v>1.0599023831807561E-2</v>
      </c>
      <c r="N416">
        <v>0.19991464256105515</v>
      </c>
      <c r="O416">
        <v>0.12322800659084054</v>
      </c>
      <c r="P416">
        <v>8.3629078520877462E-2</v>
      </c>
      <c r="Q416">
        <v>0</v>
      </c>
      <c r="R416">
        <v>1.0599023831807561E-2</v>
      </c>
      <c r="S416">
        <v>0.26761049985123403</v>
      </c>
      <c r="T416">
        <v>5.9123067005483865</v>
      </c>
      <c r="U416">
        <v>0</v>
      </c>
      <c r="V416">
        <v>1.9290398930671148E-2</v>
      </c>
      <c r="W416">
        <v>0.10481288110355877</v>
      </c>
      <c r="X416">
        <v>-2.3755051569317458E-3</v>
      </c>
      <c r="Y416">
        <v>4.3644893583469305E-2</v>
      </c>
    </row>
    <row r="417" spans="1:25" x14ac:dyDescent="0.25">
      <c r="A417" s="879"/>
      <c r="B417" s="1133">
        <v>167</v>
      </c>
      <c r="C417" s="883">
        <v>0.99203173561768909</v>
      </c>
      <c r="D417" s="883">
        <v>1.01146577490884</v>
      </c>
      <c r="E417" s="883">
        <v>0.97237456705638303</v>
      </c>
      <c r="F417" s="883">
        <v>0.99050552206958076</v>
      </c>
      <c r="G417" s="883">
        <v>1.003085935572775</v>
      </c>
      <c r="H417" s="883">
        <v>1.0021431915940731</v>
      </c>
      <c r="I417" s="883">
        <v>0.96816338685914038</v>
      </c>
      <c r="K417">
        <v>6.7368706892939541</v>
      </c>
      <c r="L417">
        <v>0</v>
      </c>
      <c r="M417">
        <v>1.0732936212767073E-2</v>
      </c>
      <c r="N417">
        <v>0.19207076063276399</v>
      </c>
      <c r="O417">
        <v>0.12291925592796232</v>
      </c>
      <c r="P417">
        <v>8.1354736155421284E-2</v>
      </c>
      <c r="Q417">
        <v>0</v>
      </c>
      <c r="R417">
        <v>1.0732936212767073E-2</v>
      </c>
      <c r="S417">
        <v>0.26353214794717483</v>
      </c>
      <c r="T417">
        <v>5.9131508070603189</v>
      </c>
      <c r="U417">
        <v>0</v>
      </c>
      <c r="V417">
        <v>1.9198882568229769E-2</v>
      </c>
      <c r="W417">
        <v>0.10249720551017752</v>
      </c>
      <c r="X417">
        <v>-2.0494274408421665E-3</v>
      </c>
      <c r="Y417">
        <v>4.4196320932745316E-2</v>
      </c>
    </row>
    <row r="418" spans="1:25" x14ac:dyDescent="0.25">
      <c r="A418" s="879"/>
      <c r="B418" s="1133">
        <v>168</v>
      </c>
      <c r="C418" s="883">
        <v>1.0013880885145519</v>
      </c>
      <c r="D418" s="883">
        <v>1.0051378812856639</v>
      </c>
      <c r="E418" s="883">
        <v>1.0420998040018072</v>
      </c>
      <c r="F418" s="883">
        <v>1.022645404227368</v>
      </c>
      <c r="G418" s="883">
        <v>0.97878019336117872</v>
      </c>
      <c r="H418" s="883">
        <v>1.042699433798016</v>
      </c>
      <c r="I418" s="883">
        <v>1.0018993469697848</v>
      </c>
      <c r="K418">
        <v>6.7649301927130949</v>
      </c>
      <c r="L418">
        <v>0</v>
      </c>
      <c r="M418">
        <v>1.0436741973260317E-2</v>
      </c>
      <c r="N418">
        <v>0.20708320667424007</v>
      </c>
      <c r="O418">
        <v>0.12077037131286535</v>
      </c>
      <c r="P418">
        <v>8.5844061080193657E-2</v>
      </c>
      <c r="Q418">
        <v>0</v>
      </c>
      <c r="R418">
        <v>1.0436741973260317E-2</v>
      </c>
      <c r="S418">
        <v>0.27416672920241314</v>
      </c>
      <c r="T418">
        <v>5.9109411605069768</v>
      </c>
      <c r="U418">
        <v>0</v>
      </c>
      <c r="V418">
        <v>1.914753680095627E-2</v>
      </c>
      <c r="W418">
        <v>0.10675808989000579</v>
      </c>
      <c r="X418">
        <v>-2.7576085296211845E-3</v>
      </c>
      <c r="Y418">
        <v>4.2976645775065783E-2</v>
      </c>
    </row>
    <row r="419" spans="1:25" x14ac:dyDescent="0.25">
      <c r="A419" s="879"/>
      <c r="B419" s="1133">
        <v>169</v>
      </c>
      <c r="C419" s="883">
        <v>1.0081024257494047</v>
      </c>
      <c r="D419" s="883">
        <v>0.99645138884072404</v>
      </c>
      <c r="E419" s="883">
        <v>1.0043968970414383</v>
      </c>
      <c r="F419" s="883">
        <v>0.97044218767238133</v>
      </c>
      <c r="G419" s="883">
        <v>0.98872666402379483</v>
      </c>
      <c r="H419" s="883">
        <v>1.0281491949937724</v>
      </c>
      <c r="I419" s="883">
        <v>1.0204439715739979</v>
      </c>
      <c r="K419">
        <v>6.7547778332158561</v>
      </c>
      <c r="L419">
        <v>0</v>
      </c>
      <c r="M419">
        <v>1.0605081823405686E-2</v>
      </c>
      <c r="N419">
        <v>0.19901124852394159</v>
      </c>
      <c r="O419">
        <v>0.12109278069539409</v>
      </c>
      <c r="P419">
        <v>8.3496512744672485E-2</v>
      </c>
      <c r="Q419">
        <v>0</v>
      </c>
      <c r="R419">
        <v>1.0605081823405686E-2</v>
      </c>
      <c r="S419">
        <v>0.27602710355024995</v>
      </c>
      <c r="T419">
        <v>5.9102880032817833</v>
      </c>
      <c r="U419">
        <v>0</v>
      </c>
      <c r="V419">
        <v>1.91112772759655E-2</v>
      </c>
      <c r="W419">
        <v>0.10451743315733521</v>
      </c>
      <c r="X419">
        <v>-2.4363653280718642E-3</v>
      </c>
      <c r="Y419">
        <v>4.3669839314588066E-2</v>
      </c>
    </row>
    <row r="420" spans="1:25" x14ac:dyDescent="0.25">
      <c r="A420" s="879"/>
      <c r="B420" s="1133">
        <v>170</v>
      </c>
      <c r="C420" s="883">
        <v>1.0034061902699183</v>
      </c>
      <c r="D420" s="883">
        <v>0.99704277282716203</v>
      </c>
      <c r="E420" s="883">
        <v>0.95307286855533768</v>
      </c>
      <c r="F420" s="883">
        <v>1.0124919468995091</v>
      </c>
      <c r="G420" s="883">
        <v>0.97223582641910589</v>
      </c>
      <c r="H420" s="883">
        <v>0.9606403313377847</v>
      </c>
      <c r="I420" s="883">
        <v>1.0106707666867925</v>
      </c>
      <c r="K420">
        <v>6.7264050980596348</v>
      </c>
      <c r="L420">
        <v>0</v>
      </c>
      <c r="M420">
        <v>1.0407878514393063E-2</v>
      </c>
      <c r="N420">
        <v>0.18098885668749082</v>
      </c>
      <c r="O420">
        <v>0.12258028690301534</v>
      </c>
      <c r="P420">
        <v>8.0224872838644837E-2</v>
      </c>
      <c r="Q420">
        <v>0</v>
      </c>
      <c r="R420">
        <v>1.0407878514393063E-2</v>
      </c>
      <c r="S420">
        <v>0.26815074590607829</v>
      </c>
      <c r="T420">
        <v>5.9153840682057766</v>
      </c>
      <c r="U420">
        <v>0</v>
      </c>
      <c r="V420">
        <v>1.9136587411483795E-2</v>
      </c>
      <c r="W420">
        <v>9.7528070877123979E-2</v>
      </c>
      <c r="X420">
        <v>-4.4618195892964443E-4</v>
      </c>
      <c r="Y420">
        <v>4.285779118895458E-2</v>
      </c>
    </row>
    <row r="421" spans="1:25" x14ac:dyDescent="0.25">
      <c r="A421" s="879"/>
      <c r="B421" s="1133">
        <v>171</v>
      </c>
      <c r="C421" s="883">
        <v>0.97287803858170374</v>
      </c>
      <c r="D421" s="883">
        <v>0.95631040286288471</v>
      </c>
      <c r="E421" s="883">
        <v>0.98022205944847551</v>
      </c>
      <c r="F421" s="883">
        <v>1.0007714513370773</v>
      </c>
      <c r="G421" s="883">
        <v>1.0150359112252942</v>
      </c>
      <c r="H421" s="883">
        <v>0.97650479736858697</v>
      </c>
      <c r="I421" s="883">
        <v>1.037718460720257</v>
      </c>
      <c r="K421">
        <v>6.7721149457507339</v>
      </c>
      <c r="L421">
        <v>0</v>
      </c>
      <c r="M421">
        <v>1.0849205687539828E-2</v>
      </c>
      <c r="N421">
        <v>0.19642583219643842</v>
      </c>
      <c r="O421">
        <v>0.12803019075490324</v>
      </c>
      <c r="P421">
        <v>8.2149058378214693E-2</v>
      </c>
      <c r="Q421">
        <v>0</v>
      </c>
      <c r="R421">
        <v>1.0849205687539828E-2</v>
      </c>
      <c r="S421">
        <v>0.28604357341792752</v>
      </c>
      <c r="T421">
        <v>5.9132752231452042</v>
      </c>
      <c r="U421">
        <v>0</v>
      </c>
      <c r="V421">
        <v>1.930707445363684E-2</v>
      </c>
      <c r="W421">
        <v>0.10440956936368166</v>
      </c>
      <c r="X421">
        <v>-2.2006738939387323E-3</v>
      </c>
      <c r="Y421">
        <v>4.4675097934664489E-2</v>
      </c>
    </row>
    <row r="422" spans="1:25" x14ac:dyDescent="0.25">
      <c r="A422" s="879"/>
      <c r="B422" s="1133">
        <v>172</v>
      </c>
      <c r="C422" s="883">
        <v>1.0281900511952502</v>
      </c>
      <c r="D422" s="883">
        <v>0.99488822273008948</v>
      </c>
      <c r="E422" s="883">
        <v>0.99867241291393749</v>
      </c>
      <c r="F422" s="883">
        <v>1.0393637286890538</v>
      </c>
      <c r="G422" s="883">
        <v>0.99437922710000826</v>
      </c>
      <c r="H422" s="883">
        <v>0.98946811580113925</v>
      </c>
      <c r="I422" s="883">
        <v>0.99970980733648029</v>
      </c>
      <c r="K422">
        <v>6.7236789235512857</v>
      </c>
      <c r="L422">
        <v>0</v>
      </c>
      <c r="M422">
        <v>1.0063642040021402E-2</v>
      </c>
      <c r="N422">
        <v>0.1872561419033035</v>
      </c>
      <c r="O422">
        <v>0.11890621103810332</v>
      </c>
      <c r="P422">
        <v>8.2996071318451034E-2</v>
      </c>
      <c r="Q422">
        <v>0</v>
      </c>
      <c r="R422">
        <v>1.0063642040021402E-2</v>
      </c>
      <c r="S422">
        <v>0.26158990111876246</v>
      </c>
      <c r="T422">
        <v>5.914334841811085</v>
      </c>
      <c r="U422">
        <v>0</v>
      </c>
      <c r="V422">
        <v>1.9005625552529097E-2</v>
      </c>
      <c r="W422">
        <v>9.8623655527387194E-2</v>
      </c>
      <c r="X422">
        <v>-4.7381137763705258E-4</v>
      </c>
      <c r="Y422">
        <v>4.1440286659300413E-2</v>
      </c>
    </row>
    <row r="423" spans="1:25" x14ac:dyDescent="0.25">
      <c r="A423" s="879"/>
      <c r="B423" s="1133">
        <v>173</v>
      </c>
      <c r="C423" s="883">
        <v>0.96592156354088643</v>
      </c>
      <c r="D423" s="883">
        <v>1.0088839731094099</v>
      </c>
      <c r="E423" s="883">
        <v>0.99065817851613669</v>
      </c>
      <c r="F423" s="883">
        <v>1.0256775184409253</v>
      </c>
      <c r="G423" s="883">
        <v>1.014206749690586</v>
      </c>
      <c r="H423" s="883">
        <v>1.0112607774250226</v>
      </c>
      <c r="I423" s="883">
        <v>0.9902448382475787</v>
      </c>
      <c r="K423">
        <v>6.770047317536922</v>
      </c>
      <c r="L423">
        <v>0</v>
      </c>
      <c r="M423">
        <v>1.0959440934390772E-2</v>
      </c>
      <c r="N423">
        <v>0.20151663387475888</v>
      </c>
      <c r="O423">
        <v>0.12602078335961212</v>
      </c>
      <c r="P423">
        <v>8.2708494308232128E-2</v>
      </c>
      <c r="Q423">
        <v>0</v>
      </c>
      <c r="R423">
        <v>1.0959440934390772E-2</v>
      </c>
      <c r="S423">
        <v>0.27776440031986566</v>
      </c>
      <c r="T423">
        <v>5.9140433794338652</v>
      </c>
      <c r="U423">
        <v>0</v>
      </c>
      <c r="V423">
        <v>1.9347431094579245E-2</v>
      </c>
      <c r="W423">
        <v>0.10655853725008521</v>
      </c>
      <c r="X423">
        <v>-3.0413691641282743E-3</v>
      </c>
      <c r="Y423">
        <v>4.5129027060054172E-2</v>
      </c>
    </row>
    <row r="424" spans="1:25" x14ac:dyDescent="0.25">
      <c r="A424" s="879"/>
      <c r="B424" s="1133">
        <v>174</v>
      </c>
      <c r="C424" s="883">
        <v>0.99344815300407052</v>
      </c>
      <c r="D424" s="883">
        <v>1.0271187752939757</v>
      </c>
      <c r="E424" s="883">
        <v>1.0125890559108297</v>
      </c>
      <c r="F424" s="883">
        <v>0.99698734075530149</v>
      </c>
      <c r="G424" s="883">
        <v>1.0310455152971463</v>
      </c>
      <c r="H424" s="883">
        <v>0.99699813649647473</v>
      </c>
      <c r="I424" s="883">
        <v>0.99098689672422435</v>
      </c>
      <c r="K424">
        <v>6.7411991484471558</v>
      </c>
      <c r="L424">
        <v>0</v>
      </c>
      <c r="M424">
        <v>1.0227387407259538E-2</v>
      </c>
      <c r="N424">
        <v>0.1942655637684878</v>
      </c>
      <c r="O424">
        <v>0.12124459263459963</v>
      </c>
      <c r="P424">
        <v>8.3927563849546263E-2</v>
      </c>
      <c r="Q424">
        <v>0</v>
      </c>
      <c r="R424">
        <v>1.0227387407259538E-2</v>
      </c>
      <c r="S424">
        <v>0.26880378692790813</v>
      </c>
      <c r="T424">
        <v>5.9112582494646055</v>
      </c>
      <c r="U424">
        <v>0</v>
      </c>
      <c r="V424">
        <v>1.9191047432618579E-2</v>
      </c>
      <c r="W424">
        <v>0.10161226321464197</v>
      </c>
      <c r="X424">
        <v>-1.2184797812522209E-3</v>
      </c>
      <c r="Y424">
        <v>4.2114560935998184E-2</v>
      </c>
    </row>
    <row r="425" spans="1:25" x14ac:dyDescent="0.25">
      <c r="A425" s="879"/>
      <c r="B425" s="1133">
        <v>175</v>
      </c>
      <c r="C425" s="883">
        <v>1.0209544228535223</v>
      </c>
      <c r="D425" s="883">
        <v>1.0117593529784807</v>
      </c>
      <c r="E425" s="883">
        <v>1.0253146315487249</v>
      </c>
      <c r="F425" s="883">
        <v>1.0137378422170698</v>
      </c>
      <c r="G425" s="883">
        <v>1.0108330545634634</v>
      </c>
      <c r="H425" s="883">
        <v>0.97976591143235903</v>
      </c>
      <c r="I425" s="883">
        <v>0.98681038355017958</v>
      </c>
      <c r="K425">
        <v>6.7191544164214525</v>
      </c>
      <c r="L425">
        <v>0</v>
      </c>
      <c r="M425">
        <v>9.7340680435123086E-3</v>
      </c>
      <c r="N425">
        <v>0.18840899875533773</v>
      </c>
      <c r="O425">
        <v>0.11845664601696218</v>
      </c>
      <c r="P425">
        <v>8.4592295991646138E-2</v>
      </c>
      <c r="Q425">
        <v>0</v>
      </c>
      <c r="R425">
        <v>9.7340680435123086E-3</v>
      </c>
      <c r="S425">
        <v>0.25905464372741843</v>
      </c>
      <c r="T425">
        <v>5.9114346833272648</v>
      </c>
      <c r="U425">
        <v>0</v>
      </c>
      <c r="V425">
        <v>1.9043202590188428E-2</v>
      </c>
      <c r="W425">
        <v>9.7932848249171367E-2</v>
      </c>
      <c r="X425">
        <v>1.4793815979810299E-4</v>
      </c>
      <c r="Y425">
        <v>4.0083159603660518E-2</v>
      </c>
    </row>
    <row r="426" spans="1:25" x14ac:dyDescent="0.25">
      <c r="A426" s="879"/>
      <c r="B426" s="1133">
        <v>176</v>
      </c>
      <c r="C426" s="883">
        <v>0.97139365132741418</v>
      </c>
      <c r="D426" s="883">
        <v>1.0027012192645759</v>
      </c>
      <c r="E426" s="883">
        <v>1.0310614424840059</v>
      </c>
      <c r="F426" s="883">
        <v>1.0026206356972946</v>
      </c>
      <c r="G426" s="883">
        <v>0.98819248820189409</v>
      </c>
      <c r="H426" s="883">
        <v>0.99947323051094517</v>
      </c>
      <c r="I426" s="883">
        <v>1.0348518323707343</v>
      </c>
      <c r="K426">
        <v>6.777399074493375</v>
      </c>
      <c r="L426">
        <v>0</v>
      </c>
      <c r="M426">
        <v>1.0424130481851162E-2</v>
      </c>
      <c r="N426">
        <v>0.20348710462262473</v>
      </c>
      <c r="O426">
        <v>0.12483678672895009</v>
      </c>
      <c r="P426">
        <v>8.5333832771269283E-2</v>
      </c>
      <c r="Q426">
        <v>0</v>
      </c>
      <c r="R426">
        <v>1.0424130481851162E-2</v>
      </c>
      <c r="S426">
        <v>0.28760080246969011</v>
      </c>
      <c r="T426">
        <v>5.9105022240932037</v>
      </c>
      <c r="U426">
        <v>0</v>
      </c>
      <c r="V426">
        <v>1.9315637328492636E-2</v>
      </c>
      <c r="W426">
        <v>0.10547227671737555</v>
      </c>
      <c r="X426">
        <v>-2.0743041364335402E-3</v>
      </c>
      <c r="Y426">
        <v>4.2924713898204667E-2</v>
      </c>
    </row>
    <row r="427" spans="1:25" x14ac:dyDescent="0.25">
      <c r="A427" s="879"/>
      <c r="B427" s="1133">
        <v>177</v>
      </c>
      <c r="C427" s="883">
        <v>1.0428248100862152</v>
      </c>
      <c r="D427" s="883">
        <v>0.99477569762785745</v>
      </c>
      <c r="E427" s="883">
        <v>0.98990736573477456</v>
      </c>
      <c r="F427" s="883">
        <v>1.0345677907777506</v>
      </c>
      <c r="G427" s="883">
        <v>0.97148678112159803</v>
      </c>
      <c r="H427" s="883">
        <v>0.99148317887737858</v>
      </c>
      <c r="I427" s="883">
        <v>0.97631718747311902</v>
      </c>
      <c r="K427">
        <v>6.7076308327893033</v>
      </c>
      <c r="L427">
        <v>0</v>
      </c>
      <c r="M427">
        <v>1.0019477309524393E-2</v>
      </c>
      <c r="N427">
        <v>0.18402810136810599</v>
      </c>
      <c r="O427">
        <v>0.1174002141948962</v>
      </c>
      <c r="P427">
        <v>8.2320685166616878E-2</v>
      </c>
      <c r="Q427">
        <v>0</v>
      </c>
      <c r="R427">
        <v>1.0019477309524393E-2</v>
      </c>
      <c r="S427">
        <v>0.25204886967493378</v>
      </c>
      <c r="T427">
        <v>5.9145657159554617</v>
      </c>
      <c r="U427">
        <v>0</v>
      </c>
      <c r="V427">
        <v>1.8931216313953107E-2</v>
      </c>
      <c r="W427">
        <v>9.7347337805895107E-2</v>
      </c>
      <c r="X427">
        <v>-2.6973185070087411E-4</v>
      </c>
      <c r="Y427">
        <v>4.1258424160142713E-2</v>
      </c>
    </row>
    <row r="428" spans="1:25" x14ac:dyDescent="0.25">
      <c r="A428" s="879"/>
      <c r="B428" s="1133">
        <v>178</v>
      </c>
      <c r="C428" s="883">
        <v>1.0413304778422834</v>
      </c>
      <c r="D428" s="883">
        <v>1.0254878602095885</v>
      </c>
      <c r="E428" s="883">
        <v>1.0313918686552594</v>
      </c>
      <c r="F428" s="883">
        <v>1.013627634743834</v>
      </c>
      <c r="G428" s="883">
        <v>0.99732306683331995</v>
      </c>
      <c r="H428" s="883">
        <v>0.97846431160742187</v>
      </c>
      <c r="I428" s="883">
        <v>0.9999486328076167</v>
      </c>
      <c r="K428">
        <v>6.7068012153048029</v>
      </c>
      <c r="L428">
        <v>0</v>
      </c>
      <c r="M428">
        <v>9.4257697104468859E-3</v>
      </c>
      <c r="N428">
        <v>0.1840882137344117</v>
      </c>
      <c r="O428">
        <v>0.11540461784680568</v>
      </c>
      <c r="P428">
        <v>8.4939603256046853E-2</v>
      </c>
      <c r="Q428">
        <v>0</v>
      </c>
      <c r="R428">
        <v>9.4257697104468859E-3</v>
      </c>
      <c r="S428">
        <v>0.25714786594435307</v>
      </c>
      <c r="T428">
        <v>5.9110776393355318</v>
      </c>
      <c r="U428">
        <v>0</v>
      </c>
      <c r="V428">
        <v>1.8938718248555985E-2</v>
      </c>
      <c r="W428">
        <v>9.5401905049649571E-2</v>
      </c>
      <c r="X428">
        <v>9.8900994629256785E-4</v>
      </c>
      <c r="Y428">
        <v>3.8813641943154731E-2</v>
      </c>
    </row>
    <row r="429" spans="1:25" x14ac:dyDescent="0.25">
      <c r="A429" s="879"/>
      <c r="B429" s="1133">
        <v>179</v>
      </c>
      <c r="C429" s="883">
        <v>0.99455916179560555</v>
      </c>
      <c r="D429" s="883">
        <v>0.95195171832432746</v>
      </c>
      <c r="E429" s="883">
        <v>0.96764524663192886</v>
      </c>
      <c r="F429" s="883">
        <v>1.0284953221089372</v>
      </c>
      <c r="G429" s="883">
        <v>0.98564545261382019</v>
      </c>
      <c r="H429" s="883">
        <v>0.97557182437308987</v>
      </c>
      <c r="I429" s="883">
        <v>1.0278025905545292</v>
      </c>
      <c r="K429">
        <v>6.7541658462876457</v>
      </c>
      <c r="L429">
        <v>0</v>
      </c>
      <c r="M429">
        <v>1.0740380526952285E-2</v>
      </c>
      <c r="N429">
        <v>0.19085905123605851</v>
      </c>
      <c r="O429">
        <v>0.12570682478245807</v>
      </c>
      <c r="P429">
        <v>8.1263576196418816E-2</v>
      </c>
      <c r="Q429">
        <v>0</v>
      </c>
      <c r="R429">
        <v>1.0740380526952285E-2</v>
      </c>
      <c r="S429">
        <v>0.27706795761475689</v>
      </c>
      <c r="T429">
        <v>5.915462731925949</v>
      </c>
      <c r="U429">
        <v>0</v>
      </c>
      <c r="V429">
        <v>1.918491733052578E-2</v>
      </c>
      <c r="W429">
        <v>0.10209304463617669</v>
      </c>
      <c r="X429">
        <v>-1.6992327282195829E-3</v>
      </c>
      <c r="Y429">
        <v>4.4226975293521494E-2</v>
      </c>
    </row>
    <row r="430" spans="1:25" x14ac:dyDescent="0.25">
      <c r="A430" s="879"/>
      <c r="B430" s="1133">
        <v>180</v>
      </c>
      <c r="C430" s="883">
        <v>0.99990103601949543</v>
      </c>
      <c r="D430" s="883">
        <v>1.0349270677197542</v>
      </c>
      <c r="E430" s="883">
        <v>0.98486938246756728</v>
      </c>
      <c r="F430" s="883">
        <v>1.0198385704446189</v>
      </c>
      <c r="G430" s="883">
        <v>1.0076024759181907</v>
      </c>
      <c r="H430" s="883">
        <v>0.9884768855661783</v>
      </c>
      <c r="I430" s="883">
        <v>1.0162996504090398</v>
      </c>
      <c r="K430">
        <v>6.7376121732206506</v>
      </c>
      <c r="L430">
        <v>0</v>
      </c>
      <c r="M430">
        <v>1.0288045053466333E-2</v>
      </c>
      <c r="N430">
        <v>0.18755449250089493</v>
      </c>
      <c r="O430">
        <v>0.12060985801280463</v>
      </c>
      <c r="P430">
        <v>8.2277609363273788E-2</v>
      </c>
      <c r="Q430">
        <v>0</v>
      </c>
      <c r="R430">
        <v>1.0288045053466333E-2</v>
      </c>
      <c r="S430">
        <v>0.27296815115027534</v>
      </c>
      <c r="T430">
        <v>5.914049257420035</v>
      </c>
      <c r="U430">
        <v>0</v>
      </c>
      <c r="V430">
        <v>1.9155633218578424E-2</v>
      </c>
      <c r="W430">
        <v>9.946256133373238E-2</v>
      </c>
      <c r="X430">
        <v>-8.297281053642777E-4</v>
      </c>
      <c r="Y430">
        <v>4.236433832641924E-2</v>
      </c>
    </row>
    <row r="431" spans="1:25" x14ac:dyDescent="0.25">
      <c r="A431" s="879"/>
      <c r="B431" s="1133">
        <v>181</v>
      </c>
      <c r="C431" s="883">
        <v>0.99825749737427549</v>
      </c>
      <c r="D431" s="883">
        <v>0.96709886415486013</v>
      </c>
      <c r="E431" s="883">
        <v>1.0191495226041916</v>
      </c>
      <c r="F431" s="883">
        <v>0.99565437861692585</v>
      </c>
      <c r="G431" s="883">
        <v>1.015104946389024</v>
      </c>
      <c r="H431" s="883">
        <v>0.97295037702625686</v>
      </c>
      <c r="I431" s="883">
        <v>0.98404548571532913</v>
      </c>
      <c r="K431">
        <v>6.7382450324392247</v>
      </c>
      <c r="L431">
        <v>0</v>
      </c>
      <c r="M431">
        <v>1.0133799022340356E-2</v>
      </c>
      <c r="N431">
        <v>0.19436561909195679</v>
      </c>
      <c r="O431">
        <v>0.12347608408027273</v>
      </c>
      <c r="P431">
        <v>8.4266743455089374E-2</v>
      </c>
      <c r="Q431">
        <v>0</v>
      </c>
      <c r="R431">
        <v>1.0133799022340356E-2</v>
      </c>
      <c r="S431">
        <v>0.26397138512280971</v>
      </c>
      <c r="T431">
        <v>5.9108118052368059</v>
      </c>
      <c r="U431">
        <v>0</v>
      </c>
      <c r="V431">
        <v>1.9164609704669471E-2</v>
      </c>
      <c r="W431">
        <v>0.10133603179286541</v>
      </c>
      <c r="X431">
        <v>-8.7642667026019991E-4</v>
      </c>
      <c r="Y431">
        <v>4.1729180625012519E-2</v>
      </c>
    </row>
    <row r="432" spans="1:25" x14ac:dyDescent="0.25">
      <c r="A432" s="879"/>
      <c r="B432" s="1133">
        <v>182</v>
      </c>
      <c r="C432" s="883">
        <v>0.98501258493123167</v>
      </c>
      <c r="D432" s="883">
        <v>0.9846275375984832</v>
      </c>
      <c r="E432" s="883">
        <v>1.0022730082340041</v>
      </c>
      <c r="F432" s="883">
        <v>1.0130743675222578</v>
      </c>
      <c r="G432" s="883">
        <v>1.006442769804992</v>
      </c>
      <c r="H432" s="883">
        <v>0.98179048408599223</v>
      </c>
      <c r="I432" s="883">
        <v>0.99405105065992683</v>
      </c>
      <c r="K432">
        <v>6.7500693748138243</v>
      </c>
      <c r="L432">
        <v>0</v>
      </c>
      <c r="M432">
        <v>1.0436788868861468E-2</v>
      </c>
      <c r="N432">
        <v>0.19523798991782496</v>
      </c>
      <c r="O432">
        <v>0.12456521761366121</v>
      </c>
      <c r="P432">
        <v>8.3328191305163252E-2</v>
      </c>
      <c r="Q432">
        <v>0</v>
      </c>
      <c r="R432">
        <v>1.0436788868861468E-2</v>
      </c>
      <c r="S432">
        <v>0.27088506351054148</v>
      </c>
      <c r="T432">
        <v>5.9127115783053847</v>
      </c>
      <c r="U432">
        <v>0</v>
      </c>
      <c r="V432">
        <v>1.9238042620421707E-2</v>
      </c>
      <c r="W432">
        <v>0.10264384369115223</v>
      </c>
      <c r="X432">
        <v>-1.5173910331314666E-3</v>
      </c>
      <c r="Y432">
        <v>4.2976838882804208E-2</v>
      </c>
    </row>
    <row r="433" spans="1:25" x14ac:dyDescent="0.25">
      <c r="A433" s="879"/>
      <c r="B433" s="1133">
        <v>183</v>
      </c>
      <c r="C433" s="883">
        <v>0.98735084793123185</v>
      </c>
      <c r="D433" s="883">
        <v>1.0222721414207045</v>
      </c>
      <c r="E433" s="883">
        <v>0.95901572732329909</v>
      </c>
      <c r="F433" s="883">
        <v>1.0213453998687698</v>
      </c>
      <c r="G433" s="883">
        <v>0.97632725222159056</v>
      </c>
      <c r="H433" s="883">
        <v>0.99563199825991477</v>
      </c>
      <c r="I433" s="883">
        <v>1.0177780776970724</v>
      </c>
      <c r="K433">
        <v>6.749896785341261</v>
      </c>
      <c r="L433">
        <v>0</v>
      </c>
      <c r="M433">
        <v>1.0789842251201623E-2</v>
      </c>
      <c r="N433">
        <v>0.18929573923232129</v>
      </c>
      <c r="O433">
        <v>0.12322519542604526</v>
      </c>
      <c r="P433">
        <v>8.0726281884809598E-2</v>
      </c>
      <c r="Q433">
        <v>0</v>
      </c>
      <c r="R433">
        <v>1.0789842251201623E-2</v>
      </c>
      <c r="S433">
        <v>0.27759473544325142</v>
      </c>
      <c r="T433">
        <v>5.9155434956656077</v>
      </c>
      <c r="U433">
        <v>0</v>
      </c>
      <c r="V433">
        <v>1.9224935535422746E-2</v>
      </c>
      <c r="W433">
        <v>0.10169827956506351</v>
      </c>
      <c r="X433">
        <v>-1.842527281385451E-3</v>
      </c>
      <c r="Y433">
        <v>4.443064987012154E-2</v>
      </c>
    </row>
    <row r="434" spans="1:25" x14ac:dyDescent="0.25">
      <c r="A434" s="879"/>
      <c r="B434" s="1133">
        <v>184</v>
      </c>
      <c r="C434" s="883">
        <v>1.0247449809437323</v>
      </c>
      <c r="D434" s="883">
        <v>0.97786382985372566</v>
      </c>
      <c r="E434" s="883">
        <v>1.0076929545338664</v>
      </c>
      <c r="F434" s="883">
        <v>0.97877746885904482</v>
      </c>
      <c r="G434" s="883">
        <v>1.0377703688605326</v>
      </c>
      <c r="H434" s="883">
        <v>0.99275141783392484</v>
      </c>
      <c r="I434" s="883">
        <v>0.96541655189427966</v>
      </c>
      <c r="K434">
        <v>6.7187697120341303</v>
      </c>
      <c r="L434">
        <v>0</v>
      </c>
      <c r="M434">
        <v>1.0126056432610279E-2</v>
      </c>
      <c r="N434">
        <v>0.19095176445943893</v>
      </c>
      <c r="O434">
        <v>0.11996580231961997</v>
      </c>
      <c r="P434">
        <v>8.3408293473160394E-2</v>
      </c>
      <c r="Q434">
        <v>0</v>
      </c>
      <c r="R434">
        <v>1.0126056432610279E-2</v>
      </c>
      <c r="S434">
        <v>0.25393660369326038</v>
      </c>
      <c r="T434">
        <v>5.9105521521675506</v>
      </c>
      <c r="U434">
        <v>0</v>
      </c>
      <c r="V434">
        <v>1.9023450773661337E-2</v>
      </c>
      <c r="W434">
        <v>0.1001211038334445</v>
      </c>
      <c r="X434">
        <v>-8.8675670463682973E-4</v>
      </c>
      <c r="Y434">
        <v>4.1697298018633658E-2</v>
      </c>
    </row>
    <row r="435" spans="1:25" x14ac:dyDescent="0.25">
      <c r="A435" s="879"/>
      <c r="B435" s="1133">
        <v>185</v>
      </c>
      <c r="C435" s="883">
        <v>0.99238469145917696</v>
      </c>
      <c r="D435" s="883">
        <v>1.0114440619333827</v>
      </c>
      <c r="E435" s="883">
        <v>0.96272621395050961</v>
      </c>
      <c r="F435" s="883">
        <v>1.0254384578703957</v>
      </c>
      <c r="G435" s="883">
        <v>1.0302114995951226</v>
      </c>
      <c r="H435" s="883">
        <v>1.0268793259176954</v>
      </c>
      <c r="I435" s="883">
        <v>1.0006864079573778</v>
      </c>
      <c r="K435">
        <v>6.7564463833779955</v>
      </c>
      <c r="L435">
        <v>0</v>
      </c>
      <c r="M435">
        <v>1.1086770256046232E-2</v>
      </c>
      <c r="N435">
        <v>0.19558027632415889</v>
      </c>
      <c r="O435">
        <v>0.12305506414787216</v>
      </c>
      <c r="P435">
        <v>8.092207623023881E-2</v>
      </c>
      <c r="Q435">
        <v>0</v>
      </c>
      <c r="R435">
        <v>1.1086770256046232E-2</v>
      </c>
      <c r="S435">
        <v>0.27461083486614718</v>
      </c>
      <c r="T435">
        <v>5.9155643896673462</v>
      </c>
      <c r="U435">
        <v>0</v>
      </c>
      <c r="V435">
        <v>1.9196928045195363E-2</v>
      </c>
      <c r="W435">
        <v>0.10487805402191086</v>
      </c>
      <c r="X435">
        <v>-3.014586467735524E-3</v>
      </c>
      <c r="Y435">
        <v>4.5653346542856986E-2</v>
      </c>
    </row>
    <row r="436" spans="1:25" x14ac:dyDescent="0.25">
      <c r="A436" s="879"/>
      <c r="B436" s="1133">
        <v>186</v>
      </c>
      <c r="C436" s="883">
        <v>0.99328467348311178</v>
      </c>
      <c r="D436" s="883">
        <v>1.0042052484621591</v>
      </c>
      <c r="E436" s="883">
        <v>0.99164912077202882</v>
      </c>
      <c r="F436" s="883">
        <v>0.97077291730378545</v>
      </c>
      <c r="G436" s="883">
        <v>0.96111272200581932</v>
      </c>
      <c r="H436" s="883">
        <v>1.0235229735406639</v>
      </c>
      <c r="I436" s="883">
        <v>0.98072079516238364</v>
      </c>
      <c r="K436">
        <v>6.7499490350836524</v>
      </c>
      <c r="L436">
        <v>0</v>
      </c>
      <c r="M436">
        <v>1.0798907444689846E-2</v>
      </c>
      <c r="N436">
        <v>0.19885673669607129</v>
      </c>
      <c r="O436">
        <v>0.12275863669350953</v>
      </c>
      <c r="P436">
        <v>8.2608036138839588E-2</v>
      </c>
      <c r="Q436">
        <v>0</v>
      </c>
      <c r="R436">
        <v>1.0798907444689846E-2</v>
      </c>
      <c r="S436">
        <v>0.26870269107320022</v>
      </c>
      <c r="T436">
        <v>5.9110205703620933</v>
      </c>
      <c r="U436">
        <v>0</v>
      </c>
      <c r="V436">
        <v>1.91919506046004E-2</v>
      </c>
      <c r="W436">
        <v>0.1051001056556895</v>
      </c>
      <c r="X436">
        <v>-2.7576708637125523E-3</v>
      </c>
      <c r="Y436">
        <v>4.4467978723361758E-2</v>
      </c>
    </row>
    <row r="437" spans="1:25" x14ac:dyDescent="0.25">
      <c r="A437" s="879"/>
      <c r="B437" s="1133">
        <v>187</v>
      </c>
      <c r="C437" s="883">
        <v>1.0231710883508329</v>
      </c>
      <c r="D437" s="883">
        <v>0.97102359276115302</v>
      </c>
      <c r="E437" s="883">
        <v>1.034029431506285</v>
      </c>
      <c r="F437" s="883">
        <v>0.97678566416685852</v>
      </c>
      <c r="G437" s="883">
        <v>0.98567530347119037</v>
      </c>
      <c r="H437" s="883">
        <v>1.0056118660332223</v>
      </c>
      <c r="I437" s="883">
        <v>1.0137655822959408</v>
      </c>
      <c r="K437">
        <v>6.7414453435543003</v>
      </c>
      <c r="L437">
        <v>0</v>
      </c>
      <c r="M437">
        <v>1.0069099022184403E-2</v>
      </c>
      <c r="N437">
        <v>0.19742069414164071</v>
      </c>
      <c r="O437">
        <v>0.11999529634803145</v>
      </c>
      <c r="P437">
        <v>8.5230748018785649E-2</v>
      </c>
      <c r="Q437">
        <v>0</v>
      </c>
      <c r="R437">
        <v>1.0069099022184403E-2</v>
      </c>
      <c r="S437">
        <v>0.26839820137930137</v>
      </c>
      <c r="T437">
        <v>5.908934667450187</v>
      </c>
      <c r="U437">
        <v>0</v>
      </c>
      <c r="V437">
        <v>1.9031634235711737E-2</v>
      </c>
      <c r="W437">
        <v>0.1021791776621619</v>
      </c>
      <c r="X437">
        <v>-1.2078332220633848E-3</v>
      </c>
      <c r="Y437">
        <v>4.1462757540541045E-2</v>
      </c>
    </row>
    <row r="438" spans="1:25" x14ac:dyDescent="0.25">
      <c r="A438" s="879"/>
      <c r="B438" s="1133">
        <v>188</v>
      </c>
      <c r="C438" s="883">
        <v>0.98624105823974995</v>
      </c>
      <c r="D438" s="883">
        <v>1.0383773091663406</v>
      </c>
      <c r="E438" s="883">
        <v>1.0100731686048645</v>
      </c>
      <c r="F438" s="883">
        <v>1.0267304276161924</v>
      </c>
      <c r="G438" s="883">
        <v>1.020691340522808</v>
      </c>
      <c r="H438" s="883">
        <v>1.004880164118497</v>
      </c>
      <c r="I438" s="883">
        <v>0.99564198511171698</v>
      </c>
      <c r="K438">
        <v>6.7501285317687101</v>
      </c>
      <c r="L438">
        <v>0</v>
      </c>
      <c r="M438">
        <v>1.0358026084914164E-2</v>
      </c>
      <c r="N438">
        <v>0.19601565297027826</v>
      </c>
      <c r="O438">
        <v>0.12164653786891882</v>
      </c>
      <c r="P438">
        <v>8.3846137938621126E-2</v>
      </c>
      <c r="Q438">
        <v>0</v>
      </c>
      <c r="R438">
        <v>1.0358026084914164E-2</v>
      </c>
      <c r="S438">
        <v>0.27267438585514792</v>
      </c>
      <c r="T438">
        <v>5.913008351785308</v>
      </c>
      <c r="U438">
        <v>0</v>
      </c>
      <c r="V438">
        <v>1.9231148689809761E-2</v>
      </c>
      <c r="W438">
        <v>0.10265525575807452</v>
      </c>
      <c r="X438">
        <v>-1.6014468552075388E-3</v>
      </c>
      <c r="Y438">
        <v>4.2652507757762151E-2</v>
      </c>
    </row>
    <row r="439" spans="1:25" x14ac:dyDescent="0.25">
      <c r="A439" s="879"/>
      <c r="B439" s="1133">
        <v>189</v>
      </c>
      <c r="C439" s="883">
        <v>0.97973261259154687</v>
      </c>
      <c r="D439" s="883">
        <v>1.0089787227222971</v>
      </c>
      <c r="E439" s="883">
        <v>1.024565684919168</v>
      </c>
      <c r="F439" s="883">
        <v>1.0108184813503984</v>
      </c>
      <c r="G439" s="883">
        <v>1.0074642419018245</v>
      </c>
      <c r="H439" s="883">
        <v>0.98591361916860953</v>
      </c>
      <c r="I439" s="883">
        <v>1.0018887567651622</v>
      </c>
      <c r="K439">
        <v>6.7549640768355275</v>
      </c>
      <c r="L439">
        <v>0</v>
      </c>
      <c r="M439">
        <v>1.0226013138638787E-2</v>
      </c>
      <c r="N439">
        <v>0.19771181691883355</v>
      </c>
      <c r="O439">
        <v>0.12359106199020926</v>
      </c>
      <c r="P439">
        <v>8.4760390054237911E-2</v>
      </c>
      <c r="Q439">
        <v>0</v>
      </c>
      <c r="R439">
        <v>1.0226013138638787E-2</v>
      </c>
      <c r="S439">
        <v>0.27469337967742363</v>
      </c>
      <c r="T439">
        <v>5.9113201026580739</v>
      </c>
      <c r="U439">
        <v>0</v>
      </c>
      <c r="V439">
        <v>1.9267869535957174E-2</v>
      </c>
      <c r="W439">
        <v>0.10280619149607199</v>
      </c>
      <c r="X439">
        <v>-1.2956374377101313E-3</v>
      </c>
      <c r="Y439">
        <v>4.2108901942428625E-2</v>
      </c>
    </row>
    <row r="440" spans="1:25" x14ac:dyDescent="0.25">
      <c r="A440" s="879"/>
      <c r="B440" s="1133">
        <v>190</v>
      </c>
      <c r="C440" s="883">
        <v>1.0121275567565606</v>
      </c>
      <c r="D440" s="883">
        <v>1.0099520047802282</v>
      </c>
      <c r="E440" s="883">
        <v>1.0122218599453328</v>
      </c>
      <c r="F440" s="883">
        <v>1.0008505594278272</v>
      </c>
      <c r="G440" s="883">
        <v>0.99257369596648637</v>
      </c>
      <c r="H440" s="883">
        <v>0.97086748209548535</v>
      </c>
      <c r="I440" s="883">
        <v>1.0370609804998323</v>
      </c>
      <c r="K440">
        <v>6.7336448911720534</v>
      </c>
      <c r="L440">
        <v>0</v>
      </c>
      <c r="M440">
        <v>9.8494698141067347E-3</v>
      </c>
      <c r="N440">
        <v>0.1869855010999581</v>
      </c>
      <c r="O440">
        <v>0.1198188103342054</v>
      </c>
      <c r="P440">
        <v>8.3973255061602178E-2</v>
      </c>
      <c r="Q440">
        <v>0</v>
      </c>
      <c r="R440">
        <v>9.8494698141067347E-3</v>
      </c>
      <c r="S440">
        <v>0.27375802238482971</v>
      </c>
      <c r="T440">
        <v>5.9114878750211481</v>
      </c>
      <c r="U440">
        <v>0</v>
      </c>
      <c r="V440">
        <v>1.9089770953569962E-2</v>
      </c>
      <c r="W440">
        <v>9.7822111468826925E-2</v>
      </c>
      <c r="X440">
        <v>1.5118129368835078E-4</v>
      </c>
      <c r="Y440">
        <v>4.0558363554218914E-2</v>
      </c>
    </row>
    <row r="441" spans="1:25" x14ac:dyDescent="0.25">
      <c r="A441" s="879"/>
      <c r="B441" s="1133">
        <v>191</v>
      </c>
      <c r="C441" s="883">
        <v>0.99403978827343753</v>
      </c>
      <c r="D441" s="883">
        <v>0.99438772377690854</v>
      </c>
      <c r="E441" s="883">
        <v>1.0177173929952055</v>
      </c>
      <c r="F441" s="883">
        <v>1.0330385963953923</v>
      </c>
      <c r="G441" s="883">
        <v>1.0236498315860911</v>
      </c>
      <c r="H441" s="883">
        <v>1.0021880645132999</v>
      </c>
      <c r="I441" s="883">
        <v>1.0118265642126494</v>
      </c>
      <c r="K441">
        <v>6.7572526053076221</v>
      </c>
      <c r="L441">
        <v>0</v>
      </c>
      <c r="M441">
        <v>1.0371320423811508E-2</v>
      </c>
      <c r="N441">
        <v>0.1985002401322645</v>
      </c>
      <c r="O441">
        <v>0.12265474739218529</v>
      </c>
      <c r="P441">
        <v>8.4357222057549003E-2</v>
      </c>
      <c r="Q441">
        <v>0</v>
      </c>
      <c r="R441">
        <v>1.0371320423811508E-2</v>
      </c>
      <c r="S441">
        <v>0.27511813148275771</v>
      </c>
      <c r="T441">
        <v>5.9129135199323501</v>
      </c>
      <c r="U441">
        <v>0</v>
      </c>
      <c r="V441">
        <v>1.9187781320252267E-2</v>
      </c>
      <c r="W441">
        <v>0.1035647727575664</v>
      </c>
      <c r="X441">
        <v>-1.7510612463394173E-3</v>
      </c>
      <c r="Y441">
        <v>4.2707251479037291E-2</v>
      </c>
    </row>
    <row r="442" spans="1:25" x14ac:dyDescent="0.25">
      <c r="A442" s="879"/>
      <c r="B442" s="1133">
        <v>192</v>
      </c>
      <c r="C442" s="883">
        <v>1.0273250269783514</v>
      </c>
      <c r="D442" s="883">
        <v>0.98599869970472676</v>
      </c>
      <c r="E442" s="883">
        <v>0.99633153627364179</v>
      </c>
      <c r="F442" s="883">
        <v>0.95812097392136386</v>
      </c>
      <c r="G442" s="883">
        <v>0.97463838108227907</v>
      </c>
      <c r="H442" s="883">
        <v>0.97710754709714587</v>
      </c>
      <c r="I442" s="883">
        <v>0.969036477203438</v>
      </c>
      <c r="K442">
        <v>6.7083074940209126</v>
      </c>
      <c r="L442">
        <v>0</v>
      </c>
      <c r="M442">
        <v>1.0005050528497433E-2</v>
      </c>
      <c r="N442">
        <v>0.1855213004287263</v>
      </c>
      <c r="O442">
        <v>0.11947723955464087</v>
      </c>
      <c r="P442">
        <v>8.2674216381449769E-2</v>
      </c>
      <c r="Q442">
        <v>0</v>
      </c>
      <c r="R442">
        <v>1.0005050528497433E-2</v>
      </c>
      <c r="S442">
        <v>0.25275107303829486</v>
      </c>
      <c r="T442">
        <v>5.9100753195893674</v>
      </c>
      <c r="U442">
        <v>0</v>
      </c>
      <c r="V442">
        <v>1.901009005473055E-2</v>
      </c>
      <c r="W442">
        <v>9.7823728738257149E-2</v>
      </c>
      <c r="X442">
        <v>-2.2449100830035037E-4</v>
      </c>
      <c r="Y442">
        <v>4.1199017243744987E-2</v>
      </c>
    </row>
    <row r="443" spans="1:25" x14ac:dyDescent="0.25">
      <c r="A443" s="879"/>
      <c r="B443" s="1133">
        <v>193</v>
      </c>
      <c r="C443" s="883">
        <v>1.0117362075506084</v>
      </c>
      <c r="D443" s="883">
        <v>1.0212630709973025</v>
      </c>
      <c r="E443" s="883">
        <v>0.98297828613951155</v>
      </c>
      <c r="F443" s="883">
        <v>0.9753794959912393</v>
      </c>
      <c r="G443" s="883">
        <v>1.021423594762062</v>
      </c>
      <c r="H443" s="883">
        <v>1.0133714346687321</v>
      </c>
      <c r="I443" s="883">
        <v>1.0010371153940287</v>
      </c>
      <c r="K443">
        <v>6.7347192548886312</v>
      </c>
      <c r="L443">
        <v>0</v>
      </c>
      <c r="M443">
        <v>1.0500515909670041E-2</v>
      </c>
      <c r="N443">
        <v>0.19089171095922564</v>
      </c>
      <c r="O443">
        <v>0.11986882751226928</v>
      </c>
      <c r="P443">
        <v>8.2063348032502856E-2</v>
      </c>
      <c r="Q443">
        <v>0</v>
      </c>
      <c r="R443">
        <v>1.0500515909670041E-2</v>
      </c>
      <c r="S443">
        <v>0.26813708637659461</v>
      </c>
      <c r="T443">
        <v>5.9117505348439794</v>
      </c>
      <c r="U443">
        <v>0</v>
      </c>
      <c r="V443">
        <v>1.9091854426950137E-2</v>
      </c>
      <c r="W443">
        <v>0.10132807880139198</v>
      </c>
      <c r="X443">
        <v>-1.6514415581507789E-3</v>
      </c>
      <c r="Y443">
        <v>4.3239255493863496E-2</v>
      </c>
    </row>
    <row r="444" spans="1:25" x14ac:dyDescent="0.25">
      <c r="A444" s="879"/>
      <c r="B444" s="1133">
        <v>194</v>
      </c>
      <c r="C444" s="883">
        <v>0.98100316767654261</v>
      </c>
      <c r="D444" s="883">
        <v>0.96894674037115491</v>
      </c>
      <c r="E444" s="883">
        <v>0.98495198124842165</v>
      </c>
      <c r="F444" s="883">
        <v>1.015321725649668</v>
      </c>
      <c r="G444" s="883">
        <v>1.0095433980966888</v>
      </c>
      <c r="H444" s="883">
        <v>0.98589645354161437</v>
      </c>
      <c r="I444" s="883">
        <v>0.97919680789340613</v>
      </c>
      <c r="K444">
        <v>6.7521999236524497</v>
      </c>
      <c r="L444">
        <v>0</v>
      </c>
      <c r="M444">
        <v>1.0757377839695432E-2</v>
      </c>
      <c r="N444">
        <v>0.19613461181691508</v>
      </c>
      <c r="O444">
        <v>0.12621410940347427</v>
      </c>
      <c r="P444">
        <v>8.2221050383094671E-2</v>
      </c>
      <c r="Q444">
        <v>0</v>
      </c>
      <c r="R444">
        <v>1.0757377839695432E-2</v>
      </c>
      <c r="S444">
        <v>0.26844843158232756</v>
      </c>
      <c r="T444">
        <v>5.9138005228344568</v>
      </c>
      <c r="U444">
        <v>0</v>
      </c>
      <c r="V444">
        <v>1.9260662750969999E-2</v>
      </c>
      <c r="W444">
        <v>0.10400841599431541</v>
      </c>
      <c r="X444">
        <v>-2.1848483150957235E-3</v>
      </c>
      <c r="Y444">
        <v>4.429696720198887E-2</v>
      </c>
    </row>
    <row r="445" spans="1:25" x14ac:dyDescent="0.25">
      <c r="A445" s="879"/>
      <c r="B445" s="1133">
        <v>195</v>
      </c>
      <c r="C445" s="883">
        <v>0.98373766456064027</v>
      </c>
      <c r="D445" s="883">
        <v>1.0265846855774499</v>
      </c>
      <c r="E445" s="883">
        <v>0.99937871311094184</v>
      </c>
      <c r="F445" s="883">
        <v>1.0157406546396197</v>
      </c>
      <c r="G445" s="883">
        <v>1.0069538570875181</v>
      </c>
      <c r="H445" s="883">
        <v>0.97337328259209599</v>
      </c>
      <c r="I445" s="883">
        <v>0.99470570383606494</v>
      </c>
      <c r="K445">
        <v>6.739767479900002</v>
      </c>
      <c r="L445">
        <v>0</v>
      </c>
      <c r="M445">
        <v>1.0202988676254512E-2</v>
      </c>
      <c r="N445">
        <v>0.19004776256478689</v>
      </c>
      <c r="O445">
        <v>0.12271660771960766</v>
      </c>
      <c r="P445">
        <v>8.3141735736445246E-2</v>
      </c>
      <c r="Q445">
        <v>0</v>
      </c>
      <c r="R445">
        <v>1.0202988676254512E-2</v>
      </c>
      <c r="S445">
        <v>0.27023103290279171</v>
      </c>
      <c r="T445">
        <v>5.9130184956462903</v>
      </c>
      <c r="U445">
        <v>0</v>
      </c>
      <c r="V445">
        <v>1.9245215408875221E-2</v>
      </c>
      <c r="W445">
        <v>0.10005882217004483</v>
      </c>
      <c r="X445">
        <v>-7.0628355337508083E-4</v>
      </c>
      <c r="Y445">
        <v>4.2014091304531709E-2</v>
      </c>
    </row>
    <row r="446" spans="1:25" x14ac:dyDescent="0.25">
      <c r="A446" s="879"/>
      <c r="B446" s="1133">
        <v>196</v>
      </c>
      <c r="C446" s="883">
        <v>1.0025862492211643</v>
      </c>
      <c r="D446" s="883">
        <v>0.9819556497988623</v>
      </c>
      <c r="E446" s="883">
        <v>1.0068677943667885</v>
      </c>
      <c r="F446" s="883">
        <v>0.9881782661550923</v>
      </c>
      <c r="G446" s="883">
        <v>0.98502272971623062</v>
      </c>
      <c r="H446" s="883">
        <v>1.0048036321208935</v>
      </c>
      <c r="I446" s="883">
        <v>0.99035265258160465</v>
      </c>
      <c r="K446">
        <v>6.7452174357022336</v>
      </c>
      <c r="L446">
        <v>0</v>
      </c>
      <c r="M446">
        <v>1.0464320533149284E-2</v>
      </c>
      <c r="N446">
        <v>0.19708961683933826</v>
      </c>
      <c r="O446">
        <v>0.12242818980991568</v>
      </c>
      <c r="P446">
        <v>8.3546195772384202E-2</v>
      </c>
      <c r="Q446">
        <v>0</v>
      </c>
      <c r="R446">
        <v>1.0464320533149284E-2</v>
      </c>
      <c r="S446">
        <v>0.26734035189007999</v>
      </c>
      <c r="T446">
        <v>5.9111068326263343</v>
      </c>
      <c r="U446">
        <v>0</v>
      </c>
      <c r="V446">
        <v>1.9141030757662925E-2</v>
      </c>
      <c r="W446">
        <v>0.10338157513599962</v>
      </c>
      <c r="X446">
        <v>-1.906566505367408E-3</v>
      </c>
      <c r="Y446">
        <v>4.3090209375887874E-2</v>
      </c>
    </row>
    <row r="447" spans="1:25" x14ac:dyDescent="0.25">
      <c r="A447" s="879"/>
      <c r="B447" s="1133">
        <v>197</v>
      </c>
      <c r="C447" s="883">
        <v>1.0081134594377099</v>
      </c>
      <c r="D447" s="883">
        <v>1.034537024012198</v>
      </c>
      <c r="E447" s="883">
        <v>1.0256506503982181</v>
      </c>
      <c r="F447" s="883">
        <v>0.99490154506205186</v>
      </c>
      <c r="G447" s="883">
        <v>1.0189798029502888</v>
      </c>
      <c r="H447" s="883">
        <v>0.99265468939984691</v>
      </c>
      <c r="I447" s="883">
        <v>1.0342704656014023</v>
      </c>
      <c r="K447">
        <v>6.7406711183960102</v>
      </c>
      <c r="L447">
        <v>0</v>
      </c>
      <c r="M447">
        <v>9.8901209487368084E-3</v>
      </c>
      <c r="N447">
        <v>0.19152463950885862</v>
      </c>
      <c r="O447">
        <v>0.11889567763350699</v>
      </c>
      <c r="P447">
        <v>8.4831590596638209E-2</v>
      </c>
      <c r="Q447">
        <v>0</v>
      </c>
      <c r="R447">
        <v>9.8901209487368084E-3</v>
      </c>
      <c r="S447">
        <v>0.27600517157991528</v>
      </c>
      <c r="T447">
        <v>5.9103977719225735</v>
      </c>
      <c r="U447">
        <v>0</v>
      </c>
      <c r="V447">
        <v>1.9111218088099874E-2</v>
      </c>
      <c r="W447">
        <v>9.953588301202089E-2</v>
      </c>
      <c r="X447">
        <v>-3.5659163660317411E-4</v>
      </c>
      <c r="Y447">
        <v>4.072575769099334E-2</v>
      </c>
    </row>
    <row r="448" spans="1:25" x14ac:dyDescent="0.25">
      <c r="A448" s="879"/>
      <c r="B448" s="1133">
        <v>198</v>
      </c>
      <c r="C448" s="883">
        <v>1.0230902810733482</v>
      </c>
      <c r="D448" s="883">
        <v>1.0010396006285325</v>
      </c>
      <c r="E448" s="883">
        <v>1.0043031373603908</v>
      </c>
      <c r="F448" s="883">
        <v>0.97698439481659816</v>
      </c>
      <c r="G448" s="883">
        <v>0.97019708874139865</v>
      </c>
      <c r="H448" s="883">
        <v>1.0173728250290672</v>
      </c>
      <c r="I448" s="883">
        <v>1.007253121546418</v>
      </c>
      <c r="K448">
        <v>6.7358860603878092</v>
      </c>
      <c r="L448">
        <v>0</v>
      </c>
      <c r="M448">
        <v>1.0320713290847031E-2</v>
      </c>
      <c r="N448">
        <v>0.19364799677524841</v>
      </c>
      <c r="O448">
        <v>0.11910148266334659</v>
      </c>
      <c r="P448">
        <v>8.3378642292206095E-2</v>
      </c>
      <c r="Q448">
        <v>0</v>
      </c>
      <c r="R448">
        <v>1.0320713290847031E-2</v>
      </c>
      <c r="S448">
        <v>0.26741717040025559</v>
      </c>
      <c r="T448">
        <v>5.9106468271315435</v>
      </c>
      <c r="U448">
        <v>0</v>
      </c>
      <c r="V448">
        <v>1.9032055073080988E-2</v>
      </c>
      <c r="W448">
        <v>0.10170546890423715</v>
      </c>
      <c r="X448">
        <v>-1.5424431653316263E-3</v>
      </c>
      <c r="Y448">
        <v>4.2498860313223447E-2</v>
      </c>
    </row>
    <row r="449" spans="1:25" x14ac:dyDescent="0.25">
      <c r="A449" s="879"/>
      <c r="B449" s="1133">
        <v>199</v>
      </c>
      <c r="C449" s="883">
        <v>0.9794046166312157</v>
      </c>
      <c r="D449" s="883">
        <v>0.95426807011701498</v>
      </c>
      <c r="E449" s="883">
        <v>1.0323767496418639</v>
      </c>
      <c r="F449" s="883">
        <v>1.000594695864975</v>
      </c>
      <c r="G449" s="883">
        <v>1.0399111066265128</v>
      </c>
      <c r="H449" s="883">
        <v>0.98992958444828894</v>
      </c>
      <c r="I449" s="883">
        <v>0.98728670198737278</v>
      </c>
      <c r="K449">
        <v>6.7638336327418109</v>
      </c>
      <c r="L449">
        <v>0</v>
      </c>
      <c r="M449">
        <v>1.044774121100003E-2</v>
      </c>
      <c r="N449">
        <v>0.20434487216291358</v>
      </c>
      <c r="O449">
        <v>0.12626606928013193</v>
      </c>
      <c r="P449">
        <v>8.5195529075879045E-2</v>
      </c>
      <c r="Q449">
        <v>0</v>
      </c>
      <c r="R449">
        <v>1.044774121100003E-2</v>
      </c>
      <c r="S449">
        <v>0.27174257171563554</v>
      </c>
      <c r="T449">
        <v>5.9103165766892038</v>
      </c>
      <c r="U449">
        <v>0</v>
      </c>
      <c r="V449">
        <v>1.9269733016336034E-2</v>
      </c>
      <c r="W449">
        <v>0.10584860313444466</v>
      </c>
      <c r="X449">
        <v>-2.1722610110253677E-3</v>
      </c>
      <c r="Y449">
        <v>4.3021938678286589E-2</v>
      </c>
    </row>
    <row r="450" spans="1:25" x14ac:dyDescent="0.25">
      <c r="A450" s="879"/>
      <c r="B450" s="1133">
        <v>200</v>
      </c>
      <c r="C450" s="883">
        <v>1.0381866153621877</v>
      </c>
      <c r="D450" s="883">
        <v>1.0245943917931342</v>
      </c>
      <c r="E450" s="883">
        <v>1.0254631257705686</v>
      </c>
      <c r="F450" s="883">
        <v>0.98240962852510871</v>
      </c>
      <c r="G450" s="883">
        <v>0.95536062494094287</v>
      </c>
      <c r="H450" s="883">
        <v>1.0241786763926688</v>
      </c>
      <c r="I450" s="883">
        <v>0.98849744305351228</v>
      </c>
      <c r="K450">
        <v>6.7210754730920215</v>
      </c>
      <c r="L450">
        <v>0</v>
      </c>
      <c r="M450">
        <v>9.9512785954766064E-3</v>
      </c>
      <c r="N450">
        <v>0.19265554373845953</v>
      </c>
      <c r="O450">
        <v>0.11590185694841318</v>
      </c>
      <c r="P450">
        <v>8.4576857483822043E-2</v>
      </c>
      <c r="Q450">
        <v>0</v>
      </c>
      <c r="R450">
        <v>9.9512785954766064E-3</v>
      </c>
      <c r="S450">
        <v>0.25903148368926709</v>
      </c>
      <c r="T450">
        <v>5.9097337486247694</v>
      </c>
      <c r="U450">
        <v>0</v>
      </c>
      <c r="V450">
        <v>1.8954571763875452E-2</v>
      </c>
      <c r="W450">
        <v>0.10013284527730627</v>
      </c>
      <c r="X450">
        <v>-8.8902842850419148E-4</v>
      </c>
      <c r="Y450">
        <v>4.0977593994612496E-2</v>
      </c>
    </row>
    <row r="451" spans="1:25" x14ac:dyDescent="0.25">
      <c r="A451" s="879"/>
      <c r="B451" s="1133">
        <v>201</v>
      </c>
      <c r="C451" s="883">
        <v>0.99994909910173846</v>
      </c>
      <c r="D451" s="883">
        <v>0.99085278239869279</v>
      </c>
      <c r="E451" s="883">
        <v>0.98972247289851634</v>
      </c>
      <c r="F451" s="883">
        <v>1.0102498328240859</v>
      </c>
      <c r="G451" s="883">
        <v>1.0392258081604033</v>
      </c>
      <c r="H451" s="883">
        <v>0.99036113812939541</v>
      </c>
      <c r="I451" s="883">
        <v>1.0084005918078114</v>
      </c>
      <c r="K451">
        <v>6.7442358579012138</v>
      </c>
      <c r="L451">
        <v>0</v>
      </c>
      <c r="M451">
        <v>1.0456637207798053E-2</v>
      </c>
      <c r="N451">
        <v>0.19200479302137635</v>
      </c>
      <c r="O451">
        <v>0.12263121205466207</v>
      </c>
      <c r="P451">
        <v>8.2552338561186794E-2</v>
      </c>
      <c r="Q451">
        <v>0</v>
      </c>
      <c r="R451">
        <v>1.0456637207798053E-2</v>
      </c>
      <c r="S451">
        <v>0.27142597006696989</v>
      </c>
      <c r="T451">
        <v>5.9132615854507753</v>
      </c>
      <c r="U451">
        <v>0</v>
      </c>
      <c r="V451">
        <v>1.9155371157365084E-2</v>
      </c>
      <c r="W451">
        <v>0.10157622038422066</v>
      </c>
      <c r="X451">
        <v>-1.4302036050172586E-3</v>
      </c>
      <c r="Y451">
        <v>4.3058570809672438E-2</v>
      </c>
    </row>
    <row r="452" spans="1:25" x14ac:dyDescent="0.25">
      <c r="A452" s="879"/>
      <c r="B452" s="1133">
        <v>202</v>
      </c>
      <c r="C452" s="883">
        <v>1.0075936456572785</v>
      </c>
      <c r="D452" s="883">
        <v>1.0061084159799429</v>
      </c>
      <c r="E452" s="883">
        <v>0.96480582296037576</v>
      </c>
      <c r="F452" s="883">
        <v>1.017825964595628</v>
      </c>
      <c r="G452" s="883">
        <v>1.0359779399884101</v>
      </c>
      <c r="H452" s="883">
        <v>0.9785714113439663</v>
      </c>
      <c r="I452" s="883">
        <v>1.0389515435324388</v>
      </c>
      <c r="K452">
        <v>6.7378382888391766</v>
      </c>
      <c r="L452">
        <v>0</v>
      </c>
      <c r="M452">
        <v>1.0410474631058599E-2</v>
      </c>
      <c r="N452">
        <v>0.18421804000140587</v>
      </c>
      <c r="O452">
        <v>0.12141642506117251</v>
      </c>
      <c r="P452">
        <v>8.1066193824120683E-2</v>
      </c>
      <c r="Q452">
        <v>0</v>
      </c>
      <c r="R452">
        <v>1.0410474631058599E-2</v>
      </c>
      <c r="S452">
        <v>0.2761887460156226</v>
      </c>
      <c r="T452">
        <v>5.9150400720099778</v>
      </c>
      <c r="U452">
        <v>0</v>
      </c>
      <c r="V452">
        <v>1.9114007926171052E-2</v>
      </c>
      <c r="W452">
        <v>9.8681669459669788E-2</v>
      </c>
      <c r="X452">
        <v>-7.5534699426031053E-4</v>
      </c>
      <c r="Y452">
        <v>4.2868481535291721E-2</v>
      </c>
    </row>
    <row r="453" spans="1:25" x14ac:dyDescent="0.25">
      <c r="A453" s="879"/>
      <c r="B453" s="1133">
        <v>203</v>
      </c>
      <c r="C453" s="883">
        <v>0.98717551479523791</v>
      </c>
      <c r="D453" s="883">
        <v>0.97541953392377045</v>
      </c>
      <c r="E453" s="883">
        <v>0.95944265222524616</v>
      </c>
      <c r="F453" s="883">
        <v>1.0327119369191253</v>
      </c>
      <c r="G453" s="883">
        <v>1.0327264887656922</v>
      </c>
      <c r="H453" s="883">
        <v>0.99584348981842719</v>
      </c>
      <c r="I453" s="883">
        <v>0.96109873005634006</v>
      </c>
      <c r="K453">
        <v>6.7440269292982338</v>
      </c>
      <c r="L453">
        <v>0</v>
      </c>
      <c r="M453">
        <v>1.1009071393694612E-2</v>
      </c>
      <c r="N453">
        <v>0.19326443739112598</v>
      </c>
      <c r="O453">
        <v>0.12557377423187413</v>
      </c>
      <c r="P453">
        <v>8.0566959111251238E-2</v>
      </c>
      <c r="Q453">
        <v>0</v>
      </c>
      <c r="R453">
        <v>1.1009071393694612E-2</v>
      </c>
      <c r="S453">
        <v>0.26265339640573082</v>
      </c>
      <c r="T453">
        <v>5.9161351479936402</v>
      </c>
      <c r="U453">
        <v>0</v>
      </c>
      <c r="V453">
        <v>1.922591620829819E-2</v>
      </c>
      <c r="W453">
        <v>0.10380806241964471</v>
      </c>
      <c r="X453">
        <v>-2.5341609209119523E-3</v>
      </c>
      <c r="Y453">
        <v>4.5333396457574962E-2</v>
      </c>
    </row>
    <row r="454" spans="1:25" x14ac:dyDescent="0.25">
      <c r="A454" s="879"/>
      <c r="B454" s="1133">
        <v>204</v>
      </c>
      <c r="C454" s="883">
        <v>0.96303615433994783</v>
      </c>
      <c r="D454" s="883">
        <v>1.0138790777636526</v>
      </c>
      <c r="E454" s="883">
        <v>1.0135842665901755</v>
      </c>
      <c r="F454" s="883">
        <v>1.0126343883784918</v>
      </c>
      <c r="G454" s="883">
        <v>1.0049516418382458</v>
      </c>
      <c r="H454" s="883">
        <v>0.99293811415942557</v>
      </c>
      <c r="I454" s="883">
        <v>1.0425723732969721</v>
      </c>
      <c r="K454">
        <v>6.7800795450767684</v>
      </c>
      <c r="L454">
        <v>0</v>
      </c>
      <c r="M454">
        <v>1.055670935409244E-2</v>
      </c>
      <c r="N454">
        <v>0.20081649288257231</v>
      </c>
      <c r="O454">
        <v>0.1257047971498042</v>
      </c>
      <c r="P454">
        <v>8.4309483057776052E-2</v>
      </c>
      <c r="Q454">
        <v>0</v>
      </c>
      <c r="R454">
        <v>1.055670935409244E-2</v>
      </c>
      <c r="S454">
        <v>0.2914480235532329</v>
      </c>
      <c r="T454">
        <v>5.912047028419968</v>
      </c>
      <c r="U454">
        <v>0</v>
      </c>
      <c r="V454">
        <v>1.9364341304546433E-2</v>
      </c>
      <c r="W454">
        <v>0.10498715618718091</v>
      </c>
      <c r="X454">
        <v>-2.0684275742480851E-3</v>
      </c>
      <c r="Y454">
        <v>4.3470650095934704E-2</v>
      </c>
    </row>
    <row r="455" spans="1:25" x14ac:dyDescent="0.25">
      <c r="A455" s="879"/>
      <c r="B455" s="1133">
        <v>205</v>
      </c>
      <c r="C455" s="883">
        <v>0.98453110470532001</v>
      </c>
      <c r="D455" s="883">
        <v>0.99105890410386266</v>
      </c>
      <c r="E455" s="883">
        <v>0.99555498311489821</v>
      </c>
      <c r="F455" s="883">
        <v>0.9841109198018777</v>
      </c>
      <c r="G455" s="883">
        <v>0.98504194739468121</v>
      </c>
      <c r="H455" s="883">
        <v>0.98419906617246355</v>
      </c>
      <c r="I455" s="883">
        <v>0.9888001839246191</v>
      </c>
      <c r="K455">
        <v>6.7464841688452912</v>
      </c>
      <c r="L455">
        <v>0</v>
      </c>
      <c r="M455">
        <v>1.0499779017001942E-2</v>
      </c>
      <c r="N455">
        <v>0.19447100943899023</v>
      </c>
      <c r="O455">
        <v>0.1244302665160557</v>
      </c>
      <c r="P455">
        <v>8.2874792245424281E-2</v>
      </c>
      <c r="Q455">
        <v>0</v>
      </c>
      <c r="R455">
        <v>1.0499779017001942E-2</v>
      </c>
      <c r="S455">
        <v>0.26974055118064338</v>
      </c>
      <c r="T455">
        <v>5.9115234238332537</v>
      </c>
      <c r="U455">
        <v>0</v>
      </c>
      <c r="V455">
        <v>1.9240749277747986E-2</v>
      </c>
      <c r="W455">
        <v>0.10258245074632073</v>
      </c>
      <c r="X455">
        <v>-1.6152954941646804E-3</v>
      </c>
      <c r="Y455">
        <v>4.3236221101018289E-2</v>
      </c>
    </row>
    <row r="456" spans="1:25" x14ac:dyDescent="0.25">
      <c r="A456" s="879"/>
      <c r="B456" s="1133">
        <v>206</v>
      </c>
      <c r="C456" s="883">
        <v>0.95969524580700527</v>
      </c>
      <c r="D456" s="883">
        <v>0.97253613916280179</v>
      </c>
      <c r="E456" s="883">
        <v>1.0073753081036652</v>
      </c>
      <c r="F456" s="883">
        <v>0.99106975162715594</v>
      </c>
      <c r="G456" s="883">
        <v>1.0041028447370557</v>
      </c>
      <c r="H456" s="883">
        <v>0.98517220675776429</v>
      </c>
      <c r="I456" s="883">
        <v>1.027471774776946</v>
      </c>
      <c r="K456">
        <v>6.7816262326463095</v>
      </c>
      <c r="L456">
        <v>0</v>
      </c>
      <c r="M456">
        <v>1.0758017652172165E-2</v>
      </c>
      <c r="N456">
        <v>0.20277355977414102</v>
      </c>
      <c r="O456">
        <v>0.12838381232621232</v>
      </c>
      <c r="P456">
        <v>8.3859532471720302E-2</v>
      </c>
      <c r="Q456">
        <v>0</v>
      </c>
      <c r="R456">
        <v>1.0758017652172165E-2</v>
      </c>
      <c r="S456">
        <v>0.28786385689880223</v>
      </c>
      <c r="T456">
        <v>5.9112343609652269</v>
      </c>
      <c r="U456">
        <v>0</v>
      </c>
      <c r="V456">
        <v>1.9384048040228266E-2</v>
      </c>
      <c r="W456">
        <v>0.10633630857334964</v>
      </c>
      <c r="X456">
        <v>-2.5088482392564017E-3</v>
      </c>
      <c r="Y456">
        <v>4.4299601835885695E-2</v>
      </c>
    </row>
    <row r="457" spans="1:25" x14ac:dyDescent="0.25">
      <c r="A457" s="879"/>
      <c r="B457" s="1133">
        <v>207</v>
      </c>
      <c r="C457" s="883">
        <v>0.99089355227572129</v>
      </c>
      <c r="D457" s="883">
        <v>0.99785929778120419</v>
      </c>
      <c r="E457" s="883">
        <v>1.0170482819376279</v>
      </c>
      <c r="F457" s="883">
        <v>1.0138910628278734</v>
      </c>
      <c r="G457" s="883">
        <v>1.0190535455356358</v>
      </c>
      <c r="H457" s="883">
        <v>0.98155891586622557</v>
      </c>
      <c r="I457" s="883">
        <v>1.0298136859272278</v>
      </c>
      <c r="K457">
        <v>6.754401883867966</v>
      </c>
      <c r="L457">
        <v>0</v>
      </c>
      <c r="M457">
        <v>1.0180847155649351E-2</v>
      </c>
      <c r="N457">
        <v>0.19466189638820147</v>
      </c>
      <c r="O457">
        <v>0.12288555558012403</v>
      </c>
      <c r="P457">
        <v>8.4352427502147984E-2</v>
      </c>
      <c r="Q457">
        <v>0</v>
      </c>
      <c r="R457">
        <v>1.0180847155649351E-2</v>
      </c>
      <c r="S457">
        <v>0.27883670527783055</v>
      </c>
      <c r="T457">
        <v>5.9119172794531094</v>
      </c>
      <c r="U457">
        <v>0</v>
      </c>
      <c r="V457">
        <v>1.9205194840132892E-2</v>
      </c>
      <c r="W457">
        <v>0.10159568582268889</v>
      </c>
      <c r="X457">
        <v>-9.7577745999435645E-4</v>
      </c>
      <c r="Y457">
        <v>4.1922916463723404E-2</v>
      </c>
    </row>
    <row r="458" spans="1:25" x14ac:dyDescent="0.25">
      <c r="A458" s="879"/>
      <c r="B458" s="1133">
        <v>208</v>
      </c>
      <c r="C458" s="883">
        <v>1.0464221222974648</v>
      </c>
      <c r="D458" s="883">
        <v>1.0362494298346487</v>
      </c>
      <c r="E458" s="883">
        <v>1.042272410770428</v>
      </c>
      <c r="F458" s="883">
        <v>0.98145990391701465</v>
      </c>
      <c r="G458" s="883">
        <v>1.0250119015385593</v>
      </c>
      <c r="H458" s="883">
        <v>0.98126971436060439</v>
      </c>
      <c r="I458" s="883">
        <v>1.0125409931254337</v>
      </c>
      <c r="K458">
        <v>6.7051730832107106</v>
      </c>
      <c r="L458">
        <v>0</v>
      </c>
      <c r="M458">
        <v>9.2759400797627137E-3</v>
      </c>
      <c r="N458">
        <v>0.1840977914491804</v>
      </c>
      <c r="O458">
        <v>0.114169110532174</v>
      </c>
      <c r="P458">
        <v>8.56152985496519E-2</v>
      </c>
      <c r="Q458">
        <v>0</v>
      </c>
      <c r="R458">
        <v>9.2759400797627137E-3</v>
      </c>
      <c r="S458">
        <v>0.25930500094773823</v>
      </c>
      <c r="T458">
        <v>5.9087067658179278</v>
      </c>
      <c r="U458">
        <v>0</v>
      </c>
      <c r="V458">
        <v>1.8913244748644094E-2</v>
      </c>
      <c r="W458">
        <v>9.4900368526061471E-2</v>
      </c>
      <c r="X458">
        <v>1.2688324466598525E-3</v>
      </c>
      <c r="Y458">
        <v>3.8196670192677411E-2</v>
      </c>
    </row>
    <row r="459" spans="1:25" x14ac:dyDescent="0.25">
      <c r="A459" s="879"/>
      <c r="B459" s="1133">
        <v>209</v>
      </c>
      <c r="C459" s="883">
        <v>0.99378894011758701</v>
      </c>
      <c r="D459" s="883">
        <v>1.0411038887360684</v>
      </c>
      <c r="E459" s="883">
        <v>1.0334607060755945</v>
      </c>
      <c r="F459" s="883">
        <v>1.0126927617350037</v>
      </c>
      <c r="G459" s="883">
        <v>0.99329141669045895</v>
      </c>
      <c r="H459" s="883">
        <v>1.0096723082895729</v>
      </c>
      <c r="I459" s="883">
        <v>0.96454831355287396</v>
      </c>
      <c r="K459">
        <v>6.7387919886038965</v>
      </c>
      <c r="L459">
        <v>0</v>
      </c>
      <c r="M459">
        <v>1.0107674424296284E-2</v>
      </c>
      <c r="N459">
        <v>0.19801053725574996</v>
      </c>
      <c r="O459">
        <v>0.12015762699833904</v>
      </c>
      <c r="P459">
        <v>8.5144759068425932E-2</v>
      </c>
      <c r="Q459">
        <v>0</v>
      </c>
      <c r="R459">
        <v>1.0107674424296284E-2</v>
      </c>
      <c r="S459">
        <v>0.26259940971798357</v>
      </c>
      <c r="T459">
        <v>5.9109071642122437</v>
      </c>
      <c r="U459">
        <v>0</v>
      </c>
      <c r="V459">
        <v>1.9189165648325655E-2</v>
      </c>
      <c r="W459">
        <v>0.10251301758333435</v>
      </c>
      <c r="X459">
        <v>-1.3512960607769079E-3</v>
      </c>
      <c r="Y459">
        <v>4.1621604180272144E-2</v>
      </c>
    </row>
    <row r="460" spans="1:25" x14ac:dyDescent="0.25">
      <c r="A460" s="879"/>
      <c r="B460" s="1133">
        <v>210</v>
      </c>
      <c r="C460" s="883">
        <v>1.040002052666964</v>
      </c>
      <c r="D460" s="883">
        <v>1.0348395247548934</v>
      </c>
      <c r="E460" s="883">
        <v>0.99108291107950075</v>
      </c>
      <c r="F460" s="883">
        <v>0.97408958546632785</v>
      </c>
      <c r="G460" s="883">
        <v>1.0085967571138814</v>
      </c>
      <c r="H460" s="883">
        <v>1.0235455977234087</v>
      </c>
      <c r="I460" s="883">
        <v>1.013038559652863</v>
      </c>
      <c r="K460">
        <v>6.7208307548276114</v>
      </c>
      <c r="L460">
        <v>0</v>
      </c>
      <c r="M460">
        <v>1.0187270832259513E-2</v>
      </c>
      <c r="N460">
        <v>0.18743634608085233</v>
      </c>
      <c r="O460">
        <v>0.11585344386951038</v>
      </c>
      <c r="P460">
        <v>8.2519816447259906E-2</v>
      </c>
      <c r="Q460">
        <v>0</v>
      </c>
      <c r="R460">
        <v>1.0187270832259513E-2</v>
      </c>
      <c r="S460">
        <v>0.26478483956905718</v>
      </c>
      <c r="T460">
        <v>5.9112313716338054</v>
      </c>
      <c r="U460">
        <v>0</v>
      </c>
      <c r="V460">
        <v>1.8945405387736956E-2</v>
      </c>
      <c r="W460">
        <v>9.9092140234503717E-2</v>
      </c>
      <c r="X460">
        <v>-9.8197641574661147E-4</v>
      </c>
      <c r="Y460">
        <v>4.1949368020632254E-2</v>
      </c>
    </row>
    <row r="461" spans="1:25" x14ac:dyDescent="0.25">
      <c r="A461" s="879"/>
      <c r="B461" s="1133">
        <v>211</v>
      </c>
      <c r="C461" s="883">
        <v>0.99247839572630947</v>
      </c>
      <c r="D461" s="883">
        <v>1.0293133918227881</v>
      </c>
      <c r="E461" s="883">
        <v>0.98546681260960511</v>
      </c>
      <c r="F461" s="883">
        <v>1.0258023998530661</v>
      </c>
      <c r="G461" s="883">
        <v>0.97529462455471994</v>
      </c>
      <c r="H461" s="883">
        <v>0.99074951290402691</v>
      </c>
      <c r="I461" s="883">
        <v>0.96369955491655279</v>
      </c>
      <c r="K461">
        <v>6.7306716675449714</v>
      </c>
      <c r="L461">
        <v>0</v>
      </c>
      <c r="M461">
        <v>1.0407595674009633E-2</v>
      </c>
      <c r="N461">
        <v>0.1899021294239773</v>
      </c>
      <c r="O461">
        <v>0.1217654647837203</v>
      </c>
      <c r="P461">
        <v>8.2161414971181429E-2</v>
      </c>
      <c r="Q461">
        <v>0</v>
      </c>
      <c r="R461">
        <v>1.0407595674009633E-2</v>
      </c>
      <c r="S461">
        <v>0.26102854213865978</v>
      </c>
      <c r="T461">
        <v>5.9143385419722208</v>
      </c>
      <c r="U461">
        <v>0</v>
      </c>
      <c r="V461">
        <v>1.9196409383361427E-2</v>
      </c>
      <c r="W461">
        <v>0.10067748590157446</v>
      </c>
      <c r="X461">
        <v>-1.2549475323267746E-3</v>
      </c>
      <c r="Y461">
        <v>4.2856626502599332E-2</v>
      </c>
    </row>
    <row r="462" spans="1:25" x14ac:dyDescent="0.25">
      <c r="A462" s="879"/>
      <c r="B462" s="1133">
        <v>212</v>
      </c>
      <c r="C462" s="883">
        <v>0.97375666519345483</v>
      </c>
      <c r="D462" s="883">
        <v>0.97880644678062234</v>
      </c>
      <c r="E462" s="883">
        <v>1.0217114883503999</v>
      </c>
      <c r="F462" s="883">
        <v>1.0056373375186336</v>
      </c>
      <c r="G462" s="883">
        <v>0.99325613543587921</v>
      </c>
      <c r="H462" s="883">
        <v>0.99671264414770255</v>
      </c>
      <c r="I462" s="883">
        <v>0.97905911977374416</v>
      </c>
      <c r="K462">
        <v>6.7627820955380606</v>
      </c>
      <c r="L462">
        <v>0</v>
      </c>
      <c r="M462">
        <v>1.0564011969579566E-2</v>
      </c>
      <c r="N462">
        <v>0.2033864048709049</v>
      </c>
      <c r="O462">
        <v>0.12592485832556</v>
      </c>
      <c r="P462">
        <v>8.4535531869117872E-2</v>
      </c>
      <c r="Q462">
        <v>0</v>
      </c>
      <c r="R462">
        <v>1.0564011969579566E-2</v>
      </c>
      <c r="S462">
        <v>0.2714029251374574</v>
      </c>
      <c r="T462">
        <v>5.9112042668067382</v>
      </c>
      <c r="U462">
        <v>0</v>
      </c>
      <c r="V462">
        <v>1.9302018284996104E-2</v>
      </c>
      <c r="W462">
        <v>0.10590546735704283</v>
      </c>
      <c r="X462">
        <v>-2.3800980804523897E-3</v>
      </c>
      <c r="Y462">
        <v>4.3500720966693572E-2</v>
      </c>
    </row>
    <row r="463" spans="1:25" x14ac:dyDescent="0.25">
      <c r="A463" s="879"/>
      <c r="B463" s="1133">
        <v>213</v>
      </c>
      <c r="C463" s="883">
        <v>1.0164862556598544</v>
      </c>
      <c r="D463" s="883">
        <v>0.96877395347300488</v>
      </c>
      <c r="E463" s="883">
        <v>1.0144182595084132</v>
      </c>
      <c r="F463" s="883">
        <v>0.99116352444600664</v>
      </c>
      <c r="G463" s="883">
        <v>1.0370107953162135</v>
      </c>
      <c r="H463" s="883">
        <v>0.95806288752687385</v>
      </c>
      <c r="I463" s="883">
        <v>0.98503090504371471</v>
      </c>
      <c r="K463">
        <v>6.7189969665359097</v>
      </c>
      <c r="L463">
        <v>0</v>
      </c>
      <c r="M463">
        <v>9.8331486109360135E-3</v>
      </c>
      <c r="N463">
        <v>0.18728347140817445</v>
      </c>
      <c r="O463">
        <v>0.12126690422485541</v>
      </c>
      <c r="P463">
        <v>8.3889874196287365E-2</v>
      </c>
      <c r="Q463">
        <v>0</v>
      </c>
      <c r="R463">
        <v>9.8331486109360135E-3</v>
      </c>
      <c r="S463">
        <v>0.25809421934189508</v>
      </c>
      <c r="T463">
        <v>5.9108394253651575</v>
      </c>
      <c r="U463">
        <v>0</v>
      </c>
      <c r="V463">
        <v>1.906667445477226E-2</v>
      </c>
      <c r="W463">
        <v>9.7871758244459775E-2</v>
      </c>
      <c r="X463">
        <v>1.9348355567800902E-4</v>
      </c>
      <c r="Y463">
        <v>4.0491155744627763E-2</v>
      </c>
    </row>
    <row r="464" spans="1:25" x14ac:dyDescent="0.25">
      <c r="A464" s="879"/>
      <c r="B464" s="1133">
        <v>214</v>
      </c>
      <c r="C464" s="883">
        <v>0.99152600437807659</v>
      </c>
      <c r="D464" s="883">
        <v>0.99725188303075529</v>
      </c>
      <c r="E464" s="883">
        <v>0.98354979893331163</v>
      </c>
      <c r="F464" s="883">
        <v>1.0116729896852166</v>
      </c>
      <c r="G464" s="883">
        <v>1.0108828217753789</v>
      </c>
      <c r="H464" s="883">
        <v>1.0051558815316748</v>
      </c>
      <c r="I464" s="883">
        <v>0.99453616075799389</v>
      </c>
      <c r="K464">
        <v>6.7506326507926229</v>
      </c>
      <c r="L464">
        <v>0</v>
      </c>
      <c r="M464">
        <v>1.0731151361115148E-2</v>
      </c>
      <c r="N464">
        <v>0.19524994541688181</v>
      </c>
      <c r="O464">
        <v>0.12347096109073309</v>
      </c>
      <c r="P464">
        <v>8.2168061004634807E-2</v>
      </c>
      <c r="Q464">
        <v>0</v>
      </c>
      <c r="R464">
        <v>1.0731151361115148E-2</v>
      </c>
      <c r="S464">
        <v>0.27129487968201838</v>
      </c>
      <c r="T464">
        <v>5.9136808719723737</v>
      </c>
      <c r="U464">
        <v>0</v>
      </c>
      <c r="V464">
        <v>1.92016855233746E-2</v>
      </c>
      <c r="W464">
        <v>0.10361187814491661</v>
      </c>
      <c r="X464">
        <v>-2.234603273647225E-3</v>
      </c>
      <c r="Y464">
        <v>4.4188971231334424E-2</v>
      </c>
    </row>
    <row r="465" spans="1:25" x14ac:dyDescent="0.25">
      <c r="A465" s="879"/>
      <c r="B465" s="1133">
        <v>215</v>
      </c>
      <c r="C465" s="883">
        <v>1.0143760683082996</v>
      </c>
      <c r="D465" s="883">
        <v>1.0159158738342684</v>
      </c>
      <c r="E465" s="883">
        <v>1.0115712272400963</v>
      </c>
      <c r="F465" s="883">
        <v>0.97510480104072716</v>
      </c>
      <c r="G465" s="883">
        <v>0.98885021391210337</v>
      </c>
      <c r="H465" s="883">
        <v>1.0027967353354932</v>
      </c>
      <c r="I465" s="883">
        <v>0.97647347678683638</v>
      </c>
      <c r="K465">
        <v>6.725648635747719</v>
      </c>
      <c r="L465">
        <v>0</v>
      </c>
      <c r="M465">
        <v>1.0131051998100698E-2</v>
      </c>
      <c r="N465">
        <v>0.19214601213141461</v>
      </c>
      <c r="O465">
        <v>0.11928399828891713</v>
      </c>
      <c r="P465">
        <v>8.3728330545138119E-2</v>
      </c>
      <c r="Q465">
        <v>0</v>
      </c>
      <c r="R465">
        <v>1.0131051998100698E-2</v>
      </c>
      <c r="S465">
        <v>0.26002190269056635</v>
      </c>
      <c r="T465">
        <v>5.9101337535410785</v>
      </c>
      <c r="U465">
        <v>0</v>
      </c>
      <c r="V465">
        <v>1.9077831432118272E-2</v>
      </c>
      <c r="W465">
        <v>0.1005541796285101</v>
      </c>
      <c r="X465">
        <v>-1.0152413781697477E-3</v>
      </c>
      <c r="Y465">
        <v>4.1717868868145699E-2</v>
      </c>
    </row>
    <row r="466" spans="1:25" x14ac:dyDescent="0.25">
      <c r="A466" s="879"/>
      <c r="B466" s="1133">
        <v>216</v>
      </c>
      <c r="C466" s="883">
        <v>0.99063250567060945</v>
      </c>
      <c r="D466" s="883">
        <v>0.99291681325162784</v>
      </c>
      <c r="E466" s="883">
        <v>0.99949066545304588</v>
      </c>
      <c r="F466" s="883">
        <v>0.98872403967716804</v>
      </c>
      <c r="G466" s="883">
        <v>0.97380004880848947</v>
      </c>
      <c r="H466" s="883">
        <v>1.0176354917124624</v>
      </c>
      <c r="I466" s="883">
        <v>1.0151504414919836</v>
      </c>
      <c r="K466">
        <v>6.7630723005768845</v>
      </c>
      <c r="L466">
        <v>0</v>
      </c>
      <c r="M466">
        <v>1.0743977516384725E-2</v>
      </c>
      <c r="N466">
        <v>0.20015778218775995</v>
      </c>
      <c r="O466">
        <v>0.12349670601520593</v>
      </c>
      <c r="P466">
        <v>8.3238737746462718E-2</v>
      </c>
      <c r="Q466">
        <v>0</v>
      </c>
      <c r="R466">
        <v>1.0743977516384725E-2</v>
      </c>
      <c r="S466">
        <v>0.27845141947778768</v>
      </c>
      <c r="T466">
        <v>5.911552143753994</v>
      </c>
      <c r="U466">
        <v>0</v>
      </c>
      <c r="V466">
        <v>1.9206644628176259E-2</v>
      </c>
      <c r="W466">
        <v>0.10537581668506467</v>
      </c>
      <c r="X466">
        <v>-2.6487369733299623E-3</v>
      </c>
      <c r="Y466">
        <v>4.424178705576403E-2</v>
      </c>
    </row>
    <row r="467" spans="1:25" x14ac:dyDescent="0.25">
      <c r="A467" s="879"/>
      <c r="B467" s="1133">
        <v>217</v>
      </c>
      <c r="C467" s="883">
        <v>1.0141177053821044</v>
      </c>
      <c r="D467" s="883">
        <v>1.0051895137942242</v>
      </c>
      <c r="E467" s="883">
        <v>1.0163069874710713</v>
      </c>
      <c r="F467" s="883">
        <v>1.012431711064528</v>
      </c>
      <c r="G467" s="883">
        <v>1.0093506082784702</v>
      </c>
      <c r="H467" s="883">
        <v>0.96221061327285673</v>
      </c>
      <c r="I467" s="883">
        <v>0.96281722219488342</v>
      </c>
      <c r="K467">
        <v>6.7108518160538635</v>
      </c>
      <c r="L467">
        <v>0</v>
      </c>
      <c r="M467">
        <v>9.7273979736174701E-3</v>
      </c>
      <c r="N467">
        <v>0.18578787057375001</v>
      </c>
      <c r="O467">
        <v>0.11973413891129035</v>
      </c>
      <c r="P467">
        <v>8.3952345032341003E-2</v>
      </c>
      <c r="Q467">
        <v>0</v>
      </c>
      <c r="R467">
        <v>9.7273979736174701E-3</v>
      </c>
      <c r="S467">
        <v>0.25293300585110673</v>
      </c>
      <c r="T467">
        <v>5.9118807844748433</v>
      </c>
      <c r="U467">
        <v>0</v>
      </c>
      <c r="V467">
        <v>1.9079200638378192E-2</v>
      </c>
      <c r="W467">
        <v>9.6999718586925118E-2</v>
      </c>
      <c r="X467">
        <v>4.2905854216231289E-4</v>
      </c>
      <c r="Y467">
        <v>4.0055693443061764E-2</v>
      </c>
    </row>
    <row r="468" spans="1:25" x14ac:dyDescent="0.25">
      <c r="A468" s="879"/>
      <c r="B468" s="1133">
        <v>218</v>
      </c>
      <c r="C468" s="883">
        <v>1.0272794242845182</v>
      </c>
      <c r="D468" s="883">
        <v>1.0205487300816516</v>
      </c>
      <c r="E468" s="883">
        <v>0.98972272074366252</v>
      </c>
      <c r="F468" s="883">
        <v>0.97903584519246578</v>
      </c>
      <c r="G468" s="883">
        <v>0.96364094029487091</v>
      </c>
      <c r="H468" s="883">
        <v>0.98613954041426954</v>
      </c>
      <c r="I468" s="883">
        <v>1.0253441545812714</v>
      </c>
      <c r="K468">
        <v>6.721069171153121</v>
      </c>
      <c r="L468">
        <v>0</v>
      </c>
      <c r="M468">
        <v>1.0007698111700028E-2</v>
      </c>
      <c r="N468">
        <v>0.18376143997844066</v>
      </c>
      <c r="O468">
        <v>0.1179669786503818</v>
      </c>
      <c r="P468">
        <v>8.2482102343230959E-2</v>
      </c>
      <c r="Q468">
        <v>0</v>
      </c>
      <c r="R468">
        <v>1.0007698111700028E-2</v>
      </c>
      <c r="S468">
        <v>0.2679711540006024</v>
      </c>
      <c r="T468">
        <v>5.9115744090026432</v>
      </c>
      <c r="U468">
        <v>0</v>
      </c>
      <c r="V468">
        <v>1.9010325624784354E-2</v>
      </c>
      <c r="W468">
        <v>9.7215230538980499E-2</v>
      </c>
      <c r="X468">
        <v>-1.2238850606065841E-4</v>
      </c>
      <c r="Y468">
        <v>4.1209919520121027E-2</v>
      </c>
    </row>
    <row r="469" spans="1:25" x14ac:dyDescent="0.25">
      <c r="A469" s="879"/>
      <c r="B469" s="1133">
        <v>219</v>
      </c>
      <c r="C469" s="883">
        <v>0.99090125816669516</v>
      </c>
      <c r="D469" s="883">
        <v>1.0272503175318104</v>
      </c>
      <c r="E469" s="883">
        <v>1.0044700055273581</v>
      </c>
      <c r="F469" s="883">
        <v>1.0159071802525466</v>
      </c>
      <c r="G469" s="883">
        <v>0.9597404295871842</v>
      </c>
      <c r="H469" s="883">
        <v>0.97900789953592349</v>
      </c>
      <c r="I469" s="883">
        <v>0.98528227593542228</v>
      </c>
      <c r="K469">
        <v>6.7346337159369467</v>
      </c>
      <c r="L469">
        <v>0</v>
      </c>
      <c r="M469">
        <v>1.013983023184656E-2</v>
      </c>
      <c r="N469">
        <v>0.19030110363782171</v>
      </c>
      <c r="O469">
        <v>0.12170251898125933</v>
      </c>
      <c r="P469">
        <v>8.3404012944815004E-2</v>
      </c>
      <c r="Q469">
        <v>0</v>
      </c>
      <c r="R469">
        <v>1.013983023184656E-2</v>
      </c>
      <c r="S469">
        <v>0.2662613023110933</v>
      </c>
      <c r="T469">
        <v>5.912740755008449</v>
      </c>
      <c r="U469">
        <v>0</v>
      </c>
      <c r="V469">
        <v>1.9205152055134622E-2</v>
      </c>
      <c r="W469">
        <v>9.993938626873379E-2</v>
      </c>
      <c r="X469">
        <v>-6.7453134260438564E-4</v>
      </c>
      <c r="Y469">
        <v>4.1754016072243806E-2</v>
      </c>
    </row>
    <row r="470" spans="1:25" x14ac:dyDescent="0.25">
      <c r="A470" s="879"/>
      <c r="B470" s="1133">
        <v>220</v>
      </c>
      <c r="C470" s="883">
        <v>1.0196534347626174</v>
      </c>
      <c r="D470" s="883">
        <v>1.0129060872451652</v>
      </c>
      <c r="E470" s="883">
        <v>0.98508728085495512</v>
      </c>
      <c r="F470" s="883">
        <v>1.0211609945168514</v>
      </c>
      <c r="G470" s="883">
        <v>0.96215745405323083</v>
      </c>
      <c r="H470" s="883">
        <v>1.0053103831397894</v>
      </c>
      <c r="I470" s="883">
        <v>0.98639800811073097</v>
      </c>
      <c r="K470">
        <v>6.7264441034975526</v>
      </c>
      <c r="L470">
        <v>0</v>
      </c>
      <c r="M470">
        <v>1.0353461699594132E-2</v>
      </c>
      <c r="N470">
        <v>0.18880806740385092</v>
      </c>
      <c r="O470">
        <v>0.1192913820346294</v>
      </c>
      <c r="P470">
        <v>8.2139039138930073E-2</v>
      </c>
      <c r="Q470">
        <v>0</v>
      </c>
      <c r="R470">
        <v>1.0353461699594132E-2</v>
      </c>
      <c r="S470">
        <v>0.26151705764659422</v>
      </c>
      <c r="T470">
        <v>5.9141086747982881</v>
      </c>
      <c r="U470">
        <v>0</v>
      </c>
      <c r="V470">
        <v>1.9050015622061749E-2</v>
      </c>
      <c r="W470">
        <v>0.10011644675987574</v>
      </c>
      <c r="X470">
        <v>-1.2202923381284508E-3</v>
      </c>
      <c r="Y470">
        <v>4.2633712431444558E-2</v>
      </c>
    </row>
    <row r="471" spans="1:25" x14ac:dyDescent="0.25">
      <c r="A471" s="879"/>
      <c r="B471" s="1133">
        <v>221</v>
      </c>
      <c r="C471" s="883">
        <v>0.97997798652361712</v>
      </c>
      <c r="D471" s="883">
        <v>0.96294499050319005</v>
      </c>
      <c r="E471" s="883">
        <v>0.99300258303270184</v>
      </c>
      <c r="F471" s="883">
        <v>0.97075638369641781</v>
      </c>
      <c r="G471" s="883">
        <v>0.97671197135016419</v>
      </c>
      <c r="H471" s="883">
        <v>1.0310027504785448</v>
      </c>
      <c r="I471" s="883">
        <v>1.0167350708714982</v>
      </c>
      <c r="K471">
        <v>6.7815327081535894</v>
      </c>
      <c r="L471">
        <v>0</v>
      </c>
      <c r="M471">
        <v>1.1212326734106305E-2</v>
      </c>
      <c r="N471">
        <v>0.20688430562044846</v>
      </c>
      <c r="O471">
        <v>0.12650509726436487</v>
      </c>
      <c r="P471">
        <v>8.2891586849045018E-2</v>
      </c>
      <c r="Q471">
        <v>0</v>
      </c>
      <c r="R471">
        <v>1.1212326734106305E-2</v>
      </c>
      <c r="S471">
        <v>0.28359555186434737</v>
      </c>
      <c r="T471">
        <v>5.9109442250179152</v>
      </c>
      <c r="U471">
        <v>0</v>
      </c>
      <c r="V471">
        <v>1.9266476281059011E-2</v>
      </c>
      <c r="W471">
        <v>0.10926914670793351</v>
      </c>
      <c r="X471">
        <v>-3.9940472228166199E-3</v>
      </c>
      <c r="Y471">
        <v>4.6170365771288371E-2</v>
      </c>
    </row>
    <row r="472" spans="1:25" x14ac:dyDescent="0.25">
      <c r="A472" s="879"/>
      <c r="B472" s="1133">
        <v>222</v>
      </c>
      <c r="C472" s="883">
        <v>0.95962636483574881</v>
      </c>
      <c r="D472" s="883">
        <v>0.99672708228734597</v>
      </c>
      <c r="E472" s="883">
        <v>0.95473144576905433</v>
      </c>
      <c r="F472" s="883">
        <v>1.0060691494508376</v>
      </c>
      <c r="G472" s="883">
        <v>1.0457234572753877</v>
      </c>
      <c r="H472" s="883">
        <v>1.0002114548238958</v>
      </c>
      <c r="I472" s="883">
        <v>0.96937611436656468</v>
      </c>
      <c r="K472">
        <v>6.76237574656784</v>
      </c>
      <c r="L472">
        <v>0</v>
      </c>
      <c r="M472">
        <v>1.131620239639167E-2</v>
      </c>
      <c r="N472">
        <v>0.19727003081018815</v>
      </c>
      <c r="O472">
        <v>0.12815716010977812</v>
      </c>
      <c r="P472">
        <v>8.03862297586867E-2</v>
      </c>
      <c r="Q472">
        <v>0</v>
      </c>
      <c r="R472">
        <v>1.131620239639167E-2</v>
      </c>
      <c r="S472">
        <v>0.27270597908510774</v>
      </c>
      <c r="T472">
        <v>5.9149477892246818</v>
      </c>
      <c r="U472">
        <v>0</v>
      </c>
      <c r="V472">
        <v>1.9384455786302712E-2</v>
      </c>
      <c r="W472">
        <v>0.1062121922753729</v>
      </c>
      <c r="X472">
        <v>-3.2861977416790773E-3</v>
      </c>
      <c r="Y472">
        <v>4.6598107259400876E-2</v>
      </c>
    </row>
    <row r="473" spans="1:25" x14ac:dyDescent="0.25">
      <c r="A473" s="879"/>
      <c r="B473" s="1133">
        <v>223</v>
      </c>
      <c r="C473" s="883">
        <v>1.0221322745464807</v>
      </c>
      <c r="D473" s="883">
        <v>0.98631639533194293</v>
      </c>
      <c r="E473" s="883">
        <v>0.97020994593293186</v>
      </c>
      <c r="F473" s="883">
        <v>0.98407806444128765</v>
      </c>
      <c r="G473" s="883">
        <v>1.0107070595587548</v>
      </c>
      <c r="H473" s="883">
        <v>0.98927429964239622</v>
      </c>
      <c r="I473" s="883">
        <v>0.98868388281276909</v>
      </c>
      <c r="K473">
        <v>6.7207952314931951</v>
      </c>
      <c r="L473">
        <v>0</v>
      </c>
      <c r="M473">
        <v>1.0414212039179202E-2</v>
      </c>
      <c r="N473">
        <v>0.18576908430585903</v>
      </c>
      <c r="O473">
        <v>0.12054636874364506</v>
      </c>
      <c r="P473">
        <v>8.1170313676719535E-2</v>
      </c>
      <c r="Q473">
        <v>0</v>
      </c>
      <c r="R473">
        <v>1.0414212039179202E-2</v>
      </c>
      <c r="S473">
        <v>0.26025552943806768</v>
      </c>
      <c r="T473">
        <v>5.9129214373392962</v>
      </c>
      <c r="U473">
        <v>0</v>
      </c>
      <c r="V473">
        <v>1.9037049359534014E-2</v>
      </c>
      <c r="W473">
        <v>9.9242248805716304E-2</v>
      </c>
      <c r="X473">
        <v>-1.0306716923393579E-3</v>
      </c>
      <c r="Y473">
        <v>4.2883871516698514E-2</v>
      </c>
    </row>
    <row r="474" spans="1:25" x14ac:dyDescent="0.25">
      <c r="A474" s="879"/>
      <c r="B474" s="1133">
        <v>224</v>
      </c>
      <c r="C474" s="883">
        <v>1.0318357622107033</v>
      </c>
      <c r="D474" s="883">
        <v>0.96419963576148282</v>
      </c>
      <c r="E474" s="883">
        <v>0.98442663608267034</v>
      </c>
      <c r="F474" s="883">
        <v>1.0322827536670212</v>
      </c>
      <c r="G474" s="883">
        <v>1.0204383292323354</v>
      </c>
      <c r="H474" s="883">
        <v>0.99476390346842303</v>
      </c>
      <c r="I474" s="883">
        <v>0.96465602836998321</v>
      </c>
      <c r="K474">
        <v>6.7181477006022794</v>
      </c>
      <c r="L474">
        <v>0</v>
      </c>
      <c r="M474">
        <v>1.034591016184761E-2</v>
      </c>
      <c r="N474">
        <v>0.18848557975689167</v>
      </c>
      <c r="O474">
        <v>0.12024184368288672</v>
      </c>
      <c r="P474">
        <v>8.1982709267500203E-2</v>
      </c>
      <c r="Q474">
        <v>0</v>
      </c>
      <c r="R474">
        <v>1.034591016184761E-2</v>
      </c>
      <c r="S474">
        <v>0.25227390791605803</v>
      </c>
      <c r="T474">
        <v>5.9147464511069474</v>
      </c>
      <c r="U474">
        <v>0</v>
      </c>
      <c r="V474">
        <v>1.8986891820305104E-2</v>
      </c>
      <c r="W474">
        <v>9.9978448340978424E-2</v>
      </c>
      <c r="X474">
        <v>-1.1507478324161307E-3</v>
      </c>
      <c r="Y474">
        <v>4.2602616543127983E-2</v>
      </c>
    </row>
    <row r="475" spans="1:25" x14ac:dyDescent="0.25">
      <c r="A475" s="879"/>
      <c r="B475" s="1133">
        <v>225</v>
      </c>
      <c r="C475" s="883">
        <v>0.99310698382594675</v>
      </c>
      <c r="D475" s="883">
        <v>0.99823362593422182</v>
      </c>
      <c r="E475" s="883">
        <v>0.989207701625337</v>
      </c>
      <c r="F475" s="883">
        <v>0.98925523286797346</v>
      </c>
      <c r="G475" s="883">
        <v>1.026384645170469</v>
      </c>
      <c r="H475" s="883">
        <v>0.9889079082983051</v>
      </c>
      <c r="I475" s="883">
        <v>0.959271154144958</v>
      </c>
      <c r="K475">
        <v>6.7323913354527427</v>
      </c>
      <c r="L475">
        <v>0</v>
      </c>
      <c r="M475">
        <v>1.0484565894023095E-2</v>
      </c>
      <c r="N475">
        <v>0.19237074243037547</v>
      </c>
      <c r="O475">
        <v>0.12311976153163286</v>
      </c>
      <c r="P475">
        <v>8.2350968999255911E-2</v>
      </c>
      <c r="Q475">
        <v>0</v>
      </c>
      <c r="R475">
        <v>1.0484565894023095E-2</v>
      </c>
      <c r="S475">
        <v>0.25977768900450743</v>
      </c>
      <c r="T475">
        <v>5.9121554189400651</v>
      </c>
      <c r="U475">
        <v>0</v>
      </c>
      <c r="V475">
        <v>1.9192932620275556E-2</v>
      </c>
      <c r="W475">
        <v>0.10179595179947348</v>
      </c>
      <c r="X475">
        <v>-1.5457060412788516E-3</v>
      </c>
      <c r="Y475">
        <v>4.3173576168426347E-2</v>
      </c>
    </row>
    <row r="476" spans="1:25" x14ac:dyDescent="0.25">
      <c r="A476" s="879"/>
      <c r="B476" s="1133">
        <v>226</v>
      </c>
      <c r="C476" s="883">
        <v>0.99990614165171809</v>
      </c>
      <c r="D476" s="883">
        <v>0.99441936023499222</v>
      </c>
      <c r="E476" s="883">
        <v>0.9778205107463579</v>
      </c>
      <c r="F476" s="883">
        <v>0.9613496006537624</v>
      </c>
      <c r="G476" s="883">
        <v>0.98611383849847001</v>
      </c>
      <c r="H476" s="883">
        <v>0.96907311417725794</v>
      </c>
      <c r="I476" s="883">
        <v>1.0122090290657983</v>
      </c>
      <c r="K476">
        <v>6.7324238332913238</v>
      </c>
      <c r="L476">
        <v>0</v>
      </c>
      <c r="M476">
        <v>1.0323156320768795E-2</v>
      </c>
      <c r="N476">
        <v>0.18623684389182144</v>
      </c>
      <c r="O476">
        <v>0.12268214201029989</v>
      </c>
      <c r="P476">
        <v>8.1762578350187534E-2</v>
      </c>
      <c r="Q476">
        <v>0</v>
      </c>
      <c r="R476">
        <v>1.0323156320768795E-2</v>
      </c>
      <c r="S476">
        <v>0.27037045547349275</v>
      </c>
      <c r="T476">
        <v>5.9112761617956675</v>
      </c>
      <c r="U476">
        <v>0</v>
      </c>
      <c r="V476">
        <v>1.9155605379214107E-2</v>
      </c>
      <c r="W476">
        <v>9.9112799898383189E-2</v>
      </c>
      <c r="X476">
        <v>-6.8167378334450855E-4</v>
      </c>
      <c r="Y476">
        <v>4.2508920275598161E-2</v>
      </c>
    </row>
    <row r="477" spans="1:25" x14ac:dyDescent="0.25">
      <c r="A477" s="879"/>
      <c r="B477" s="1133">
        <v>227</v>
      </c>
      <c r="C477" s="883">
        <v>1.037678002060898</v>
      </c>
      <c r="D477" s="883">
        <v>0.9959839078422752</v>
      </c>
      <c r="E477" s="883">
        <v>0.97538388564193157</v>
      </c>
      <c r="F477" s="883">
        <v>0.96742753734169651</v>
      </c>
      <c r="G477" s="883">
        <v>1.0094948405495785</v>
      </c>
      <c r="H477" s="883">
        <v>1.0280375918342188</v>
      </c>
      <c r="I477" s="883">
        <v>0.98762595902408357</v>
      </c>
      <c r="K477">
        <v>6.7226577414707807</v>
      </c>
      <c r="L477">
        <v>0</v>
      </c>
      <c r="M477">
        <v>1.056795948055164E-2</v>
      </c>
      <c r="N477">
        <v>0.18996508847257362</v>
      </c>
      <c r="O477">
        <v>0.11818572122748247</v>
      </c>
      <c r="P477">
        <v>8.1469335312256141E-2</v>
      </c>
      <c r="Q477">
        <v>0</v>
      </c>
      <c r="R477">
        <v>1.056795948055164E-2</v>
      </c>
      <c r="S477">
        <v>0.25948282577447701</v>
      </c>
      <c r="T477">
        <v>5.9117384256371128</v>
      </c>
      <c r="U477">
        <v>0</v>
      </c>
      <c r="V477">
        <v>1.8957145569342474E-2</v>
      </c>
      <c r="W477">
        <v>0.10122051211139013</v>
      </c>
      <c r="X477">
        <v>-1.878288748097486E-3</v>
      </c>
      <c r="Y477">
        <v>4.351697611424582E-2</v>
      </c>
    </row>
    <row r="478" spans="1:25" x14ac:dyDescent="0.25">
      <c r="A478" s="879"/>
      <c r="B478" s="1133">
        <v>228</v>
      </c>
      <c r="C478" s="883">
        <v>0.99624973853615417</v>
      </c>
      <c r="D478" s="883">
        <v>1.004907353084507</v>
      </c>
      <c r="E478" s="883">
        <v>0.99467842885186641</v>
      </c>
      <c r="F478" s="883">
        <v>0.97639426489239245</v>
      </c>
      <c r="G478" s="883">
        <v>0.97796775680153003</v>
      </c>
      <c r="H478" s="883">
        <v>1.0193958153597784</v>
      </c>
      <c r="I478" s="883">
        <v>1.0138348376436717</v>
      </c>
      <c r="K478">
        <v>6.7558260777754242</v>
      </c>
      <c r="L478">
        <v>0</v>
      </c>
      <c r="M478">
        <v>1.069183335143209E-2</v>
      </c>
      <c r="N478">
        <v>0.19777104679937113</v>
      </c>
      <c r="O478">
        <v>0.12230238516789514</v>
      </c>
      <c r="P478">
        <v>8.2904792243058009E-2</v>
      </c>
      <c r="Q478">
        <v>0</v>
      </c>
      <c r="R478">
        <v>1.069183335143209E-2</v>
      </c>
      <c r="S478">
        <v>0.27655127151028414</v>
      </c>
      <c r="T478">
        <v>5.9111553717296648</v>
      </c>
      <c r="U478">
        <v>0</v>
      </c>
      <c r="V478">
        <v>1.9175615635683083E-2</v>
      </c>
      <c r="W478">
        <v>0.10436871865705533</v>
      </c>
      <c r="X478">
        <v>-2.4301906333921057E-3</v>
      </c>
      <c r="Y478">
        <v>4.4027066665804436E-2</v>
      </c>
    </row>
    <row r="479" spans="1:25" x14ac:dyDescent="0.25">
      <c r="A479" s="879"/>
      <c r="B479" s="1133">
        <v>229</v>
      </c>
      <c r="C479" s="883">
        <v>1.0092593041289499</v>
      </c>
      <c r="D479" s="883">
        <v>1.0008526105796423</v>
      </c>
      <c r="E479" s="883">
        <v>1.0048738012063914</v>
      </c>
      <c r="F479" s="883">
        <v>1.0277069960097935</v>
      </c>
      <c r="G479" s="883">
        <v>1.0023177248618491</v>
      </c>
      <c r="H479" s="883">
        <v>0.98162469937940877</v>
      </c>
      <c r="I479" s="883">
        <v>0.97768836321414432</v>
      </c>
      <c r="K479">
        <v>6.7263404764659045</v>
      </c>
      <c r="L479">
        <v>0</v>
      </c>
      <c r="M479">
        <v>1.00903073480113E-2</v>
      </c>
      <c r="N479">
        <v>0.18948495373853472</v>
      </c>
      <c r="O479">
        <v>0.12073206644782447</v>
      </c>
      <c r="P479">
        <v>8.335025328576226E-2</v>
      </c>
      <c r="Q479">
        <v>0</v>
      </c>
      <c r="R479">
        <v>1.00903073480113E-2</v>
      </c>
      <c r="S479">
        <v>0.25986468604989182</v>
      </c>
      <c r="T479">
        <v>5.9133555964087607</v>
      </c>
      <c r="U479">
        <v>0</v>
      </c>
      <c r="V479">
        <v>1.9105078494522337E-2</v>
      </c>
      <c r="W479">
        <v>9.9490857602730021E-2</v>
      </c>
      <c r="X479">
        <v>-5.9310521347751281E-4</v>
      </c>
      <c r="Y479">
        <v>4.1550089651354927E-2</v>
      </c>
    </row>
    <row r="480" spans="1:25" x14ac:dyDescent="0.25">
      <c r="A480" s="879"/>
      <c r="B480" s="1133">
        <v>230</v>
      </c>
      <c r="C480" s="883">
        <v>1.0025587336358368</v>
      </c>
      <c r="D480" s="883">
        <v>1.0360434309393132</v>
      </c>
      <c r="E480" s="883">
        <v>1.0080700970759437</v>
      </c>
      <c r="F480" s="883">
        <v>0.99658237799582894</v>
      </c>
      <c r="G480" s="883">
        <v>1.0110942019149745</v>
      </c>
      <c r="H480" s="883">
        <v>1.034703155321878</v>
      </c>
      <c r="I480" s="883">
        <v>0.99498561635015559</v>
      </c>
      <c r="K480">
        <v>6.7485058093627819</v>
      </c>
      <c r="L480">
        <v>0</v>
      </c>
      <c r="M480">
        <v>1.0520355805339145E-2</v>
      </c>
      <c r="N480">
        <v>0.19849806256602251</v>
      </c>
      <c r="O480">
        <v>0.11981144510533427</v>
      </c>
      <c r="P480">
        <v>8.3673798618601997E-2</v>
      </c>
      <c r="Q480">
        <v>0</v>
      </c>
      <c r="R480">
        <v>1.0520355805339145E-2</v>
      </c>
      <c r="S480">
        <v>0.27082491460478425</v>
      </c>
      <c r="T480">
        <v>5.911492901444559</v>
      </c>
      <c r="U480">
        <v>0</v>
      </c>
      <c r="V480">
        <v>1.9141179993535214E-2</v>
      </c>
      <c r="W480">
        <v>0.10405839975501631</v>
      </c>
      <c r="X480">
        <v>-2.3158453779358783E-3</v>
      </c>
      <c r="Y480">
        <v>4.3320952652859082E-2</v>
      </c>
    </row>
    <row r="481" spans="1:25" x14ac:dyDescent="0.25">
      <c r="A481" s="879"/>
      <c r="B481" s="1133">
        <v>231</v>
      </c>
      <c r="C481" s="883">
        <v>1.0090881140156045</v>
      </c>
      <c r="D481" s="883">
        <v>0.95837915504488447</v>
      </c>
      <c r="E481" s="883">
        <v>1.0081824636055534</v>
      </c>
      <c r="F481" s="883">
        <v>1.0167815500220097</v>
      </c>
      <c r="G481" s="883">
        <v>1.0228898963785347</v>
      </c>
      <c r="H481" s="883">
        <v>1.0046571264104263</v>
      </c>
      <c r="I481" s="883">
        <v>1.0077567646408261</v>
      </c>
      <c r="K481">
        <v>6.7517204367140247</v>
      </c>
      <c r="L481">
        <v>0</v>
      </c>
      <c r="M481">
        <v>1.0492212738989886E-2</v>
      </c>
      <c r="N481">
        <v>0.19799999749845734</v>
      </c>
      <c r="O481">
        <v>0.12280265680618264</v>
      </c>
      <c r="P481">
        <v>8.3691165422100519E-2</v>
      </c>
      <c r="Q481">
        <v>0</v>
      </c>
      <c r="R481">
        <v>1.0492212738989886E-2</v>
      </c>
      <c r="S481">
        <v>0.27054149263065336</v>
      </c>
      <c r="T481">
        <v>5.9125780124636336</v>
      </c>
      <c r="U481">
        <v>0</v>
      </c>
      <c r="V481">
        <v>1.9105994868753286E-2</v>
      </c>
      <c r="W481">
        <v>0.10379152665444499</v>
      </c>
      <c r="X481">
        <v>-1.9954741451173558E-3</v>
      </c>
      <c r="Y481">
        <v>4.3205064514911913E-2</v>
      </c>
    </row>
    <row r="482" spans="1:25" x14ac:dyDescent="0.25">
      <c r="A482" s="879"/>
      <c r="B482" s="1133">
        <v>232</v>
      </c>
      <c r="C482" s="883">
        <v>0.99837767279712963</v>
      </c>
      <c r="D482" s="883">
        <v>1.0169368978682998</v>
      </c>
      <c r="E482" s="883">
        <v>1.0081876075192193</v>
      </c>
      <c r="F482" s="883">
        <v>0.98085864575653336</v>
      </c>
      <c r="G482" s="883">
        <v>1.0348892867130595</v>
      </c>
      <c r="H482" s="883">
        <v>0.98634798793374578</v>
      </c>
      <c r="I482" s="883">
        <v>0.99493567702600416</v>
      </c>
      <c r="K482">
        <v>6.7351883350389778</v>
      </c>
      <c r="L482">
        <v>0</v>
      </c>
      <c r="M482">
        <v>1.0150192040667062E-2</v>
      </c>
      <c r="N482">
        <v>0.1915471364210827</v>
      </c>
      <c r="O482">
        <v>0.12121014674227737</v>
      </c>
      <c r="P482">
        <v>8.3626936919315775E-2</v>
      </c>
      <c r="Q482">
        <v>0</v>
      </c>
      <c r="R482">
        <v>1.0150192040667062E-2</v>
      </c>
      <c r="S482">
        <v>0.26763389026091494</v>
      </c>
      <c r="T482">
        <v>5.9106366022208894</v>
      </c>
      <c r="U482">
        <v>0</v>
      </c>
      <c r="V482">
        <v>1.9163952343178227E-2</v>
      </c>
      <c r="W482">
        <v>0.10040868357308762</v>
      </c>
      <c r="X482">
        <v>-8.3569759840739194E-4</v>
      </c>
      <c r="Y482">
        <v>4.1796684156633415E-2</v>
      </c>
    </row>
    <row r="483" spans="1:25" x14ac:dyDescent="0.25">
      <c r="A483" s="879"/>
      <c r="B483" s="1133">
        <v>233</v>
      </c>
      <c r="C483" s="883">
        <v>0.98896262260293444</v>
      </c>
      <c r="D483" s="883">
        <v>0.96846739747823385</v>
      </c>
      <c r="E483" s="883">
        <v>0.99649418190274708</v>
      </c>
      <c r="F483" s="883">
        <v>0.96896851947183937</v>
      </c>
      <c r="G483" s="883">
        <v>1.0347083403466011</v>
      </c>
      <c r="H483" s="883">
        <v>1.0222664966875825</v>
      </c>
      <c r="I483" s="883">
        <v>0.98850733964405191</v>
      </c>
      <c r="K483">
        <v>6.7623085001681345</v>
      </c>
      <c r="L483">
        <v>0</v>
      </c>
      <c r="M483">
        <v>1.0955884355494308E-2</v>
      </c>
      <c r="N483">
        <v>0.20320135840253173</v>
      </c>
      <c r="O483">
        <v>0.12500255284387973</v>
      </c>
      <c r="P483">
        <v>8.2956330410004595E-2</v>
      </c>
      <c r="Q483">
        <v>0</v>
      </c>
      <c r="R483">
        <v>1.0955884355494308E-2</v>
      </c>
      <c r="S483">
        <v>0.27231883490535602</v>
      </c>
      <c r="T483">
        <v>5.9106524803463261</v>
      </c>
      <c r="U483">
        <v>0</v>
      </c>
      <c r="V483">
        <v>1.9215936851732802E-2</v>
      </c>
      <c r="W483">
        <v>0.1071375986626313</v>
      </c>
      <c r="X483">
        <v>-3.2909739555344289E-3</v>
      </c>
      <c r="Y483">
        <v>4.5114381701205998E-2</v>
      </c>
    </row>
    <row r="484" spans="1:25" x14ac:dyDescent="0.25">
      <c r="A484" s="879"/>
      <c r="B484" s="1133">
        <v>234</v>
      </c>
      <c r="C484" s="883">
        <v>0.99912462524989376</v>
      </c>
      <c r="D484" s="883">
        <v>0.9604119242171133</v>
      </c>
      <c r="E484" s="883">
        <v>1.0219768639862166</v>
      </c>
      <c r="F484" s="883">
        <v>0.98963803590852595</v>
      </c>
      <c r="G484" s="883">
        <v>1.0148113156851328</v>
      </c>
      <c r="H484" s="883">
        <v>0.97092888980454484</v>
      </c>
      <c r="I484" s="883">
        <v>1.0105717234200944</v>
      </c>
      <c r="K484">
        <v>6.745299034425094</v>
      </c>
      <c r="L484">
        <v>0</v>
      </c>
      <c r="M484">
        <v>1.0109027474071249E-2</v>
      </c>
      <c r="N484">
        <v>0.19470310550110362</v>
      </c>
      <c r="O484">
        <v>0.12365737332424999</v>
      </c>
      <c r="P484">
        <v>8.4529098266465874E-2</v>
      </c>
      <c r="Q484">
        <v>0</v>
      </c>
      <c r="R484">
        <v>1.0109027474071249E-2</v>
      </c>
      <c r="S484">
        <v>0.27073001879248332</v>
      </c>
      <c r="T484">
        <v>5.9103246868637331</v>
      </c>
      <c r="U484">
        <v>0</v>
      </c>
      <c r="V484">
        <v>1.9159870047328092E-2</v>
      </c>
      <c r="W484">
        <v>0.10137073858572823</v>
      </c>
      <c r="X484">
        <v>-8.0303275441091435E-4</v>
      </c>
      <c r="Y484">
        <v>4.1627175798411575E-2</v>
      </c>
    </row>
    <row r="485" spans="1:25" x14ac:dyDescent="0.25">
      <c r="A485" s="879"/>
      <c r="B485" s="1133">
        <v>235</v>
      </c>
      <c r="C485" s="883">
        <v>1.0068151320223002</v>
      </c>
      <c r="D485" s="883">
        <v>0.9880167268668183</v>
      </c>
      <c r="E485" s="883">
        <v>0.98675186338724308</v>
      </c>
      <c r="F485" s="883">
        <v>0.97987062312019502</v>
      </c>
      <c r="G485" s="883">
        <v>1.005703895760736</v>
      </c>
      <c r="H485" s="883">
        <v>1.0122277178675914</v>
      </c>
      <c r="I485" s="883">
        <v>0.99898569885140243</v>
      </c>
      <c r="K485">
        <v>6.7440605026023164</v>
      </c>
      <c r="L485">
        <v>0</v>
      </c>
      <c r="M485">
        <v>1.0655253526579539E-2</v>
      </c>
      <c r="N485">
        <v>0.19479188603454944</v>
      </c>
      <c r="O485">
        <v>0.12198988487052949</v>
      </c>
      <c r="P485">
        <v>8.2314897965093933E-2</v>
      </c>
      <c r="Q485">
        <v>0</v>
      </c>
      <c r="R485">
        <v>1.0655253526579539E-2</v>
      </c>
      <c r="S485">
        <v>0.26913687166600825</v>
      </c>
      <c r="T485">
        <v>5.9117844915862605</v>
      </c>
      <c r="U485">
        <v>0</v>
      </c>
      <c r="V485">
        <v>1.9118191593176997E-2</v>
      </c>
      <c r="W485">
        <v>0.1032035521406358</v>
      </c>
      <c r="X485">
        <v>-2.1557107119672667E-3</v>
      </c>
      <c r="Y485">
        <v>4.3876437458027738E-2</v>
      </c>
    </row>
    <row r="486" spans="1:25" x14ac:dyDescent="0.25">
      <c r="A486" s="879"/>
      <c r="B486" s="1133">
        <v>236</v>
      </c>
      <c r="C486" s="883">
        <v>0.98582410156671219</v>
      </c>
      <c r="D486" s="883">
        <v>1.010035648047849</v>
      </c>
      <c r="E486" s="883">
        <v>0.99506020241126958</v>
      </c>
      <c r="F486" s="883">
        <v>0.96803222554359103</v>
      </c>
      <c r="G486" s="883">
        <v>0.99448722920728727</v>
      </c>
      <c r="H486" s="883">
        <v>0.99672116119165655</v>
      </c>
      <c r="I486" s="883">
        <v>1.0227538051882554</v>
      </c>
      <c r="K486">
        <v>6.7554446909661134</v>
      </c>
      <c r="L486">
        <v>0</v>
      </c>
      <c r="M486">
        <v>1.053805451337482E-2</v>
      </c>
      <c r="N486">
        <v>0.19503686086172337</v>
      </c>
      <c r="O486">
        <v>0.12333719165839495</v>
      </c>
      <c r="P486">
        <v>8.296492905447439E-2</v>
      </c>
      <c r="Q486">
        <v>0</v>
      </c>
      <c r="R486">
        <v>1.053805451337482E-2</v>
      </c>
      <c r="S486">
        <v>0.27967134712413022</v>
      </c>
      <c r="T486">
        <v>5.9106820904990247</v>
      </c>
      <c r="U486">
        <v>0</v>
      </c>
      <c r="V486">
        <v>1.9233486635720609E-2</v>
      </c>
      <c r="W486">
        <v>0.10290626647743721</v>
      </c>
      <c r="X486">
        <v>-1.7813141270895331E-3</v>
      </c>
      <c r="Y486">
        <v>4.3393832782297408E-2</v>
      </c>
    </row>
    <row r="487" spans="1:25" x14ac:dyDescent="0.25">
      <c r="A487" s="879"/>
      <c r="B487" s="1133">
        <v>237</v>
      </c>
      <c r="C487" s="883">
        <v>1.0012512004895702</v>
      </c>
      <c r="D487" s="883">
        <v>0.95679028565607582</v>
      </c>
      <c r="E487" s="883">
        <v>1.0152558724049443</v>
      </c>
      <c r="F487" s="883">
        <v>1.0176774720953576</v>
      </c>
      <c r="G487" s="883">
        <v>1.0038794659396177</v>
      </c>
      <c r="H487" s="883">
        <v>0.98903464694410459</v>
      </c>
      <c r="I487" s="883">
        <v>0.98285523580763257</v>
      </c>
      <c r="K487">
        <v>6.7452044472395762</v>
      </c>
      <c r="L487">
        <v>0</v>
      </c>
      <c r="M487">
        <v>1.0353065596593616E-2</v>
      </c>
      <c r="N487">
        <v>0.19743045272190315</v>
      </c>
      <c r="O487">
        <v>0.12371051801568306</v>
      </c>
      <c r="P487">
        <v>8.4048669724027011E-2</v>
      </c>
      <c r="Q487">
        <v>0</v>
      </c>
      <c r="R487">
        <v>1.0353065596593616E-2</v>
      </c>
      <c r="S487">
        <v>0.26447882602736389</v>
      </c>
      <c r="T487">
        <v>5.9122242108217398</v>
      </c>
      <c r="U487">
        <v>0</v>
      </c>
      <c r="V487">
        <v>1.9148281097543327E-2</v>
      </c>
      <c r="W487">
        <v>0.10313177963062271</v>
      </c>
      <c r="X487">
        <v>-1.6003721490975751E-3</v>
      </c>
      <c r="Y487">
        <v>4.2632081349792142E-2</v>
      </c>
    </row>
    <row r="488" spans="1:25" x14ac:dyDescent="0.25">
      <c r="A488" s="879"/>
      <c r="B488" s="1133">
        <v>238</v>
      </c>
      <c r="C488" s="883">
        <v>1.0140242239262927</v>
      </c>
      <c r="D488" s="883">
        <v>0.98604931597647816</v>
      </c>
      <c r="E488" s="883">
        <v>1.0302905142226453</v>
      </c>
      <c r="F488" s="883">
        <v>0.98662088791770186</v>
      </c>
      <c r="G488" s="883">
        <v>1.0146878963199146</v>
      </c>
      <c r="H488" s="883">
        <v>1.0008322178049174</v>
      </c>
      <c r="I488" s="883">
        <v>1.0251639791600333</v>
      </c>
      <c r="K488">
        <v>6.7462815049364613</v>
      </c>
      <c r="L488">
        <v>0</v>
      </c>
      <c r="M488">
        <v>1.007827257374496E-2</v>
      </c>
      <c r="N488">
        <v>0.19651163238391681</v>
      </c>
      <c r="O488">
        <v>0.12040682543994907</v>
      </c>
      <c r="P488">
        <v>8.5074077390455194E-2</v>
      </c>
      <c r="Q488">
        <v>0</v>
      </c>
      <c r="R488">
        <v>1.007827257374496E-2</v>
      </c>
      <c r="S488">
        <v>0.27323127772382699</v>
      </c>
      <c r="T488">
        <v>5.9096825961772428</v>
      </c>
      <c r="U488">
        <v>0</v>
      </c>
      <c r="V488">
        <v>1.9079696219566972E-2</v>
      </c>
      <c r="W488">
        <v>0.10189524068805143</v>
      </c>
      <c r="X488">
        <v>-1.1003736795878233E-3</v>
      </c>
      <c r="Y488">
        <v>4.1500532593036099E-2</v>
      </c>
    </row>
    <row r="489" spans="1:25" x14ac:dyDescent="0.25">
      <c r="A489" s="879"/>
      <c r="B489" s="1133">
        <v>239</v>
      </c>
      <c r="C489" s="883">
        <v>0.99134449279627468</v>
      </c>
      <c r="D489" s="883">
        <v>1.0129352381889245</v>
      </c>
      <c r="E489" s="883">
        <v>0.97908081548461656</v>
      </c>
      <c r="F489" s="883">
        <v>0.96977808781421793</v>
      </c>
      <c r="G489" s="883">
        <v>0.97843001702749433</v>
      </c>
      <c r="H489" s="883">
        <v>0.98667017924534783</v>
      </c>
      <c r="I489" s="883">
        <v>1.044784501547025</v>
      </c>
      <c r="K489">
        <v>6.7515920196374806</v>
      </c>
      <c r="L489">
        <v>0</v>
      </c>
      <c r="M489">
        <v>1.0506409947613206E-2</v>
      </c>
      <c r="N489">
        <v>0.1898976618095336</v>
      </c>
      <c r="O489">
        <v>0.12280843961161952</v>
      </c>
      <c r="P489">
        <v>8.2014929925370822E-2</v>
      </c>
      <c r="Q489">
        <v>0</v>
      </c>
      <c r="R489">
        <v>1.0506409947613206E-2</v>
      </c>
      <c r="S489">
        <v>0.28305400886829085</v>
      </c>
      <c r="T489">
        <v>5.9116625427007214</v>
      </c>
      <c r="U489">
        <v>0</v>
      </c>
      <c r="V489">
        <v>1.9202692227099225E-2</v>
      </c>
      <c r="W489">
        <v>0.10099724453276254</v>
      </c>
      <c r="X489">
        <v>-1.309026130933596E-3</v>
      </c>
      <c r="Y489">
        <v>4.3263526093013802E-2</v>
      </c>
    </row>
    <row r="490" spans="1:25" x14ac:dyDescent="0.25">
      <c r="A490" s="879"/>
      <c r="B490" s="1133">
        <v>240</v>
      </c>
      <c r="C490" s="883">
        <v>0.9677689977615721</v>
      </c>
      <c r="D490" s="883">
        <v>0.9982287655707861</v>
      </c>
      <c r="E490" s="883">
        <v>1.0186357666372972</v>
      </c>
      <c r="F490" s="883">
        <v>1.0403220950566101</v>
      </c>
      <c r="G490" s="883">
        <v>0.98437479993146459</v>
      </c>
      <c r="H490" s="883">
        <v>1.0065547621874529</v>
      </c>
      <c r="I490" s="883">
        <v>1.0186344571896031</v>
      </c>
      <c r="K490">
        <v>6.780315773218252</v>
      </c>
      <c r="L490">
        <v>0</v>
      </c>
      <c r="M490">
        <v>1.0673035454673189E-2</v>
      </c>
      <c r="N490">
        <v>0.20455260888623836</v>
      </c>
      <c r="O490">
        <v>0.12577221764600138</v>
      </c>
      <c r="P490">
        <v>8.4554153600141568E-2</v>
      </c>
      <c r="Q490">
        <v>0</v>
      </c>
      <c r="R490">
        <v>1.0673035454673189E-2</v>
      </c>
      <c r="S490">
        <v>0.28488167171439704</v>
      </c>
      <c r="T490">
        <v>5.9132544642867382</v>
      </c>
      <c r="U490">
        <v>0</v>
      </c>
      <c r="V490">
        <v>1.9336656983271073E-2</v>
      </c>
      <c r="W490">
        <v>0.10667420833818611</v>
      </c>
      <c r="X490">
        <v>-2.6598685095751274E-3</v>
      </c>
      <c r="Y490">
        <v>4.394966027285218E-2</v>
      </c>
    </row>
    <row r="491" spans="1:25" x14ac:dyDescent="0.25">
      <c r="A491" s="879"/>
      <c r="B491" s="1133">
        <v>241</v>
      </c>
      <c r="C491" s="883">
        <v>1.0087489636739757</v>
      </c>
      <c r="D491" s="883">
        <v>1.0003593579159002</v>
      </c>
      <c r="E491" s="883">
        <v>0.98697055230761277</v>
      </c>
      <c r="F491" s="883">
        <v>0.96996176156009595</v>
      </c>
      <c r="G491" s="883">
        <v>1.0194505805222511</v>
      </c>
      <c r="H491" s="883">
        <v>1.0076301434777055</v>
      </c>
      <c r="I491" s="883">
        <v>1.0186389748940001</v>
      </c>
      <c r="K491">
        <v>6.7433542235554471</v>
      </c>
      <c r="L491">
        <v>0</v>
      </c>
      <c r="M491">
        <v>1.0528357329301611E-2</v>
      </c>
      <c r="N491">
        <v>0.19253448724474737</v>
      </c>
      <c r="O491">
        <v>0.12114884732492166</v>
      </c>
      <c r="P491">
        <v>8.2376953778979273E-2</v>
      </c>
      <c r="Q491">
        <v>0</v>
      </c>
      <c r="R491">
        <v>1.0528357329301611E-2</v>
      </c>
      <c r="S491">
        <v>0.2733347454521603</v>
      </c>
      <c r="T491">
        <v>5.9112367531997618</v>
      </c>
      <c r="U491">
        <v>0</v>
      </c>
      <c r="V491">
        <v>1.9107811246228585E-2</v>
      </c>
      <c r="W491">
        <v>0.10199641178211148</v>
      </c>
      <c r="X491">
        <v>-1.7356879777863095E-3</v>
      </c>
      <c r="Y491">
        <v>4.3353901504318337E-2</v>
      </c>
    </row>
    <row r="492" spans="1:25" x14ac:dyDescent="0.25">
      <c r="A492" s="879"/>
      <c r="B492" s="1133">
        <v>242</v>
      </c>
      <c r="C492" s="883">
        <v>1.0099696551023416</v>
      </c>
      <c r="D492" s="883">
        <v>0.99941936978256218</v>
      </c>
      <c r="E492" s="883">
        <v>0.98741904183807894</v>
      </c>
      <c r="F492" s="883">
        <v>0.99733496099624697</v>
      </c>
      <c r="G492" s="883">
        <v>0.98553465336221568</v>
      </c>
      <c r="H492" s="883">
        <v>0.96756509644568567</v>
      </c>
      <c r="I492" s="883">
        <v>1.0331315463708137</v>
      </c>
      <c r="K492">
        <v>6.7323550717870333</v>
      </c>
      <c r="L492">
        <v>0</v>
      </c>
      <c r="M492">
        <v>1.0097628655716066E-2</v>
      </c>
      <c r="N492">
        <v>0.18478050233997051</v>
      </c>
      <c r="O492">
        <v>0.12103966012146448</v>
      </c>
      <c r="P492">
        <v>8.2420408770226425E-2</v>
      </c>
      <c r="Q492">
        <v>0</v>
      </c>
      <c r="R492">
        <v>1.0097628655716066E-2</v>
      </c>
      <c r="S492">
        <v>0.27303520411630289</v>
      </c>
      <c r="T492">
        <v>5.9126914965022701</v>
      </c>
      <c r="U492">
        <v>0</v>
      </c>
      <c r="V492">
        <v>1.9101279331463838E-2</v>
      </c>
      <c r="W492">
        <v>9.7866772063736368E-2</v>
      </c>
      <c r="X492">
        <v>-1.6048895174578337E-4</v>
      </c>
      <c r="Y492">
        <v>4.1580237493338952E-2</v>
      </c>
    </row>
    <row r="493" spans="1:25" x14ac:dyDescent="0.25">
      <c r="A493" s="879"/>
      <c r="B493" s="1133">
        <v>243</v>
      </c>
      <c r="C493" s="883">
        <v>1.01301067153692</v>
      </c>
      <c r="D493" s="883">
        <v>0.97323573527569884</v>
      </c>
      <c r="E493" s="883">
        <v>1.004734422781602</v>
      </c>
      <c r="F493" s="883">
        <v>0.99232370798080383</v>
      </c>
      <c r="G493" s="883">
        <v>1.0371891459985167</v>
      </c>
      <c r="H493" s="883">
        <v>1.0150711838880138</v>
      </c>
      <c r="I493" s="883">
        <v>1.0090613844073026</v>
      </c>
      <c r="K493">
        <v>6.7487981930243395</v>
      </c>
      <c r="L493">
        <v>0</v>
      </c>
      <c r="M493">
        <v>1.0522152505692783E-2</v>
      </c>
      <c r="N493">
        <v>0.19755375234876452</v>
      </c>
      <c r="O493">
        <v>0.12164143658053661</v>
      </c>
      <c r="P493">
        <v>8.3460767137366568E-2</v>
      </c>
      <c r="Q493">
        <v>0</v>
      </c>
      <c r="R493">
        <v>1.0522152505692783E-2</v>
      </c>
      <c r="S493">
        <v>0.27065547633118703</v>
      </c>
      <c r="T493">
        <v>5.911451405162472</v>
      </c>
      <c r="U493">
        <v>0</v>
      </c>
      <c r="V493">
        <v>1.9085075322964506E-2</v>
      </c>
      <c r="W493">
        <v>0.10373462241001971</v>
      </c>
      <c r="X493">
        <v>-2.1126934140906495E-3</v>
      </c>
      <c r="Y493">
        <v>4.3328351145114623E-2</v>
      </c>
    </row>
    <row r="494" spans="1:25" x14ac:dyDescent="0.25">
      <c r="A494" s="879"/>
      <c r="B494" s="1133">
        <v>244</v>
      </c>
      <c r="C494" s="883">
        <v>1.004848719243981</v>
      </c>
      <c r="D494" s="883">
        <v>1.022151311931603</v>
      </c>
      <c r="E494" s="883">
        <v>1.0426611095708744</v>
      </c>
      <c r="F494" s="883">
        <v>1.0272059537822555</v>
      </c>
      <c r="G494" s="883">
        <v>0.95686193983720624</v>
      </c>
      <c r="H494" s="883">
        <v>1.0083935882520212</v>
      </c>
      <c r="I494" s="883">
        <v>1.0194613689223053</v>
      </c>
      <c r="K494">
        <v>6.7507010900010602</v>
      </c>
      <c r="L494">
        <v>0</v>
      </c>
      <c r="M494">
        <v>9.9816665675180483E-3</v>
      </c>
      <c r="N494">
        <v>0.19821796200673053</v>
      </c>
      <c r="O494">
        <v>0.11953851912493869</v>
      </c>
      <c r="P494">
        <v>8.5887397893994522E-2</v>
      </c>
      <c r="Q494">
        <v>0</v>
      </c>
      <c r="R494">
        <v>9.9816665675180483E-3</v>
      </c>
      <c r="S494">
        <v>0.27456807545245115</v>
      </c>
      <c r="T494">
        <v>5.9111545998516579</v>
      </c>
      <c r="U494">
        <v>0</v>
      </c>
      <c r="V494">
        <v>1.9128787797186669E-2</v>
      </c>
      <c r="W494">
        <v>0.10215977590312904</v>
      </c>
      <c r="X494">
        <v>-1.0567542836562326E-3</v>
      </c>
      <c r="Y494">
        <v>4.1102726254621774E-2</v>
      </c>
    </row>
    <row r="495" spans="1:25" x14ac:dyDescent="0.25">
      <c r="A495" s="879"/>
      <c r="B495" s="1133">
        <v>245</v>
      </c>
      <c r="C495" s="883">
        <v>1.0031195410730842</v>
      </c>
      <c r="D495" s="883">
        <v>1.0123349618651525</v>
      </c>
      <c r="E495" s="883">
        <v>1.0155042838077923</v>
      </c>
      <c r="F495" s="883">
        <v>0.97575300919496721</v>
      </c>
      <c r="G495" s="883">
        <v>0.98898427612302886</v>
      </c>
      <c r="H495" s="883">
        <v>1.0384832190387596</v>
      </c>
      <c r="I495" s="883">
        <v>1.0110701655401324</v>
      </c>
      <c r="K495">
        <v>6.7580889218650331</v>
      </c>
      <c r="L495">
        <v>0</v>
      </c>
      <c r="M495">
        <v>1.0588868807317813E-2</v>
      </c>
      <c r="N495">
        <v>0.20200140450950049</v>
      </c>
      <c r="O495">
        <v>0.1207194494939838</v>
      </c>
      <c r="P495">
        <v>8.4184946626733856E-2</v>
      </c>
      <c r="Q495">
        <v>0</v>
      </c>
      <c r="R495">
        <v>1.0588868807317813E-2</v>
      </c>
      <c r="S495">
        <v>0.27567054872058033</v>
      </c>
      <c r="T495">
        <v>5.9099448801598342</v>
      </c>
      <c r="U495">
        <v>0</v>
      </c>
      <c r="V495">
        <v>1.9138139967589816E-2</v>
      </c>
      <c r="W495">
        <v>0.10550657293763273</v>
      </c>
      <c r="X495">
        <v>-2.6800975509723266E-3</v>
      </c>
      <c r="Y495">
        <v>4.360307700014749E-2</v>
      </c>
    </row>
    <row r="496" spans="1:25" x14ac:dyDescent="0.25">
      <c r="A496" s="879"/>
      <c r="B496" s="1133">
        <v>246</v>
      </c>
      <c r="C496" s="883">
        <v>0.9963259700882624</v>
      </c>
      <c r="D496" s="883">
        <v>0.96586964923412422</v>
      </c>
      <c r="E496" s="883">
        <v>1.0051152792136675</v>
      </c>
      <c r="F496" s="883">
        <v>0.99586787775818464</v>
      </c>
      <c r="G496" s="883">
        <v>0.98649217277107448</v>
      </c>
      <c r="H496" s="883">
        <v>1.0013586155018395</v>
      </c>
      <c r="I496" s="883">
        <v>0.97285495516786746</v>
      </c>
      <c r="K496">
        <v>6.7469646417184563</v>
      </c>
      <c r="L496">
        <v>0</v>
      </c>
      <c r="M496">
        <v>1.0584750847889526E-2</v>
      </c>
      <c r="N496">
        <v>0.19884115819994089</v>
      </c>
      <c r="O496">
        <v>0.1240476193178614</v>
      </c>
      <c r="P496">
        <v>8.3400257153553384E-2</v>
      </c>
      <c r="Q496">
        <v>0</v>
      </c>
      <c r="R496">
        <v>1.0584750847889526E-2</v>
      </c>
      <c r="S496">
        <v>0.26411836149971973</v>
      </c>
      <c r="T496">
        <v>5.9116214207318292</v>
      </c>
      <c r="U496">
        <v>0</v>
      </c>
      <c r="V496">
        <v>1.9175196947086963E-2</v>
      </c>
      <c r="W496">
        <v>0.1043909263481648</v>
      </c>
      <c r="X496">
        <v>-2.216418455894471E-3</v>
      </c>
      <c r="Y496">
        <v>4.3586119976191259E-2</v>
      </c>
    </row>
    <row r="497" spans="1:25" x14ac:dyDescent="0.25">
      <c r="A497" s="879"/>
      <c r="B497" s="1133">
        <v>247</v>
      </c>
      <c r="C497" s="883">
        <v>1.0173839558981952</v>
      </c>
      <c r="D497" s="883">
        <v>1.0123761587910931</v>
      </c>
      <c r="E497" s="883">
        <v>0.98771775934905481</v>
      </c>
      <c r="F497" s="883">
        <v>0.98049151551312053</v>
      </c>
      <c r="G497" s="883">
        <v>1.0311056540842909</v>
      </c>
      <c r="H497" s="883">
        <v>0.98072615853047251</v>
      </c>
      <c r="I497" s="883">
        <v>1.0340320379715804</v>
      </c>
      <c r="K497">
        <v>6.7293826639905134</v>
      </c>
      <c r="L497">
        <v>0</v>
      </c>
      <c r="M497">
        <v>1.010186809696881E-2</v>
      </c>
      <c r="N497">
        <v>0.18493998301388256</v>
      </c>
      <c r="O497">
        <v>0.1195346194082634</v>
      </c>
      <c r="P497">
        <v>8.2418304722639057E-2</v>
      </c>
      <c r="Q497">
        <v>0</v>
      </c>
      <c r="R497">
        <v>1.010186809696881E-2</v>
      </c>
      <c r="S497">
        <v>0.27242451808058193</v>
      </c>
      <c r="T497">
        <v>5.9117644740661959</v>
      </c>
      <c r="U497">
        <v>0</v>
      </c>
      <c r="V497">
        <v>1.9061942168745315E-2</v>
      </c>
      <c r="W497">
        <v>9.7936634783514956E-2</v>
      </c>
      <c r="X497">
        <v>-2.9550701114044802E-4</v>
      </c>
      <c r="Y497">
        <v>4.1597694757825342E-2</v>
      </c>
    </row>
    <row r="498" spans="1:25" x14ac:dyDescent="0.25">
      <c r="A498" s="879"/>
      <c r="B498" s="1133">
        <v>248</v>
      </c>
      <c r="C498" s="883">
        <v>0.99013985977652197</v>
      </c>
      <c r="D498" s="883">
        <v>0.9778931776880514</v>
      </c>
      <c r="E498" s="883">
        <v>0.9979171071132612</v>
      </c>
      <c r="F498" s="883">
        <v>0.96378396491321128</v>
      </c>
      <c r="G498" s="883">
        <v>1.0085472818803556</v>
      </c>
      <c r="H498" s="883">
        <v>0.99931032672313014</v>
      </c>
      <c r="I498" s="883">
        <v>0.99231810682161625</v>
      </c>
      <c r="K498">
        <v>6.7511612770286709</v>
      </c>
      <c r="L498">
        <v>0</v>
      </c>
      <c r="M498">
        <v>1.0639563473690388E-2</v>
      </c>
      <c r="N498">
        <v>0.19775099429833501</v>
      </c>
      <c r="O498">
        <v>0.12434401440313472</v>
      </c>
      <c r="P498">
        <v>8.3019819039560364E-2</v>
      </c>
      <c r="Q498">
        <v>0</v>
      </c>
      <c r="R498">
        <v>1.0639563473690388E-2</v>
      </c>
      <c r="S498">
        <v>0.27074338868006725</v>
      </c>
      <c r="T498">
        <v>5.9102925751271389</v>
      </c>
      <c r="U498">
        <v>0</v>
      </c>
      <c r="V498">
        <v>1.9209382743841992E-2</v>
      </c>
      <c r="W498">
        <v>0.10419016416107971</v>
      </c>
      <c r="X498">
        <v>-2.2008900374432395E-3</v>
      </c>
      <c r="Y498">
        <v>4.3811828612955524E-2</v>
      </c>
    </row>
    <row r="499" spans="1:25" x14ac:dyDescent="0.25">
      <c r="A499" s="879"/>
      <c r="B499" s="1133">
        <v>249</v>
      </c>
      <c r="C499" s="883">
        <v>0.98809192651665811</v>
      </c>
      <c r="D499" s="883">
        <v>0.97520219905391192</v>
      </c>
      <c r="E499" s="883">
        <v>0.99776166400425992</v>
      </c>
      <c r="F499" s="883">
        <v>1.0192833311641651</v>
      </c>
      <c r="G499" s="883">
        <v>1.0195745024743506</v>
      </c>
      <c r="H499" s="883">
        <v>1.0026542218931942</v>
      </c>
      <c r="I499" s="883">
        <v>1.0057070080604842</v>
      </c>
      <c r="K499">
        <v>6.7613171918149364</v>
      </c>
      <c r="L499">
        <v>0</v>
      </c>
      <c r="M499">
        <v>1.0711389727129202E-2</v>
      </c>
      <c r="N499">
        <v>0.19904013571345425</v>
      </c>
      <c r="O499">
        <v>0.12474212341239908</v>
      </c>
      <c r="P499">
        <v>8.3111580239073446E-2</v>
      </c>
      <c r="Q499">
        <v>0</v>
      </c>
      <c r="R499">
        <v>1.0711389727129202E-2</v>
      </c>
      <c r="S499">
        <v>0.27531894191751416</v>
      </c>
      <c r="T499">
        <v>5.9133007286905244</v>
      </c>
      <c r="U499">
        <v>0</v>
      </c>
      <c r="V499">
        <v>1.9220794380761227E-2</v>
      </c>
      <c r="W499">
        <v>0.104877484456199</v>
      </c>
      <c r="X499">
        <v>-2.4021933350169482E-3</v>
      </c>
      <c r="Y499">
        <v>4.4107596340020039E-2</v>
      </c>
    </row>
    <row r="500" spans="1:25" x14ac:dyDescent="0.25">
      <c r="A500" s="879"/>
      <c r="B500" s="1133">
        <v>250</v>
      </c>
      <c r="C500" s="883">
        <v>1.024484529276503</v>
      </c>
      <c r="D500" s="883">
        <v>0.99945147734935891</v>
      </c>
      <c r="E500" s="883">
        <v>1.0223149756962517</v>
      </c>
      <c r="F500" s="883">
        <v>1.0052317284338557</v>
      </c>
      <c r="G500" s="883">
        <v>0.99486096435255567</v>
      </c>
      <c r="H500" s="883">
        <v>0.98301936908559895</v>
      </c>
      <c r="I500" s="883">
        <v>1.0054595959569557</v>
      </c>
      <c r="K500">
        <v>6.7245442136439895</v>
      </c>
      <c r="L500">
        <v>0</v>
      </c>
      <c r="M500">
        <v>9.8096220228974743E-3</v>
      </c>
      <c r="N500">
        <v>0.18903096874319261</v>
      </c>
      <c r="O500">
        <v>0.11868333064362338</v>
      </c>
      <c r="P500">
        <v>8.4460397657833045E-2</v>
      </c>
      <c r="Q500">
        <v>0</v>
      </c>
      <c r="R500">
        <v>9.8096220228974743E-3</v>
      </c>
      <c r="S500">
        <v>0.2634456224095072</v>
      </c>
      <c r="T500">
        <v>5.9111477032157156</v>
      </c>
      <c r="U500">
        <v>0</v>
      </c>
      <c r="V500">
        <v>1.9024803257170417E-2</v>
      </c>
      <c r="W500">
        <v>9.8401206456480414E-2</v>
      </c>
      <c r="X500">
        <v>-4.4096182200049684E-5</v>
      </c>
      <c r="Y500">
        <v>4.0394277442661622E-2</v>
      </c>
    </row>
    <row r="501" spans="1:25" x14ac:dyDescent="0.25">
      <c r="A501" s="879"/>
      <c r="B501" s="1133">
        <v>251</v>
      </c>
      <c r="C501" s="883">
        <v>0.99298709824297959</v>
      </c>
      <c r="D501" s="883">
        <v>1.0028925148560459</v>
      </c>
      <c r="E501" s="883">
        <v>1.0180450210281911</v>
      </c>
      <c r="F501" s="883">
        <v>1.0009583261772272</v>
      </c>
      <c r="G501" s="883">
        <v>0.97539436170023808</v>
      </c>
      <c r="H501" s="883">
        <v>1.010478748044831</v>
      </c>
      <c r="I501" s="883">
        <v>0.97333483966226253</v>
      </c>
      <c r="K501">
        <v>6.7472649361894304</v>
      </c>
      <c r="L501">
        <v>0</v>
      </c>
      <c r="M501">
        <v>1.0427095879336845E-2</v>
      </c>
      <c r="N501">
        <v>0.19966450609076442</v>
      </c>
      <c r="O501">
        <v>0.12236098465384769</v>
      </c>
      <c r="P501">
        <v>8.4225027428006222E-2</v>
      </c>
      <c r="Q501">
        <v>0</v>
      </c>
      <c r="R501">
        <v>1.0427095879336845E-2</v>
      </c>
      <c r="S501">
        <v>0.26561383923556825</v>
      </c>
      <c r="T501">
        <v>5.9111615652200582</v>
      </c>
      <c r="U501">
        <v>0</v>
      </c>
      <c r="V501">
        <v>1.9193595375803275E-2</v>
      </c>
      <c r="W501">
        <v>0.1041553872526793</v>
      </c>
      <c r="X501">
        <v>-2.0468939445319754E-3</v>
      </c>
      <c r="Y501">
        <v>4.2936924877229624E-2</v>
      </c>
    </row>
    <row r="502" spans="1:25" x14ac:dyDescent="0.25">
      <c r="A502" s="879"/>
      <c r="B502" s="1133">
        <v>252</v>
      </c>
      <c r="C502" s="883">
        <v>1.0235375119811887</v>
      </c>
      <c r="D502" s="883">
        <v>0.99887031705940255</v>
      </c>
      <c r="E502" s="883">
        <v>1.0132092865730051</v>
      </c>
      <c r="F502" s="883">
        <v>1.0020922598500928</v>
      </c>
      <c r="G502" s="883">
        <v>0.97029831350302598</v>
      </c>
      <c r="H502" s="883">
        <v>1.0194821389340116</v>
      </c>
      <c r="I502" s="883">
        <v>1.0049733622828476</v>
      </c>
      <c r="K502">
        <v>6.738376053875081</v>
      </c>
      <c r="L502">
        <v>0</v>
      </c>
      <c r="M502">
        <v>1.0266936255715254E-2</v>
      </c>
      <c r="N502">
        <v>0.19519588429727669</v>
      </c>
      <c r="O502">
        <v>0.1189889778200388</v>
      </c>
      <c r="P502">
        <v>8.3942155246833822E-2</v>
      </c>
      <c r="Q502">
        <v>0</v>
      </c>
      <c r="R502">
        <v>1.0266936255715254E-2</v>
      </c>
      <c r="S502">
        <v>0.26692863941984701</v>
      </c>
      <c r="T502">
        <v>5.9114987779444021</v>
      </c>
      <c r="U502">
        <v>0</v>
      </c>
      <c r="V502">
        <v>1.9029726766703444E-2</v>
      </c>
      <c r="W502">
        <v>0.10206759612871555</v>
      </c>
      <c r="X502">
        <v>-1.5531198032441062E-3</v>
      </c>
      <c r="Y502">
        <v>4.2277416054506231E-2</v>
      </c>
    </row>
    <row r="503" spans="1:25" x14ac:dyDescent="0.25">
      <c r="A503" s="879"/>
      <c r="B503" s="1133">
        <v>253</v>
      </c>
      <c r="C503" s="883">
        <v>1.0184902410324213</v>
      </c>
      <c r="D503" s="883">
        <v>1.0089298834181626</v>
      </c>
      <c r="E503" s="883">
        <v>0.96972735092874118</v>
      </c>
      <c r="F503" s="883">
        <v>1.0037930562422936</v>
      </c>
      <c r="G503" s="883">
        <v>1.0289015567446294</v>
      </c>
      <c r="H503" s="883">
        <v>0.99019763500060143</v>
      </c>
      <c r="I503" s="883">
        <v>1.0000883494513053</v>
      </c>
      <c r="K503">
        <v>6.7235232838741359</v>
      </c>
      <c r="L503">
        <v>0</v>
      </c>
      <c r="M503">
        <v>1.036447334373122E-2</v>
      </c>
      <c r="N503">
        <v>0.18474941413796497</v>
      </c>
      <c r="O503">
        <v>0.11989416361516977</v>
      </c>
      <c r="P503">
        <v>8.1204360547025095E-2</v>
      </c>
      <c r="Q503">
        <v>0</v>
      </c>
      <c r="R503">
        <v>1.036447334373122E-2</v>
      </c>
      <c r="S503">
        <v>0.26406869456726767</v>
      </c>
      <c r="T503">
        <v>5.9140137037878882</v>
      </c>
      <c r="U503">
        <v>0</v>
      </c>
      <c r="V503">
        <v>1.9056121788460306E-2</v>
      </c>
      <c r="W503">
        <v>9.8721467028767329E-2</v>
      </c>
      <c r="X503">
        <v>-8.6369802041315411E-4</v>
      </c>
      <c r="Y503">
        <v>4.2679056422001489E-2</v>
      </c>
    </row>
    <row r="504" spans="1:25" x14ac:dyDescent="0.25">
      <c r="A504" s="879"/>
      <c r="B504" s="1133">
        <v>254</v>
      </c>
      <c r="C504" s="883">
        <v>0.96917269207358947</v>
      </c>
      <c r="D504" s="883">
        <v>0.987560268529448</v>
      </c>
      <c r="E504" s="883">
        <v>0.98682108011244207</v>
      </c>
      <c r="F504" s="883">
        <v>0.99352274163821908</v>
      </c>
      <c r="G504" s="883">
        <v>1.0313902385037588</v>
      </c>
      <c r="H504" s="883">
        <v>1.0067213037941776</v>
      </c>
      <c r="I504" s="883">
        <v>0.97747787278492215</v>
      </c>
      <c r="K504">
        <v>6.7642156854083071</v>
      </c>
      <c r="L504">
        <v>0</v>
      </c>
      <c r="M504">
        <v>1.1010401672367142E-2</v>
      </c>
      <c r="N504">
        <v>0.20130511747764349</v>
      </c>
      <c r="O504">
        <v>0.12675003360462189</v>
      </c>
      <c r="P504">
        <v>8.2383663676828964E-2</v>
      </c>
      <c r="Q504">
        <v>0</v>
      </c>
      <c r="R504">
        <v>1.1010401672367142E-2</v>
      </c>
      <c r="S504">
        <v>0.27304948891112529</v>
      </c>
      <c r="T504">
        <v>5.912518605229649</v>
      </c>
      <c r="U504">
        <v>0</v>
      </c>
      <c r="V504">
        <v>1.9328498194173628E-2</v>
      </c>
      <c r="W504">
        <v>0.1066506700780801</v>
      </c>
      <c r="X504">
        <v>-3.1092660721873723E-3</v>
      </c>
      <c r="Y504">
        <v>4.5338874308367645E-2</v>
      </c>
    </row>
    <row r="505" spans="1:25" x14ac:dyDescent="0.25">
      <c r="A505" s="879"/>
      <c r="B505" s="1133">
        <v>255</v>
      </c>
      <c r="C505" s="883">
        <v>0.98251790329733368</v>
      </c>
      <c r="D505" s="883">
        <v>1.0170206298709827</v>
      </c>
      <c r="E505" s="883">
        <v>1.0084596765068221</v>
      </c>
      <c r="F505" s="883">
        <v>0.95436685393966403</v>
      </c>
      <c r="G505" s="883">
        <v>0.97801588722468291</v>
      </c>
      <c r="H505" s="883">
        <v>1.0092126386835842</v>
      </c>
      <c r="I505" s="883">
        <v>1.0023219625454083</v>
      </c>
      <c r="K505">
        <v>6.7563249766603208</v>
      </c>
      <c r="L505">
        <v>0</v>
      </c>
      <c r="M505">
        <v>1.0550245030925188E-2</v>
      </c>
      <c r="N505">
        <v>0.19917686484872196</v>
      </c>
      <c r="O505">
        <v>0.12315748567815253</v>
      </c>
      <c r="P505">
        <v>8.374061553271861E-2</v>
      </c>
      <c r="Q505">
        <v>0</v>
      </c>
      <c r="R505">
        <v>1.0550245030925188E-2</v>
      </c>
      <c r="S505">
        <v>0.27615578493388493</v>
      </c>
      <c r="T505">
        <v>5.9091896951756731</v>
      </c>
      <c r="U505">
        <v>0</v>
      </c>
      <c r="V505">
        <v>1.9252095292715522E-2</v>
      </c>
      <c r="W505">
        <v>0.10439411560120462</v>
      </c>
      <c r="X505">
        <v>-2.1857115664925507E-3</v>
      </c>
      <c r="Y505">
        <v>4.3444031163738586E-2</v>
      </c>
    </row>
    <row r="506" spans="1:25" x14ac:dyDescent="0.25">
      <c r="A506" s="879"/>
      <c r="B506" s="1133">
        <v>256</v>
      </c>
      <c r="C506" s="883">
        <v>1.0074413883402613</v>
      </c>
      <c r="D506" s="883">
        <v>0.9753006161598371</v>
      </c>
      <c r="E506" s="883">
        <v>0.97051688518113666</v>
      </c>
      <c r="F506" s="883">
        <v>0.96779374714237965</v>
      </c>
      <c r="G506" s="883">
        <v>1.0040419680049044</v>
      </c>
      <c r="H506" s="883">
        <v>0.98652653393266321</v>
      </c>
      <c r="I506" s="883">
        <v>1.0137393934730203</v>
      </c>
      <c r="K506">
        <v>6.7378279119838629</v>
      </c>
      <c r="L506">
        <v>0</v>
      </c>
      <c r="M506">
        <v>1.0584746569034777E-2</v>
      </c>
      <c r="N506">
        <v>0.18889715089934397</v>
      </c>
      <c r="O506">
        <v>0.12284923591019381</v>
      </c>
      <c r="P506">
        <v>8.1314338805898403E-2</v>
      </c>
      <c r="Q506">
        <v>0</v>
      </c>
      <c r="R506">
        <v>1.0584746569034777E-2</v>
      </c>
      <c r="S506">
        <v>0.27059351552706873</v>
      </c>
      <c r="T506">
        <v>5.9120242409014709</v>
      </c>
      <c r="U506">
        <v>0</v>
      </c>
      <c r="V506">
        <v>1.9114825635598551E-2</v>
      </c>
      <c r="W506">
        <v>0.10089776699040967</v>
      </c>
      <c r="X506">
        <v>-1.4492650427525378E-3</v>
      </c>
      <c r="Y506">
        <v>4.3586102356629026E-2</v>
      </c>
    </row>
    <row r="507" spans="1:25" x14ac:dyDescent="0.25">
      <c r="A507" s="879"/>
      <c r="B507" s="1133">
        <v>257</v>
      </c>
      <c r="C507" s="883">
        <v>1.0409410165199431</v>
      </c>
      <c r="D507" s="883">
        <v>0.97213897859799958</v>
      </c>
      <c r="E507" s="883">
        <v>1.010976032127445</v>
      </c>
      <c r="F507" s="883">
        <v>1.0444169364436025</v>
      </c>
      <c r="G507" s="883">
        <v>0.99997632494423327</v>
      </c>
      <c r="H507" s="883">
        <v>1.0285474714438934</v>
      </c>
      <c r="I507" s="883">
        <v>1.0199556660378872</v>
      </c>
      <c r="K507">
        <v>6.741342950877228</v>
      </c>
      <c r="L507">
        <v>0</v>
      </c>
      <c r="M507">
        <v>1.0324292585371623E-2</v>
      </c>
      <c r="N507">
        <v>0.1956385819132915</v>
      </c>
      <c r="O507">
        <v>0.11831691013102445</v>
      </c>
      <c r="P507">
        <v>8.3841478117844079E-2</v>
      </c>
      <c r="Q507">
        <v>0</v>
      </c>
      <c r="R507">
        <v>1.0324292585371623E-2</v>
      </c>
      <c r="S507">
        <v>0.26752016593738931</v>
      </c>
      <c r="T507">
        <v>5.9139127254210218</v>
      </c>
      <c r="U507">
        <v>0</v>
      </c>
      <c r="V507">
        <v>1.8940676983512306E-2</v>
      </c>
      <c r="W507">
        <v>0.10241204607667434</v>
      </c>
      <c r="X507">
        <v>-1.7532329145166288E-3</v>
      </c>
      <c r="Y507">
        <v>4.2513599210985034E-2</v>
      </c>
    </row>
    <row r="508" spans="1:25" x14ac:dyDescent="0.25">
      <c r="A508" s="879"/>
      <c r="B508" s="1133">
        <v>258</v>
      </c>
      <c r="C508" s="883">
        <v>0.98764983127520489</v>
      </c>
      <c r="D508" s="883">
        <v>0.98953403334357382</v>
      </c>
      <c r="E508" s="883">
        <v>0.9943251370292997</v>
      </c>
      <c r="F508" s="883">
        <v>1.0155021501760282</v>
      </c>
      <c r="G508" s="883">
        <v>0.97772880152448749</v>
      </c>
      <c r="H508" s="883">
        <v>1.0017390775756736</v>
      </c>
      <c r="I508" s="883">
        <v>1.0108373722803279</v>
      </c>
      <c r="K508">
        <v>6.759322489755446</v>
      </c>
      <c r="L508">
        <v>0</v>
      </c>
      <c r="M508">
        <v>1.0671639246146713E-2</v>
      </c>
      <c r="N508">
        <v>0.19729417652398007</v>
      </c>
      <c r="O508">
        <v>0.12413714713218757</v>
      </c>
      <c r="P508">
        <v>8.2912187134475235E-2</v>
      </c>
      <c r="Q508">
        <v>0</v>
      </c>
      <c r="R508">
        <v>1.0671639246146713E-2</v>
      </c>
      <c r="S508">
        <v>0.27659430611130181</v>
      </c>
      <c r="T508">
        <v>5.9132887966085095</v>
      </c>
      <c r="U508">
        <v>0</v>
      </c>
      <c r="V508">
        <v>1.9223264065605872E-2</v>
      </c>
      <c r="W508">
        <v>0.10413537303735595</v>
      </c>
      <c r="X508">
        <v>-2.206671792626529E-3</v>
      </c>
      <c r="Y508">
        <v>4.3943910934656001E-2</v>
      </c>
    </row>
    <row r="509" spans="1:25" x14ac:dyDescent="0.25">
      <c r="A509" s="879"/>
      <c r="B509" s="1133">
        <v>259</v>
      </c>
      <c r="C509" s="883">
        <v>1.0182560288374467</v>
      </c>
      <c r="D509" s="883">
        <v>0.97768672668349077</v>
      </c>
      <c r="E509" s="883">
        <v>0.96386060474662372</v>
      </c>
      <c r="F509" s="883">
        <v>1.0240224843319494</v>
      </c>
      <c r="G509" s="883">
        <v>1.0036023410148673</v>
      </c>
      <c r="H509" s="883">
        <v>0.98919193072421907</v>
      </c>
      <c r="I509" s="883">
        <v>1.0017602919662065</v>
      </c>
      <c r="K509">
        <v>6.7301844296097286</v>
      </c>
      <c r="L509">
        <v>0</v>
      </c>
      <c r="M509">
        <v>1.0550578711146822E-2</v>
      </c>
      <c r="N509">
        <v>0.18643529972917117</v>
      </c>
      <c r="O509">
        <v>0.12154735788942198</v>
      </c>
      <c r="P509">
        <v>8.0861940287202394E-2</v>
      </c>
      <c r="Q509">
        <v>0</v>
      </c>
      <c r="R509">
        <v>1.0550578711146822E-2</v>
      </c>
      <c r="S509">
        <v>0.26477013362962948</v>
      </c>
      <c r="T509">
        <v>5.9154263838231627</v>
      </c>
      <c r="U509">
        <v>0</v>
      </c>
      <c r="V509">
        <v>1.9057352968831938E-2</v>
      </c>
      <c r="W509">
        <v>9.9916989435693743E-2</v>
      </c>
      <c r="X509">
        <v>-1.276433352889431E-3</v>
      </c>
      <c r="Y509">
        <v>4.3445405199498403E-2</v>
      </c>
    </row>
    <row r="510" spans="1:25" x14ac:dyDescent="0.25">
      <c r="A510" s="879"/>
      <c r="B510" s="1133">
        <v>260</v>
      </c>
      <c r="C510" s="883">
        <v>0.97321453744749786</v>
      </c>
      <c r="D510" s="883">
        <v>1.0061814886765537</v>
      </c>
      <c r="E510" s="883">
        <v>1.0263023091340868</v>
      </c>
      <c r="F510" s="883">
        <v>0.9986536803268472</v>
      </c>
      <c r="G510" s="883">
        <v>1.0037128237278183</v>
      </c>
      <c r="H510" s="883">
        <v>1.0293494705404069</v>
      </c>
      <c r="I510" s="883">
        <v>1.0034548284411082</v>
      </c>
      <c r="K510">
        <v>6.7780111195644617</v>
      </c>
      <c r="L510">
        <v>0</v>
      </c>
      <c r="M510">
        <v>1.0744467847211638E-2</v>
      </c>
      <c r="N510">
        <v>0.20826986377017392</v>
      </c>
      <c r="O510">
        <v>0.12452329238889905</v>
      </c>
      <c r="P510">
        <v>8.4948402336945394E-2</v>
      </c>
      <c r="Q510">
        <v>0</v>
      </c>
      <c r="R510">
        <v>1.0744467847211638E-2</v>
      </c>
      <c r="S510">
        <v>0.28120624029528296</v>
      </c>
      <c r="T510">
        <v>5.9105629108316178</v>
      </c>
      <c r="U510">
        <v>0</v>
      </c>
      <c r="V510">
        <v>1.930513694941181E-2</v>
      </c>
      <c r="W510">
        <v>0.10820376761559145</v>
      </c>
      <c r="X510">
        <v>-3.2523007742949546E-3</v>
      </c>
      <c r="Y510">
        <v>4.4243806150833613E-2</v>
      </c>
    </row>
    <row r="511" spans="1:25" x14ac:dyDescent="0.25">
      <c r="A511" s="879"/>
      <c r="B511" s="1133">
        <v>261</v>
      </c>
      <c r="C511" s="883">
        <v>0.9688157115746262</v>
      </c>
      <c r="D511" s="883">
        <v>0.98295942060327124</v>
      </c>
      <c r="E511" s="883">
        <v>1.0386109324089003</v>
      </c>
      <c r="F511" s="883">
        <v>0.99500862168007653</v>
      </c>
      <c r="G511" s="883">
        <v>1.0033787066100714</v>
      </c>
      <c r="H511" s="883">
        <v>0.99543558215478145</v>
      </c>
      <c r="I511" s="883">
        <v>1.019352688133166</v>
      </c>
      <c r="K511">
        <v>6.7775357189845007</v>
      </c>
      <c r="L511">
        <v>0</v>
      </c>
      <c r="M511">
        <v>1.0429438856735019E-2</v>
      </c>
      <c r="N511">
        <v>0.20587462923031694</v>
      </c>
      <c r="O511">
        <v>0.12601909033823458</v>
      </c>
      <c r="P511">
        <v>8.5744424010258474E-2</v>
      </c>
      <c r="Q511">
        <v>0</v>
      </c>
      <c r="R511">
        <v>1.0429438856735019E-2</v>
      </c>
      <c r="S511">
        <v>0.28387049434310546</v>
      </c>
      <c r="T511">
        <v>5.9096523630097986</v>
      </c>
      <c r="U511">
        <v>0</v>
      </c>
      <c r="V511">
        <v>1.9330570854770832E-2</v>
      </c>
      <c r="W511">
        <v>0.10631607717117449</v>
      </c>
      <c r="X511">
        <v>-2.2185028142816441E-3</v>
      </c>
      <c r="Y511">
        <v>4.2946572841120884E-2</v>
      </c>
    </row>
    <row r="512" spans="1:25" x14ac:dyDescent="0.25">
      <c r="A512" s="879"/>
      <c r="B512" s="1133">
        <v>262</v>
      </c>
      <c r="C512" s="883">
        <v>1.0067101073800533</v>
      </c>
      <c r="D512" s="883">
        <v>1.0096896772440733</v>
      </c>
      <c r="E512" s="883">
        <v>0.95988236569647567</v>
      </c>
      <c r="F512" s="883">
        <v>0.9914271367080506</v>
      </c>
      <c r="G512" s="883">
        <v>1.0191770695383275</v>
      </c>
      <c r="H512" s="883">
        <v>0.95662221790258861</v>
      </c>
      <c r="I512" s="883">
        <v>1.0391162539368897</v>
      </c>
      <c r="K512">
        <v>6.7273370870236722</v>
      </c>
      <c r="L512">
        <v>0</v>
      </c>
      <c r="M512">
        <v>1.0214070261550247E-2</v>
      </c>
      <c r="N512">
        <v>0.17942537345783</v>
      </c>
      <c r="O512">
        <v>0.12143998984159289</v>
      </c>
      <c r="P512">
        <v>8.0715440923482928E-2</v>
      </c>
      <c r="Q512">
        <v>0</v>
      </c>
      <c r="R512">
        <v>1.0214070261550247E-2</v>
      </c>
      <c r="S512">
        <v>0.27430725923951454</v>
      </c>
      <c r="T512">
        <v>5.9138788555499016</v>
      </c>
      <c r="U512">
        <v>0</v>
      </c>
      <c r="V512">
        <v>1.9118756482139041E-2</v>
      </c>
      <c r="W512">
        <v>9.6353297120554057E-2</v>
      </c>
      <c r="X512">
        <v>3.8391108328414902E-5</v>
      </c>
      <c r="Y512">
        <v>4.2059723300330899E-2</v>
      </c>
    </row>
    <row r="513" spans="1:25" x14ac:dyDescent="0.25">
      <c r="A513" s="879"/>
      <c r="B513" s="1133">
        <v>263</v>
      </c>
      <c r="C513" s="883">
        <v>1.001771231884987</v>
      </c>
      <c r="D513" s="883">
        <v>1.0135400096998715</v>
      </c>
      <c r="E513" s="883">
        <v>0.99402021168766863</v>
      </c>
      <c r="F513" s="883">
        <v>1.0283949397887486</v>
      </c>
      <c r="G513" s="883">
        <v>0.99937145732848609</v>
      </c>
      <c r="H513" s="883">
        <v>0.97178551883959763</v>
      </c>
      <c r="I513" s="883">
        <v>0.99342009016896016</v>
      </c>
      <c r="K513">
        <v>6.7286674094326822</v>
      </c>
      <c r="L513">
        <v>0</v>
      </c>
      <c r="M513">
        <v>1.0105048352385135E-2</v>
      </c>
      <c r="N513">
        <v>0.18673479681942728</v>
      </c>
      <c r="O513">
        <v>0.12122505703222719</v>
      </c>
      <c r="P513">
        <v>8.2746470184366427E-2</v>
      </c>
      <c r="Q513">
        <v>0</v>
      </c>
      <c r="R513">
        <v>1.0105048352385135E-2</v>
      </c>
      <c r="S513">
        <v>0.26497355228285457</v>
      </c>
      <c r="T513">
        <v>5.9140026654606253</v>
      </c>
      <c r="U513">
        <v>0</v>
      </c>
      <c r="V513">
        <v>1.9145454630023765E-2</v>
      </c>
      <c r="W513">
        <v>9.8576907316451967E-2</v>
      </c>
      <c r="X513">
        <v>-3.4828477686387117E-4</v>
      </c>
      <c r="Y513">
        <v>4.1610790483565412E-2</v>
      </c>
    </row>
    <row r="514" spans="1:25" x14ac:dyDescent="0.25">
      <c r="A514" s="879"/>
      <c r="B514" s="1133">
        <v>264</v>
      </c>
      <c r="C514" s="883">
        <v>1.0381050253117994</v>
      </c>
      <c r="D514" s="883">
        <v>0.99394772607550408</v>
      </c>
      <c r="E514" s="883">
        <v>0.96939456844469329</v>
      </c>
      <c r="F514" s="883">
        <v>0.98683934102971027</v>
      </c>
      <c r="G514" s="883">
        <v>0.99901634835314468</v>
      </c>
      <c r="H514" s="883">
        <v>0.98995320180178759</v>
      </c>
      <c r="I514" s="883">
        <v>0.99978956798419294</v>
      </c>
      <c r="K514">
        <v>6.7120465587445892</v>
      </c>
      <c r="L514">
        <v>0</v>
      </c>
      <c r="M514">
        <v>1.0234443633123473E-2</v>
      </c>
      <c r="N514">
        <v>0.18234147917802351</v>
      </c>
      <c r="O514">
        <v>0.118340764436367</v>
      </c>
      <c r="P514">
        <v>8.1105513676179616E-2</v>
      </c>
      <c r="Q514">
        <v>0</v>
      </c>
      <c r="R514">
        <v>1.0234443633123473E-2</v>
      </c>
      <c r="S514">
        <v>0.25911694262360607</v>
      </c>
      <c r="T514">
        <v>5.9131151693880897</v>
      </c>
      <c r="U514">
        <v>0</v>
      </c>
      <c r="V514">
        <v>1.8954984475330772E-2</v>
      </c>
      <c r="W514">
        <v>9.7451085052595851E-2</v>
      </c>
      <c r="X514">
        <v>-5.2299730375308321E-4</v>
      </c>
      <c r="Y514">
        <v>4.2143617218144497E-2</v>
      </c>
    </row>
    <row r="515" spans="1:25" x14ac:dyDescent="0.25">
      <c r="A515" s="879"/>
      <c r="B515" s="1133">
        <v>265</v>
      </c>
      <c r="C515" s="883">
        <v>0.96866221235913896</v>
      </c>
      <c r="D515" s="883">
        <v>1.0057686649113851</v>
      </c>
      <c r="E515" s="883">
        <v>1.021237547448665</v>
      </c>
      <c r="F515" s="883">
        <v>0.98107426422022259</v>
      </c>
      <c r="G515" s="883">
        <v>0.97827466922183559</v>
      </c>
      <c r="H515" s="883">
        <v>0.98807028264788599</v>
      </c>
      <c r="I515" s="883">
        <v>0.97585446108216067</v>
      </c>
      <c r="K515">
        <v>6.7554112707721252</v>
      </c>
      <c r="L515">
        <v>0</v>
      </c>
      <c r="M515">
        <v>1.0409955719814727E-2</v>
      </c>
      <c r="N515">
        <v>0.20027994722593892</v>
      </c>
      <c r="O515">
        <v>0.12522789688073244</v>
      </c>
      <c r="P515">
        <v>8.4480916162126274E-2</v>
      </c>
      <c r="Q515">
        <v>0</v>
      </c>
      <c r="R515">
        <v>1.0409955719814727E-2</v>
      </c>
      <c r="S515">
        <v>0.27084144777218844</v>
      </c>
      <c r="T515">
        <v>5.9099044565885324</v>
      </c>
      <c r="U515">
        <v>0</v>
      </c>
      <c r="V515">
        <v>1.9331462554571872E-2</v>
      </c>
      <c r="W515">
        <v>0.10431223702006753</v>
      </c>
      <c r="X515">
        <v>-1.8334381831912434E-3</v>
      </c>
      <c r="Y515">
        <v>4.2866344751152224E-2</v>
      </c>
    </row>
    <row r="516" spans="1:25" x14ac:dyDescent="0.25">
      <c r="A516" s="879"/>
      <c r="B516" s="1133">
        <v>266</v>
      </c>
      <c r="C516" s="883">
        <v>0.98711304451822202</v>
      </c>
      <c r="D516" s="883">
        <v>1.0021215814329623</v>
      </c>
      <c r="E516" s="883">
        <v>1.0007235862899939</v>
      </c>
      <c r="F516" s="883">
        <v>0.98317496932404946</v>
      </c>
      <c r="G516" s="883">
        <v>0.99430657274971268</v>
      </c>
      <c r="H516" s="883">
        <v>1.0252692122246923</v>
      </c>
      <c r="I516" s="883">
        <v>1.0013377367148213</v>
      </c>
      <c r="K516">
        <v>6.7628625573489547</v>
      </c>
      <c r="L516">
        <v>0</v>
      </c>
      <c r="M516">
        <v>1.0808664280937462E-2</v>
      </c>
      <c r="N516">
        <v>0.20173101387606537</v>
      </c>
      <c r="O516">
        <v>0.12345701502002179</v>
      </c>
      <c r="P516">
        <v>8.3282420853551628E-2</v>
      </c>
      <c r="Q516">
        <v>0</v>
      </c>
      <c r="R516">
        <v>1.0808664280937462E-2</v>
      </c>
      <c r="S516">
        <v>0.27627241026397159</v>
      </c>
      <c r="T516">
        <v>5.9111829757102834</v>
      </c>
      <c r="U516">
        <v>0</v>
      </c>
      <c r="V516">
        <v>1.9226265701076998E-2</v>
      </c>
      <c r="W516">
        <v>0.10613905906163158</v>
      </c>
      <c r="X516">
        <v>-2.9367587760275862E-3</v>
      </c>
      <c r="Y516">
        <v>4.4508155638377324E-2</v>
      </c>
    </row>
    <row r="517" spans="1:25" x14ac:dyDescent="0.25">
      <c r="A517" s="879"/>
      <c r="B517" s="1133">
        <v>267</v>
      </c>
      <c r="C517" s="883">
        <v>0.95344843600861617</v>
      </c>
      <c r="D517" s="883">
        <v>0.96296727391013348</v>
      </c>
      <c r="E517" s="883">
        <v>1.0233471012402786</v>
      </c>
      <c r="F517" s="883">
        <v>0.97777121347308138</v>
      </c>
      <c r="G517" s="883">
        <v>0.95510505160946169</v>
      </c>
      <c r="H517" s="883">
        <v>0.99061772688285532</v>
      </c>
      <c r="I517" s="883">
        <v>1.0128304818326965</v>
      </c>
      <c r="K517">
        <v>6.7874027943681297</v>
      </c>
      <c r="L517">
        <v>0</v>
      </c>
      <c r="M517">
        <v>1.0782870063388498E-2</v>
      </c>
      <c r="N517">
        <v>0.20810283932487625</v>
      </c>
      <c r="O517">
        <v>0.12941605271289081</v>
      </c>
      <c r="P517">
        <v>8.4821155126014458E-2</v>
      </c>
      <c r="Q517">
        <v>0</v>
      </c>
      <c r="R517">
        <v>1.0782870063388498E-2</v>
      </c>
      <c r="S517">
        <v>0.28631245194385635</v>
      </c>
      <c r="T517">
        <v>5.9096049019568548</v>
      </c>
      <c r="U517">
        <v>0</v>
      </c>
      <c r="V517">
        <v>1.9421266103491729E-2</v>
      </c>
      <c r="W517">
        <v>0.10827418435049598</v>
      </c>
      <c r="X517">
        <v>-2.9519967920607435E-3</v>
      </c>
      <c r="Y517">
        <v>4.4401939641710256E-2</v>
      </c>
    </row>
    <row r="518" spans="1:25" x14ac:dyDescent="0.25">
      <c r="A518" s="879"/>
      <c r="B518" s="1133">
        <v>268</v>
      </c>
      <c r="C518" s="883">
        <v>1.011910502232535</v>
      </c>
      <c r="D518" s="883">
        <v>1.0070542251276451</v>
      </c>
      <c r="E518" s="883">
        <v>0.97166293853394003</v>
      </c>
      <c r="F518" s="883">
        <v>0.99323290660818642</v>
      </c>
      <c r="G518" s="883">
        <v>1.0053942352141989</v>
      </c>
      <c r="H518" s="883">
        <v>0.99924961737118423</v>
      </c>
      <c r="I518" s="883">
        <v>1.0137419807496915</v>
      </c>
      <c r="K518">
        <v>6.7351736298240148</v>
      </c>
      <c r="L518">
        <v>0</v>
      </c>
      <c r="M518">
        <v>1.0517879175139817E-2</v>
      </c>
      <c r="N518">
        <v>0.1880234742743376</v>
      </c>
      <c r="O518">
        <v>0.12072837314033875</v>
      </c>
      <c r="P518">
        <v>8.1399484013087525E-2</v>
      </c>
      <c r="Q518">
        <v>0</v>
      </c>
      <c r="R518">
        <v>1.0517879175139817E-2</v>
      </c>
      <c r="S518">
        <v>0.2702873114947002</v>
      </c>
      <c r="T518">
        <v>5.9133371407281459</v>
      </c>
      <c r="U518">
        <v>0</v>
      </c>
      <c r="V518">
        <v>1.9090926314109618E-2</v>
      </c>
      <c r="W518">
        <v>0.10037327514938221</v>
      </c>
      <c r="X518">
        <v>-1.377109620611573E-3</v>
      </c>
      <c r="Y518">
        <v>4.3310754330522006E-2</v>
      </c>
    </row>
    <row r="519" spans="1:25" x14ac:dyDescent="0.25">
      <c r="A519" s="879"/>
      <c r="B519" s="1133">
        <v>269</v>
      </c>
      <c r="C519" s="883">
        <v>1.0265606332497599</v>
      </c>
      <c r="D519" s="883">
        <v>1.0007155439683284</v>
      </c>
      <c r="E519" s="883">
        <v>1.0098113146760084</v>
      </c>
      <c r="F519" s="883">
        <v>0.95172781010403462</v>
      </c>
      <c r="G519" s="883">
        <v>1.0069993117241216</v>
      </c>
      <c r="H519" s="883">
        <v>1.0019064605506445</v>
      </c>
      <c r="I519" s="883">
        <v>1.0140381300700767</v>
      </c>
      <c r="K519">
        <v>6.7284965099275738</v>
      </c>
      <c r="L519">
        <v>0</v>
      </c>
      <c r="M519">
        <v>1.008219317318663E-2</v>
      </c>
      <c r="N519">
        <v>0.19072183422918401</v>
      </c>
      <c r="O519">
        <v>0.11861336630323692</v>
      </c>
      <c r="P519">
        <v>8.3694151657116619E-2</v>
      </c>
      <c r="Q519">
        <v>0</v>
      </c>
      <c r="R519">
        <v>1.008219317318663E-2</v>
      </c>
      <c r="S519">
        <v>0.2668814491345543</v>
      </c>
      <c r="T519">
        <v>5.9089705040874332</v>
      </c>
      <c r="U519">
        <v>0</v>
      </c>
      <c r="V519">
        <v>1.9014041451879876E-2</v>
      </c>
      <c r="W519">
        <v>9.9895770197209091E-2</v>
      </c>
      <c r="X519">
        <v>-8.1128405673603688E-4</v>
      </c>
      <c r="Y519">
        <v>4.1516676923696205E-2</v>
      </c>
    </row>
    <row r="520" spans="1:25" x14ac:dyDescent="0.25">
      <c r="A520" s="879"/>
      <c r="B520" s="1133">
        <v>270</v>
      </c>
      <c r="C520" s="883">
        <v>1.019351609489094</v>
      </c>
      <c r="D520" s="883">
        <v>1.0068958225750053</v>
      </c>
      <c r="E520" s="883">
        <v>1.0338287452014878</v>
      </c>
      <c r="F520" s="883">
        <v>0.99184173460375258</v>
      </c>
      <c r="G520" s="883">
        <v>0.96556673392234671</v>
      </c>
      <c r="H520" s="883">
        <v>1.0100182469634245</v>
      </c>
      <c r="I520" s="883">
        <v>0.98962036764135952</v>
      </c>
      <c r="K520">
        <v>6.7331844547142774</v>
      </c>
      <c r="L520">
        <v>0</v>
      </c>
      <c r="M520">
        <v>9.9962981078238825E-3</v>
      </c>
      <c r="N520">
        <v>0.19593519980993854</v>
      </c>
      <c r="O520">
        <v>0.11871353399934718</v>
      </c>
      <c r="P520">
        <v>8.5155868483597644E-2</v>
      </c>
      <c r="Q520">
        <v>0</v>
      </c>
      <c r="R520">
        <v>9.9962981078238825E-3</v>
      </c>
      <c r="S520">
        <v>0.26301789276849274</v>
      </c>
      <c r="T520">
        <v>5.909759552234795</v>
      </c>
      <c r="U520">
        <v>0</v>
      </c>
      <c r="V520">
        <v>1.9051598710016028E-2</v>
      </c>
      <c r="W520">
        <v>0.10142029797696434</v>
      </c>
      <c r="X520">
        <v>-1.0324656021538483E-3</v>
      </c>
      <c r="Y520">
        <v>4.1162976333284106E-2</v>
      </c>
    </row>
    <row r="521" spans="1:25" x14ac:dyDescent="0.25">
      <c r="A521" s="879"/>
      <c r="B521" s="1133">
        <v>271</v>
      </c>
      <c r="C521" s="883">
        <v>1.0147513089787474</v>
      </c>
      <c r="D521" s="883">
        <v>0.99770650448951637</v>
      </c>
      <c r="E521" s="883">
        <v>1.0199540332146257</v>
      </c>
      <c r="F521" s="883">
        <v>1.0152658722759824</v>
      </c>
      <c r="G521" s="883">
        <v>0.98417137513849295</v>
      </c>
      <c r="H521" s="883">
        <v>0.98411393920274692</v>
      </c>
      <c r="I521" s="883">
        <v>1.0233930254727241</v>
      </c>
      <c r="K521">
        <v>6.7371042829456558</v>
      </c>
      <c r="L521">
        <v>0</v>
      </c>
      <c r="M521">
        <v>9.9426966999767302E-3</v>
      </c>
      <c r="N521">
        <v>0.19092738463304154</v>
      </c>
      <c r="O521">
        <v>0.11994956897726096</v>
      </c>
      <c r="P521">
        <v>8.4422986362749794E-2</v>
      </c>
      <c r="Q521">
        <v>0</v>
      </c>
      <c r="R521">
        <v>9.9426966999767302E-3</v>
      </c>
      <c r="S521">
        <v>0.27083301447228142</v>
      </c>
      <c r="T521">
        <v>5.9118252507303559</v>
      </c>
      <c r="U521">
        <v>0</v>
      </c>
      <c r="V521">
        <v>1.9075844068525864E-2</v>
      </c>
      <c r="W521">
        <v>9.9503997936023603E-2</v>
      </c>
      <c r="X521">
        <v>-3.7601951104961588E-4</v>
      </c>
      <c r="Y521">
        <v>4.094225527646448E-2</v>
      </c>
    </row>
    <row r="522" spans="1:25" x14ac:dyDescent="0.25">
      <c r="A522" s="879"/>
      <c r="B522" s="1133">
        <v>272</v>
      </c>
      <c r="C522" s="883">
        <v>0.97689169026580969</v>
      </c>
      <c r="D522" s="883">
        <v>0.98733718214287647</v>
      </c>
      <c r="E522" s="883">
        <v>0.99159196235257074</v>
      </c>
      <c r="F522" s="883">
        <v>0.98434500453735374</v>
      </c>
      <c r="G522" s="883">
        <v>1.0130271663025003</v>
      </c>
      <c r="H522" s="883">
        <v>0.98079554874663233</v>
      </c>
      <c r="I522" s="883">
        <v>0.9868963313307213</v>
      </c>
      <c r="K522">
        <v>6.7505410955566054</v>
      </c>
      <c r="L522">
        <v>0</v>
      </c>
      <c r="M522">
        <v>1.0598912910535099E-2</v>
      </c>
      <c r="N522">
        <v>0.19515739588907349</v>
      </c>
      <c r="O522">
        <v>0.12566836657174052</v>
      </c>
      <c r="P522">
        <v>8.2646451605029314E-2</v>
      </c>
      <c r="Q522">
        <v>0</v>
      </c>
      <c r="R522">
        <v>1.0598912910535099E-2</v>
      </c>
      <c r="S522">
        <v>0.27103052969602442</v>
      </c>
      <c r="T522">
        <v>5.911757324363462</v>
      </c>
      <c r="U522">
        <v>0</v>
      </c>
      <c r="V522">
        <v>1.9284051507034605E-2</v>
      </c>
      <c r="W522">
        <v>0.10314786170743666</v>
      </c>
      <c r="X522">
        <v>-1.795322612607231E-3</v>
      </c>
      <c r="Y522">
        <v>4.364443682941254E-2</v>
      </c>
    </row>
    <row r="523" spans="1:25" x14ac:dyDescent="0.25">
      <c r="A523" s="879"/>
      <c r="B523" s="1133">
        <v>273</v>
      </c>
      <c r="C523" s="883">
        <v>0.98762427228201544</v>
      </c>
      <c r="D523" s="883">
        <v>1.0284342872494956</v>
      </c>
      <c r="E523" s="883">
        <v>1.0175750454526697</v>
      </c>
      <c r="F523" s="883">
        <v>1.0227980086130009</v>
      </c>
      <c r="G523" s="883">
        <v>1.0395021595770408</v>
      </c>
      <c r="H523" s="883">
        <v>1.0070128133993439</v>
      </c>
      <c r="I523" s="883">
        <v>0.98965979773832824</v>
      </c>
      <c r="K523">
        <v>6.7506064391851588</v>
      </c>
      <c r="L523">
        <v>0</v>
      </c>
      <c r="M523">
        <v>1.0340136222375611E-2</v>
      </c>
      <c r="N523">
        <v>0.19786171902527955</v>
      </c>
      <c r="O523">
        <v>0.12180290720399348</v>
      </c>
      <c r="P523">
        <v>8.4284910472170516E-2</v>
      </c>
      <c r="Q523">
        <v>0</v>
      </c>
      <c r="R523">
        <v>1.0340136222375611E-2</v>
      </c>
      <c r="S523">
        <v>0.27095843867762814</v>
      </c>
      <c r="T523">
        <v>5.9123683873641451</v>
      </c>
      <c r="U523">
        <v>0</v>
      </c>
      <c r="V523">
        <v>1.9223406913892131E-2</v>
      </c>
      <c r="W523">
        <v>0.10323887890272362</v>
      </c>
      <c r="X523">
        <v>-1.7110498627766833E-3</v>
      </c>
      <c r="Y523">
        <v>4.2578840488105209E-2</v>
      </c>
    </row>
    <row r="524" spans="1:25" x14ac:dyDescent="0.25">
      <c r="A524" s="879"/>
      <c r="B524" s="1133">
        <v>274</v>
      </c>
      <c r="C524" s="883">
        <v>0.96406593482584146</v>
      </c>
      <c r="D524" s="883">
        <v>0.9661499883795398</v>
      </c>
      <c r="E524" s="883">
        <v>1.0341857856473289</v>
      </c>
      <c r="F524" s="883">
        <v>1.017193133517488</v>
      </c>
      <c r="G524" s="883">
        <v>1.0110507878540689</v>
      </c>
      <c r="H524" s="883">
        <v>1.017494948139821</v>
      </c>
      <c r="I524" s="883">
        <v>1.029131354912356</v>
      </c>
      <c r="K524">
        <v>6.7976088281394675</v>
      </c>
      <c r="L524">
        <v>0</v>
      </c>
      <c r="M524">
        <v>1.0834567459373258E-2</v>
      </c>
      <c r="N524">
        <v>0.21247800759171692</v>
      </c>
      <c r="O524">
        <v>0.12760543797936882</v>
      </c>
      <c r="P524">
        <v>8.5577840117811707E-2</v>
      </c>
      <c r="Q524">
        <v>0</v>
      </c>
      <c r="R524">
        <v>1.0834567459373258E-2</v>
      </c>
      <c r="S524">
        <v>0.29044451030076451</v>
      </c>
      <c r="T524">
        <v>5.9111081409339246</v>
      </c>
      <c r="U524">
        <v>0</v>
      </c>
      <c r="V524">
        <v>1.9358294563507489E-2</v>
      </c>
      <c r="W524">
        <v>0.1099639817477428</v>
      </c>
      <c r="X524">
        <v>-3.5422054119526648E-3</v>
      </c>
      <c r="Y524">
        <v>4.4614820316582038E-2</v>
      </c>
    </row>
    <row r="525" spans="1:25" x14ac:dyDescent="0.25">
      <c r="A525" s="879"/>
      <c r="B525" s="1133">
        <v>275</v>
      </c>
      <c r="C525" s="883">
        <v>1.0282677076635194</v>
      </c>
      <c r="D525" s="883">
        <v>0.99069286550360813</v>
      </c>
      <c r="E525" s="883">
        <v>1.0138424773787704</v>
      </c>
      <c r="F525" s="883">
        <v>1.0121771947127913</v>
      </c>
      <c r="G525" s="883">
        <v>1.0354800181883028</v>
      </c>
      <c r="H525" s="883">
        <v>1.0183351995474754</v>
      </c>
      <c r="I525" s="883">
        <v>1.0018934849499204</v>
      </c>
      <c r="K525">
        <v>6.7360318436524658</v>
      </c>
      <c r="L525">
        <v>0</v>
      </c>
      <c r="M525">
        <v>1.0238549022503681E-2</v>
      </c>
      <c r="N525">
        <v>0.194838685754224</v>
      </c>
      <c r="O525">
        <v>0.1188200483602687</v>
      </c>
      <c r="P525">
        <v>8.3960519748008819E-2</v>
      </c>
      <c r="Q525">
        <v>0</v>
      </c>
      <c r="R525">
        <v>1.0238549022503681E-2</v>
      </c>
      <c r="S525">
        <v>0.26486936983566695</v>
      </c>
      <c r="T525">
        <v>5.9120076160095012</v>
      </c>
      <c r="U525">
        <v>0</v>
      </c>
      <c r="V525">
        <v>1.9005225124857368E-2</v>
      </c>
      <c r="W525">
        <v>0.10184896128531752</v>
      </c>
      <c r="X525">
        <v>-1.479104946260989E-3</v>
      </c>
      <c r="Y525">
        <v>4.2160522480880112E-2</v>
      </c>
    </row>
    <row r="526" spans="1:25" x14ac:dyDescent="0.25">
      <c r="A526" s="879"/>
      <c r="B526" s="1133">
        <v>276</v>
      </c>
      <c r="C526" s="883">
        <v>0.98867588784699267</v>
      </c>
      <c r="D526" s="883">
        <v>0.98323731843149431</v>
      </c>
      <c r="E526" s="883">
        <v>0.99902295934449636</v>
      </c>
      <c r="F526" s="883">
        <v>0.99833404520628677</v>
      </c>
      <c r="G526" s="883">
        <v>0.99000526288085244</v>
      </c>
      <c r="H526" s="883">
        <v>1.0338125042763284</v>
      </c>
      <c r="I526" s="883">
        <v>1.0050894776055803</v>
      </c>
      <c r="K526">
        <v>6.7706660832850973</v>
      </c>
      <c r="L526">
        <v>0</v>
      </c>
      <c r="M526">
        <v>1.098686503806026E-2</v>
      </c>
      <c r="N526">
        <v>0.20454093685753874</v>
      </c>
      <c r="O526">
        <v>0.12423586890379908</v>
      </c>
      <c r="P526">
        <v>8.320947378970249E-2</v>
      </c>
      <c r="Q526">
        <v>0</v>
      </c>
      <c r="R526">
        <v>1.098686503806026E-2</v>
      </c>
      <c r="S526">
        <v>0.27790806860676948</v>
      </c>
      <c r="T526">
        <v>5.9120977632830787</v>
      </c>
      <c r="U526">
        <v>0</v>
      </c>
      <c r="V526">
        <v>1.92175355722875E-2</v>
      </c>
      <c r="W526">
        <v>0.1077084117873484</v>
      </c>
      <c r="X526">
        <v>-3.4939301530908661E-3</v>
      </c>
      <c r="Y526">
        <v>4.5241954637656651E-2</v>
      </c>
    </row>
    <row r="527" spans="1:25" x14ac:dyDescent="0.25">
      <c r="A527" s="879"/>
      <c r="B527" s="1133">
        <v>277</v>
      </c>
      <c r="C527" s="883">
        <v>1.0018340816201377</v>
      </c>
      <c r="D527" s="883">
        <v>0.98523382368457091</v>
      </c>
      <c r="E527" s="883">
        <v>1.0252972446300728</v>
      </c>
      <c r="F527" s="883">
        <v>0.97789797594009431</v>
      </c>
      <c r="G527" s="883">
        <v>0.95469207011719059</v>
      </c>
      <c r="H527" s="883">
        <v>0.96537781969747871</v>
      </c>
      <c r="I527" s="883">
        <v>1.0137774646305995</v>
      </c>
      <c r="K527">
        <v>6.736826675484938</v>
      </c>
      <c r="L527">
        <v>0</v>
      </c>
      <c r="M527">
        <v>9.8861845071565417E-3</v>
      </c>
      <c r="N527">
        <v>0.19134838874989407</v>
      </c>
      <c r="O527">
        <v>0.122007445684302</v>
      </c>
      <c r="P527">
        <v>8.4716754403701244E-2</v>
      </c>
      <c r="Q527">
        <v>0</v>
      </c>
      <c r="R527">
        <v>9.8861845071565417E-3</v>
      </c>
      <c r="S527">
        <v>0.2700800447024776</v>
      </c>
      <c r="T527">
        <v>5.9094995760711129</v>
      </c>
      <c r="U527">
        <v>0</v>
      </c>
      <c r="V527">
        <v>1.9145113228751561E-2</v>
      </c>
      <c r="W527">
        <v>9.9461559646005018E-2</v>
      </c>
      <c r="X527">
        <v>-1.417551265354033E-4</v>
      </c>
      <c r="Y527">
        <v>4.0709548125226272E-2</v>
      </c>
    </row>
    <row r="528" spans="1:25" x14ac:dyDescent="0.25">
      <c r="A528" s="879"/>
      <c r="B528" s="1133">
        <v>278</v>
      </c>
      <c r="C528" s="883">
        <v>1.002895058398827</v>
      </c>
      <c r="D528" s="883">
        <v>0.96462487324059332</v>
      </c>
      <c r="E528" s="883">
        <v>0.98972740829530592</v>
      </c>
      <c r="F528" s="883">
        <v>1.0171495658732701</v>
      </c>
      <c r="G528" s="883">
        <v>1.0214749147987296</v>
      </c>
      <c r="H528" s="883">
        <v>1.0026972844158268</v>
      </c>
      <c r="I528" s="883">
        <v>1.0080140073536126</v>
      </c>
      <c r="K528">
        <v>6.7525021156090057</v>
      </c>
      <c r="L528">
        <v>0</v>
      </c>
      <c r="M528">
        <v>1.0677836964893037E-2</v>
      </c>
      <c r="N528">
        <v>0.19606789807332953</v>
      </c>
      <c r="O528">
        <v>0.1235900114200761</v>
      </c>
      <c r="P528">
        <v>8.2564848876253649E-2</v>
      </c>
      <c r="Q528">
        <v>0</v>
      </c>
      <c r="R528">
        <v>1.0677836964893037E-2</v>
      </c>
      <c r="S528">
        <v>0.27198754088414473</v>
      </c>
      <c r="T528">
        <v>5.9136342517162594</v>
      </c>
      <c r="U528">
        <v>0</v>
      </c>
      <c r="V528">
        <v>1.9139356435582386E-2</v>
      </c>
      <c r="W528">
        <v>0.10372546794709343</v>
      </c>
      <c r="X528">
        <v>-2.1766917810301287E-3</v>
      </c>
      <c r="Y528">
        <v>4.3969432037300547E-2</v>
      </c>
    </row>
    <row r="529" spans="1:25" x14ac:dyDescent="0.25">
      <c r="A529" s="879"/>
      <c r="B529" s="1133">
        <v>279</v>
      </c>
      <c r="C529" s="883">
        <v>1.0022750895615453</v>
      </c>
      <c r="D529" s="883">
        <v>1.0174134539304476</v>
      </c>
      <c r="E529" s="883">
        <v>1.0061742132095328</v>
      </c>
      <c r="F529" s="883">
        <v>1.0239687895859462</v>
      </c>
      <c r="G529" s="883">
        <v>0.96908969701874925</v>
      </c>
      <c r="H529" s="883">
        <v>0.97990962965618367</v>
      </c>
      <c r="I529" s="883">
        <v>0.98070010040328259</v>
      </c>
      <c r="K529">
        <v>6.7281580084504933</v>
      </c>
      <c r="L529">
        <v>0</v>
      </c>
      <c r="M529">
        <v>1.0060403470966194E-2</v>
      </c>
      <c r="N529">
        <v>0.18928756102115937</v>
      </c>
      <c r="O529">
        <v>0.12075370137727555</v>
      </c>
      <c r="P529">
        <v>8.3459784615145138E-2</v>
      </c>
      <c r="Q529">
        <v>0</v>
      </c>
      <c r="R529">
        <v>1.0060403470966194E-2</v>
      </c>
      <c r="S529">
        <v>0.26218174695595703</v>
      </c>
      <c r="T529">
        <v>5.913080082112157</v>
      </c>
      <c r="U529">
        <v>0</v>
      </c>
      <c r="V529">
        <v>1.9142718867296633E-2</v>
      </c>
      <c r="W529">
        <v>9.932319292329371E-2</v>
      </c>
      <c r="X529">
        <v>-4.9773023016377567E-4</v>
      </c>
      <c r="Y529">
        <v>4.1426950808374885E-2</v>
      </c>
    </row>
    <row r="530" spans="1:25" x14ac:dyDescent="0.25">
      <c r="A530" s="879"/>
      <c r="B530" s="1133">
        <v>280</v>
      </c>
      <c r="C530" s="883">
        <v>0.96587621097686915</v>
      </c>
      <c r="D530" s="883">
        <v>0.99140519927293846</v>
      </c>
      <c r="E530" s="883">
        <v>0.99705406450628864</v>
      </c>
      <c r="F530" s="883">
        <v>0.97011371073350816</v>
      </c>
      <c r="G530" s="883">
        <v>0.97977753774180298</v>
      </c>
      <c r="H530" s="883">
        <v>1.0045623647071777</v>
      </c>
      <c r="I530" s="883">
        <v>1.014969286840474</v>
      </c>
      <c r="K530">
        <v>6.7754058216488771</v>
      </c>
      <c r="L530">
        <v>0</v>
      </c>
      <c r="M530">
        <v>1.0908086631225257E-2</v>
      </c>
      <c r="N530">
        <v>0.20248276375136903</v>
      </c>
      <c r="O530">
        <v>0.12678665187316421</v>
      </c>
      <c r="P530">
        <v>8.3153205523447876E-2</v>
      </c>
      <c r="Q530">
        <v>0</v>
      </c>
      <c r="R530">
        <v>1.0908086631225257E-2</v>
      </c>
      <c r="S530">
        <v>0.2842507409101841</v>
      </c>
      <c r="T530">
        <v>5.9106830226635463</v>
      </c>
      <c r="U530">
        <v>0</v>
      </c>
      <c r="V530">
        <v>1.9347696105978252E-2</v>
      </c>
      <c r="W530">
        <v>0.10672900077107079</v>
      </c>
      <c r="X530">
        <v>-2.9448191302280683E-3</v>
      </c>
      <c r="Y530">
        <v>4.4917559180343805E-2</v>
      </c>
    </row>
    <row r="531" spans="1:25" x14ac:dyDescent="0.25">
      <c r="A531" s="879"/>
      <c r="B531" s="1133">
        <v>281</v>
      </c>
      <c r="C531" s="883">
        <v>1.0226874270302391</v>
      </c>
      <c r="D531" s="883">
        <v>0.99433476969818968</v>
      </c>
      <c r="E531" s="883">
        <v>0.95688867255776866</v>
      </c>
      <c r="F531" s="883">
        <v>1.014313977997324</v>
      </c>
      <c r="G531" s="883">
        <v>1.0047427111786045</v>
      </c>
      <c r="H531" s="883">
        <v>0.98963427162219764</v>
      </c>
      <c r="I531" s="883">
        <v>0.962062958167336</v>
      </c>
      <c r="K531">
        <v>6.7124306002589593</v>
      </c>
      <c r="L531">
        <v>0</v>
      </c>
      <c r="M531">
        <v>1.0497249475915691E-2</v>
      </c>
      <c r="N531">
        <v>0.18358129998715558</v>
      </c>
      <c r="O531">
        <v>0.12033161531384849</v>
      </c>
      <c r="P531">
        <v>8.0267622794268759E-2</v>
      </c>
      <c r="Q531">
        <v>0</v>
      </c>
      <c r="R531">
        <v>1.0497249475915691E-2</v>
      </c>
      <c r="S531">
        <v>0.25304625725751712</v>
      </c>
      <c r="T531">
        <v>5.9152777862963148</v>
      </c>
      <c r="U531">
        <v>0</v>
      </c>
      <c r="V531">
        <v>1.9034154094604221E-2</v>
      </c>
      <c r="W531">
        <v>9.8734273992087104E-2</v>
      </c>
      <c r="X531">
        <v>-1.0682143779012605E-3</v>
      </c>
      <c r="Y531">
        <v>4.3225804901066631E-2</v>
      </c>
    </row>
    <row r="532" spans="1:25" x14ac:dyDescent="0.25">
      <c r="A532" s="879"/>
      <c r="B532" s="1133">
        <v>282</v>
      </c>
      <c r="C532" s="883">
        <v>1.0172145952012455</v>
      </c>
      <c r="D532" s="883">
        <v>1.003218288712119</v>
      </c>
      <c r="E532" s="883">
        <v>1.0170851186683625</v>
      </c>
      <c r="F532" s="883">
        <v>1.0320126414678379</v>
      </c>
      <c r="G532" s="883">
        <v>0.9994410014417483</v>
      </c>
      <c r="H532" s="883">
        <v>0.99291710301662661</v>
      </c>
      <c r="I532" s="883">
        <v>1.0039228770667503</v>
      </c>
      <c r="K532">
        <v>6.733255020816423</v>
      </c>
      <c r="L532">
        <v>0</v>
      </c>
      <c r="M532">
        <v>1.0008860938315892E-2</v>
      </c>
      <c r="N532">
        <v>0.19138388158039649</v>
      </c>
      <c r="O532">
        <v>0.11944894507954704</v>
      </c>
      <c r="P532">
        <v>8.4189119285745309E-2</v>
      </c>
      <c r="Q532">
        <v>0</v>
      </c>
      <c r="R532">
        <v>1.0008860938315892E-2</v>
      </c>
      <c r="S532">
        <v>0.2657992408699717</v>
      </c>
      <c r="T532">
        <v>5.9128942483940241</v>
      </c>
      <c r="U532">
        <v>0</v>
      </c>
      <c r="V532">
        <v>1.9062834325577673E-2</v>
      </c>
      <c r="W532">
        <v>9.9883047623317719E-2</v>
      </c>
      <c r="X532">
        <v>-6.2100417530874515E-4</v>
      </c>
      <c r="Y532">
        <v>4.1214707833149726E-2</v>
      </c>
    </row>
    <row r="533" spans="1:25" x14ac:dyDescent="0.25">
      <c r="A533" s="879"/>
      <c r="B533" s="1133">
        <v>283</v>
      </c>
      <c r="C533" s="883">
        <v>1.0082858038157667</v>
      </c>
      <c r="D533" s="883">
        <v>1.0178497333454715</v>
      </c>
      <c r="E533" s="883">
        <v>0.99498383935854851</v>
      </c>
      <c r="F533" s="883">
        <v>0.96146643238378948</v>
      </c>
      <c r="G533" s="883">
        <v>1.0089871848911043</v>
      </c>
      <c r="H533" s="883">
        <v>0.99927790064646516</v>
      </c>
      <c r="I533" s="883">
        <v>0.96699355172053558</v>
      </c>
      <c r="K533">
        <v>6.723308760315426</v>
      </c>
      <c r="L533">
        <v>0</v>
      </c>
      <c r="M533">
        <v>1.0296389597408457E-2</v>
      </c>
      <c r="N533">
        <v>0.19054259455580266</v>
      </c>
      <c r="O533">
        <v>0.12021983440821638</v>
      </c>
      <c r="P533">
        <v>8.2673795839372732E-2</v>
      </c>
      <c r="Q533">
        <v>0</v>
      </c>
      <c r="R533">
        <v>1.0296389597408457E-2</v>
      </c>
      <c r="S533">
        <v>0.25869213314659967</v>
      </c>
      <c r="T533">
        <v>5.9103314975122609</v>
      </c>
      <c r="U533">
        <v>0</v>
      </c>
      <c r="V533">
        <v>1.9110293751613171E-2</v>
      </c>
      <c r="W533">
        <v>0.10053880110850877</v>
      </c>
      <c r="X533">
        <v>-1.1988896800475064E-3</v>
      </c>
      <c r="Y533">
        <v>4.2398699673099442E-2</v>
      </c>
    </row>
    <row r="534" spans="1:25" x14ac:dyDescent="0.25">
      <c r="A534" s="879"/>
      <c r="B534" s="1133">
        <v>284</v>
      </c>
      <c r="C534" s="883">
        <v>0.99301075094808611</v>
      </c>
      <c r="D534" s="883">
        <v>0.99700832200348288</v>
      </c>
      <c r="E534" s="883">
        <v>1.0224444952209564</v>
      </c>
      <c r="F534" s="883">
        <v>1.0114028727365059</v>
      </c>
      <c r="G534" s="883">
        <v>0.98512546169926718</v>
      </c>
      <c r="H534" s="883">
        <v>0.99888133786034838</v>
      </c>
      <c r="I534" s="883">
        <v>1.0137644847546854</v>
      </c>
      <c r="K534">
        <v>6.7559349393011923</v>
      </c>
      <c r="L534">
        <v>0</v>
      </c>
      <c r="M534">
        <v>1.0293465096619421E-2</v>
      </c>
      <c r="N534">
        <v>0.19839260377929124</v>
      </c>
      <c r="O534">
        <v>0.1225624938608884</v>
      </c>
      <c r="P534">
        <v>8.4640743383665978E-2</v>
      </c>
      <c r="Q534">
        <v>0</v>
      </c>
      <c r="R534">
        <v>1.0293465096619421E-2</v>
      </c>
      <c r="S534">
        <v>0.27559290475170101</v>
      </c>
      <c r="T534">
        <v>5.9114736508549344</v>
      </c>
      <c r="U534">
        <v>0</v>
      </c>
      <c r="V534">
        <v>1.9193464605448504E-2</v>
      </c>
      <c r="W534">
        <v>0.10326787947091425</v>
      </c>
      <c r="X534">
        <v>-1.5754585050444445E-3</v>
      </c>
      <c r="Y534">
        <v>4.238665709939192E-2</v>
      </c>
    </row>
    <row r="535" spans="1:25" x14ac:dyDescent="0.25">
      <c r="A535" s="879"/>
      <c r="B535" s="1133">
        <v>285</v>
      </c>
      <c r="C535" s="883">
        <v>0.98446439162005606</v>
      </c>
      <c r="D535" s="883">
        <v>1.0201999613234478</v>
      </c>
      <c r="E535" s="883">
        <v>0.97519249608920722</v>
      </c>
      <c r="F535" s="883">
        <v>1.0096958761620256</v>
      </c>
      <c r="G535" s="883">
        <v>1.0198644026972696</v>
      </c>
      <c r="H535" s="883">
        <v>0.9871027305165988</v>
      </c>
      <c r="I535" s="883">
        <v>1.0142852868640295</v>
      </c>
      <c r="K535">
        <v>6.7488275604243819</v>
      </c>
      <c r="L535">
        <v>0</v>
      </c>
      <c r="M535">
        <v>1.0587958694036113E-2</v>
      </c>
      <c r="N535">
        <v>0.19027052978774839</v>
      </c>
      <c r="O535">
        <v>0.12338631029725934</v>
      </c>
      <c r="P535">
        <v>8.1717231739601159E-2</v>
      </c>
      <c r="Q535">
        <v>0</v>
      </c>
      <c r="R535">
        <v>1.0587958694036113E-2</v>
      </c>
      <c r="S535">
        <v>0.27667984838524434</v>
      </c>
      <c r="T535">
        <v>5.9140341062160502</v>
      </c>
      <c r="U535">
        <v>0</v>
      </c>
      <c r="V535">
        <v>1.9241124516439678E-2</v>
      </c>
      <c r="W535">
        <v>0.10139299750499205</v>
      </c>
      <c r="X535">
        <v>-1.4939173385989011E-3</v>
      </c>
      <c r="Y535">
        <v>4.3599329315647577E-2</v>
      </c>
    </row>
    <row r="536" spans="1:25" x14ac:dyDescent="0.25">
      <c r="A536" s="879"/>
      <c r="B536" s="1133">
        <v>286</v>
      </c>
      <c r="C536" s="883">
        <v>1.0029109129533893</v>
      </c>
      <c r="D536" s="883">
        <v>0.99339003101076429</v>
      </c>
      <c r="E536" s="883">
        <v>1.0249257687678934</v>
      </c>
      <c r="F536" s="883">
        <v>1.0285100314062068</v>
      </c>
      <c r="G536" s="883">
        <v>0.98627322571762555</v>
      </c>
      <c r="H536" s="883">
        <v>0.98415477013008246</v>
      </c>
      <c r="I536" s="883">
        <v>1.0282712359003945</v>
      </c>
      <c r="K536">
        <v>6.7487407985855334</v>
      </c>
      <c r="L536">
        <v>0</v>
      </c>
      <c r="M536">
        <v>1.0035415359228283E-2</v>
      </c>
      <c r="N536">
        <v>0.19413010387764851</v>
      </c>
      <c r="O536">
        <v>0.12148223144452433</v>
      </c>
      <c r="P536">
        <v>8.4803481406309916E-2</v>
      </c>
      <c r="Q536">
        <v>0</v>
      </c>
      <c r="R536">
        <v>1.0035415359228283E-2</v>
      </c>
      <c r="S536">
        <v>0.27539158559494464</v>
      </c>
      <c r="T536">
        <v>5.9122550943952339</v>
      </c>
      <c r="U536">
        <v>0</v>
      </c>
      <c r="V536">
        <v>1.9139270502134476E-2</v>
      </c>
      <c r="W536">
        <v>0.10092590368564734</v>
      </c>
      <c r="X536">
        <v>-7.1092653286861205E-4</v>
      </c>
      <c r="Y536">
        <v>4.1324054211956236E-2</v>
      </c>
    </row>
    <row r="537" spans="1:25" x14ac:dyDescent="0.25">
      <c r="A537" s="879"/>
      <c r="B537" s="1133">
        <v>287</v>
      </c>
      <c r="C537" s="883">
        <v>1.0335606761130445</v>
      </c>
      <c r="D537" s="883">
        <v>1.0305876896416539</v>
      </c>
      <c r="E537" s="883">
        <v>0.98556551207247167</v>
      </c>
      <c r="F537" s="883">
        <v>1.0074944865970403</v>
      </c>
      <c r="G537" s="883">
        <v>0.9949113154457927</v>
      </c>
      <c r="H537" s="883">
        <v>1.0212368984414004</v>
      </c>
      <c r="I537" s="883">
        <v>0.98061152723205147</v>
      </c>
      <c r="K537">
        <v>6.7176900026564166</v>
      </c>
      <c r="L537">
        <v>0</v>
      </c>
      <c r="M537">
        <v>1.0295106646435662E-2</v>
      </c>
      <c r="N537">
        <v>0.18787709823531995</v>
      </c>
      <c r="O537">
        <v>0.11686588706311384</v>
      </c>
      <c r="P537">
        <v>8.2107891887104795E-2</v>
      </c>
      <c r="Q537">
        <v>0</v>
      </c>
      <c r="R537">
        <v>1.0295106646435662E-2</v>
      </c>
      <c r="S537">
        <v>0.25773308101248044</v>
      </c>
      <c r="T537">
        <v>5.9133434372842189</v>
      </c>
      <c r="U537">
        <v>0</v>
      </c>
      <c r="V537">
        <v>1.8978074291030926E-2</v>
      </c>
      <c r="W537">
        <v>9.9598995121763095E-2</v>
      </c>
      <c r="X537">
        <v>-1.2078789479647771E-3</v>
      </c>
      <c r="Y537">
        <v>4.2393416709350241E-2</v>
      </c>
    </row>
    <row r="538" spans="1:25" x14ac:dyDescent="0.25">
      <c r="A538" s="879"/>
      <c r="B538" s="1133">
        <v>288</v>
      </c>
      <c r="C538" s="883">
        <v>1.035637205836051</v>
      </c>
      <c r="D538" s="883">
        <v>0.9998497934378654</v>
      </c>
      <c r="E538" s="883">
        <v>0.99755563467472841</v>
      </c>
      <c r="F538" s="883">
        <v>0.97826674435545269</v>
      </c>
      <c r="G538" s="883">
        <v>1.001618580054721</v>
      </c>
      <c r="H538" s="883">
        <v>1.0410786641434717</v>
      </c>
      <c r="I538" s="883">
        <v>1.0208062460925296</v>
      </c>
      <c r="K538">
        <v>6.7397819831522341</v>
      </c>
      <c r="L538">
        <v>0</v>
      </c>
      <c r="M538">
        <v>1.0500278549136708E-2</v>
      </c>
      <c r="N538">
        <v>0.19505768967513198</v>
      </c>
      <c r="O538">
        <v>0.11783668684017676</v>
      </c>
      <c r="P538">
        <v>8.2993791845219086E-2</v>
      </c>
      <c r="Q538">
        <v>0</v>
      </c>
      <c r="R538">
        <v>1.0500278549136708E-2</v>
      </c>
      <c r="S538">
        <v>0.26993580451317833</v>
      </c>
      <c r="T538">
        <v>5.9110955516025863</v>
      </c>
      <c r="U538">
        <v>0</v>
      </c>
      <c r="V538">
        <v>1.8967498312239931E-2</v>
      </c>
      <c r="W538">
        <v>0.10278959594762165</v>
      </c>
      <c r="X538">
        <v>-2.132913669351639E-3</v>
      </c>
      <c r="Y538">
        <v>4.3238278085435837E-2</v>
      </c>
    </row>
    <row r="539" spans="1:25" x14ac:dyDescent="0.25">
      <c r="A539" s="879"/>
      <c r="B539" s="1133">
        <v>289</v>
      </c>
      <c r="C539" s="883">
        <v>0.99496437929831749</v>
      </c>
      <c r="D539" s="883">
        <v>0.98960392802764274</v>
      </c>
      <c r="E539" s="883">
        <v>0.99836755428211954</v>
      </c>
      <c r="F539" s="883">
        <v>0.99417018626540132</v>
      </c>
      <c r="G539" s="883">
        <v>0.99082383563107967</v>
      </c>
      <c r="H539" s="883">
        <v>0.99408932106858128</v>
      </c>
      <c r="I539" s="883">
        <v>1.0114434550369953</v>
      </c>
      <c r="K539">
        <v>6.750265328818073</v>
      </c>
      <c r="L539">
        <v>0</v>
      </c>
      <c r="M539">
        <v>1.047493230709118E-2</v>
      </c>
      <c r="N539">
        <v>0.19482108079097799</v>
      </c>
      <c r="O539">
        <v>0.12314474339020645</v>
      </c>
      <c r="P539">
        <v>8.3112893316056272E-2</v>
      </c>
      <c r="Q539">
        <v>0</v>
      </c>
      <c r="R539">
        <v>1.047493230709118E-2</v>
      </c>
      <c r="S539">
        <v>0.27399551559853785</v>
      </c>
      <c r="T539">
        <v>5.9119095162550472</v>
      </c>
      <c r="U539">
        <v>0</v>
      </c>
      <c r="V539">
        <v>1.918268490961705E-2</v>
      </c>
      <c r="W539">
        <v>0.10262348674072704</v>
      </c>
      <c r="X539">
        <v>-1.6584989552575619E-3</v>
      </c>
      <c r="Y539">
        <v>4.3133906772155249E-2</v>
      </c>
    </row>
    <row r="540" spans="1:25" x14ac:dyDescent="0.25">
      <c r="A540" s="879"/>
      <c r="B540" s="1133">
        <v>290</v>
      </c>
      <c r="C540" s="883">
        <v>1.0318726259185802</v>
      </c>
      <c r="D540" s="883">
        <v>1.0400302314200285</v>
      </c>
      <c r="E540" s="883">
        <v>1.0028029352245607</v>
      </c>
      <c r="F540" s="883">
        <v>1.0302321936210819</v>
      </c>
      <c r="G540" s="883">
        <v>0.98917293548371299</v>
      </c>
      <c r="H540" s="883">
        <v>1.001842939520639</v>
      </c>
      <c r="I540" s="883">
        <v>0.96980122731102725</v>
      </c>
      <c r="K540">
        <v>6.7097279908333585</v>
      </c>
      <c r="L540">
        <v>0</v>
      </c>
      <c r="M540">
        <v>9.9262236817508325E-3</v>
      </c>
      <c r="N540">
        <v>0.18583280308267497</v>
      </c>
      <c r="O540">
        <v>0.11632349989321199</v>
      </c>
      <c r="P540">
        <v>8.3137563254852734E-2</v>
      </c>
      <c r="Q540">
        <v>0</v>
      </c>
      <c r="R540">
        <v>9.9262236817508325E-3</v>
      </c>
      <c r="S540">
        <v>0.25356206366304535</v>
      </c>
      <c r="T540">
        <v>5.9136089300711614</v>
      </c>
      <c r="U540">
        <v>0</v>
      </c>
      <c r="V540">
        <v>1.8986703069683922E-2</v>
      </c>
      <c r="W540">
        <v>9.767350615249519E-2</v>
      </c>
      <c r="X540">
        <v>-2.7150067326346813E-4</v>
      </c>
      <c r="Y540">
        <v>4.0874422319498158E-2</v>
      </c>
    </row>
    <row r="541" spans="1:25" x14ac:dyDescent="0.25">
      <c r="A541" s="879"/>
      <c r="B541" s="1133">
        <v>291</v>
      </c>
      <c r="C541" s="883">
        <v>0.978851672082103</v>
      </c>
      <c r="D541" s="883">
        <v>0.9992406669967544</v>
      </c>
      <c r="E541" s="883">
        <v>0.96964171321113035</v>
      </c>
      <c r="F541" s="883">
        <v>0.98999104520701775</v>
      </c>
      <c r="G541" s="883">
        <v>1.0011257179347086</v>
      </c>
      <c r="H541" s="883">
        <v>0.96182641200378671</v>
      </c>
      <c r="I541" s="883">
        <v>1.0242693744567373</v>
      </c>
      <c r="K541">
        <v>6.7478710569977949</v>
      </c>
      <c r="L541">
        <v>0</v>
      </c>
      <c r="M541">
        <v>1.0519356352256093E-2</v>
      </c>
      <c r="N541">
        <v>0.18748640218534493</v>
      </c>
      <c r="O541">
        <v>0.12523334652218884</v>
      </c>
      <c r="P541">
        <v>8.1383653513702303E-2</v>
      </c>
      <c r="Q541">
        <v>0</v>
      </c>
      <c r="R541">
        <v>1.0519356352256093E-2</v>
      </c>
      <c r="S541">
        <v>0.27870251235003513</v>
      </c>
      <c r="T541">
        <v>5.9132721137544397</v>
      </c>
      <c r="U541">
        <v>0</v>
      </c>
      <c r="V541">
        <v>1.9272877349731602E-2</v>
      </c>
      <c r="W541">
        <v>0.10018829984503987</v>
      </c>
      <c r="X541">
        <v>-9.8498560565070154E-4</v>
      </c>
      <c r="Y541">
        <v>4.3316837082959088E-2</v>
      </c>
    </row>
    <row r="542" spans="1:25" x14ac:dyDescent="0.25">
      <c r="A542" s="879"/>
      <c r="B542" s="1133">
        <v>292</v>
      </c>
      <c r="C542" s="883">
        <v>0.98755564504598981</v>
      </c>
      <c r="D542" s="883">
        <v>0.99539812746240663</v>
      </c>
      <c r="E542" s="883">
        <v>0.99503032320218143</v>
      </c>
      <c r="F542" s="883">
        <v>1.0211835405162653</v>
      </c>
      <c r="G542" s="883">
        <v>1.0290944546097762</v>
      </c>
      <c r="H542" s="883">
        <v>0.97565648363008184</v>
      </c>
      <c r="I542" s="883">
        <v>1.0021798213385054</v>
      </c>
      <c r="K542">
        <v>6.7457215849769936</v>
      </c>
      <c r="L542">
        <v>0</v>
      </c>
      <c r="M542">
        <v>1.0362107205977479E-2</v>
      </c>
      <c r="N542">
        <v>0.19177196015528</v>
      </c>
      <c r="O542">
        <v>0.12384254109967181</v>
      </c>
      <c r="P542">
        <v>8.2894714595680374E-2</v>
      </c>
      <c r="Q542">
        <v>0</v>
      </c>
      <c r="R542">
        <v>1.0362107205977479E-2</v>
      </c>
      <c r="S542">
        <v>0.27169111122515216</v>
      </c>
      <c r="T542">
        <v>5.9135564267398815</v>
      </c>
      <c r="U542">
        <v>0</v>
      </c>
      <c r="V542">
        <v>1.9223790505606984E-2</v>
      </c>
      <c r="W542">
        <v>0.10118512872067983</v>
      </c>
      <c r="X542">
        <v>-1.1134011528559822E-3</v>
      </c>
      <c r="Y542">
        <v>4.2669313087888398E-2</v>
      </c>
    </row>
    <row r="543" spans="1:25" x14ac:dyDescent="0.25">
      <c r="A543" s="879"/>
      <c r="B543" s="1133">
        <v>293</v>
      </c>
      <c r="C543" s="883">
        <v>0.9617557362599638</v>
      </c>
      <c r="D543" s="883">
        <v>1.0216388630137685</v>
      </c>
      <c r="E543" s="883">
        <v>1.0174086082466733</v>
      </c>
      <c r="F543" s="883">
        <v>0.9900830962886018</v>
      </c>
      <c r="G543" s="883">
        <v>0.99337481543116557</v>
      </c>
      <c r="H543" s="883">
        <v>1.0329968158130993</v>
      </c>
      <c r="I543" s="883">
        <v>0.96642767873328828</v>
      </c>
      <c r="K543">
        <v>6.7732712299978131</v>
      </c>
      <c r="L543">
        <v>0</v>
      </c>
      <c r="M543">
        <v>1.0924775416459023E-2</v>
      </c>
      <c r="N543">
        <v>0.20899749870981604</v>
      </c>
      <c r="O543">
        <v>0.12541443010075556</v>
      </c>
      <c r="P543">
        <v>8.4296898355061198E-2</v>
      </c>
      <c r="Q543">
        <v>0</v>
      </c>
      <c r="R543">
        <v>1.0924775416459023E-2</v>
      </c>
      <c r="S543">
        <v>0.2742176552991295</v>
      </c>
      <c r="T543">
        <v>5.9106103898004978</v>
      </c>
      <c r="U543">
        <v>0</v>
      </c>
      <c r="V543">
        <v>1.9371877817707616E-2</v>
      </c>
      <c r="W543">
        <v>0.10905817675712624</v>
      </c>
      <c r="X543">
        <v>-3.6819774697215966E-3</v>
      </c>
      <c r="Y543">
        <v>4.4986280627443413E-2</v>
      </c>
    </row>
    <row r="544" spans="1:25" x14ac:dyDescent="0.25">
      <c r="A544" s="879"/>
      <c r="B544" s="1133">
        <v>294</v>
      </c>
      <c r="C544" s="883">
        <v>1.0021339348739715</v>
      </c>
      <c r="D544" s="883">
        <v>0.97960358764014788</v>
      </c>
      <c r="E544" s="883">
        <v>0.97399554470503347</v>
      </c>
      <c r="F544" s="883">
        <v>0.98625873021741373</v>
      </c>
      <c r="G544" s="883">
        <v>0.99300084001273692</v>
      </c>
      <c r="H544" s="883">
        <v>1.0006549377150753</v>
      </c>
      <c r="I544" s="883">
        <v>0.9996166957764524</v>
      </c>
      <c r="K544">
        <v>6.7438172069189672</v>
      </c>
      <c r="L544">
        <v>0</v>
      </c>
      <c r="M544">
        <v>1.0740258501737196E-2</v>
      </c>
      <c r="N544">
        <v>0.19266483449233499</v>
      </c>
      <c r="O544">
        <v>0.12321788902660107</v>
      </c>
      <c r="P544">
        <v>8.1530838835508893E-2</v>
      </c>
      <c r="Q544">
        <v>0</v>
      </c>
      <c r="R544">
        <v>1.0740258501737196E-2</v>
      </c>
      <c r="S544">
        <v>0.26953866563040918</v>
      </c>
      <c r="T544">
        <v>5.912832552919606</v>
      </c>
      <c r="U544">
        <v>0</v>
      </c>
      <c r="V544">
        <v>1.9143485008184767E-2</v>
      </c>
      <c r="W544">
        <v>0.10273058195001955</v>
      </c>
      <c r="X544">
        <v>-2.0681137591020277E-3</v>
      </c>
      <c r="Y544">
        <v>4.4226472815405406E-2</v>
      </c>
    </row>
    <row r="545" spans="1:25" x14ac:dyDescent="0.25">
      <c r="A545" s="879"/>
      <c r="B545" s="1133">
        <v>295</v>
      </c>
      <c r="C545" s="883">
        <v>1.00936751754986</v>
      </c>
      <c r="D545" s="883">
        <v>1.0000751055094912</v>
      </c>
      <c r="E545" s="883">
        <v>1.0399355249481284</v>
      </c>
      <c r="F545" s="883">
        <v>1.024804933718976</v>
      </c>
      <c r="G545" s="883">
        <v>1.0118810346960685</v>
      </c>
      <c r="H545" s="883">
        <v>1.0244255066843746</v>
      </c>
      <c r="I545" s="883">
        <v>1.0170757069928307</v>
      </c>
      <c r="K545">
        <v>6.7570092284452175</v>
      </c>
      <c r="L545">
        <v>0</v>
      </c>
      <c r="M545">
        <v>1.0214173263317295E-2</v>
      </c>
      <c r="N545">
        <v>0.20202023777656872</v>
      </c>
      <c r="O545">
        <v>0.1200988424191317</v>
      </c>
      <c r="P545">
        <v>8.5715220340989731E-2</v>
      </c>
      <c r="Q545">
        <v>0</v>
      </c>
      <c r="R545">
        <v>1.0214173263317295E-2</v>
      </c>
      <c r="S545">
        <v>0.27443885040968291</v>
      </c>
      <c r="T545">
        <v>5.9111843328911942</v>
      </c>
      <c r="U545">
        <v>0</v>
      </c>
      <c r="V545">
        <v>1.9104499392500682E-2</v>
      </c>
      <c r="W545">
        <v>0.10425810849905175</v>
      </c>
      <c r="X545">
        <v>-1.8710107271794878E-3</v>
      </c>
      <c r="Y545">
        <v>4.2060147443273965E-2</v>
      </c>
    </row>
    <row r="546" spans="1:25" x14ac:dyDescent="0.25">
      <c r="A546" s="879"/>
      <c r="B546" s="1133">
        <v>296</v>
      </c>
      <c r="C546" s="883">
        <v>0.98609421490573823</v>
      </c>
      <c r="D546" s="883">
        <v>1.0409100143013168</v>
      </c>
      <c r="E546" s="883">
        <v>1.0201299645330251</v>
      </c>
      <c r="F546" s="883">
        <v>1.0169200466615163</v>
      </c>
      <c r="G546" s="883">
        <v>1.0458037762824415</v>
      </c>
      <c r="H546" s="883">
        <v>0.99709391094151778</v>
      </c>
      <c r="I546" s="883">
        <v>1.0183156981362549</v>
      </c>
      <c r="K546">
        <v>6.7533600732311951</v>
      </c>
      <c r="L546">
        <v>0</v>
      </c>
      <c r="M546">
        <v>1.0178629801760736E-2</v>
      </c>
      <c r="N546">
        <v>0.19550883037037714</v>
      </c>
      <c r="O546">
        <v>0.12135672629168291</v>
      </c>
      <c r="P546">
        <v>8.4537080080119245E-2</v>
      </c>
      <c r="Q546">
        <v>0</v>
      </c>
      <c r="R546">
        <v>1.0178629801760736E-2</v>
      </c>
      <c r="S546">
        <v>0.27817519385566397</v>
      </c>
      <c r="T546">
        <v>5.9119045342357612</v>
      </c>
      <c r="U546">
        <v>0</v>
      </c>
      <c r="V546">
        <v>1.9231971839440629E-2</v>
      </c>
      <c r="W546">
        <v>0.10188284130630598</v>
      </c>
      <c r="X546">
        <v>-1.1508905432461812E-3</v>
      </c>
      <c r="Y546">
        <v>4.1913785795084361E-2</v>
      </c>
    </row>
    <row r="547" spans="1:25" x14ac:dyDescent="0.25">
      <c r="A547" s="879"/>
      <c r="B547" s="1133">
        <v>297</v>
      </c>
      <c r="C547" s="883">
        <v>0.96263211855131725</v>
      </c>
      <c r="D547" s="883">
        <v>0.98358603201628236</v>
      </c>
      <c r="E547" s="883">
        <v>0.96634795992761624</v>
      </c>
      <c r="F547" s="883">
        <v>0.983933545044547</v>
      </c>
      <c r="G547" s="883">
        <v>0.99145116077040552</v>
      </c>
      <c r="H547" s="883">
        <v>1.0231626688636932</v>
      </c>
      <c r="I547" s="883">
        <v>0.99995776205095743</v>
      </c>
      <c r="K547">
        <v>6.7807713259967128</v>
      </c>
      <c r="L547">
        <v>0</v>
      </c>
      <c r="M547">
        <v>1.1488865404385219E-2</v>
      </c>
      <c r="N547">
        <v>0.2037668420603613</v>
      </c>
      <c r="O547">
        <v>0.12821382982765936</v>
      </c>
      <c r="P547">
        <v>8.1229027082420968E-2</v>
      </c>
      <c r="Q547">
        <v>0</v>
      </c>
      <c r="R547">
        <v>1.1488865404385219E-2</v>
      </c>
      <c r="S547">
        <v>0.28285616853082468</v>
      </c>
      <c r="T547">
        <v>5.9131237426096321</v>
      </c>
      <c r="U547">
        <v>0</v>
      </c>
      <c r="V547">
        <v>1.9366717285401944E-2</v>
      </c>
      <c r="W547">
        <v>0.10906879522973646</v>
      </c>
      <c r="X547">
        <v>-4.16289942277166E-3</v>
      </c>
      <c r="Y547">
        <v>4.7309102793448549E-2</v>
      </c>
    </row>
    <row r="548" spans="1:25" x14ac:dyDescent="0.25">
      <c r="A548" s="879"/>
      <c r="B548" s="1133">
        <v>298</v>
      </c>
      <c r="C548" s="883">
        <v>1.0019392087878576</v>
      </c>
      <c r="D548" s="883">
        <v>0.97780648519807323</v>
      </c>
      <c r="E548" s="883">
        <v>1.0040269651706422</v>
      </c>
      <c r="F548" s="883">
        <v>1.0060288963038637</v>
      </c>
      <c r="G548" s="883">
        <v>0.97157767961916575</v>
      </c>
      <c r="H548" s="883">
        <v>1.0060323462178065</v>
      </c>
      <c r="I548" s="883">
        <v>1.0379152426439988</v>
      </c>
      <c r="K548">
        <v>6.760800548727425</v>
      </c>
      <c r="L548">
        <v>0</v>
      </c>
      <c r="M548">
        <v>1.0529041181050015E-2</v>
      </c>
      <c r="N548">
        <v>0.197476074380217</v>
      </c>
      <c r="O548">
        <v>0.12276867597220385</v>
      </c>
      <c r="P548">
        <v>8.3560228225240021E-2</v>
      </c>
      <c r="Q548">
        <v>0</v>
      </c>
      <c r="R548">
        <v>1.0529041181050015E-2</v>
      </c>
      <c r="S548">
        <v>0.28052379101197095</v>
      </c>
      <c r="T548">
        <v>5.9122319490245392</v>
      </c>
      <c r="U548">
        <v>0</v>
      </c>
      <c r="V548">
        <v>1.9144542271187417E-2</v>
      </c>
      <c r="W548">
        <v>0.10373020782966308</v>
      </c>
      <c r="X548">
        <v>-1.9916374716908943E-3</v>
      </c>
      <c r="Y548">
        <v>4.3356717484097189E-2</v>
      </c>
    </row>
    <row r="549" spans="1:25" x14ac:dyDescent="0.25">
      <c r="A549" s="879"/>
      <c r="B549" s="1133">
        <v>299</v>
      </c>
      <c r="C549" s="883">
        <v>1.0014562342804996</v>
      </c>
      <c r="D549" s="883">
        <v>1.0244612526849208</v>
      </c>
      <c r="E549" s="883">
        <v>0.99346306688883435</v>
      </c>
      <c r="F549" s="883">
        <v>1.029842142513169</v>
      </c>
      <c r="G549" s="883">
        <v>1.0042946804959096</v>
      </c>
      <c r="H549" s="883">
        <v>0.9996536385557242</v>
      </c>
      <c r="I549" s="883">
        <v>0.9866111634674577</v>
      </c>
      <c r="K549">
        <v>6.7359658586851854</v>
      </c>
      <c r="L549">
        <v>0</v>
      </c>
      <c r="M549">
        <v>1.0355547990704712E-2</v>
      </c>
      <c r="N549">
        <v>0.19120590937553542</v>
      </c>
      <c r="O549">
        <v>0.12075472785756684</v>
      </c>
      <c r="P549">
        <v>8.2722775301553086E-2</v>
      </c>
      <c r="Q549">
        <v>0</v>
      </c>
      <c r="R549">
        <v>1.0355547990704712E-2</v>
      </c>
      <c r="S549">
        <v>0.26571211837985942</v>
      </c>
      <c r="T549">
        <v>5.914112015056169</v>
      </c>
      <c r="U549">
        <v>0</v>
      </c>
      <c r="V549">
        <v>1.9147166350168512E-2</v>
      </c>
      <c r="W549">
        <v>0.10096520266160335</v>
      </c>
      <c r="X549">
        <v>-1.2963597041635395E-3</v>
      </c>
      <c r="Y549">
        <v>4.2642303406891943E-2</v>
      </c>
    </row>
    <row r="550" spans="1:25" x14ac:dyDescent="0.25">
      <c r="A550" s="879"/>
      <c r="B550" s="1133">
        <v>300</v>
      </c>
      <c r="C550" s="883">
        <v>1.0184897799124162</v>
      </c>
      <c r="D550" s="883">
        <v>0.99100727413436174</v>
      </c>
      <c r="E550" s="883">
        <v>0.98250404165763328</v>
      </c>
      <c r="F550" s="883">
        <v>1.0062384032799421</v>
      </c>
      <c r="G550" s="883">
        <v>1.0231134515822398</v>
      </c>
      <c r="H550" s="883">
        <v>0.98366560595057995</v>
      </c>
      <c r="I550" s="883">
        <v>0.9725993880826207</v>
      </c>
      <c r="K550">
        <v>6.7181858272628441</v>
      </c>
      <c r="L550">
        <v>0</v>
      </c>
      <c r="M550">
        <v>1.0260595004345193E-2</v>
      </c>
      <c r="N550">
        <v>0.18639894933837534</v>
      </c>
      <c r="O550">
        <v>0.1205237087487246</v>
      </c>
      <c r="P550">
        <v>8.1900297271199421E-2</v>
      </c>
      <c r="Q550">
        <v>0</v>
      </c>
      <c r="R550">
        <v>1.0260595004345193E-2</v>
      </c>
      <c r="S550">
        <v>0.25640565562836676</v>
      </c>
      <c r="T550">
        <v>5.9134448814621488</v>
      </c>
      <c r="U550">
        <v>0</v>
      </c>
      <c r="V550">
        <v>1.9056124211867843E-2</v>
      </c>
      <c r="W550">
        <v>9.8966727433930146E-2</v>
      </c>
      <c r="X550">
        <v>-7.6182074183411689E-4</v>
      </c>
      <c r="Y550">
        <v>4.2251303910064986E-2</v>
      </c>
    </row>
    <row r="551" spans="1:25" x14ac:dyDescent="0.25">
      <c r="A551" s="879"/>
      <c r="B551" s="1133">
        <v>301</v>
      </c>
      <c r="C551" s="883">
        <v>0.97187925341190018</v>
      </c>
      <c r="D551" s="883">
        <v>0.996040525934209</v>
      </c>
      <c r="E551" s="883">
        <v>0.98762327777390091</v>
      </c>
      <c r="F551" s="883">
        <v>0.95342589441681325</v>
      </c>
      <c r="G551" s="883">
        <v>1.0115653458611003</v>
      </c>
      <c r="H551" s="883">
        <v>1.0066426004317268</v>
      </c>
      <c r="I551" s="883">
        <v>0.99718729257298411</v>
      </c>
      <c r="K551">
        <v>6.7639054424061245</v>
      </c>
      <c r="L551">
        <v>0</v>
      </c>
      <c r="M551">
        <v>1.0931081811087222E-2</v>
      </c>
      <c r="N551">
        <v>0.20009278068596245</v>
      </c>
      <c r="O551">
        <v>0.12595009339588292</v>
      </c>
      <c r="P551">
        <v>8.2466130771010754E-2</v>
      </c>
      <c r="Q551">
        <v>0</v>
      </c>
      <c r="R551">
        <v>1.0931081811087222E-2</v>
      </c>
      <c r="S551">
        <v>0.27768104153712181</v>
      </c>
      <c r="T551">
        <v>5.9103067313526587</v>
      </c>
      <c r="U551">
        <v>0</v>
      </c>
      <c r="V551">
        <v>1.9312833192891898E-2</v>
      </c>
      <c r="W551">
        <v>0.10596593256587876</v>
      </c>
      <c r="X551">
        <v>-2.8823503333090762E-3</v>
      </c>
      <c r="Y551">
        <v>4.501224923802593E-2</v>
      </c>
    </row>
    <row r="552" spans="1:25" x14ac:dyDescent="0.25">
      <c r="A552" s="879"/>
      <c r="B552" s="1133">
        <v>302</v>
      </c>
      <c r="C552" s="883">
        <v>1.0182080423872588</v>
      </c>
      <c r="D552" s="883">
        <v>1.0125067642863046</v>
      </c>
      <c r="E552" s="883">
        <v>1.0227335456276208</v>
      </c>
      <c r="F552" s="883">
        <v>1.0332339277814759</v>
      </c>
      <c r="G552" s="883">
        <v>0.96200525877024201</v>
      </c>
      <c r="H552" s="883">
        <v>1.0209969567985968</v>
      </c>
      <c r="I552" s="883">
        <v>0.99218971566779168</v>
      </c>
      <c r="K552">
        <v>6.739164746030097</v>
      </c>
      <c r="L552">
        <v>0</v>
      </c>
      <c r="M552">
        <v>1.0190859152015423E-2</v>
      </c>
      <c r="N552">
        <v>0.19649899995270864</v>
      </c>
      <c r="O552">
        <v>0.11878888170999997</v>
      </c>
      <c r="P552">
        <v>8.4527480468636326E-2</v>
      </c>
      <c r="Q552">
        <v>0</v>
      </c>
      <c r="R552">
        <v>1.0190859152015423E-2</v>
      </c>
      <c r="S552">
        <v>0.26492646832514416</v>
      </c>
      <c r="T552">
        <v>5.9126364287424451</v>
      </c>
      <c r="U552">
        <v>0</v>
      </c>
      <c r="V552">
        <v>1.9057605288527416E-2</v>
      </c>
      <c r="W552">
        <v>0.10226766849182878</v>
      </c>
      <c r="X552">
        <v>-1.5029310318783223E-3</v>
      </c>
      <c r="Y552">
        <v>4.1964144082689975E-2</v>
      </c>
    </row>
    <row r="553" spans="1:25" x14ac:dyDescent="0.25">
      <c r="A553" s="879"/>
      <c r="B553" s="1133">
        <v>303</v>
      </c>
      <c r="C553" s="883">
        <v>1.0143384653530128</v>
      </c>
      <c r="D553" s="883">
        <v>1.005293032924498</v>
      </c>
      <c r="E553" s="883">
        <v>1.0171291547907886</v>
      </c>
      <c r="F553" s="883">
        <v>0.98558134786402918</v>
      </c>
      <c r="G553" s="883">
        <v>1.0187883247551066</v>
      </c>
      <c r="H553" s="883">
        <v>1.0251005874063952</v>
      </c>
      <c r="I553" s="883">
        <v>1.0208770590397052</v>
      </c>
      <c r="K553">
        <v>6.7495356938335211</v>
      </c>
      <c r="L553">
        <v>0</v>
      </c>
      <c r="M553">
        <v>1.0353015380486457E-2</v>
      </c>
      <c r="N553">
        <v>0.19797751076562994</v>
      </c>
      <c r="O553">
        <v>0.11968787147903437</v>
      </c>
      <c r="P553">
        <v>8.4270451482781242E-2</v>
      </c>
      <c r="Q553">
        <v>0</v>
      </c>
      <c r="R553">
        <v>1.0353015380486457E-2</v>
      </c>
      <c r="S553">
        <v>0.27408132197145091</v>
      </c>
      <c r="T553">
        <v>5.9103831383650034</v>
      </c>
      <c r="U553">
        <v>0</v>
      </c>
      <c r="V553">
        <v>1.9078030667345647E-2</v>
      </c>
      <c r="W553">
        <v>0.10332201187476497</v>
      </c>
      <c r="X553">
        <v>-1.8965173412925597E-3</v>
      </c>
      <c r="Y553">
        <v>4.2631874568801006E-2</v>
      </c>
    </row>
    <row r="554" spans="1:25" x14ac:dyDescent="0.25">
      <c r="A554" s="879"/>
      <c r="B554" s="1133">
        <v>304</v>
      </c>
      <c r="C554" s="883">
        <v>0.98712631928763095</v>
      </c>
      <c r="D554" s="883">
        <v>0.97062620452841863</v>
      </c>
      <c r="E554" s="883">
        <v>0.9968343876374397</v>
      </c>
      <c r="F554" s="883">
        <v>1.0003476440977912</v>
      </c>
      <c r="G554" s="883">
        <v>0.96250288894011893</v>
      </c>
      <c r="H554" s="883">
        <v>1.0275034221406993</v>
      </c>
      <c r="I554" s="883">
        <v>0.98551445109434277</v>
      </c>
      <c r="K554">
        <v>6.7662605626442325</v>
      </c>
      <c r="L554">
        <v>0</v>
      </c>
      <c r="M554">
        <v>1.1018691921218052E-2</v>
      </c>
      <c r="N554">
        <v>0.20446931882968161</v>
      </c>
      <c r="O554">
        <v>0.12511707306493361</v>
      </c>
      <c r="P554">
        <v>8.3002299551669129E-2</v>
      </c>
      <c r="Q554">
        <v>0</v>
      </c>
      <c r="R554">
        <v>1.1018691921218052E-2</v>
      </c>
      <c r="S554">
        <v>0.27247302847112559</v>
      </c>
      <c r="T554">
        <v>5.9123293303837805</v>
      </c>
      <c r="U554">
        <v>0</v>
      </c>
      <c r="V554">
        <v>1.9226191431080345E-2</v>
      </c>
      <c r="W554">
        <v>0.10778789084455047</v>
      </c>
      <c r="X554">
        <v>-3.5175820101189586E-3</v>
      </c>
      <c r="Y554">
        <v>4.5373012077526413E-2</v>
      </c>
    </row>
    <row r="555" spans="1:25" x14ac:dyDescent="0.25">
      <c r="A555" s="879"/>
      <c r="B555" s="1133">
        <v>305</v>
      </c>
      <c r="C555" s="883">
        <v>0.96359329074563027</v>
      </c>
      <c r="D555" s="883">
        <v>0.96488516408360836</v>
      </c>
      <c r="E555" s="883">
        <v>0.98111129995871682</v>
      </c>
      <c r="F555" s="883">
        <v>0.99590779826363007</v>
      </c>
      <c r="G555" s="883">
        <v>1.0076388393218549</v>
      </c>
      <c r="H555" s="883">
        <v>0.98647214618250856</v>
      </c>
      <c r="I555" s="883">
        <v>1.0304090126311944</v>
      </c>
      <c r="K555">
        <v>6.7793933266365931</v>
      </c>
      <c r="L555">
        <v>0</v>
      </c>
      <c r="M555">
        <v>1.1014717081520855E-2</v>
      </c>
      <c r="N555">
        <v>0.19968569886439183</v>
      </c>
      <c r="O555">
        <v>0.12878572520896772</v>
      </c>
      <c r="P555">
        <v>8.2223579815769957E-2</v>
      </c>
      <c r="Q555">
        <v>0</v>
      </c>
      <c r="R555">
        <v>1.1014717081520855E-2</v>
      </c>
      <c r="S555">
        <v>0.28769058574660816</v>
      </c>
      <c r="T555">
        <v>5.9129632843835926</v>
      </c>
      <c r="U555">
        <v>0</v>
      </c>
      <c r="V555">
        <v>1.9361068265247455E-2</v>
      </c>
      <c r="W555">
        <v>0.10609510519108428</v>
      </c>
      <c r="X555">
        <v>-2.7683652342136394E-3</v>
      </c>
      <c r="Y555">
        <v>4.5356644395148457E-2</v>
      </c>
    </row>
    <row r="556" spans="1:25" x14ac:dyDescent="0.25">
      <c r="A556" s="879"/>
      <c r="B556" s="1133">
        <v>306</v>
      </c>
      <c r="C556" s="883">
        <v>0.98316680308224147</v>
      </c>
      <c r="D556" s="883">
        <v>0.99043170766921707</v>
      </c>
      <c r="E556" s="883">
        <v>1.0039020331052368</v>
      </c>
      <c r="F556" s="883">
        <v>0.96697697527366167</v>
      </c>
      <c r="G556" s="883">
        <v>1.0297982074899639</v>
      </c>
      <c r="H556" s="883">
        <v>0.9761912503593938</v>
      </c>
      <c r="I556" s="883">
        <v>1.0042419043902275</v>
      </c>
      <c r="K556">
        <v>6.7484537709667194</v>
      </c>
      <c r="L556">
        <v>0</v>
      </c>
      <c r="M556">
        <v>1.0355844167034757E-2</v>
      </c>
      <c r="N556">
        <v>0.19419176544744107</v>
      </c>
      <c r="O556">
        <v>0.12447480159274213</v>
      </c>
      <c r="P556">
        <v>8.3432229741295175E-2</v>
      </c>
      <c r="Q556">
        <v>0</v>
      </c>
      <c r="R556">
        <v>1.0355844167034757E-2</v>
      </c>
      <c r="S556">
        <v>0.27357969771055762</v>
      </c>
      <c r="T556">
        <v>5.9101286578646199</v>
      </c>
      <c r="U556">
        <v>0</v>
      </c>
      <c r="V556">
        <v>1.9248433143866147E-2</v>
      </c>
      <c r="W556">
        <v>0.10201134534546619</v>
      </c>
      <c r="X556">
        <v>-1.2566828875777006E-3</v>
      </c>
      <c r="Y556">
        <v>4.264352300830164E-2</v>
      </c>
    </row>
    <row r="557" spans="1:25" x14ac:dyDescent="0.25">
      <c r="A557" s="879"/>
      <c r="B557" s="1133">
        <v>307</v>
      </c>
      <c r="C557" s="883">
        <v>0.99491213120654998</v>
      </c>
      <c r="D557" s="883">
        <v>1.0000791596846872</v>
      </c>
      <c r="E557" s="883">
        <v>0.97161198686820271</v>
      </c>
      <c r="F557" s="883">
        <v>1.010119226812646</v>
      </c>
      <c r="G557" s="883">
        <v>0.96839299039641547</v>
      </c>
      <c r="H557" s="883">
        <v>1.0322158235532126</v>
      </c>
      <c r="I557" s="883">
        <v>0.99054712947745571</v>
      </c>
      <c r="K557">
        <v>6.7560733620266866</v>
      </c>
      <c r="L557">
        <v>0</v>
      </c>
      <c r="M557">
        <v>1.1083936672992416E-2</v>
      </c>
      <c r="N557">
        <v>0.19812764630281052</v>
      </c>
      <c r="O557">
        <v>0.12313384923023113</v>
      </c>
      <c r="P557">
        <v>8.1428992520395774E-2</v>
      </c>
      <c r="Q557">
        <v>0</v>
      </c>
      <c r="R557">
        <v>1.1083936672992416E-2</v>
      </c>
      <c r="S557">
        <v>0.27177689229492508</v>
      </c>
      <c r="T557">
        <v>5.9142529166557809</v>
      </c>
      <c r="U557">
        <v>0</v>
      </c>
      <c r="V557">
        <v>1.9182972652251367E-2</v>
      </c>
      <c r="W557">
        <v>0.10576993073882054</v>
      </c>
      <c r="X557">
        <v>-3.2415167207261622E-3</v>
      </c>
      <c r="Y557">
        <v>4.5641678352200343E-2</v>
      </c>
    </row>
    <row r="558" spans="1:25" x14ac:dyDescent="0.25">
      <c r="A558" s="879"/>
      <c r="B558" s="1133">
        <v>308</v>
      </c>
      <c r="C558" s="883">
        <v>1.0129765175609882</v>
      </c>
      <c r="D558" s="883">
        <v>1.0229923796619449</v>
      </c>
      <c r="E558" s="883">
        <v>1.0040758073705778</v>
      </c>
      <c r="F558" s="883">
        <v>0.99823611495838627</v>
      </c>
      <c r="G558" s="883">
        <v>1.0094258470007682</v>
      </c>
      <c r="H558" s="883">
        <v>1.0188501402116261</v>
      </c>
      <c r="I558" s="883">
        <v>0.99780528407932989</v>
      </c>
      <c r="K558">
        <v>6.7379287750330361</v>
      </c>
      <c r="L558">
        <v>0</v>
      </c>
      <c r="M558">
        <v>1.0344448342720058E-2</v>
      </c>
      <c r="N558">
        <v>0.19402800211671076</v>
      </c>
      <c r="O558">
        <v>0.11925552140723072</v>
      </c>
      <c r="P558">
        <v>8.3381346375710028E-2</v>
      </c>
      <c r="Q558">
        <v>0</v>
      </c>
      <c r="R558">
        <v>1.0344448342720058E-2</v>
      </c>
      <c r="S558">
        <v>0.2674671955650208</v>
      </c>
      <c r="T558">
        <v>5.9118080772285051</v>
      </c>
      <c r="U558">
        <v>0</v>
      </c>
      <c r="V558">
        <v>1.9085256771685283E-2</v>
      </c>
      <c r="W558">
        <v>0.10191653676042003</v>
      </c>
      <c r="X558">
        <v>-1.6097582244046843E-3</v>
      </c>
      <c r="Y558">
        <v>4.259659703215482E-2</v>
      </c>
    </row>
    <row r="559" spans="1:25" x14ac:dyDescent="0.25">
      <c r="A559" s="879"/>
      <c r="B559" s="1133">
        <v>309</v>
      </c>
      <c r="C559" s="883">
        <v>0.98765628405788952</v>
      </c>
      <c r="D559" s="883">
        <v>0.99290825648609438</v>
      </c>
      <c r="E559" s="883">
        <v>1.0203170921954663</v>
      </c>
      <c r="F559" s="883">
        <v>0.98624421135069162</v>
      </c>
      <c r="G559" s="883">
        <v>0.99759545939711192</v>
      </c>
      <c r="H559" s="883">
        <v>0.97863637568589723</v>
      </c>
      <c r="I559" s="883">
        <v>0.98396080291382992</v>
      </c>
      <c r="K559">
        <v>6.7426252050862994</v>
      </c>
      <c r="L559">
        <v>0</v>
      </c>
      <c r="M559">
        <v>1.0176368605319248E-2</v>
      </c>
      <c r="N559">
        <v>0.19551951237589807</v>
      </c>
      <c r="O559">
        <v>0.12347113033314451</v>
      </c>
      <c r="P559">
        <v>8.4374993995771683E-2</v>
      </c>
      <c r="Q559">
        <v>0</v>
      </c>
      <c r="R559">
        <v>1.0176368605319248E-2</v>
      </c>
      <c r="S559">
        <v>0.26707141137425561</v>
      </c>
      <c r="T559">
        <v>5.9102365339498029</v>
      </c>
      <c r="U559">
        <v>0</v>
      </c>
      <c r="V559">
        <v>1.9223228002406324E-2</v>
      </c>
      <c r="W559">
        <v>0.10187901731216399</v>
      </c>
      <c r="X559">
        <v>-1.0550968477623759E-3</v>
      </c>
      <c r="Y559">
        <v>4.1904474590616289E-2</v>
      </c>
    </row>
    <row r="560" spans="1:25" x14ac:dyDescent="0.25">
      <c r="A560" s="879"/>
      <c r="B560" s="1133">
        <v>310</v>
      </c>
      <c r="C560" s="883">
        <v>0.96420206314713341</v>
      </c>
      <c r="D560" s="883">
        <v>1.0204440299400772</v>
      </c>
      <c r="E560" s="883">
        <v>1.0090535299581276</v>
      </c>
      <c r="F560" s="883">
        <v>1.022302045756065</v>
      </c>
      <c r="G560" s="883">
        <v>1.0129565878975939</v>
      </c>
      <c r="H560" s="883">
        <v>0.9853384592330926</v>
      </c>
      <c r="I560" s="883">
        <v>1.0023849249676453</v>
      </c>
      <c r="K560">
        <v>6.7635034172138253</v>
      </c>
      <c r="L560">
        <v>0</v>
      </c>
      <c r="M560">
        <v>1.0475808316926251E-2</v>
      </c>
      <c r="N560">
        <v>0.1979455424000908</v>
      </c>
      <c r="O560">
        <v>0.12531689299672077</v>
      </c>
      <c r="P560">
        <v>8.386758962144239E-2</v>
      </c>
      <c r="Q560">
        <v>0</v>
      </c>
      <c r="R560">
        <v>1.0475808316926251E-2</v>
      </c>
      <c r="S560">
        <v>0.27906622314544227</v>
      </c>
      <c r="T560">
        <v>5.9128269305741465</v>
      </c>
      <c r="U560">
        <v>0</v>
      </c>
      <c r="V560">
        <v>1.9357496201730579E-2</v>
      </c>
      <c r="W560">
        <v>0.10371826074253696</v>
      </c>
      <c r="X560">
        <v>-1.7330324930166965E-3</v>
      </c>
      <c r="Y560">
        <v>4.3137514024732142E-2</v>
      </c>
    </row>
    <row r="561" spans="1:25" x14ac:dyDescent="0.25">
      <c r="A561" s="879"/>
      <c r="B561" s="1133">
        <v>311</v>
      </c>
      <c r="C561" s="883">
        <v>0.97461275709664008</v>
      </c>
      <c r="D561" s="883">
        <v>1.0193778840928447</v>
      </c>
      <c r="E561" s="883">
        <v>0.97541947233996862</v>
      </c>
      <c r="F561" s="883">
        <v>1.0215285114360615</v>
      </c>
      <c r="G561" s="883">
        <v>0.99774337107581523</v>
      </c>
      <c r="H561" s="883">
        <v>0.97905621931155962</v>
      </c>
      <c r="I561" s="883">
        <v>1.022665351416062</v>
      </c>
      <c r="K561">
        <v>6.7559926415603684</v>
      </c>
      <c r="L561">
        <v>0</v>
      </c>
      <c r="M561">
        <v>1.0609365204119333E-2</v>
      </c>
      <c r="N561">
        <v>0.19071945294309872</v>
      </c>
      <c r="O561">
        <v>0.12466944671966516</v>
      </c>
      <c r="P561">
        <v>8.1797390541465814E-2</v>
      </c>
      <c r="Q561">
        <v>0</v>
      </c>
      <c r="R561">
        <v>1.0609365204119333E-2</v>
      </c>
      <c r="S561">
        <v>0.28100436600604878</v>
      </c>
      <c r="T561">
        <v>5.9146613790099609</v>
      </c>
      <c r="U561">
        <v>0</v>
      </c>
      <c r="V561">
        <v>1.9297100563889155E-2</v>
      </c>
      <c r="W561">
        <v>0.10162065158500178</v>
      </c>
      <c r="X561">
        <v>-1.4646233227233387E-3</v>
      </c>
      <c r="Y561">
        <v>4.3687477513953528E-2</v>
      </c>
    </row>
    <row r="562" spans="1:25" x14ac:dyDescent="0.25">
      <c r="A562" s="879"/>
      <c r="B562" s="1133">
        <v>312</v>
      </c>
      <c r="C562" s="883">
        <v>0.98892439119819675</v>
      </c>
      <c r="D562" s="883">
        <v>0.99579453015855568</v>
      </c>
      <c r="E562" s="883">
        <v>0.98944610851148618</v>
      </c>
      <c r="F562" s="883">
        <v>0.96431094021020369</v>
      </c>
      <c r="G562" s="883">
        <v>1.0048563422546946</v>
      </c>
      <c r="H562" s="883">
        <v>0.96989023779310035</v>
      </c>
      <c r="I562" s="883">
        <v>0.97466584210548768</v>
      </c>
      <c r="K562">
        <v>6.7311572337428842</v>
      </c>
      <c r="L562">
        <v>0</v>
      </c>
      <c r="M562">
        <v>1.0335105547937672E-2</v>
      </c>
      <c r="N562">
        <v>0.18969548576816614</v>
      </c>
      <c r="O562">
        <v>0.12375703596382213</v>
      </c>
      <c r="P562">
        <v>8.2395220067271499E-2</v>
      </c>
      <c r="Q562">
        <v>0</v>
      </c>
      <c r="R562">
        <v>1.0335105547937672E-2</v>
      </c>
      <c r="S562">
        <v>0.26331673517310589</v>
      </c>
      <c r="T562">
        <v>5.9107938823712649</v>
      </c>
      <c r="U562">
        <v>0</v>
      </c>
      <c r="V562">
        <v>1.9216149961487929E-2</v>
      </c>
      <c r="W562">
        <v>0.10036836202617962</v>
      </c>
      <c r="X562">
        <v>-9.437626546137521E-4</v>
      </c>
      <c r="Y562">
        <v>4.255812506619646E-2</v>
      </c>
    </row>
    <row r="563" spans="1:25" x14ac:dyDescent="0.25">
      <c r="A563" s="879"/>
      <c r="B563" s="1133">
        <v>313</v>
      </c>
      <c r="C563" s="883">
        <v>0.97371063904962762</v>
      </c>
      <c r="D563" s="883">
        <v>1.0192898880887582</v>
      </c>
      <c r="E563" s="883">
        <v>0.99156234534217202</v>
      </c>
      <c r="F563" s="883">
        <v>1.0079578022889875</v>
      </c>
      <c r="G563" s="883">
        <v>1.0178208466769494</v>
      </c>
      <c r="H563" s="883">
        <v>0.9987664841549182</v>
      </c>
      <c r="I563" s="883">
        <v>1.017784144687143</v>
      </c>
      <c r="K563">
        <v>6.7639923134579245</v>
      </c>
      <c r="L563">
        <v>0</v>
      </c>
      <c r="M563">
        <v>1.0681953086484243E-2</v>
      </c>
      <c r="N563">
        <v>0.19667777639440184</v>
      </c>
      <c r="O563">
        <v>0.12448342804208271</v>
      </c>
      <c r="P563">
        <v>8.2806221848167855E-2</v>
      </c>
      <c r="Q563">
        <v>0</v>
      </c>
      <c r="R563">
        <v>1.0681953086484243E-2</v>
      </c>
      <c r="S563">
        <v>0.28187788972292005</v>
      </c>
      <c r="T563">
        <v>5.9130352442696434</v>
      </c>
      <c r="U563">
        <v>0</v>
      </c>
      <c r="V563">
        <v>1.9302282921818188E-2</v>
      </c>
      <c r="W563">
        <v>0.10395297300952296</v>
      </c>
      <c r="X563">
        <v>-2.1298842440101843E-3</v>
      </c>
      <c r="Y563">
        <v>4.3986381493370801E-2</v>
      </c>
    </row>
    <row r="564" spans="1:25" x14ac:dyDescent="0.25">
      <c r="A564" s="879"/>
      <c r="B564" s="1133">
        <v>314</v>
      </c>
      <c r="C564" s="883">
        <v>1.0273317745926491</v>
      </c>
      <c r="D564" s="883">
        <v>1.0005768475412371</v>
      </c>
      <c r="E564" s="883">
        <v>0.97398422238721671</v>
      </c>
      <c r="F564" s="883">
        <v>1.0208557324155392</v>
      </c>
      <c r="G564" s="883">
        <v>1.0087431512860536</v>
      </c>
      <c r="H564" s="883">
        <v>1.000933097664821</v>
      </c>
      <c r="I564" s="883">
        <v>1.0005522209029543</v>
      </c>
      <c r="K564">
        <v>6.7246530093768397</v>
      </c>
      <c r="L564">
        <v>0</v>
      </c>
      <c r="M564">
        <v>1.0385149011795143E-2</v>
      </c>
      <c r="N564">
        <v>0.18629154864292033</v>
      </c>
      <c r="O564">
        <v>0.11918168395437789</v>
      </c>
      <c r="P564">
        <v>8.1466860082579196E-2</v>
      </c>
      <c r="Q564">
        <v>0</v>
      </c>
      <c r="R564">
        <v>1.0385149011795143E-2</v>
      </c>
      <c r="S564">
        <v>0.26298655203445137</v>
      </c>
      <c r="T564">
        <v>5.9147036601864666</v>
      </c>
      <c r="U564">
        <v>0</v>
      </c>
      <c r="V564">
        <v>1.9010055200323246E-2</v>
      </c>
      <c r="W564">
        <v>9.9332854479060165E-2</v>
      </c>
      <c r="X564">
        <v>-1.0844003462974359E-3</v>
      </c>
      <c r="Y564">
        <v>4.2764195142956991E-2</v>
      </c>
    </row>
    <row r="565" spans="1:25" x14ac:dyDescent="0.25">
      <c r="A565" s="879"/>
      <c r="B565" s="1133">
        <v>315</v>
      </c>
      <c r="C565" s="883">
        <v>1.002591552751122</v>
      </c>
      <c r="D565" s="883">
        <v>0.97149530776616477</v>
      </c>
      <c r="E565" s="883">
        <v>1.041655425152781</v>
      </c>
      <c r="F565" s="883">
        <v>0.98501230071945423</v>
      </c>
      <c r="G565" s="883">
        <v>0.98833684618736584</v>
      </c>
      <c r="H565" s="883">
        <v>1.0059357683417025</v>
      </c>
      <c r="I565" s="883">
        <v>1.0335617225851021</v>
      </c>
      <c r="K565">
        <v>6.7626345265826924</v>
      </c>
      <c r="L565">
        <v>0</v>
      </c>
      <c r="M565">
        <v>1.0208437571941429E-2</v>
      </c>
      <c r="N565">
        <v>0.20242035549948584</v>
      </c>
      <c r="O565">
        <v>0.12228781613400729</v>
      </c>
      <c r="P565">
        <v>8.5859375884584574E-2</v>
      </c>
      <c r="Q565">
        <v>0</v>
      </c>
      <c r="R565">
        <v>1.0208437571941429E-2</v>
      </c>
      <c r="S565">
        <v>0.279296111377973</v>
      </c>
      <c r="T565">
        <v>5.9089347042082494</v>
      </c>
      <c r="U565">
        <v>0</v>
      </c>
      <c r="V565">
        <v>1.9141001993927716E-2</v>
      </c>
      <c r="W565">
        <v>0.10437688162755673</v>
      </c>
      <c r="X565">
        <v>-1.7182490301985136E-3</v>
      </c>
      <c r="Y565">
        <v>4.2036528887103165E-2</v>
      </c>
    </row>
    <row r="566" spans="1:25" x14ac:dyDescent="0.25">
      <c r="A566" s="879"/>
      <c r="B566" s="1133">
        <v>316</v>
      </c>
      <c r="C566" s="883">
        <v>0.98517294784341702</v>
      </c>
      <c r="D566" s="883">
        <v>0.97725713462984731</v>
      </c>
      <c r="E566" s="883">
        <v>0.97441098369469203</v>
      </c>
      <c r="F566" s="883">
        <v>1.0208588083208356</v>
      </c>
      <c r="G566" s="883">
        <v>1.0056070006427371</v>
      </c>
      <c r="H566" s="883">
        <v>0.95557885487498628</v>
      </c>
      <c r="I566" s="883">
        <v>0.98437181163121223</v>
      </c>
      <c r="K566">
        <v>6.7360788808373346</v>
      </c>
      <c r="L566">
        <v>0</v>
      </c>
      <c r="M566">
        <v>1.0439976404420797E-2</v>
      </c>
      <c r="N566">
        <v>0.18739372381285979</v>
      </c>
      <c r="O566">
        <v>0.12545165719102494</v>
      </c>
      <c r="P566">
        <v>8.1532555496977452E-2</v>
      </c>
      <c r="Q566">
        <v>0</v>
      </c>
      <c r="R566">
        <v>1.0439976404420797E-2</v>
      </c>
      <c r="S566">
        <v>0.26573680145314033</v>
      </c>
      <c r="T566">
        <v>5.9146804513675226</v>
      </c>
      <c r="U566">
        <v>0</v>
      </c>
      <c r="V566">
        <v>1.9237141722223666E-2</v>
      </c>
      <c r="W566">
        <v>9.9899147498293941E-2</v>
      </c>
      <c r="X566">
        <v>-8.4256229158745453E-4</v>
      </c>
      <c r="Y566">
        <v>4.2989964586877358E-2</v>
      </c>
    </row>
    <row r="567" spans="1:25" x14ac:dyDescent="0.25">
      <c r="A567" s="879"/>
      <c r="B567" s="1133">
        <v>317</v>
      </c>
      <c r="C567" s="883">
        <v>1.0211869448068938</v>
      </c>
      <c r="D567" s="883">
        <v>1.0128810130494978</v>
      </c>
      <c r="E567" s="883">
        <v>1.01538015349276</v>
      </c>
      <c r="F567" s="883">
        <v>0.97941925758427062</v>
      </c>
      <c r="G567" s="883">
        <v>0.97026214675747979</v>
      </c>
      <c r="H567" s="883">
        <v>0.9958926182441209</v>
      </c>
      <c r="I567" s="883">
        <v>0.98256982718287333</v>
      </c>
      <c r="K567">
        <v>6.7211316952506479</v>
      </c>
      <c r="L567">
        <v>0</v>
      </c>
      <c r="M567">
        <v>9.9737147823351704E-3</v>
      </c>
      <c r="N567">
        <v>0.1902313070970538</v>
      </c>
      <c r="O567">
        <v>0.11856032131785799</v>
      </c>
      <c r="P567">
        <v>8.3956910143238431E-2</v>
      </c>
      <c r="Q567">
        <v>0</v>
      </c>
      <c r="R567">
        <v>9.9737147823351704E-3</v>
      </c>
      <c r="S567">
        <v>0.25931172758507726</v>
      </c>
      <c r="T567">
        <v>5.9101500452957634</v>
      </c>
      <c r="U567">
        <v>0</v>
      </c>
      <c r="V567">
        <v>1.9041986744679766E-2</v>
      </c>
      <c r="W567">
        <v>9.9365065728932403E-2</v>
      </c>
      <c r="X567">
        <v>-5.556508805606515E-4</v>
      </c>
      <c r="Y567">
        <v>4.1069982218603682E-2</v>
      </c>
    </row>
    <row r="568" spans="1:25" x14ac:dyDescent="0.25">
      <c r="A568" s="879"/>
      <c r="B568" s="1133">
        <v>318</v>
      </c>
      <c r="C568" s="883">
        <v>1.0194772014309021</v>
      </c>
      <c r="D568" s="883">
        <v>0.9996531470119151</v>
      </c>
      <c r="E568" s="883">
        <v>1.0087134585336186</v>
      </c>
      <c r="F568" s="883">
        <v>0.98969416985007308</v>
      </c>
      <c r="G568" s="883">
        <v>0.96249719171836601</v>
      </c>
      <c r="H568" s="883">
        <v>1.0234933039274805</v>
      </c>
      <c r="I568" s="883">
        <v>1.006532156614711</v>
      </c>
      <c r="K568">
        <v>6.7419348253912545</v>
      </c>
      <c r="L568">
        <v>0</v>
      </c>
      <c r="M568">
        <v>1.0385668202575409E-2</v>
      </c>
      <c r="N568">
        <v>0.19614352182139033</v>
      </c>
      <c r="O568">
        <v>0.11950853388826771</v>
      </c>
      <c r="P568">
        <v>8.3679680115536739E-2</v>
      </c>
      <c r="Q568">
        <v>0</v>
      </c>
      <c r="R568">
        <v>1.0385668202575409E-2</v>
      </c>
      <c r="S568">
        <v>0.26876474948884649</v>
      </c>
      <c r="T568">
        <v>5.9110842418611327</v>
      </c>
      <c r="U568">
        <v>0</v>
      </c>
      <c r="V568">
        <v>1.9050939860418253E-2</v>
      </c>
      <c r="W568">
        <v>0.10279134551375964</v>
      </c>
      <c r="X568">
        <v>-1.8545202362749932E-3</v>
      </c>
      <c r="Y568">
        <v>4.2766333078177621E-2</v>
      </c>
    </row>
    <row r="569" spans="1:25" x14ac:dyDescent="0.25">
      <c r="A569" s="879"/>
      <c r="B569" s="1133">
        <v>319</v>
      </c>
      <c r="C569" s="883">
        <v>1.0378297083702877</v>
      </c>
      <c r="D569" s="883">
        <v>1.0303414394081494</v>
      </c>
      <c r="E569" s="883">
        <v>1.0193024328365334</v>
      </c>
      <c r="F569" s="883">
        <v>1.0090119963609119</v>
      </c>
      <c r="G569" s="883">
        <v>1.0060720132550289</v>
      </c>
      <c r="H569" s="883">
        <v>0.97163643931709986</v>
      </c>
      <c r="I569" s="883">
        <v>0.98509231184871648</v>
      </c>
      <c r="K569">
        <v>6.7004644891189917</v>
      </c>
      <c r="L569">
        <v>0</v>
      </c>
      <c r="M569">
        <v>9.472395074312686E-3</v>
      </c>
      <c r="N569">
        <v>0.18172103628412403</v>
      </c>
      <c r="O569">
        <v>0.11579368448198764</v>
      </c>
      <c r="P569">
        <v>8.4141113648018642E-2</v>
      </c>
      <c r="Q569">
        <v>0</v>
      </c>
      <c r="R569">
        <v>9.472395074312686E-3</v>
      </c>
      <c r="S569">
        <v>0.25352130405174261</v>
      </c>
      <c r="T569">
        <v>5.9115247114202374</v>
      </c>
      <c r="U569">
        <v>0</v>
      </c>
      <c r="V569">
        <v>1.8956377605141437E-2</v>
      </c>
      <c r="W569">
        <v>9.4736411479757768E-2</v>
      </c>
      <c r="X569">
        <v>1.0642132554352748E-3</v>
      </c>
      <c r="Y569">
        <v>3.9005636892548705E-2</v>
      </c>
    </row>
    <row r="570" spans="1:25" x14ac:dyDescent="0.25">
      <c r="A570" s="879"/>
      <c r="B570" s="1133">
        <v>320</v>
      </c>
      <c r="C570" s="883">
        <v>1.0236457670278221</v>
      </c>
      <c r="D570" s="883">
        <v>1.0033577281086326</v>
      </c>
      <c r="E570" s="883">
        <v>1.0141565677103506</v>
      </c>
      <c r="F570" s="883">
        <v>1.0025767508858394</v>
      </c>
      <c r="G570" s="883">
        <v>1.0092115186713486</v>
      </c>
      <c r="H570" s="883">
        <v>0.96213719081703675</v>
      </c>
      <c r="I570" s="883">
        <v>1.0128231332540323</v>
      </c>
      <c r="K570">
        <v>6.7173775086359813</v>
      </c>
      <c r="L570">
        <v>0</v>
      </c>
      <c r="M570">
        <v>9.6618131278941588E-3</v>
      </c>
      <c r="N570">
        <v>0.1839489388952322</v>
      </c>
      <c r="O570">
        <v>0.11874583279286487</v>
      </c>
      <c r="P570">
        <v>8.3956051760041991E-2</v>
      </c>
      <c r="Q570">
        <v>0</v>
      </c>
      <c r="R570">
        <v>9.6618131278941588E-3</v>
      </c>
      <c r="S570">
        <v>0.26359769487080426</v>
      </c>
      <c r="T570">
        <v>5.9114710003390627</v>
      </c>
      <c r="U570">
        <v>0</v>
      </c>
      <c r="V570">
        <v>1.9029163491369606E-2</v>
      </c>
      <c r="W570">
        <v>9.6141599085886861E-2</v>
      </c>
      <c r="X570">
        <v>7.0160067867439829E-4</v>
      </c>
      <c r="Y570">
        <v>3.9785626722040508E-2</v>
      </c>
    </row>
    <row r="571" spans="1:25" x14ac:dyDescent="0.25">
      <c r="A571" s="879"/>
      <c r="B571" s="1133">
        <v>321</v>
      </c>
      <c r="C571" s="883">
        <v>0.95896647260800905</v>
      </c>
      <c r="D571" s="883">
        <v>1.0320943446879638</v>
      </c>
      <c r="E571" s="883">
        <v>1.0077583165523727</v>
      </c>
      <c r="F571" s="883">
        <v>1.0312339509886128</v>
      </c>
      <c r="G571" s="883">
        <v>1.0276524748689686</v>
      </c>
      <c r="H571" s="883">
        <v>0.99941544514263314</v>
      </c>
      <c r="I571" s="883">
        <v>1.026250039530916</v>
      </c>
      <c r="K571">
        <v>6.7782400007753809</v>
      </c>
      <c r="L571">
        <v>0</v>
      </c>
      <c r="M571">
        <v>1.0643758130176352E-2</v>
      </c>
      <c r="N571">
        <v>0.20073373211336762</v>
      </c>
      <c r="O571">
        <v>0.12545530741397792</v>
      </c>
      <c r="P571">
        <v>8.3922036826799273E-2</v>
      </c>
      <c r="Q571">
        <v>0</v>
      </c>
      <c r="R571">
        <v>1.0643758130176352E-2</v>
      </c>
      <c r="S571">
        <v>0.28856278951487369</v>
      </c>
      <c r="T571">
        <v>5.9133829932819895</v>
      </c>
      <c r="U571">
        <v>0</v>
      </c>
      <c r="V571">
        <v>1.9388365036432997E-2</v>
      </c>
      <c r="W571">
        <v>0.10524664471371076</v>
      </c>
      <c r="X571">
        <v>-2.2809695875214558E-3</v>
      </c>
      <c r="Y571">
        <v>4.3829101461743701E-2</v>
      </c>
    </row>
    <row r="572" spans="1:25" x14ac:dyDescent="0.25">
      <c r="A572" s="879"/>
      <c r="B572" s="1133">
        <v>322</v>
      </c>
      <c r="C572" s="883">
        <v>1.0242856328174739</v>
      </c>
      <c r="D572" s="883">
        <v>0.97267503110098463</v>
      </c>
      <c r="E572" s="883">
        <v>1.0027274584727139</v>
      </c>
      <c r="F572" s="883">
        <v>1.0198061208530986</v>
      </c>
      <c r="G572" s="883">
        <v>0.97625417341283438</v>
      </c>
      <c r="H572" s="883">
        <v>0.96492629452371581</v>
      </c>
      <c r="I572" s="883">
        <v>1.0007622884856813</v>
      </c>
      <c r="K572">
        <v>6.7204617184916531</v>
      </c>
      <c r="L572">
        <v>0</v>
      </c>
      <c r="M572">
        <v>9.9120664509810309E-3</v>
      </c>
      <c r="N572">
        <v>0.18554701560643119</v>
      </c>
      <c r="O572">
        <v>0.12036738017770496</v>
      </c>
      <c r="P572">
        <v>8.3223089283151225E-2</v>
      </c>
      <c r="Q572">
        <v>0</v>
      </c>
      <c r="R572">
        <v>9.9120664509810309E-3</v>
      </c>
      <c r="S572">
        <v>0.26080404850988342</v>
      </c>
      <c r="T572">
        <v>5.9130497566923168</v>
      </c>
      <c r="U572">
        <v>0</v>
      </c>
      <c r="V572">
        <v>1.9025836557592497E-2</v>
      </c>
      <c r="W572">
        <v>9.7526948119616971E-2</v>
      </c>
      <c r="X572">
        <v>1.0151818187168392E-4</v>
      </c>
      <c r="Y572">
        <v>4.0816125363081247E-2</v>
      </c>
    </row>
    <row r="573" spans="1:25" x14ac:dyDescent="0.25">
      <c r="A573" s="879"/>
      <c r="B573" s="1133">
        <v>323</v>
      </c>
      <c r="C573" s="883">
        <v>0.98097491332572984</v>
      </c>
      <c r="D573" s="883">
        <v>0.98083606216939168</v>
      </c>
      <c r="E573" s="883">
        <v>1.0116573998299048</v>
      </c>
      <c r="F573" s="883">
        <v>0.99910590383407027</v>
      </c>
      <c r="G573" s="883">
        <v>1.0018660508808488</v>
      </c>
      <c r="H573" s="883">
        <v>0.99129902439331308</v>
      </c>
      <c r="I573" s="883">
        <v>1.0170350646504629</v>
      </c>
      <c r="K573">
        <v>6.7641483288670674</v>
      </c>
      <c r="L573">
        <v>0</v>
      </c>
      <c r="M573">
        <v>1.0512155770830218E-2</v>
      </c>
      <c r="N573">
        <v>0.1993994767900121</v>
      </c>
      <c r="O573">
        <v>0.12508983676330088</v>
      </c>
      <c r="P573">
        <v>8.401395282315241E-2</v>
      </c>
      <c r="Q573">
        <v>0</v>
      </c>
      <c r="R573">
        <v>1.0512155770830218E-2</v>
      </c>
      <c r="S573">
        <v>0.27928177246197311</v>
      </c>
      <c r="T573">
        <v>5.9114257020702565</v>
      </c>
      <c r="U573">
        <v>0</v>
      </c>
      <c r="V573">
        <v>1.926082281106237E-2</v>
      </c>
      <c r="W573">
        <v>0.10434563060063796</v>
      </c>
      <c r="X573">
        <v>-1.9560518236301713E-3</v>
      </c>
      <c r="Y573">
        <v>4.3287186370303071E-2</v>
      </c>
    </row>
    <row r="574" spans="1:25" x14ac:dyDescent="0.25">
      <c r="A574" s="879"/>
      <c r="B574" s="1133">
        <v>324</v>
      </c>
      <c r="C574" s="883">
        <v>0.9991504020829336</v>
      </c>
      <c r="D574" s="883">
        <v>1.0222577326184707</v>
      </c>
      <c r="E574" s="883">
        <v>0.98894552952093862</v>
      </c>
      <c r="F574" s="883">
        <v>1.0153560751968536</v>
      </c>
      <c r="G574" s="883">
        <v>1.0045022871376856</v>
      </c>
      <c r="H574" s="883">
        <v>0.96222472040208429</v>
      </c>
      <c r="I574" s="883">
        <v>1.0135833733051587</v>
      </c>
      <c r="K574">
        <v>6.7294745839810295</v>
      </c>
      <c r="L574">
        <v>0</v>
      </c>
      <c r="M574">
        <v>1.0039534464037691E-2</v>
      </c>
      <c r="N574">
        <v>0.18413371889560534</v>
      </c>
      <c r="O574">
        <v>0.12122132176946547</v>
      </c>
      <c r="P574">
        <v>8.2489754125857406E-2</v>
      </c>
      <c r="Q574">
        <v>0</v>
      </c>
      <c r="R574">
        <v>1.0039534464037691E-2</v>
      </c>
      <c r="S574">
        <v>0.27007340852147677</v>
      </c>
      <c r="T574">
        <v>5.913580797803947</v>
      </c>
      <c r="U574">
        <v>0</v>
      </c>
      <c r="V574">
        <v>1.9159729278962263E-2</v>
      </c>
      <c r="W574">
        <v>9.7449947735673059E-2</v>
      </c>
      <c r="X574">
        <v>2.4889897649795974E-5</v>
      </c>
      <c r="Y574">
        <v>4.1341015952388052E-2</v>
      </c>
    </row>
    <row r="575" spans="1:25" x14ac:dyDescent="0.25">
      <c r="A575" s="879"/>
      <c r="B575" s="1133">
        <v>325</v>
      </c>
      <c r="C575" s="883">
        <v>0.96362493821806949</v>
      </c>
      <c r="D575" s="883">
        <v>1.0089806488234272</v>
      </c>
      <c r="E575" s="883">
        <v>0.97554872187392105</v>
      </c>
      <c r="F575" s="883">
        <v>1.0250522851444928</v>
      </c>
      <c r="G575" s="883">
        <v>1.0153599035121481</v>
      </c>
      <c r="H575" s="883">
        <v>1.0248221693032213</v>
      </c>
      <c r="I575" s="883">
        <v>0.99988889131302672</v>
      </c>
      <c r="K575">
        <v>6.7786345211116972</v>
      </c>
      <c r="L575">
        <v>0</v>
      </c>
      <c r="M575">
        <v>1.1280061044796175E-2</v>
      </c>
      <c r="N575">
        <v>0.20281513144863855</v>
      </c>
      <c r="O575">
        <v>0.12660666097091647</v>
      </c>
      <c r="P575">
        <v>8.1827565063309959E-2</v>
      </c>
      <c r="Q575">
        <v>0</v>
      </c>
      <c r="R575">
        <v>1.1280061044796175E-2</v>
      </c>
      <c r="S575">
        <v>0.28243122771034213</v>
      </c>
      <c r="T575">
        <v>5.9148447982866523</v>
      </c>
      <c r="U575">
        <v>0</v>
      </c>
      <c r="V575">
        <v>1.9360882457733347E-2</v>
      </c>
      <c r="W575">
        <v>0.10805856061760959</v>
      </c>
      <c r="X575">
        <v>-3.7595890499601916E-3</v>
      </c>
      <c r="Y575">
        <v>4.644928360645139E-2</v>
      </c>
    </row>
    <row r="576" spans="1:25" x14ac:dyDescent="0.25">
      <c r="A576" s="879"/>
      <c r="B576" s="1133">
        <v>326</v>
      </c>
      <c r="C576" s="883">
        <v>1.0133305127591246</v>
      </c>
      <c r="D576" s="883">
        <v>1.0219113297664109</v>
      </c>
      <c r="E576" s="883">
        <v>1.0278954789663524</v>
      </c>
      <c r="F576" s="883">
        <v>1.0129115069159678</v>
      </c>
      <c r="G576" s="883">
        <v>0.96722833970383437</v>
      </c>
      <c r="H576" s="883">
        <v>1.0034260981321961</v>
      </c>
      <c r="I576" s="883">
        <v>0.98700034225233468</v>
      </c>
      <c r="K576">
        <v>6.7318927507174626</v>
      </c>
      <c r="L576">
        <v>0</v>
      </c>
      <c r="M576">
        <v>9.9787174177585498E-3</v>
      </c>
      <c r="N576">
        <v>0.19388277960723738</v>
      </c>
      <c r="O576">
        <v>0.11882428111613412</v>
      </c>
      <c r="P576">
        <v>8.4807216120211429E-2</v>
      </c>
      <c r="Q576">
        <v>0</v>
      </c>
      <c r="R576">
        <v>9.9787174177585498E-3</v>
      </c>
      <c r="S576">
        <v>0.26312579242568651</v>
      </c>
      <c r="T576">
        <v>5.9112411923406931</v>
      </c>
      <c r="U576">
        <v>0</v>
      </c>
      <c r="V576">
        <v>1.9083376706470659E-2</v>
      </c>
      <c r="W576">
        <v>0.10065036314940458</v>
      </c>
      <c r="X576">
        <v>-8.1283292921937949E-4</v>
      </c>
      <c r="Y576">
        <v>4.1090582180841252E-2</v>
      </c>
    </row>
    <row r="577" spans="1:25" x14ac:dyDescent="0.25">
      <c r="A577" s="879"/>
      <c r="B577" s="1133">
        <v>327</v>
      </c>
      <c r="C577" s="883">
        <v>0.99077099328799645</v>
      </c>
      <c r="D577" s="883">
        <v>1.0405481731252382</v>
      </c>
      <c r="E577" s="883">
        <v>1.0174391315217406</v>
      </c>
      <c r="F577" s="883">
        <v>1.0338334011978518</v>
      </c>
      <c r="G577" s="883">
        <v>0.99858701755791757</v>
      </c>
      <c r="H577" s="883">
        <v>0.97401837240693345</v>
      </c>
      <c r="I577" s="883">
        <v>0.99332105543912408</v>
      </c>
      <c r="K577">
        <v>6.7347079640352217</v>
      </c>
      <c r="L577">
        <v>0</v>
      </c>
      <c r="M577">
        <v>9.9209451083424258E-3</v>
      </c>
      <c r="N577">
        <v>0.18980219505978044</v>
      </c>
      <c r="O577">
        <v>0.12085121856584506</v>
      </c>
      <c r="P577">
        <v>8.4243100672842783E-2</v>
      </c>
      <c r="Q577">
        <v>0</v>
      </c>
      <c r="R577">
        <v>9.9209451083424258E-3</v>
      </c>
      <c r="S577">
        <v>0.26792066062779452</v>
      </c>
      <c r="T577">
        <v>5.9129723775521654</v>
      </c>
      <c r="U577">
        <v>0</v>
      </c>
      <c r="V577">
        <v>1.9205875407185696E-2</v>
      </c>
      <c r="W577">
        <v>9.9040275180337228E-2</v>
      </c>
      <c r="X577">
        <v>-1.8042512448322804E-4</v>
      </c>
      <c r="Y577">
        <v>4.0852686093753393E-2</v>
      </c>
    </row>
    <row r="578" spans="1:25" x14ac:dyDescent="0.25">
      <c r="A578" s="879"/>
      <c r="B578" s="1133">
        <v>328</v>
      </c>
      <c r="C578" s="883">
        <v>0.9903439653884466</v>
      </c>
      <c r="D578" s="883">
        <v>1.0263511709222144</v>
      </c>
      <c r="E578" s="883">
        <v>1.005838092832275</v>
      </c>
      <c r="F578" s="883">
        <v>1.0003404831842626</v>
      </c>
      <c r="G578" s="883">
        <v>0.98961947607408485</v>
      </c>
      <c r="H578" s="883">
        <v>1.019341734738799</v>
      </c>
      <c r="I578" s="883">
        <v>0.99196645432700881</v>
      </c>
      <c r="K578">
        <v>6.7522487929013835</v>
      </c>
      <c r="L578">
        <v>0</v>
      </c>
      <c r="M578">
        <v>1.0554848870087145E-2</v>
      </c>
      <c r="N578">
        <v>0.19849178294585834</v>
      </c>
      <c r="O578">
        <v>0.12178798218513678</v>
      </c>
      <c r="P578">
        <v>8.3554732488733574E-2</v>
      </c>
      <c r="Q578">
        <v>0</v>
      </c>
      <c r="R578">
        <v>1.0554848870087145E-2</v>
      </c>
      <c r="S578">
        <v>0.27199454089875719</v>
      </c>
      <c r="T578">
        <v>5.9118222714641107</v>
      </c>
      <c r="U578">
        <v>0</v>
      </c>
      <c r="V578">
        <v>1.920824799856664E-2</v>
      </c>
      <c r="W578">
        <v>0.10417018807634286</v>
      </c>
      <c r="X578">
        <v>-2.2439421100789877E-3</v>
      </c>
      <c r="Y578">
        <v>4.346298895395468E-2</v>
      </c>
    </row>
    <row r="579" spans="1:25" x14ac:dyDescent="0.25">
      <c r="A579" s="879"/>
      <c r="B579" s="1133">
        <v>329</v>
      </c>
      <c r="C579" s="883">
        <v>1.0108032470921615</v>
      </c>
      <c r="D579" s="883">
        <v>1.0029238955199951</v>
      </c>
      <c r="E579" s="883">
        <v>1.003304273484549</v>
      </c>
      <c r="F579" s="883">
        <v>0.99501444374263748</v>
      </c>
      <c r="G579" s="883">
        <v>1.0223922823818563</v>
      </c>
      <c r="H579" s="883">
        <v>1.0296215355957468</v>
      </c>
      <c r="I579" s="883">
        <v>1.0144258469958312</v>
      </c>
      <c r="K579">
        <v>6.7517660640654151</v>
      </c>
      <c r="L579">
        <v>0</v>
      </c>
      <c r="M579">
        <v>1.0572649892575016E-2</v>
      </c>
      <c r="N579">
        <v>0.1980818388240099</v>
      </c>
      <c r="O579">
        <v>0.12047712976922863</v>
      </c>
      <c r="P579">
        <v>8.3415442388274336E-2</v>
      </c>
      <c r="Q579">
        <v>0</v>
      </c>
      <c r="R579">
        <v>1.0572649892575016E-2</v>
      </c>
      <c r="S579">
        <v>0.27373076176385691</v>
      </c>
      <c r="T579">
        <v>5.9116774950214337</v>
      </c>
      <c r="U579">
        <v>0</v>
      </c>
      <c r="V579">
        <v>1.9096827849481177E-2</v>
      </c>
      <c r="W579">
        <v>0.10408569883446671</v>
      </c>
      <c r="X579">
        <v>-2.3354207814395454E-3</v>
      </c>
      <c r="Y579">
        <v>4.3536290396095849E-2</v>
      </c>
    </row>
    <row r="580" spans="1:25" x14ac:dyDescent="0.25">
      <c r="A580" s="879"/>
      <c r="B580" s="1133">
        <v>330</v>
      </c>
      <c r="C580" s="883">
        <v>1.0125723263022375</v>
      </c>
      <c r="D580" s="883">
        <v>0.96850466232545129</v>
      </c>
      <c r="E580" s="883">
        <v>1.0034434883695504</v>
      </c>
      <c r="F580" s="883">
        <v>1.0265590909509195</v>
      </c>
      <c r="G580" s="883">
        <v>1.0176220653309687</v>
      </c>
      <c r="H580" s="883">
        <v>1.0373844931888925</v>
      </c>
      <c r="I580" s="883">
        <v>1.0083518658962893</v>
      </c>
      <c r="K580">
        <v>6.7605088409257439</v>
      </c>
      <c r="L580">
        <v>0</v>
      </c>
      <c r="M580">
        <v>1.0792778644161461E-2</v>
      </c>
      <c r="N580">
        <v>0.20224771622028143</v>
      </c>
      <c r="O580">
        <v>0.12195578101479673</v>
      </c>
      <c r="P580">
        <v>8.3433773260462377E-2</v>
      </c>
      <c r="Q580">
        <v>0</v>
      </c>
      <c r="R580">
        <v>1.0792778644161461E-2</v>
      </c>
      <c r="S580">
        <v>0.27275905090595831</v>
      </c>
      <c r="T580">
        <v>5.9133743103319336</v>
      </c>
      <c r="U580">
        <v>0</v>
      </c>
      <c r="V580">
        <v>1.9087405035069654E-2</v>
      </c>
      <c r="W580">
        <v>0.10626739741862276</v>
      </c>
      <c r="X580">
        <v>-3.0593346750535616E-3</v>
      </c>
      <c r="Y580">
        <v>4.4442741413671695E-2</v>
      </c>
    </row>
    <row r="581" spans="1:25" x14ac:dyDescent="0.25">
      <c r="A581" s="879"/>
      <c r="B581" s="1133">
        <v>331</v>
      </c>
      <c r="C581" s="883">
        <v>1.0018898393490654</v>
      </c>
      <c r="D581" s="883">
        <v>0.98101617386068407</v>
      </c>
      <c r="E581" s="883">
        <v>1.0400605539335674</v>
      </c>
      <c r="F581" s="883">
        <v>1.0447636524116408</v>
      </c>
      <c r="G581" s="883">
        <v>0.99675794321632394</v>
      </c>
      <c r="H581" s="883">
        <v>0.97751520941476222</v>
      </c>
      <c r="I581" s="883">
        <v>0.98555514914381981</v>
      </c>
      <c r="K581">
        <v>6.739770258333138</v>
      </c>
      <c r="L581">
        <v>0</v>
      </c>
      <c r="M581">
        <v>9.8993931486991947E-3</v>
      </c>
      <c r="N581">
        <v>0.19583054639967351</v>
      </c>
      <c r="O581">
        <v>0.12192765087714151</v>
      </c>
      <c r="P581">
        <v>8.5590746082716357E-2</v>
      </c>
      <c r="Q581">
        <v>0</v>
      </c>
      <c r="R581">
        <v>9.8993931486991947E-3</v>
      </c>
      <c r="S581">
        <v>0.26374484057917569</v>
      </c>
      <c r="T581">
        <v>5.912254970966945</v>
      </c>
      <c r="U581">
        <v>0</v>
      </c>
      <c r="V581">
        <v>1.9144810387283381E-2</v>
      </c>
      <c r="W581">
        <v>0.10105757419885771</v>
      </c>
      <c r="X581">
        <v>-5.4482011870382889E-4</v>
      </c>
      <c r="Y581">
        <v>4.0763938960048367E-2</v>
      </c>
    </row>
    <row r="582" spans="1:25" x14ac:dyDescent="0.25">
      <c r="A582" s="879"/>
      <c r="B582" s="1133">
        <v>332</v>
      </c>
      <c r="C582" s="883">
        <v>1.0128468803650581</v>
      </c>
      <c r="D582" s="883">
        <v>1.0002242927718175</v>
      </c>
      <c r="E582" s="883">
        <v>0.99947839596906307</v>
      </c>
      <c r="F582" s="883">
        <v>1.0097524331699319</v>
      </c>
      <c r="G582" s="883">
        <v>0.97981581796571504</v>
      </c>
      <c r="H582" s="883">
        <v>1.007071792219099</v>
      </c>
      <c r="I582" s="883">
        <v>0.98227144783606024</v>
      </c>
      <c r="K582">
        <v>6.7336964588035064</v>
      </c>
      <c r="L582">
        <v>0</v>
      </c>
      <c r="M582">
        <v>1.0366748123697402E-2</v>
      </c>
      <c r="N582">
        <v>0.19312657641372</v>
      </c>
      <c r="O582">
        <v>0.12043456738790087</v>
      </c>
      <c r="P582">
        <v>8.3037671990149178E-2</v>
      </c>
      <c r="Q582">
        <v>0</v>
      </c>
      <c r="R582">
        <v>1.0366748123697402E-2</v>
      </c>
      <c r="S582">
        <v>0.2624809136241914</v>
      </c>
      <c r="T582">
        <v>5.9126892730998444</v>
      </c>
      <c r="U582">
        <v>0</v>
      </c>
      <c r="V582">
        <v>1.9085945602389021E-2</v>
      </c>
      <c r="W582">
        <v>0.10167476140103272</v>
      </c>
      <c r="X582">
        <v>-1.5216742767286881E-3</v>
      </c>
      <c r="Y582">
        <v>4.268842356100646E-2</v>
      </c>
    </row>
    <row r="583" spans="1:25" x14ac:dyDescent="0.25">
      <c r="A583" s="879"/>
      <c r="B583" s="1133">
        <v>333</v>
      </c>
      <c r="C583" s="883">
        <v>0.98667550379418401</v>
      </c>
      <c r="D583" s="883">
        <v>1.0189739297251337</v>
      </c>
      <c r="E583" s="883">
        <v>1.0055322908417035</v>
      </c>
      <c r="F583" s="883">
        <v>0.99299423951467258</v>
      </c>
      <c r="G583" s="883">
        <v>1.0167555754472519</v>
      </c>
      <c r="H583" s="883">
        <v>1.0038257500896894</v>
      </c>
      <c r="I583" s="883">
        <v>1.0236342310685531</v>
      </c>
      <c r="K583">
        <v>6.7585446605579076</v>
      </c>
      <c r="L583">
        <v>0</v>
      </c>
      <c r="M583">
        <v>1.0467888630999234E-2</v>
      </c>
      <c r="N583">
        <v>0.1967673048638747</v>
      </c>
      <c r="O583">
        <v>0.12259980787925225</v>
      </c>
      <c r="P583">
        <v>8.3642328138527275E-2</v>
      </c>
      <c r="Q583">
        <v>0</v>
      </c>
      <c r="R583">
        <v>1.0467888630999234E-2</v>
      </c>
      <c r="S583">
        <v>0.28029169362164935</v>
      </c>
      <c r="T583">
        <v>5.9114425778132631</v>
      </c>
      <c r="U583">
        <v>0</v>
      </c>
      <c r="V583">
        <v>1.9228714782843374E-2</v>
      </c>
      <c r="W583">
        <v>0.10328081505368684</v>
      </c>
      <c r="X583">
        <v>-1.8134837629297941E-3</v>
      </c>
      <c r="Y583">
        <v>4.3104902167736228E-2</v>
      </c>
    </row>
    <row r="584" spans="1:25" x14ac:dyDescent="0.25">
      <c r="A584" s="879"/>
      <c r="B584" s="1133">
        <v>334</v>
      </c>
      <c r="C584" s="883">
        <v>0.99229186424529903</v>
      </c>
      <c r="D584" s="883">
        <v>1.0314900415676469</v>
      </c>
      <c r="E584" s="883">
        <v>1.0122322070913596</v>
      </c>
      <c r="F584" s="883">
        <v>1.0119782090097522</v>
      </c>
      <c r="G584" s="883">
        <v>0.96713357408939771</v>
      </c>
      <c r="H584" s="883">
        <v>0.98941545881065429</v>
      </c>
      <c r="I584" s="883">
        <v>0.96949376687147748</v>
      </c>
      <c r="K584">
        <v>6.7330971005487417</v>
      </c>
      <c r="L584">
        <v>0</v>
      </c>
      <c r="M584">
        <v>1.0146149915889267E-2</v>
      </c>
      <c r="N584">
        <v>0.19262072152998441</v>
      </c>
      <c r="O584">
        <v>0.12118654395053531</v>
      </c>
      <c r="P584">
        <v>8.3831953636467102E-2</v>
      </c>
      <c r="Q584">
        <v>0</v>
      </c>
      <c r="R584">
        <v>1.0146149915889267E-2</v>
      </c>
      <c r="S584">
        <v>0.26255258540728105</v>
      </c>
      <c r="T584">
        <v>5.9120885382485016</v>
      </c>
      <c r="U584">
        <v>0</v>
      </c>
      <c r="V584">
        <v>1.919744194904369E-2</v>
      </c>
      <c r="W584">
        <v>0.1007696812718301</v>
      </c>
      <c r="X584">
        <v>-9.3040485117225195E-4</v>
      </c>
      <c r="Y584">
        <v>4.1780039406269835E-2</v>
      </c>
    </row>
    <row r="585" spans="1:25" x14ac:dyDescent="0.25">
      <c r="A585" s="879"/>
      <c r="B585" s="1133">
        <v>335</v>
      </c>
      <c r="C585" s="883">
        <v>0.98665076790171036</v>
      </c>
      <c r="D585" s="883">
        <v>0.97545705801572269</v>
      </c>
      <c r="E585" s="883">
        <v>1.0141211729521231</v>
      </c>
      <c r="F585" s="883">
        <v>0.99329976999388192</v>
      </c>
      <c r="G585" s="883">
        <v>0.99750876481269601</v>
      </c>
      <c r="H585" s="883">
        <v>0.99148766115082487</v>
      </c>
      <c r="I585" s="883">
        <v>1.0335522504651637</v>
      </c>
      <c r="K585">
        <v>6.7655909103149829</v>
      </c>
      <c r="L585">
        <v>0</v>
      </c>
      <c r="M585">
        <v>1.0455784766244678E-2</v>
      </c>
      <c r="N585">
        <v>0.19905474704376722</v>
      </c>
      <c r="O585">
        <v>0.1245965625340453</v>
      </c>
      <c r="P585">
        <v>8.420258668480636E-2</v>
      </c>
      <c r="Q585">
        <v>0</v>
      </c>
      <c r="R585">
        <v>1.0455784766244678E-2</v>
      </c>
      <c r="S585">
        <v>0.2822670692485546</v>
      </c>
      <c r="T585">
        <v>5.9109717762234961</v>
      </c>
      <c r="U585">
        <v>0</v>
      </c>
      <c r="V585">
        <v>1.9228853303908087E-2</v>
      </c>
      <c r="W585">
        <v>0.10403852432827619</v>
      </c>
      <c r="X585">
        <v>-1.8242696589554509E-3</v>
      </c>
      <c r="Y585">
        <v>4.3055060607084583E-2</v>
      </c>
    </row>
    <row r="586" spans="1:25" x14ac:dyDescent="0.25">
      <c r="A586" s="879"/>
      <c r="B586" s="1133">
        <v>336</v>
      </c>
      <c r="C586" s="883">
        <v>0.98772431670287653</v>
      </c>
      <c r="D586" s="883">
        <v>0.98100544011102109</v>
      </c>
      <c r="E586" s="883">
        <v>1.0236963020544179</v>
      </c>
      <c r="F586" s="883">
        <v>1.0237156054523444</v>
      </c>
      <c r="G586" s="883">
        <v>1.0094474000383353</v>
      </c>
      <c r="H586" s="883">
        <v>1.0132132643293759</v>
      </c>
      <c r="I586" s="883">
        <v>0.98423648339033687</v>
      </c>
      <c r="K586">
        <v>6.7613314091883385</v>
      </c>
      <c r="L586">
        <v>0</v>
      </c>
      <c r="M586">
        <v>1.0558491323064344E-2</v>
      </c>
      <c r="N586">
        <v>0.20387772835142232</v>
      </c>
      <c r="O586">
        <v>0.12399438295228382</v>
      </c>
      <c r="P586">
        <v>8.4658573265176867E-2</v>
      </c>
      <c r="Q586">
        <v>0</v>
      </c>
      <c r="R586">
        <v>1.0558491323064344E-2</v>
      </c>
      <c r="S586">
        <v>0.27052293946583827</v>
      </c>
      <c r="T586">
        <v>5.9120668599412491</v>
      </c>
      <c r="U586">
        <v>0</v>
      </c>
      <c r="V586">
        <v>1.9222847811416911E-2</v>
      </c>
      <c r="W586">
        <v>0.10605767534074925</v>
      </c>
      <c r="X586">
        <v>-2.5475858667805152E-3</v>
      </c>
      <c r="Y586">
        <v>4.3477987926982348E-2</v>
      </c>
    </row>
    <row r="587" spans="1:25" x14ac:dyDescent="0.25">
      <c r="A587" s="879"/>
      <c r="B587" s="1133">
        <v>337</v>
      </c>
      <c r="C587" s="883">
        <v>1.0332004868345239</v>
      </c>
      <c r="D587" s="883">
        <v>1.0011266595321786</v>
      </c>
      <c r="E587" s="883">
        <v>0.99966466383594332</v>
      </c>
      <c r="F587" s="883">
        <v>0.99406497810505912</v>
      </c>
      <c r="G587" s="883">
        <v>1.0082410629683214</v>
      </c>
      <c r="H587" s="883">
        <v>0.99239609763820757</v>
      </c>
      <c r="I587" s="883">
        <v>1.0002624236924316</v>
      </c>
      <c r="K587">
        <v>6.7180560847554061</v>
      </c>
      <c r="L587">
        <v>0</v>
      </c>
      <c r="M587">
        <v>1.0008936990871773E-2</v>
      </c>
      <c r="N587">
        <v>0.18651222309601537</v>
      </c>
      <c r="O587">
        <v>0.11801610418645518</v>
      </c>
      <c r="P587">
        <v>8.301228348630281E-2</v>
      </c>
      <c r="Q587">
        <v>0</v>
      </c>
      <c r="R587">
        <v>1.0008936990871773E-2</v>
      </c>
      <c r="S587">
        <v>0.260675637560142</v>
      </c>
      <c r="T587">
        <v>5.911831011111798</v>
      </c>
      <c r="U587">
        <v>0</v>
      </c>
      <c r="V587">
        <v>1.8979913098431059E-2</v>
      </c>
      <c r="W587">
        <v>9.8183438266035497E-2</v>
      </c>
      <c r="X587">
        <v>-3.6954705381553001E-4</v>
      </c>
      <c r="Y587">
        <v>4.1215021004037997E-2</v>
      </c>
    </row>
    <row r="588" spans="1:25" x14ac:dyDescent="0.25">
      <c r="A588" s="879"/>
      <c r="B588" s="1133">
        <v>338</v>
      </c>
      <c r="C588" s="883">
        <v>1.0228525325586411</v>
      </c>
      <c r="D588" s="883">
        <v>1.0315334542667445</v>
      </c>
      <c r="E588" s="883">
        <v>1.014536317729358</v>
      </c>
      <c r="F588" s="883">
        <v>0.96552035145287718</v>
      </c>
      <c r="G588" s="883">
        <v>1.0378606140623778</v>
      </c>
      <c r="H588" s="883">
        <v>1.0001305163096255</v>
      </c>
      <c r="I588" s="883">
        <v>1.0067027086354956</v>
      </c>
      <c r="K588">
        <v>6.72391020914728</v>
      </c>
      <c r="L588">
        <v>0</v>
      </c>
      <c r="M588">
        <v>9.9293869333815423E-3</v>
      </c>
      <c r="N588">
        <v>0.189149483566146</v>
      </c>
      <c r="O588">
        <v>0.11752180932165479</v>
      </c>
      <c r="P588">
        <v>8.3977861881518318E-2</v>
      </c>
      <c r="Q588">
        <v>0</v>
      </c>
      <c r="R588">
        <v>9.9293869333815423E-3</v>
      </c>
      <c r="S588">
        <v>0.26546831385113628</v>
      </c>
      <c r="T588">
        <v>5.909447189548243</v>
      </c>
      <c r="U588">
        <v>0</v>
      </c>
      <c r="V588">
        <v>1.9033293632566083E-2</v>
      </c>
      <c r="W588">
        <v>9.884114923155099E-2</v>
      </c>
      <c r="X588">
        <v>-4.1633991221426116E-4</v>
      </c>
      <c r="Y588">
        <v>4.0887448026675606E-2</v>
      </c>
    </row>
    <row r="589" spans="1:25" x14ac:dyDescent="0.25">
      <c r="A589" s="879"/>
      <c r="B589" s="1133">
        <v>339</v>
      </c>
      <c r="C589" s="883">
        <v>0.96101218525406529</v>
      </c>
      <c r="D589" s="883">
        <v>1.0131830199860798</v>
      </c>
      <c r="E589" s="883">
        <v>0.97468429476804574</v>
      </c>
      <c r="F589" s="883">
        <v>0.97866506763678851</v>
      </c>
      <c r="G589" s="883">
        <v>0.99343445951431597</v>
      </c>
      <c r="H589" s="883">
        <v>1.0019899639801253</v>
      </c>
      <c r="I589" s="883">
        <v>0.99727631061728861</v>
      </c>
      <c r="K589">
        <v>6.7671231371542637</v>
      </c>
      <c r="L589">
        <v>0</v>
      </c>
      <c r="M589">
        <v>1.1047389933501409E-2</v>
      </c>
      <c r="N589">
        <v>0.19837703182193217</v>
      </c>
      <c r="O589">
        <v>0.12675655263200286</v>
      </c>
      <c r="P589">
        <v>8.1711412468756461E-2</v>
      </c>
      <c r="Q589">
        <v>0</v>
      </c>
      <c r="R589">
        <v>1.1047389933501409E-2</v>
      </c>
      <c r="S589">
        <v>0.28019071300023179</v>
      </c>
      <c r="T589">
        <v>5.9123842958677697</v>
      </c>
      <c r="U589">
        <v>0</v>
      </c>
      <c r="V589">
        <v>1.9376263560181912E-2</v>
      </c>
      <c r="W589">
        <v>0.10573981908401738</v>
      </c>
      <c r="X589">
        <v>-2.9041366646879048E-3</v>
      </c>
      <c r="Y589">
        <v>4.5491185384053522E-2</v>
      </c>
    </row>
    <row r="590" spans="1:25" x14ac:dyDescent="0.25">
      <c r="A590" s="879"/>
      <c r="B590" s="1133">
        <v>340</v>
      </c>
      <c r="C590" s="883">
        <v>1.031456117750871</v>
      </c>
      <c r="D590" s="883">
        <v>0.98640073131964179</v>
      </c>
      <c r="E590" s="883">
        <v>1.0061001103986613</v>
      </c>
      <c r="F590" s="883">
        <v>0.96429994347306325</v>
      </c>
      <c r="G590" s="883">
        <v>1.0255834759917695</v>
      </c>
      <c r="H590" s="883">
        <v>0.97549311898091251</v>
      </c>
      <c r="I590" s="883">
        <v>0.9837343778846912</v>
      </c>
      <c r="K590">
        <v>6.7099676027735997</v>
      </c>
      <c r="L590">
        <v>0</v>
      </c>
      <c r="M590">
        <v>9.8622460343107676E-3</v>
      </c>
      <c r="N590">
        <v>0.1855388471040629</v>
      </c>
      <c r="O590">
        <v>0.11880076531802775</v>
      </c>
      <c r="P590">
        <v>8.3318816839462684E-2</v>
      </c>
      <c r="Q590">
        <v>0</v>
      </c>
      <c r="R590">
        <v>9.8622460343107676E-3</v>
      </c>
      <c r="S590">
        <v>0.25542325835526042</v>
      </c>
      <c r="T590">
        <v>5.9098599199256885</v>
      </c>
      <c r="U590">
        <v>0</v>
      </c>
      <c r="V590">
        <v>1.8988836471772033E-2</v>
      </c>
      <c r="W590">
        <v>9.7359737313501976E-2</v>
      </c>
      <c r="X590">
        <v>6.6447690886712324E-5</v>
      </c>
      <c r="Y590">
        <v>4.0610973754936712E-2</v>
      </c>
    </row>
    <row r="591" spans="1:25" x14ac:dyDescent="0.25">
      <c r="A591" s="879"/>
      <c r="B591" s="1133">
        <v>341</v>
      </c>
      <c r="C591" s="883">
        <v>0.96492857870016213</v>
      </c>
      <c r="D591" s="883">
        <v>0.97617524162612246</v>
      </c>
      <c r="E591" s="883">
        <v>1.0142323389465073</v>
      </c>
      <c r="F591" s="883">
        <v>0.98836415579238013</v>
      </c>
      <c r="G591" s="883">
        <v>0.99594169496142737</v>
      </c>
      <c r="H591" s="883">
        <v>0.98938915527943072</v>
      </c>
      <c r="I591" s="883">
        <v>0.9910342620354502</v>
      </c>
      <c r="K591">
        <v>6.7687174234749028</v>
      </c>
      <c r="L591">
        <v>0</v>
      </c>
      <c r="M591">
        <v>1.0664131319682579E-2</v>
      </c>
      <c r="N591">
        <v>0.20305460255159186</v>
      </c>
      <c r="O591">
        <v>0.12736174863712008</v>
      </c>
      <c r="P591">
        <v>8.4129943743724164E-2</v>
      </c>
      <c r="Q591">
        <v>0</v>
      </c>
      <c r="R591">
        <v>1.0664131319682579E-2</v>
      </c>
      <c r="S591">
        <v>0.27653525117751682</v>
      </c>
      <c r="T591">
        <v>5.9106987684542931</v>
      </c>
      <c r="U591">
        <v>0</v>
      </c>
      <c r="V591">
        <v>1.9353239161727088E-2</v>
      </c>
      <c r="W591">
        <v>0.10612327500089576</v>
      </c>
      <c r="X591">
        <v>-2.4523998818041515E-3</v>
      </c>
      <c r="Y591">
        <v>4.3912994629837776E-2</v>
      </c>
    </row>
    <row r="592" spans="1:25" x14ac:dyDescent="0.25">
      <c r="A592" s="879"/>
      <c r="B592" s="1133">
        <v>342</v>
      </c>
      <c r="C592" s="883">
        <v>1.0270921893794289</v>
      </c>
      <c r="D592" s="883">
        <v>0.98457544498414407</v>
      </c>
      <c r="E592" s="883">
        <v>0.98256828743277624</v>
      </c>
      <c r="F592" s="883">
        <v>1.0095806714615727</v>
      </c>
      <c r="G592" s="883">
        <v>0.99318272375943595</v>
      </c>
      <c r="H592" s="883">
        <v>1.0031881902514994</v>
      </c>
      <c r="I592" s="883">
        <v>0.99637840313997172</v>
      </c>
      <c r="K592">
        <v>6.7277139547258402</v>
      </c>
      <c r="L592">
        <v>0</v>
      </c>
      <c r="M592">
        <v>1.040500196617726E-2</v>
      </c>
      <c r="N592">
        <v>0.18904033140515644</v>
      </c>
      <c r="O592">
        <v>0.11982477873733903</v>
      </c>
      <c r="P592">
        <v>8.1984442035542268E-2</v>
      </c>
      <c r="Q592">
        <v>0</v>
      </c>
      <c r="R592">
        <v>1.040500196617726E-2</v>
      </c>
      <c r="S592">
        <v>0.26233270639979206</v>
      </c>
      <c r="T592">
        <v>5.9136220082960289</v>
      </c>
      <c r="U592">
        <v>0</v>
      </c>
      <c r="V592">
        <v>1.9011293044290202E-2</v>
      </c>
      <c r="W592">
        <v>0.10036591848341106</v>
      </c>
      <c r="X592">
        <v>-1.3134697511324399E-3</v>
      </c>
      <c r="Y592">
        <v>4.2845946075408411E-2</v>
      </c>
    </row>
    <row r="593" spans="1:25" x14ac:dyDescent="0.25">
      <c r="A593" s="879"/>
      <c r="B593" s="1133">
        <v>343</v>
      </c>
      <c r="C593" s="883">
        <v>1.0026471353998492</v>
      </c>
      <c r="D593" s="883">
        <v>0.98763637998214793</v>
      </c>
      <c r="E593" s="883">
        <v>0.96565646483640455</v>
      </c>
      <c r="F593" s="883">
        <v>0.99059998768139423</v>
      </c>
      <c r="G593" s="883">
        <v>0.97709785867185217</v>
      </c>
      <c r="H593" s="883">
        <v>1.0143382459992361</v>
      </c>
      <c r="I593" s="883">
        <v>0.99203071844755353</v>
      </c>
      <c r="K593">
        <v>6.7446871274189117</v>
      </c>
      <c r="L593">
        <v>0</v>
      </c>
      <c r="M593">
        <v>1.0922548972715426E-2</v>
      </c>
      <c r="N593">
        <v>0.19352378221071093</v>
      </c>
      <c r="O593">
        <v>0.12290748774069184</v>
      </c>
      <c r="P593">
        <v>8.1000719457549705E-2</v>
      </c>
      <c r="Q593">
        <v>0</v>
      </c>
      <c r="R593">
        <v>1.0922548972715426E-2</v>
      </c>
      <c r="S593">
        <v>0.26854020310803289</v>
      </c>
      <c r="T593">
        <v>5.9135217448163315</v>
      </c>
      <c r="U593">
        <v>0</v>
      </c>
      <c r="V593">
        <v>1.9140700559313748E-2</v>
      </c>
      <c r="W593">
        <v>0.10362214472027834</v>
      </c>
      <c r="X593">
        <v>-2.5467677223957601E-3</v>
      </c>
      <c r="Y593">
        <v>4.4977112528399497E-2</v>
      </c>
    </row>
    <row r="594" spans="1:25" x14ac:dyDescent="0.25">
      <c r="A594" s="879"/>
      <c r="B594" s="1133">
        <v>344</v>
      </c>
      <c r="C594" s="883">
        <v>0.98515405935990397</v>
      </c>
      <c r="D594" s="883">
        <v>1.0284446598068395</v>
      </c>
      <c r="E594" s="883">
        <v>1.0089513170457034</v>
      </c>
      <c r="F594" s="883">
        <v>0.99774720365541936</v>
      </c>
      <c r="G594" s="883">
        <v>0.99717945732376345</v>
      </c>
      <c r="H594" s="883">
        <v>0.95998924870202829</v>
      </c>
      <c r="I594" s="883">
        <v>0.99638342946433189</v>
      </c>
      <c r="K594">
        <v>6.7334060638797482</v>
      </c>
      <c r="L594">
        <v>0</v>
      </c>
      <c r="M594">
        <v>9.9567999181281331E-3</v>
      </c>
      <c r="N594">
        <v>0.18811015579946683</v>
      </c>
      <c r="O594">
        <v>0.1222710622791499</v>
      </c>
      <c r="P594">
        <v>8.3706484594828753E-2</v>
      </c>
      <c r="Q594">
        <v>0</v>
      </c>
      <c r="R594">
        <v>9.9567999181281331E-3</v>
      </c>
      <c r="S594">
        <v>0.26903819216023994</v>
      </c>
      <c r="T594">
        <v>5.9115059060713664</v>
      </c>
      <c r="U594">
        <v>0</v>
      </c>
      <c r="V594">
        <v>1.9237247820054097E-2</v>
      </c>
      <c r="W594">
        <v>9.856976185265659E-2</v>
      </c>
      <c r="X594">
        <v>-3.3076516543736041E-5</v>
      </c>
      <c r="Y594">
        <v>4.1000329818532688E-2</v>
      </c>
    </row>
    <row r="595" spans="1:25" x14ac:dyDescent="0.25">
      <c r="A595" s="879"/>
      <c r="B595" s="1133">
        <v>345</v>
      </c>
      <c r="C595" s="883">
        <v>0.9571303078362251</v>
      </c>
      <c r="D595" s="883">
        <v>1.0326254167238234</v>
      </c>
      <c r="E595" s="883">
        <v>1.0176611163424794</v>
      </c>
      <c r="F595" s="883">
        <v>1.001642697043224</v>
      </c>
      <c r="G595" s="883">
        <v>0.99148749603575348</v>
      </c>
      <c r="H595" s="883">
        <v>0.99191178556169768</v>
      </c>
      <c r="I595" s="883">
        <v>1.0264247245258202</v>
      </c>
      <c r="K595">
        <v>6.7758051915625606</v>
      </c>
      <c r="L595">
        <v>0</v>
      </c>
      <c r="M595">
        <v>1.0490510381114114E-2</v>
      </c>
      <c r="N595">
        <v>0.20076474027642616</v>
      </c>
      <c r="O595">
        <v>0.12547754932871572</v>
      </c>
      <c r="P595">
        <v>8.4514345273193348E-2</v>
      </c>
      <c r="Q595">
        <v>0</v>
      </c>
      <c r="R595">
        <v>1.0490510381114114E-2</v>
      </c>
      <c r="S595">
        <v>0.28843053280249725</v>
      </c>
      <c r="T595">
        <v>5.9112204941106823</v>
      </c>
      <c r="U595">
        <v>0</v>
      </c>
      <c r="V595">
        <v>1.9399270978835245E-2</v>
      </c>
      <c r="W595">
        <v>0.10474915109637441</v>
      </c>
      <c r="X595">
        <v>-1.948946812356312E-3</v>
      </c>
      <c r="Y595">
        <v>4.3198054508187873E-2</v>
      </c>
    </row>
    <row r="596" spans="1:25" x14ac:dyDescent="0.25">
      <c r="A596" s="879"/>
      <c r="B596" s="1133">
        <v>346</v>
      </c>
      <c r="C596" s="883">
        <v>0.98541753361245954</v>
      </c>
      <c r="D596" s="883">
        <v>0.98628909190863767</v>
      </c>
      <c r="E596" s="883">
        <v>0.97544820830301571</v>
      </c>
      <c r="F596" s="883">
        <v>0.97456133442675708</v>
      </c>
      <c r="G596" s="883">
        <v>0.98927971462969067</v>
      </c>
      <c r="H596" s="883">
        <v>1.0344325289312626</v>
      </c>
      <c r="I596" s="883">
        <v>0.99653519589007944</v>
      </c>
      <c r="K596">
        <v>6.7667950519475459</v>
      </c>
      <c r="L596">
        <v>0</v>
      </c>
      <c r="M596">
        <v>1.1244041530765334E-2</v>
      </c>
      <c r="N596">
        <v>0.20213734470872</v>
      </c>
      <c r="O596">
        <v>0.12494024386190422</v>
      </c>
      <c r="P596">
        <v>8.17049580100596E-2</v>
      </c>
      <c r="Q596">
        <v>0</v>
      </c>
      <c r="R596">
        <v>1.1244041530765334E-2</v>
      </c>
      <c r="S596">
        <v>0.27643496599892042</v>
      </c>
      <c r="T596">
        <v>5.9121205808977253</v>
      </c>
      <c r="U596">
        <v>0</v>
      </c>
      <c r="V596">
        <v>1.9235768235511666E-2</v>
      </c>
      <c r="W596">
        <v>0.10770287065844446</v>
      </c>
      <c r="X596">
        <v>-3.7826420826442323E-3</v>
      </c>
      <c r="Y596">
        <v>4.6300961658906882E-2</v>
      </c>
    </row>
    <row r="597" spans="1:25" x14ac:dyDescent="0.25">
      <c r="A597" s="879"/>
      <c r="B597" s="1133">
        <v>347</v>
      </c>
      <c r="C597" s="883">
        <v>1.008284769541715</v>
      </c>
      <c r="D597" s="883">
        <v>1.0328720622805274</v>
      </c>
      <c r="E597" s="883">
        <v>1.0128663699609126</v>
      </c>
      <c r="F597" s="883">
        <v>1.0272120115233363</v>
      </c>
      <c r="G597" s="883">
        <v>1.0144518491579655</v>
      </c>
      <c r="H597" s="883">
        <v>1.0450725363802122</v>
      </c>
      <c r="I597" s="883">
        <v>1.0075223069744526</v>
      </c>
      <c r="K597">
        <v>6.7546459495446953</v>
      </c>
      <c r="L597">
        <v>0</v>
      </c>
      <c r="M597">
        <v>1.05350246529751E-2</v>
      </c>
      <c r="N597">
        <v>0.20019117449699217</v>
      </c>
      <c r="O597">
        <v>0.11918878191964731</v>
      </c>
      <c r="P597">
        <v>8.4031729851049106E-2</v>
      </c>
      <c r="Q597">
        <v>0</v>
      </c>
      <c r="R597">
        <v>1.05350246529751E-2</v>
      </c>
      <c r="S597">
        <v>0.27368374238589616</v>
      </c>
      <c r="T597">
        <v>5.9128755601360226</v>
      </c>
      <c r="U597">
        <v>0</v>
      </c>
      <c r="V597">
        <v>1.9110299297804039E-2</v>
      </c>
      <c r="W597">
        <v>0.10469735904663856</v>
      </c>
      <c r="X597">
        <v>-2.5140539458218605E-3</v>
      </c>
      <c r="Y597">
        <v>4.3381356356466387E-2</v>
      </c>
    </row>
    <row r="598" spans="1:25" x14ac:dyDescent="0.25">
      <c r="A598" s="879"/>
      <c r="B598" s="1133">
        <v>348</v>
      </c>
      <c r="C598" s="883">
        <v>1.0072520935910998</v>
      </c>
      <c r="D598" s="883">
        <v>0.97605493614353322</v>
      </c>
      <c r="E598" s="883">
        <v>0.97861745572474124</v>
      </c>
      <c r="F598" s="883">
        <v>0.99879431276356034</v>
      </c>
      <c r="G598" s="883">
        <v>1.0079562539505336</v>
      </c>
      <c r="H598" s="883">
        <v>1.020357657116957</v>
      </c>
      <c r="I598" s="883">
        <v>1.0034842190594564</v>
      </c>
      <c r="K598">
        <v>6.7508643210886792</v>
      </c>
      <c r="L598">
        <v>0</v>
      </c>
      <c r="M598">
        <v>1.086918879439638E-2</v>
      </c>
      <c r="N598">
        <v>0.19631966944868837</v>
      </c>
      <c r="O598">
        <v>0.12268405005388699</v>
      </c>
      <c r="P598">
        <v>8.1848246015402665E-2</v>
      </c>
      <c r="Q598">
        <v>0</v>
      </c>
      <c r="R598">
        <v>1.086918879439638E-2</v>
      </c>
      <c r="S598">
        <v>0.27112237240707476</v>
      </c>
      <c r="T598">
        <v>5.9132566705519753</v>
      </c>
      <c r="U598">
        <v>0</v>
      </c>
      <c r="V598">
        <v>1.9115842602083655E-2</v>
      </c>
      <c r="W598">
        <v>0.10443703405112992</v>
      </c>
      <c r="X598">
        <v>-2.67694885340606E-3</v>
      </c>
      <c r="Y598">
        <v>4.4757384811839343E-2</v>
      </c>
    </row>
    <row r="599" spans="1:25" x14ac:dyDescent="0.25">
      <c r="A599" s="879"/>
      <c r="B599" s="1133">
        <v>349</v>
      </c>
      <c r="C599" s="883">
        <v>0.99786850529916871</v>
      </c>
      <c r="D599" s="883">
        <v>1.0254907115209253</v>
      </c>
      <c r="E599" s="883">
        <v>1.0202768388222911</v>
      </c>
      <c r="F599" s="883">
        <v>1.0156629432991324</v>
      </c>
      <c r="G599" s="883">
        <v>1.0136301806536074</v>
      </c>
      <c r="H599" s="883">
        <v>1.0243490423163217</v>
      </c>
      <c r="I599" s="883">
        <v>0.96689024108804922</v>
      </c>
      <c r="K599">
        <v>6.7441526630074069</v>
      </c>
      <c r="L599">
        <v>0</v>
      </c>
      <c r="M599">
        <v>1.0398320306001565E-2</v>
      </c>
      <c r="N599">
        <v>0.19977199515647567</v>
      </c>
      <c r="O599">
        <v>0.12064007794566409</v>
      </c>
      <c r="P599">
        <v>8.4346166195430769E-2</v>
      </c>
      <c r="Q599">
        <v>0</v>
      </c>
      <c r="R599">
        <v>1.0398320306001565E-2</v>
      </c>
      <c r="S599">
        <v>0.26360452515827654</v>
      </c>
      <c r="T599">
        <v>5.9118281986679362</v>
      </c>
      <c r="U599">
        <v>0</v>
      </c>
      <c r="V599">
        <v>1.9166738583278949E-2</v>
      </c>
      <c r="W599">
        <v>0.10409691504752297</v>
      </c>
      <c r="X599">
        <v>-2.1203859352746661E-3</v>
      </c>
      <c r="Y599">
        <v>4.2818432188096077E-2</v>
      </c>
    </row>
    <row r="600" spans="1:25" x14ac:dyDescent="0.25">
      <c r="A600" s="879"/>
      <c r="B600" s="1133">
        <v>350</v>
      </c>
      <c r="C600" s="883">
        <v>0.98233576283053603</v>
      </c>
      <c r="D600" s="883">
        <v>1.0297079270533334</v>
      </c>
      <c r="E600" s="883">
        <v>0.99384442038568144</v>
      </c>
      <c r="F600" s="883">
        <v>0.98803076549466395</v>
      </c>
      <c r="G600" s="883">
        <v>1.0164493206169349</v>
      </c>
      <c r="H600" s="883">
        <v>0.99030487121774502</v>
      </c>
      <c r="I600" s="883">
        <v>0.9746830593153325</v>
      </c>
      <c r="K600">
        <v>6.7393479065366533</v>
      </c>
      <c r="L600">
        <v>0</v>
      </c>
      <c r="M600">
        <v>1.0432072939269723E-2</v>
      </c>
      <c r="N600">
        <v>0.1927277794267962</v>
      </c>
      <c r="O600">
        <v>0.12284667714660544</v>
      </c>
      <c r="P600">
        <v>8.2730946669386643E-2</v>
      </c>
      <c r="Q600">
        <v>0</v>
      </c>
      <c r="R600">
        <v>1.0432072939269723E-2</v>
      </c>
      <c r="S600">
        <v>0.26669915330599325</v>
      </c>
      <c r="T600">
        <v>5.9118308885069304</v>
      </c>
      <c r="U600">
        <v>0</v>
      </c>
      <c r="V600">
        <v>1.9253124095327694E-2</v>
      </c>
      <c r="W600">
        <v>0.10174949504648384</v>
      </c>
      <c r="X600">
        <v>-1.4475771850242893E-3</v>
      </c>
      <c r="Y600">
        <v>4.2957419524149568E-2</v>
      </c>
    </row>
    <row r="601" spans="1:25" x14ac:dyDescent="0.25">
      <c r="A601" s="879"/>
      <c r="B601" s="1133">
        <v>351</v>
      </c>
      <c r="C601" s="883">
        <v>1.0042117539044941</v>
      </c>
      <c r="D601" s="883">
        <v>1.0032492762202498</v>
      </c>
      <c r="E601" s="883">
        <v>1.0380856843246198</v>
      </c>
      <c r="F601" s="883">
        <v>1.0061089075977332</v>
      </c>
      <c r="G601" s="883">
        <v>0.98347019631874733</v>
      </c>
      <c r="H601" s="883">
        <v>0.99939796541802539</v>
      </c>
      <c r="I601" s="883">
        <v>1.0310957535453951</v>
      </c>
      <c r="K601">
        <v>6.7527550929842111</v>
      </c>
      <c r="L601">
        <v>0</v>
      </c>
      <c r="M601">
        <v>1.0018452466097592E-2</v>
      </c>
      <c r="N601">
        <v>0.19760846410610827</v>
      </c>
      <c r="O601">
        <v>0.12059763466406466</v>
      </c>
      <c r="P601">
        <v>8.5625405032377172E-2</v>
      </c>
      <c r="Q601">
        <v>0</v>
      </c>
      <c r="R601">
        <v>1.0018452466097592E-2</v>
      </c>
      <c r="S601">
        <v>0.27719174620829751</v>
      </c>
      <c r="T601">
        <v>5.9102825134619019</v>
      </c>
      <c r="U601">
        <v>0</v>
      </c>
      <c r="V601">
        <v>1.9132229044284851E-2</v>
      </c>
      <c r="W601">
        <v>0.10207354181453335</v>
      </c>
      <c r="X601">
        <v>-1.0106453846803411E-3</v>
      </c>
      <c r="Y601">
        <v>4.1254204037326478E-2</v>
      </c>
    </row>
    <row r="602" spans="1:25" x14ac:dyDescent="0.25">
      <c r="A602" s="879"/>
      <c r="B602" s="1133">
        <v>352</v>
      </c>
      <c r="C602" s="883">
        <v>1.0237864291351071</v>
      </c>
      <c r="D602" s="883">
        <v>1.0024783466335074</v>
      </c>
      <c r="E602" s="883">
        <v>1.0015302694725865</v>
      </c>
      <c r="F602" s="883">
        <v>1.0150008836073248</v>
      </c>
      <c r="G602" s="883">
        <v>1.0079913031725045</v>
      </c>
      <c r="H602" s="883">
        <v>0.99556884010101299</v>
      </c>
      <c r="I602" s="883">
        <v>1.0063917481210829</v>
      </c>
      <c r="K602">
        <v>6.7282959931398425</v>
      </c>
      <c r="L602">
        <v>0</v>
      </c>
      <c r="M602">
        <v>1.0110919274288508E-2</v>
      </c>
      <c r="N602">
        <v>0.18893406228251169</v>
      </c>
      <c r="O602">
        <v>0.11900291570795292</v>
      </c>
      <c r="P602">
        <v>8.3201304641837698E-2</v>
      </c>
      <c r="Q602">
        <v>0</v>
      </c>
      <c r="R602">
        <v>1.0110919274288508E-2</v>
      </c>
      <c r="S602">
        <v>0.26496870138276651</v>
      </c>
      <c r="T602">
        <v>5.9128575180263336</v>
      </c>
      <c r="U602">
        <v>0</v>
      </c>
      <c r="V602">
        <v>1.9028431772765766E-2</v>
      </c>
      <c r="W602">
        <v>9.936625334235144E-2</v>
      </c>
      <c r="X602">
        <v>-6.9815991165866095E-4</v>
      </c>
      <c r="Y602">
        <v>4.1634965894978351E-2</v>
      </c>
    </row>
    <row r="603" spans="1:25" x14ac:dyDescent="0.25">
      <c r="A603" s="879"/>
      <c r="B603" s="1133">
        <v>353</v>
      </c>
      <c r="C603" s="883">
        <v>1.022749385221591</v>
      </c>
      <c r="D603" s="883">
        <v>0.98430338218846058</v>
      </c>
      <c r="E603" s="883">
        <v>0.9929120523923034</v>
      </c>
      <c r="F603" s="883">
        <v>1.0317876546991256</v>
      </c>
      <c r="G603" s="883">
        <v>1.0281441840804404</v>
      </c>
      <c r="H603" s="883">
        <v>1.0245333304197035</v>
      </c>
      <c r="I603" s="883">
        <v>0.97408674847822196</v>
      </c>
      <c r="K603">
        <v>6.7351247831098942</v>
      </c>
      <c r="L603">
        <v>0</v>
      </c>
      <c r="M603">
        <v>1.0576901991444626E-2</v>
      </c>
      <c r="N603">
        <v>0.19513357601570303</v>
      </c>
      <c r="O603">
        <v>0.12015729042139382</v>
      </c>
      <c r="P603">
        <v>8.2605672531284799E-2</v>
      </c>
      <c r="Q603">
        <v>0</v>
      </c>
      <c r="R603">
        <v>1.0576901991444626E-2</v>
      </c>
      <c r="S603">
        <v>0.25950165927100033</v>
      </c>
      <c r="T603">
        <v>5.9142479394739969</v>
      </c>
      <c r="U603">
        <v>0</v>
      </c>
      <c r="V603">
        <v>1.9033831161454327E-2</v>
      </c>
      <c r="W603">
        <v>0.1030674642948801</v>
      </c>
      <c r="X603">
        <v>-2.1764498422158895E-3</v>
      </c>
      <c r="Y603">
        <v>4.3553799782395514E-2</v>
      </c>
    </row>
    <row r="604" spans="1:25" x14ac:dyDescent="0.25">
      <c r="A604" s="879"/>
      <c r="B604" s="1133">
        <v>354</v>
      </c>
      <c r="C604" s="883">
        <v>1.0133524938360612</v>
      </c>
      <c r="D604" s="883">
        <v>0.98966346885535261</v>
      </c>
      <c r="E604" s="883">
        <v>0.99256458181571439</v>
      </c>
      <c r="F604" s="883">
        <v>1.0059896463985645</v>
      </c>
      <c r="G604" s="883">
        <v>0.97908793516194215</v>
      </c>
      <c r="H604" s="883">
        <v>1.0141933577436528</v>
      </c>
      <c r="I604" s="883">
        <v>1.0246506729617475</v>
      </c>
      <c r="K604">
        <v>6.7488745083734631</v>
      </c>
      <c r="L604">
        <v>0</v>
      </c>
      <c r="M604">
        <v>1.0545880481652628E-2</v>
      </c>
      <c r="N604">
        <v>0.194461076630492</v>
      </c>
      <c r="O604">
        <v>0.12101479292600277</v>
      </c>
      <c r="P604">
        <v>8.2765369004135683E-2</v>
      </c>
      <c r="Q604">
        <v>0</v>
      </c>
      <c r="R604">
        <v>1.0545880481652628E-2</v>
      </c>
      <c r="S604">
        <v>0.27445053134054548</v>
      </c>
      <c r="T604">
        <v>5.9128729781454794</v>
      </c>
      <c r="U604">
        <v>0</v>
      </c>
      <c r="V604">
        <v>1.9083260008488472E-2</v>
      </c>
      <c r="W604">
        <v>0.10273003614045481</v>
      </c>
      <c r="X604">
        <v>-1.9295945488275834E-3</v>
      </c>
      <c r="Y604">
        <v>4.3426058726694985E-2</v>
      </c>
    </row>
    <row r="605" spans="1:25" x14ac:dyDescent="0.25">
      <c r="A605" s="879"/>
      <c r="B605" s="1133">
        <v>355</v>
      </c>
      <c r="C605" s="883">
        <v>0.97558140195369092</v>
      </c>
      <c r="D605" s="883">
        <v>0.9896006183047531</v>
      </c>
      <c r="E605" s="883">
        <v>1.014503545815753</v>
      </c>
      <c r="F605" s="883">
        <v>0.98813331530307857</v>
      </c>
      <c r="G605" s="883">
        <v>1.0076244935266678</v>
      </c>
      <c r="H605" s="883">
        <v>0.98204277574809695</v>
      </c>
      <c r="I605" s="883">
        <v>1.0020911903267395</v>
      </c>
      <c r="K605">
        <v>6.7581071715365901</v>
      </c>
      <c r="L605">
        <v>0</v>
      </c>
      <c r="M605">
        <v>1.040578472382939E-2</v>
      </c>
      <c r="N605">
        <v>0.19821499196147754</v>
      </c>
      <c r="O605">
        <v>0.12527936417371463</v>
      </c>
      <c r="P605">
        <v>8.4134608163213928E-2</v>
      </c>
      <c r="Q605">
        <v>0</v>
      </c>
      <c r="R605">
        <v>1.040578472382939E-2</v>
      </c>
      <c r="S605">
        <v>0.2757122056643066</v>
      </c>
      <c r="T605">
        <v>5.9106708417097877</v>
      </c>
      <c r="U605">
        <v>0</v>
      </c>
      <c r="V605">
        <v>1.929154670279323E-2</v>
      </c>
      <c r="W605">
        <v>0.10358005857014761</v>
      </c>
      <c r="X605">
        <v>-1.6256147409457499E-3</v>
      </c>
      <c r="Y605">
        <v>4.2849169332094213E-2</v>
      </c>
    </row>
    <row r="606" spans="1:25" x14ac:dyDescent="0.25">
      <c r="A606" s="879"/>
      <c r="B606" s="1133">
        <v>356</v>
      </c>
      <c r="C606" s="883">
        <v>1.0209327990111758</v>
      </c>
      <c r="D606" s="883">
        <v>0.98844648164370585</v>
      </c>
      <c r="E606" s="883">
        <v>1.0212460532553382</v>
      </c>
      <c r="F606" s="883">
        <v>0.9777738186958993</v>
      </c>
      <c r="G606" s="883">
        <v>1.0140971472810583</v>
      </c>
      <c r="H606" s="883">
        <v>1.0296926674255624</v>
      </c>
      <c r="I606" s="883">
        <v>0.95762218313201319</v>
      </c>
      <c r="K606">
        <v>6.7326878349557102</v>
      </c>
      <c r="L606">
        <v>0</v>
      </c>
      <c r="M606">
        <v>1.0369853269830831E-2</v>
      </c>
      <c r="N606">
        <v>0.19951091547960362</v>
      </c>
      <c r="O606">
        <v>0.11964476301161729</v>
      </c>
      <c r="P606">
        <v>8.4273458706861842E-2</v>
      </c>
      <c r="Q606">
        <v>0</v>
      </c>
      <c r="R606">
        <v>1.0369853269830831E-2</v>
      </c>
      <c r="S606">
        <v>0.25602922414916035</v>
      </c>
      <c r="T606">
        <v>5.9097256636712308</v>
      </c>
      <c r="U606">
        <v>0</v>
      </c>
      <c r="V606">
        <v>1.9043315688311104E-2</v>
      </c>
      <c r="W606">
        <v>0.10391126539811486</v>
      </c>
      <c r="X606">
        <v>-2.1519811492807617E-3</v>
      </c>
      <c r="Y606">
        <v>4.2701210000088537E-2</v>
      </c>
    </row>
    <row r="607" spans="1:25" x14ac:dyDescent="0.25">
      <c r="A607" s="879"/>
      <c r="B607" s="1133">
        <v>357</v>
      </c>
      <c r="C607" s="883">
        <v>1.0076392559560756</v>
      </c>
      <c r="D607" s="883">
        <v>1.0059088695950733</v>
      </c>
      <c r="E607" s="883">
        <v>1.003911969998319</v>
      </c>
      <c r="F607" s="883">
        <v>0.97733116398192077</v>
      </c>
      <c r="G607" s="883">
        <v>1.0414822958191332</v>
      </c>
      <c r="H607" s="883">
        <v>0.99554781527638214</v>
      </c>
      <c r="I607" s="883">
        <v>1.0278456664284259</v>
      </c>
      <c r="K607">
        <v>6.7427556705431932</v>
      </c>
      <c r="L607">
        <v>0</v>
      </c>
      <c r="M607">
        <v>1.0236383486101067E-2</v>
      </c>
      <c r="N607">
        <v>0.19195447556079503</v>
      </c>
      <c r="O607">
        <v>0.12070055342130967</v>
      </c>
      <c r="P607">
        <v>8.3456583866945488E-2</v>
      </c>
      <c r="Q607">
        <v>0</v>
      </c>
      <c r="R607">
        <v>1.0236383486101067E-2</v>
      </c>
      <c r="S607">
        <v>0.27492207401953928</v>
      </c>
      <c r="T607">
        <v>5.9106876310703829</v>
      </c>
      <c r="U607">
        <v>0</v>
      </c>
      <c r="V607">
        <v>1.911376302071539E-2</v>
      </c>
      <c r="W607">
        <v>0.10083557236053857</v>
      </c>
      <c r="X607">
        <v>-1.0665879644559729E-3</v>
      </c>
      <c r="Y607">
        <v>4.2151605187425265E-2</v>
      </c>
    </row>
    <row r="608" spans="1:25" x14ac:dyDescent="0.25">
      <c r="A608" s="879"/>
      <c r="B608" s="1133">
        <v>358</v>
      </c>
      <c r="C608" s="883">
        <v>0.97912391652229303</v>
      </c>
      <c r="D608" s="883">
        <v>1.0050360866104155</v>
      </c>
      <c r="E608" s="883">
        <v>1.0021241357309199</v>
      </c>
      <c r="F608" s="883">
        <v>0.99727340668381537</v>
      </c>
      <c r="G608" s="883">
        <v>0.9860213451708052</v>
      </c>
      <c r="H608" s="883">
        <v>0.98072395736605145</v>
      </c>
      <c r="I608" s="883">
        <v>1.0359851762710612</v>
      </c>
      <c r="K608">
        <v>6.7608045217227408</v>
      </c>
      <c r="L608">
        <v>0</v>
      </c>
      <c r="M608">
        <v>1.0397730624233929E-2</v>
      </c>
      <c r="N608">
        <v>0.19446445139493618</v>
      </c>
      <c r="O608">
        <v>0.12429308914041222</v>
      </c>
      <c r="P608">
        <v>8.3479914394454971E-2</v>
      </c>
      <c r="Q608">
        <v>0</v>
      </c>
      <c r="R608">
        <v>1.0397730624233929E-2</v>
      </c>
      <c r="S608">
        <v>0.28369950000630317</v>
      </c>
      <c r="T608">
        <v>5.9118660670123289</v>
      </c>
      <c r="U608">
        <v>0</v>
      </c>
      <c r="V608">
        <v>1.9271328780898468E-2</v>
      </c>
      <c r="W608">
        <v>0.10224471824344385</v>
      </c>
      <c r="X608">
        <v>-1.3305512335773182E-3</v>
      </c>
      <c r="Y608">
        <v>4.2816003983536383E-2</v>
      </c>
    </row>
    <row r="609" spans="1:25" x14ac:dyDescent="0.25">
      <c r="A609" s="879"/>
      <c r="B609" s="1133">
        <v>359</v>
      </c>
      <c r="C609" s="883">
        <v>0.9629036116027716</v>
      </c>
      <c r="D609" s="883">
        <v>1.0287561042307722</v>
      </c>
      <c r="E609" s="883">
        <v>1.0079656710002856</v>
      </c>
      <c r="F609" s="883">
        <v>0.99657110688184347</v>
      </c>
      <c r="G609" s="883">
        <v>0.97909118327849431</v>
      </c>
      <c r="H609" s="883">
        <v>1.0365086470678961</v>
      </c>
      <c r="I609" s="883">
        <v>1.0097184430903048</v>
      </c>
      <c r="K609">
        <v>6.784376862763609</v>
      </c>
      <c r="L609">
        <v>0</v>
      </c>
      <c r="M609">
        <v>1.1006917102693718E-2</v>
      </c>
      <c r="N609">
        <v>0.20764639321507106</v>
      </c>
      <c r="O609">
        <v>0.12510035262610369</v>
      </c>
      <c r="P609">
        <v>8.3880365626476758E-2</v>
      </c>
      <c r="Q609">
        <v>0</v>
      </c>
      <c r="R609">
        <v>1.1006917102693718E-2</v>
      </c>
      <c r="S609">
        <v>0.28640769409696165</v>
      </c>
      <c r="T609">
        <v>5.9114982071495241</v>
      </c>
      <c r="U609">
        <v>0</v>
      </c>
      <c r="V609">
        <v>1.9365120518226846E-2</v>
      </c>
      <c r="W609">
        <v>0.10885984511823231</v>
      </c>
      <c r="X609">
        <v>-3.7056410576734372E-3</v>
      </c>
      <c r="Y609">
        <v>4.5324525470682782E-2</v>
      </c>
    </row>
    <row r="610" spans="1:25" x14ac:dyDescent="0.25">
      <c r="A610" s="879"/>
      <c r="B610" s="1133">
        <v>360</v>
      </c>
      <c r="C610" s="883">
        <v>1.0063620432064251</v>
      </c>
      <c r="D610" s="883">
        <v>0.97191303663702644</v>
      </c>
      <c r="E610" s="883">
        <v>0.98175647693525014</v>
      </c>
      <c r="F610" s="883">
        <v>1.0076550000298043</v>
      </c>
      <c r="G610" s="883">
        <v>0.97732890084544732</v>
      </c>
      <c r="H610" s="883">
        <v>0.9861241691968563</v>
      </c>
      <c r="I610" s="883">
        <v>0.97994231821829025</v>
      </c>
      <c r="K610">
        <v>6.7330908990867089</v>
      </c>
      <c r="L610">
        <v>0</v>
      </c>
      <c r="M610">
        <v>1.0504218784597803E-2</v>
      </c>
      <c r="N610">
        <v>0.19061323534001315</v>
      </c>
      <c r="O610">
        <v>0.12294305468534084</v>
      </c>
      <c r="P610">
        <v>8.1927895178217552E-2</v>
      </c>
      <c r="Q610">
        <v>0</v>
      </c>
      <c r="R610">
        <v>1.0504218784597803E-2</v>
      </c>
      <c r="S610">
        <v>0.26186851149424839</v>
      </c>
      <c r="T610">
        <v>5.9135627311702779</v>
      </c>
      <c r="U610">
        <v>0</v>
      </c>
      <c r="V610">
        <v>1.9120629434311202E-2</v>
      </c>
      <c r="W610">
        <v>0.10124211818842553</v>
      </c>
      <c r="X610">
        <v>-1.4417796778543588E-3</v>
      </c>
      <c r="Y610">
        <v>4.3254503273728859E-2</v>
      </c>
    </row>
    <row r="611" spans="1:25" x14ac:dyDescent="0.25">
      <c r="A611" s="879"/>
      <c r="B611" s="1133">
        <v>361</v>
      </c>
      <c r="C611" s="883">
        <v>0.98413894084240416</v>
      </c>
      <c r="D611" s="883">
        <v>1.0134204613187616</v>
      </c>
      <c r="E611" s="883">
        <v>1.0021213917095717</v>
      </c>
      <c r="F611" s="883">
        <v>1.0361336939601113</v>
      </c>
      <c r="G611" s="883">
        <v>0.99166511299086024</v>
      </c>
      <c r="H611" s="883">
        <v>1.0168259016003307</v>
      </c>
      <c r="I611" s="883">
        <v>0.98377435728177487</v>
      </c>
      <c r="K611">
        <v>6.757581732191329</v>
      </c>
      <c r="L611">
        <v>0</v>
      </c>
      <c r="M611">
        <v>1.0687492579763966E-2</v>
      </c>
      <c r="N611">
        <v>0.19988293685169253</v>
      </c>
      <c r="O611">
        <v>0.12324950985244572</v>
      </c>
      <c r="P611">
        <v>8.3341607777938156E-2</v>
      </c>
      <c r="Q611">
        <v>0</v>
      </c>
      <c r="R611">
        <v>1.0687492579763966E-2</v>
      </c>
      <c r="S611">
        <v>0.27133692859630876</v>
      </c>
      <c r="T611">
        <v>5.9139662653413678</v>
      </c>
      <c r="U611">
        <v>0</v>
      </c>
      <c r="V611">
        <v>1.9242955797171488E-2</v>
      </c>
      <c r="W611">
        <v>0.10509377030259549</v>
      </c>
      <c r="X611">
        <v>-2.541434468903044E-3</v>
      </c>
      <c r="Y611">
        <v>4.4009192140703653E-2</v>
      </c>
    </row>
    <row r="612" spans="1:25" x14ac:dyDescent="0.25">
      <c r="A612" s="879"/>
      <c r="B612" s="1133">
        <v>362</v>
      </c>
      <c r="C612" s="883">
        <v>1.0144468370491317</v>
      </c>
      <c r="D612" s="883">
        <v>0.97351803058429587</v>
      </c>
      <c r="E612" s="883">
        <v>0.98851163589406144</v>
      </c>
      <c r="F612" s="883">
        <v>0.98524163507386975</v>
      </c>
      <c r="G612" s="883">
        <v>1.0130329168468701</v>
      </c>
      <c r="H612" s="883">
        <v>1.0121798468788921</v>
      </c>
      <c r="I612" s="883">
        <v>0.9919087830754959</v>
      </c>
      <c r="K612">
        <v>6.7400493146711922</v>
      </c>
      <c r="L612">
        <v>0</v>
      </c>
      <c r="M612">
        <v>1.0625488638499537E-2</v>
      </c>
      <c r="N612">
        <v>0.19475528903879846</v>
      </c>
      <c r="O612">
        <v>0.12175755070766396</v>
      </c>
      <c r="P612">
        <v>8.2377719370406416E-2</v>
      </c>
      <c r="Q612">
        <v>0</v>
      </c>
      <c r="R612">
        <v>1.0625488638499537E-2</v>
      </c>
      <c r="S612">
        <v>0.26537785013596377</v>
      </c>
      <c r="T612">
        <v>5.9119771538110673</v>
      </c>
      <c r="U612">
        <v>0</v>
      </c>
      <c r="V612">
        <v>1.9077456511588139E-2</v>
      </c>
      <c r="W612">
        <v>0.10309356628174474</v>
      </c>
      <c r="X612">
        <v>-2.1211421329096324E-3</v>
      </c>
      <c r="Y612">
        <v>4.3753870946866877E-2</v>
      </c>
    </row>
    <row r="613" spans="1:25" x14ac:dyDescent="0.25">
      <c r="A613" s="879"/>
      <c r="B613" s="1133">
        <v>363</v>
      </c>
      <c r="C613" s="883">
        <v>0.99269939908414551</v>
      </c>
      <c r="D613" s="883">
        <v>1.0293375476751474</v>
      </c>
      <c r="E613" s="883">
        <v>0.99857106369152826</v>
      </c>
      <c r="F613" s="883">
        <v>1.0007192567859002</v>
      </c>
      <c r="G613" s="883">
        <v>1.0185126537007874</v>
      </c>
      <c r="H613" s="883">
        <v>1.0108828614448051</v>
      </c>
      <c r="I613" s="883">
        <v>1.0070569140929324</v>
      </c>
      <c r="K613">
        <v>6.7502009818733493</v>
      </c>
      <c r="L613">
        <v>0</v>
      </c>
      <c r="M613">
        <v>1.0495885933532177E-2</v>
      </c>
      <c r="N613">
        <v>0.1952696636274612</v>
      </c>
      <c r="O613">
        <v>0.12149363254366866</v>
      </c>
      <c r="P613">
        <v>8.3139005607264366E-2</v>
      </c>
      <c r="Q613">
        <v>0</v>
      </c>
      <c r="R613">
        <v>1.0495885933532177E-2</v>
      </c>
      <c r="S613">
        <v>0.27463578244814735</v>
      </c>
      <c r="T613">
        <v>5.9122520348548759</v>
      </c>
      <c r="U613">
        <v>0</v>
      </c>
      <c r="V613">
        <v>1.9195186497025379E-2</v>
      </c>
      <c r="W613">
        <v>0.10284937918327666</v>
      </c>
      <c r="X613">
        <v>-1.853892964602756E-3</v>
      </c>
      <c r="Y613">
        <v>4.3220190076232796E-2</v>
      </c>
    </row>
    <row r="614" spans="1:25" x14ac:dyDescent="0.25">
      <c r="A614" s="879"/>
      <c r="B614" s="1133">
        <v>364</v>
      </c>
      <c r="C614" s="883">
        <v>0.99760255001300802</v>
      </c>
      <c r="D614" s="883">
        <v>0.98539629029986875</v>
      </c>
      <c r="E614" s="883">
        <v>1.0185504035870583</v>
      </c>
      <c r="F614" s="883">
        <v>1.0151320080382147</v>
      </c>
      <c r="G614" s="883">
        <v>0.97358542211334143</v>
      </c>
      <c r="H614" s="883">
        <v>0.98473968923986432</v>
      </c>
      <c r="I614" s="883">
        <v>1.0213649715436595</v>
      </c>
      <c r="K614">
        <v>6.7511169966067435</v>
      </c>
      <c r="L614">
        <v>0</v>
      </c>
      <c r="M614">
        <v>1.0186526501471265E-2</v>
      </c>
      <c r="N614">
        <v>0.19520383391728133</v>
      </c>
      <c r="O614">
        <v>0.12264569297248117</v>
      </c>
      <c r="P614">
        <v>8.439552378600837E-2</v>
      </c>
      <c r="Q614">
        <v>0</v>
      </c>
      <c r="R614">
        <v>1.0186526501471265E-2</v>
      </c>
      <c r="S614">
        <v>0.27512297805277514</v>
      </c>
      <c r="T614">
        <v>5.9118984113420447</v>
      </c>
      <c r="U614">
        <v>0</v>
      </c>
      <c r="V614">
        <v>1.916819506085158E-2</v>
      </c>
      <c r="W614">
        <v>0.10180310426488394</v>
      </c>
      <c r="X614">
        <v>-1.0670457885172786E-3</v>
      </c>
      <c r="Y614">
        <v>4.1946302998932199E-2</v>
      </c>
    </row>
    <row r="615" spans="1:25" x14ac:dyDescent="0.25">
      <c r="A615" s="879"/>
      <c r="B615" s="1133">
        <v>365</v>
      </c>
      <c r="C615" s="883">
        <v>1.0023844897613674</v>
      </c>
      <c r="D615" s="883">
        <v>1.027478183227247</v>
      </c>
      <c r="E615" s="883">
        <v>1.0006363830437137</v>
      </c>
      <c r="F615" s="883">
        <v>0.99878863114329008</v>
      </c>
      <c r="G615" s="883">
        <v>0.97754082046840951</v>
      </c>
      <c r="H615" s="883">
        <v>0.9949945638134855</v>
      </c>
      <c r="I615" s="883">
        <v>0.97532044820797126</v>
      </c>
      <c r="K615">
        <v>6.7287911546873591</v>
      </c>
      <c r="L615">
        <v>0</v>
      </c>
      <c r="M615">
        <v>1.0220563568885002E-2</v>
      </c>
      <c r="N615">
        <v>0.19073016458282194</v>
      </c>
      <c r="O615">
        <v>0.12036861482622226</v>
      </c>
      <c r="P615">
        <v>8.3095737923650242E-2</v>
      </c>
      <c r="Q615">
        <v>0</v>
      </c>
      <c r="R615">
        <v>1.0220563568885002E-2</v>
      </c>
      <c r="S615">
        <v>0.26199101379167933</v>
      </c>
      <c r="T615">
        <v>5.9120316742496701</v>
      </c>
      <c r="U615">
        <v>0</v>
      </c>
      <c r="V615">
        <v>1.9142125227672266E-2</v>
      </c>
      <c r="W615">
        <v>0.10035540056645155</v>
      </c>
      <c r="X615">
        <v>-1.010038064975654E-3</v>
      </c>
      <c r="Y615">
        <v>4.2086461584169794E-2</v>
      </c>
    </row>
    <row r="616" spans="1:25" x14ac:dyDescent="0.25">
      <c r="A616" s="879"/>
      <c r="B616" s="1133">
        <v>366</v>
      </c>
      <c r="C616" s="883">
        <v>1.0272004236323073</v>
      </c>
      <c r="D616" s="883">
        <v>0.98024214958905598</v>
      </c>
      <c r="E616" s="883">
        <v>1.0253914546931655</v>
      </c>
      <c r="F616" s="883">
        <v>1.0040526427804379</v>
      </c>
      <c r="G616" s="883">
        <v>1.0108502617896538</v>
      </c>
      <c r="H616" s="883">
        <v>0.98482107922470508</v>
      </c>
      <c r="I616" s="883">
        <v>1.0196369250807618</v>
      </c>
      <c r="K616">
        <v>6.7309950964049969</v>
      </c>
      <c r="L616">
        <v>0</v>
      </c>
      <c r="M616">
        <v>9.8568686160368981E-3</v>
      </c>
      <c r="N616">
        <v>0.19080755520417797</v>
      </c>
      <c r="O616">
        <v>0.11923477550781439</v>
      </c>
      <c r="P616">
        <v>8.469541552832513E-2</v>
      </c>
      <c r="Q616">
        <v>0</v>
      </c>
      <c r="R616">
        <v>9.8568686160368981E-3</v>
      </c>
      <c r="S616">
        <v>0.26681413678463162</v>
      </c>
      <c r="T616">
        <v>5.9109070534141761</v>
      </c>
      <c r="U616">
        <v>0</v>
      </c>
      <c r="V616">
        <v>1.9010733768335026E-2</v>
      </c>
      <c r="W616">
        <v>9.9175845584498976E-2</v>
      </c>
      <c r="X616">
        <v>-2.3924989059264073E-4</v>
      </c>
      <c r="Y616">
        <v>4.0588830503629679E-2</v>
      </c>
    </row>
    <row r="617" spans="1:25" x14ac:dyDescent="0.25">
      <c r="A617" s="879"/>
      <c r="B617" s="1133">
        <v>367</v>
      </c>
      <c r="C617" s="883">
        <v>0.96535458017634812</v>
      </c>
      <c r="D617" s="883">
        <v>1.0030964112644352</v>
      </c>
      <c r="E617" s="883">
        <v>1.0202990575607715</v>
      </c>
      <c r="F617" s="883">
        <v>0.98152635857948944</v>
      </c>
      <c r="G617" s="883">
        <v>1.036522200562785</v>
      </c>
      <c r="H617" s="883">
        <v>1.0177439917412778</v>
      </c>
      <c r="I617" s="883">
        <v>0.98494069463619172</v>
      </c>
      <c r="K617">
        <v>6.7730990484373841</v>
      </c>
      <c r="L617">
        <v>0</v>
      </c>
      <c r="M617">
        <v>1.078044632927754E-2</v>
      </c>
      <c r="N617">
        <v>0.2071201880315546</v>
      </c>
      <c r="O617">
        <v>0.12580913849637185</v>
      </c>
      <c r="P617">
        <v>8.4509584745339178E-2</v>
      </c>
      <c r="Q617">
        <v>0</v>
      </c>
      <c r="R617">
        <v>1.078044632927754E-2</v>
      </c>
      <c r="S617">
        <v>0.27717436927172201</v>
      </c>
      <c r="T617">
        <v>5.9099826838267333</v>
      </c>
      <c r="U617">
        <v>0</v>
      </c>
      <c r="V617">
        <v>1.9350745973231269E-2</v>
      </c>
      <c r="W617">
        <v>0.10792472014975088</v>
      </c>
      <c r="X617">
        <v>-3.1643411933743822E-3</v>
      </c>
      <c r="Y617">
        <v>4.4391959136049937E-2</v>
      </c>
    </row>
    <row r="618" spans="1:25" x14ac:dyDescent="0.25">
      <c r="A618" s="879"/>
      <c r="B618" s="1133">
        <v>368</v>
      </c>
      <c r="C618" s="883">
        <v>1.0021624584344648</v>
      </c>
      <c r="D618" s="883">
        <v>1.0197465769700951</v>
      </c>
      <c r="E618" s="883">
        <v>0.98580103126574226</v>
      </c>
      <c r="F618" s="883">
        <v>1.0080541247486043</v>
      </c>
      <c r="G618" s="883">
        <v>0.97461820134590615</v>
      </c>
      <c r="H618" s="883">
        <v>1.01452092230387</v>
      </c>
      <c r="I618" s="883">
        <v>1.0057721077654507</v>
      </c>
      <c r="K618">
        <v>6.7455300460181853</v>
      </c>
      <c r="L618">
        <v>0</v>
      </c>
      <c r="M618">
        <v>1.0593495476714563E-2</v>
      </c>
      <c r="N618">
        <v>0.19338998214014361</v>
      </c>
      <c r="O618">
        <v>0.12103392511145954</v>
      </c>
      <c r="P618">
        <v>8.2315612538810243E-2</v>
      </c>
      <c r="Q618">
        <v>0</v>
      </c>
      <c r="R618">
        <v>1.0593495476714563E-2</v>
      </c>
      <c r="S618">
        <v>0.27210667751603568</v>
      </c>
      <c r="T618">
        <v>5.9133606389478981</v>
      </c>
      <c r="U618">
        <v>0</v>
      </c>
      <c r="V618">
        <v>1.9143330174347023E-2</v>
      </c>
      <c r="W618">
        <v>0.10250947045809884</v>
      </c>
      <c r="X618">
        <v>-1.9517196698190561E-3</v>
      </c>
      <c r="Y618">
        <v>4.3622128801206861E-2</v>
      </c>
    </row>
    <row r="619" spans="1:25" x14ac:dyDescent="0.25">
      <c r="A619" s="879"/>
      <c r="B619" s="1133">
        <v>369</v>
      </c>
      <c r="C619" s="883">
        <v>0.99161246188703034</v>
      </c>
      <c r="D619" s="883">
        <v>0.99081223469672375</v>
      </c>
      <c r="E619" s="883">
        <v>1.0135775579669672</v>
      </c>
      <c r="F619" s="883">
        <v>0.9979211090707526</v>
      </c>
      <c r="G619" s="883">
        <v>1.0050607577985349</v>
      </c>
      <c r="H619" s="883">
        <v>1.0264814099648991</v>
      </c>
      <c r="I619" s="883">
        <v>1.0362167504382098</v>
      </c>
      <c r="K619">
        <v>6.7740434176886053</v>
      </c>
      <c r="L619">
        <v>0</v>
      </c>
      <c r="M619">
        <v>1.070387932276772E-2</v>
      </c>
      <c r="N619">
        <v>0.20361403273710288</v>
      </c>
      <c r="O619">
        <v>0.1232113862430997</v>
      </c>
      <c r="P619">
        <v>8.4207125600439706E-2</v>
      </c>
      <c r="Q619">
        <v>0</v>
      </c>
      <c r="R619">
        <v>1.070387932276772E-2</v>
      </c>
      <c r="S619">
        <v>0.28487360159391301</v>
      </c>
      <c r="T619">
        <v>5.9112524361335623</v>
      </c>
      <c r="U619">
        <v>0</v>
      </c>
      <c r="V619">
        <v>1.9201206140324261E-2</v>
      </c>
      <c r="W619">
        <v>0.1064500668147732</v>
      </c>
      <c r="X619">
        <v>-2.8431074062737266E-3</v>
      </c>
      <c r="Y619">
        <v>4.4076669831661579E-2</v>
      </c>
    </row>
    <row r="620" spans="1:25" x14ac:dyDescent="0.25">
      <c r="A620" s="879"/>
      <c r="B620" s="1133">
        <v>370</v>
      </c>
      <c r="C620" s="883">
        <v>1.0250514702323625</v>
      </c>
      <c r="D620" s="883">
        <v>0.99470693620744077</v>
      </c>
      <c r="E620" s="883">
        <v>1.0298026769572577</v>
      </c>
      <c r="F620" s="883">
        <v>0.98921673309015401</v>
      </c>
      <c r="G620" s="883">
        <v>0.9743309848022047</v>
      </c>
      <c r="H620" s="883">
        <v>0.98156463851628328</v>
      </c>
      <c r="I620" s="883">
        <v>0.98572793291672578</v>
      </c>
      <c r="K620">
        <v>6.7189840167660133</v>
      </c>
      <c r="L620">
        <v>0</v>
      </c>
      <c r="M620">
        <v>9.7455276777494541E-3</v>
      </c>
      <c r="N620">
        <v>0.18988661185150663</v>
      </c>
      <c r="O620">
        <v>0.11870481083968522</v>
      </c>
      <c r="P620">
        <v>8.4837155217782276E-2</v>
      </c>
      <c r="Q620">
        <v>0</v>
      </c>
      <c r="R620">
        <v>9.7455276777494541E-3</v>
      </c>
      <c r="S620">
        <v>0.25805597290829796</v>
      </c>
      <c r="T620">
        <v>5.9098510335265022</v>
      </c>
      <c r="U620">
        <v>0</v>
      </c>
      <c r="V620">
        <v>1.9021860104470774E-2</v>
      </c>
      <c r="W620">
        <v>9.8483600504578772E-2</v>
      </c>
      <c r="X620">
        <v>1.2623475479977557E-5</v>
      </c>
      <c r="Y620">
        <v>4.013034833771021E-2</v>
      </c>
    </row>
    <row r="621" spans="1:25" x14ac:dyDescent="0.25">
      <c r="A621" s="879"/>
      <c r="B621" s="1133">
        <v>371</v>
      </c>
      <c r="C621" s="883">
        <v>0.95529641750818572</v>
      </c>
      <c r="D621" s="883">
        <v>1.0221766285673322</v>
      </c>
      <c r="E621" s="883">
        <v>0.97062488364213606</v>
      </c>
      <c r="F621" s="883">
        <v>0.97512370215183675</v>
      </c>
      <c r="G621" s="883">
        <v>0.98648343187657295</v>
      </c>
      <c r="H621" s="883">
        <v>1.0373740290619242</v>
      </c>
      <c r="I621" s="883">
        <v>1.0304482162759432</v>
      </c>
      <c r="K621">
        <v>6.7933185550506954</v>
      </c>
      <c r="L621">
        <v>0</v>
      </c>
      <c r="M621">
        <v>1.1503104559679419E-2</v>
      </c>
      <c r="N621">
        <v>0.20531924035660551</v>
      </c>
      <c r="O621">
        <v>0.12714287870845928</v>
      </c>
      <c r="P621">
        <v>8.1646001742272309E-2</v>
      </c>
      <c r="Q621">
        <v>0</v>
      </c>
      <c r="R621">
        <v>1.1503104559679419E-2</v>
      </c>
      <c r="S621">
        <v>0.29470718072371382</v>
      </c>
      <c r="T621">
        <v>5.9124146678836951</v>
      </c>
      <c r="U621">
        <v>0</v>
      </c>
      <c r="V621">
        <v>1.9410205258646854E-2</v>
      </c>
      <c r="W621">
        <v>0.10966352974081851</v>
      </c>
      <c r="X621">
        <v>-4.3528864639889473E-3</v>
      </c>
      <c r="Y621">
        <v>4.7367737100474913E-2</v>
      </c>
    </row>
    <row r="622" spans="1:25" x14ac:dyDescent="0.25">
      <c r="A622" s="879"/>
      <c r="B622" s="1133">
        <v>372</v>
      </c>
      <c r="C622" s="883">
        <v>1.0387602056510263</v>
      </c>
      <c r="D622" s="883">
        <v>1.0480465827807608</v>
      </c>
      <c r="E622" s="883">
        <v>0.99402109678624651</v>
      </c>
      <c r="F622" s="883">
        <v>0.98766419376809123</v>
      </c>
      <c r="G622" s="883">
        <v>1.0107677353212656</v>
      </c>
      <c r="H622" s="883">
        <v>1.0095971324533339</v>
      </c>
      <c r="I622" s="883">
        <v>1.0378746436421726</v>
      </c>
      <c r="K622">
        <v>6.7216882258902473</v>
      </c>
      <c r="L622">
        <v>0</v>
      </c>
      <c r="M622">
        <v>9.9804116926656972E-3</v>
      </c>
      <c r="N622">
        <v>0.184431833423714</v>
      </c>
      <c r="O622">
        <v>0.11535321618402476</v>
      </c>
      <c r="P622">
        <v>8.2784237824275728E-2</v>
      </c>
      <c r="Q622">
        <v>0</v>
      </c>
      <c r="R622">
        <v>9.9804116926656972E-3</v>
      </c>
      <c r="S622">
        <v>0.27019326712001823</v>
      </c>
      <c r="T622">
        <v>5.9118012084491136</v>
      </c>
      <c r="U622">
        <v>0</v>
      </c>
      <c r="V622">
        <v>1.8951672170481122E-2</v>
      </c>
      <c r="W622">
        <v>9.736113487166087E-2</v>
      </c>
      <c r="X622">
        <v>-2.8590305637972647E-4</v>
      </c>
      <c r="Y622">
        <v>4.1097558903339187E-2</v>
      </c>
    </row>
    <row r="623" spans="1:25" x14ac:dyDescent="0.25">
      <c r="A623" s="879"/>
      <c r="B623" s="1133">
        <v>373</v>
      </c>
      <c r="C623" s="883">
        <v>1.0047855229483897</v>
      </c>
      <c r="D623" s="883">
        <v>1.0246270888398175</v>
      </c>
      <c r="E623" s="883">
        <v>0.99722560936318261</v>
      </c>
      <c r="F623" s="883">
        <v>0.99123718125231286</v>
      </c>
      <c r="G623" s="883">
        <v>0.98372007401079997</v>
      </c>
      <c r="H623" s="883">
        <v>0.99207297396094762</v>
      </c>
      <c r="I623" s="883">
        <v>1.0100054149492623</v>
      </c>
      <c r="K623">
        <v>6.7352487759086257</v>
      </c>
      <c r="L623">
        <v>0</v>
      </c>
      <c r="M623">
        <v>1.020866495898992E-2</v>
      </c>
      <c r="N623">
        <v>0.18954783470193465</v>
      </c>
      <c r="O623">
        <v>0.1202774871431506</v>
      </c>
      <c r="P623">
        <v>8.2991096258957717E-2</v>
      </c>
      <c r="Q623">
        <v>0</v>
      </c>
      <c r="R623">
        <v>1.020866495898992E-2</v>
      </c>
      <c r="S623">
        <v>0.27040543108599829</v>
      </c>
      <c r="T623">
        <v>5.9118150328933998</v>
      </c>
      <c r="U623">
        <v>0</v>
      </c>
      <c r="V623">
        <v>1.9129129024361435E-2</v>
      </c>
      <c r="W623">
        <v>9.9902456702136044E-2</v>
      </c>
      <c r="X623">
        <v>-8.5715712781245983E-4</v>
      </c>
      <c r="Y623">
        <v>4.2037465226495464E-2</v>
      </c>
    </row>
    <row r="624" spans="1:25" x14ac:dyDescent="0.25">
      <c r="A624" s="879"/>
      <c r="B624" s="1133">
        <v>374</v>
      </c>
      <c r="C624" s="883">
        <v>0.96815532259766779</v>
      </c>
      <c r="D624" s="883">
        <v>1.0321133460476406</v>
      </c>
      <c r="E624" s="883">
        <v>0.96199442222734721</v>
      </c>
      <c r="F624" s="883">
        <v>1.0021277857153013</v>
      </c>
      <c r="G624" s="883">
        <v>0.98926396201864431</v>
      </c>
      <c r="H624" s="883">
        <v>0.98365947261826558</v>
      </c>
      <c r="I624" s="883">
        <v>0.98847651808115289</v>
      </c>
      <c r="K624">
        <v>6.7483985019778343</v>
      </c>
      <c r="L624">
        <v>0</v>
      </c>
      <c r="M624">
        <v>1.0798960934775701E-2</v>
      </c>
      <c r="N624">
        <v>0.19029607329282597</v>
      </c>
      <c r="O624">
        <v>0.12513187147302718</v>
      </c>
      <c r="P624">
        <v>8.085024585778261E-2</v>
      </c>
      <c r="Q624">
        <v>0</v>
      </c>
      <c r="R624">
        <v>1.0798960934775701E-2</v>
      </c>
      <c r="S624">
        <v>0.2737277078854769</v>
      </c>
      <c r="T624">
        <v>5.9143434520595459</v>
      </c>
      <c r="U624">
        <v>0</v>
      </c>
      <c r="V624">
        <v>1.9334409161221002E-2</v>
      </c>
      <c r="W624">
        <v>0.10208211892249945</v>
      </c>
      <c r="X624">
        <v>-1.8355756605562064E-3</v>
      </c>
      <c r="Y624">
        <v>4.4468198986014409E-2</v>
      </c>
    </row>
    <row r="625" spans="1:25" x14ac:dyDescent="0.25">
      <c r="A625" s="879"/>
      <c r="B625" s="1133">
        <v>375</v>
      </c>
      <c r="C625" s="883">
        <v>0.96953572916000952</v>
      </c>
      <c r="D625" s="883">
        <v>0.99132113735538863</v>
      </c>
      <c r="E625" s="883">
        <v>1.0267700329886609</v>
      </c>
      <c r="F625" s="883">
        <v>0.99202816675310201</v>
      </c>
      <c r="G625" s="883">
        <v>1.0137169327255726</v>
      </c>
      <c r="H625" s="883">
        <v>1.023284213751591</v>
      </c>
      <c r="I625" s="883">
        <v>0.99890830415087872</v>
      </c>
      <c r="K625">
        <v>6.7797352095868</v>
      </c>
      <c r="L625">
        <v>0</v>
      </c>
      <c r="M625">
        <v>1.0785816988524068E-2</v>
      </c>
      <c r="N625">
        <v>0.20921600847913208</v>
      </c>
      <c r="O625">
        <v>0.12573275244283533</v>
      </c>
      <c r="P625">
        <v>8.496416189714695E-2</v>
      </c>
      <c r="Q625">
        <v>0</v>
      </c>
      <c r="R625">
        <v>1.0785816988524068E-2</v>
      </c>
      <c r="S625">
        <v>0.28057596194345413</v>
      </c>
      <c r="T625">
        <v>5.910178032893846</v>
      </c>
      <c r="U625">
        <v>0</v>
      </c>
      <c r="V625">
        <v>1.9326391933848837E-2</v>
      </c>
      <c r="W625">
        <v>0.10867035066561564</v>
      </c>
      <c r="X625">
        <v>-3.3425252239649064E-3</v>
      </c>
      <c r="Y625">
        <v>4.441407455488542E-2</v>
      </c>
    </row>
    <row r="626" spans="1:25" x14ac:dyDescent="0.25">
      <c r="A626" s="879"/>
      <c r="B626" s="1133">
        <v>376</v>
      </c>
      <c r="C626" s="883">
        <v>1.0217073940566863</v>
      </c>
      <c r="D626" s="883">
        <v>1.0056827408909754</v>
      </c>
      <c r="E626" s="883">
        <v>0.99847807960831936</v>
      </c>
      <c r="F626" s="883">
        <v>1.0046818061471194</v>
      </c>
      <c r="G626" s="883">
        <v>0.99351369572311288</v>
      </c>
      <c r="H626" s="883">
        <v>0.99805865840258656</v>
      </c>
      <c r="I626" s="883">
        <v>0.99830155179662672</v>
      </c>
      <c r="K626">
        <v>6.7270695917680152</v>
      </c>
      <c r="L626">
        <v>0</v>
      </c>
      <c r="M626">
        <v>1.0170039690025221E-2</v>
      </c>
      <c r="N626">
        <v>0.18918142449104797</v>
      </c>
      <c r="O626">
        <v>0.11914879922169895</v>
      </c>
      <c r="P626">
        <v>8.2985873723464415E-2</v>
      </c>
      <c r="Q626">
        <v>0</v>
      </c>
      <c r="R626">
        <v>1.0170039690025221E-2</v>
      </c>
      <c r="S626">
        <v>0.26356684162648181</v>
      </c>
      <c r="T626">
        <v>5.9124714049160891</v>
      </c>
      <c r="U626">
        <v>0</v>
      </c>
      <c r="V626">
        <v>1.9039267347533383E-2</v>
      </c>
      <c r="W626">
        <v>9.9647281494968903E-2</v>
      </c>
      <c r="X626">
        <v>-8.4971429720821778E-4</v>
      </c>
      <c r="Y626">
        <v>4.1878413243940413E-2</v>
      </c>
    </row>
    <row r="627" spans="1:25" x14ac:dyDescent="0.25">
      <c r="A627" s="879"/>
      <c r="B627" s="1133">
        <v>377</v>
      </c>
      <c r="C627" s="883">
        <v>0.96182083556094944</v>
      </c>
      <c r="D627" s="883">
        <v>1.0018591989389449</v>
      </c>
      <c r="E627" s="883">
        <v>0.97446940512917202</v>
      </c>
      <c r="F627" s="883">
        <v>0.99534479163022294</v>
      </c>
      <c r="G627" s="883">
        <v>0.99175432458841073</v>
      </c>
      <c r="H627" s="883">
        <v>0.98684821251515298</v>
      </c>
      <c r="I627" s="883">
        <v>1.0178765468528468</v>
      </c>
      <c r="K627">
        <v>6.7692775491425126</v>
      </c>
      <c r="L627">
        <v>0</v>
      </c>
      <c r="M627">
        <v>1.0925788644463301E-2</v>
      </c>
      <c r="N627">
        <v>0.19613088088753949</v>
      </c>
      <c r="O627">
        <v>0.12722478456911385</v>
      </c>
      <c r="P627">
        <v>8.176436236722423E-2</v>
      </c>
      <c r="Q627">
        <v>0</v>
      </c>
      <c r="R627">
        <v>1.0925788644463301E-2</v>
      </c>
      <c r="S627">
        <v>0.2843461738005798</v>
      </c>
      <c r="T627">
        <v>5.9132978454966389</v>
      </c>
      <c r="U627">
        <v>0</v>
      </c>
      <c r="V627">
        <v>1.9371494160465848E-2</v>
      </c>
      <c r="W627">
        <v>0.10455383967557005</v>
      </c>
      <c r="X627">
        <v>-2.4022847346394467E-3</v>
      </c>
      <c r="Y627">
        <v>4.4990452920017167E-2</v>
      </c>
    </row>
    <row r="628" spans="1:25" x14ac:dyDescent="0.25">
      <c r="A628" s="879"/>
      <c r="B628" s="1133">
        <v>378</v>
      </c>
      <c r="C628" s="883">
        <v>0.97509590788296818</v>
      </c>
      <c r="D628" s="883">
        <v>1.0274290431177104</v>
      </c>
      <c r="E628" s="883">
        <v>0.98281218576519558</v>
      </c>
      <c r="F628" s="883">
        <v>0.97506152377942024</v>
      </c>
      <c r="G628" s="883">
        <v>1.0160398070901793</v>
      </c>
      <c r="H628" s="883">
        <v>1.0018182193831813</v>
      </c>
      <c r="I628" s="883">
        <v>0.97965519358945485</v>
      </c>
      <c r="K628">
        <v>6.749299661882656</v>
      </c>
      <c r="L628">
        <v>0</v>
      </c>
      <c r="M628">
        <v>1.0744719054905962E-2</v>
      </c>
      <c r="N628">
        <v>0.19528302471524084</v>
      </c>
      <c r="O628">
        <v>0.12407705922602603</v>
      </c>
      <c r="P628">
        <v>8.2095018776318987E-2</v>
      </c>
      <c r="Q628">
        <v>0</v>
      </c>
      <c r="R628">
        <v>1.0744719054905962E-2</v>
      </c>
      <c r="S628">
        <v>0.27112846417197128</v>
      </c>
      <c r="T628">
        <v>5.9117425187244148</v>
      </c>
      <c r="U628">
        <v>0</v>
      </c>
      <c r="V628">
        <v>1.9294328971844601E-2</v>
      </c>
      <c r="W628">
        <v>0.10366766288938342</v>
      </c>
      <c r="X628">
        <v>-2.2332561719479362E-3</v>
      </c>
      <c r="Y628">
        <v>4.4244840579405524E-2</v>
      </c>
    </row>
    <row r="629" spans="1:25" x14ac:dyDescent="0.25">
      <c r="A629" s="879"/>
      <c r="B629" s="1133">
        <v>379</v>
      </c>
      <c r="C629" s="883">
        <v>1.0154826297745392</v>
      </c>
      <c r="D629" s="883">
        <v>0.98097318733036565</v>
      </c>
      <c r="E629" s="883">
        <v>1.0072824680228409</v>
      </c>
      <c r="F629" s="883">
        <v>0.96753429745162101</v>
      </c>
      <c r="G629" s="883">
        <v>1.0211819014075401</v>
      </c>
      <c r="H629" s="883">
        <v>1.0276399807586074</v>
      </c>
      <c r="I629" s="883">
        <v>1.0027627576200828</v>
      </c>
      <c r="K629">
        <v>6.7476318402829936</v>
      </c>
      <c r="L629">
        <v>0</v>
      </c>
      <c r="M629">
        <v>1.0566933393465011E-2</v>
      </c>
      <c r="N629">
        <v>0.19914451169659017</v>
      </c>
      <c r="O629">
        <v>0.12091405267815628</v>
      </c>
      <c r="P629">
        <v>8.3583807255237605E-2</v>
      </c>
      <c r="Q629">
        <v>0</v>
      </c>
      <c r="R629">
        <v>1.0566933393465011E-2</v>
      </c>
      <c r="S629">
        <v>0.26940737524640052</v>
      </c>
      <c r="T629">
        <v>5.909967842905993</v>
      </c>
      <c r="U629">
        <v>0</v>
      </c>
      <c r="V629">
        <v>1.907197504077331E-2</v>
      </c>
      <c r="W629">
        <v>0.10443800345429716</v>
      </c>
      <c r="X629">
        <v>-2.4084788647133776E-3</v>
      </c>
      <c r="Y629">
        <v>4.3512750870259791E-2</v>
      </c>
    </row>
    <row r="630" spans="1:25" x14ac:dyDescent="0.25">
      <c r="A630" s="879"/>
      <c r="B630" s="1133">
        <v>380</v>
      </c>
      <c r="C630" s="883">
        <v>1.0267057222077076</v>
      </c>
      <c r="D630" s="883">
        <v>0.9974425637943648</v>
      </c>
      <c r="E630" s="883">
        <v>1.0136979416529701</v>
      </c>
      <c r="F630" s="883">
        <v>0.99448682003517974</v>
      </c>
      <c r="G630" s="883">
        <v>0.97156211200534925</v>
      </c>
      <c r="H630" s="883">
        <v>1.0014556967937562</v>
      </c>
      <c r="I630" s="883">
        <v>1.0141078283473806</v>
      </c>
      <c r="K630">
        <v>6.731550324494922</v>
      </c>
      <c r="L630">
        <v>0</v>
      </c>
      <c r="M630">
        <v>1.0056137460530376E-2</v>
      </c>
      <c r="N630">
        <v>0.19132647900542107</v>
      </c>
      <c r="O630">
        <v>0.11868070580500467</v>
      </c>
      <c r="P630">
        <v>8.3965698999600394E-2</v>
      </c>
      <c r="Q630">
        <v>0</v>
      </c>
      <c r="R630">
        <v>1.0056137460530376E-2</v>
      </c>
      <c r="S630">
        <v>0.26685939592466029</v>
      </c>
      <c r="T630">
        <v>5.9110600220817346</v>
      </c>
      <c r="U630">
        <v>0</v>
      </c>
      <c r="V630">
        <v>1.9013290987965645E-2</v>
      </c>
      <c r="W630">
        <v>0.10002014764712205</v>
      </c>
      <c r="X630">
        <v>-7.8480009330534879E-4</v>
      </c>
      <c r="Y630">
        <v>4.1409384136721718E-2</v>
      </c>
    </row>
    <row r="631" spans="1:25" x14ac:dyDescent="0.25">
      <c r="A631" s="879"/>
      <c r="B631" s="1133">
        <v>381</v>
      </c>
      <c r="C631" s="883">
        <v>1.0002950679132971</v>
      </c>
      <c r="D631" s="883">
        <v>1.0106513060035729</v>
      </c>
      <c r="E631" s="883">
        <v>1.0119391484212801</v>
      </c>
      <c r="F631" s="883">
        <v>0.98387100322878485</v>
      </c>
      <c r="G631" s="883">
        <v>1.0052573109603411</v>
      </c>
      <c r="H631" s="883">
        <v>1.0200268869757465</v>
      </c>
      <c r="I631" s="883">
        <v>0.98027575189724581</v>
      </c>
      <c r="K631">
        <v>6.7447462254410322</v>
      </c>
      <c r="L631">
        <v>0</v>
      </c>
      <c r="M631">
        <v>1.0470088006603259E-2</v>
      </c>
      <c r="N631">
        <v>0.19868435802262246</v>
      </c>
      <c r="O631">
        <v>0.12120788930873194</v>
      </c>
      <c r="P631">
        <v>8.3843971430410516E-2</v>
      </c>
      <c r="Q631">
        <v>0</v>
      </c>
      <c r="R631">
        <v>1.0470088006603259E-2</v>
      </c>
      <c r="S631">
        <v>0.2663439307991145</v>
      </c>
      <c r="T631">
        <v>5.9105865048067461</v>
      </c>
      <c r="U631">
        <v>0</v>
      </c>
      <c r="V631">
        <v>1.9153485525234604E-2</v>
      </c>
      <c r="W631">
        <v>0.1039569320319995</v>
      </c>
      <c r="X631">
        <v>-2.1448052888287149E-3</v>
      </c>
      <c r="Y631">
        <v>4.3113958804999339E-2</v>
      </c>
    </row>
    <row r="632" spans="1:25" x14ac:dyDescent="0.25">
      <c r="A632" s="879"/>
      <c r="B632" s="1133">
        <v>382</v>
      </c>
      <c r="C632" s="883">
        <v>1.0142160641000133</v>
      </c>
      <c r="D632" s="883">
        <v>1.0012928700745962</v>
      </c>
      <c r="E632" s="883">
        <v>1.022556645564118</v>
      </c>
      <c r="F632" s="883">
        <v>0.99731759649792262</v>
      </c>
      <c r="G632" s="883">
        <v>0.97730171610765304</v>
      </c>
      <c r="H632" s="883">
        <v>0.99770976524278443</v>
      </c>
      <c r="I632" s="883">
        <v>0.98828768397206435</v>
      </c>
      <c r="K632">
        <v>6.7319021059339974</v>
      </c>
      <c r="L632">
        <v>0</v>
      </c>
      <c r="M632">
        <v>1.0046968430836078E-2</v>
      </c>
      <c r="N632">
        <v>0.19367383670982188</v>
      </c>
      <c r="O632">
        <v>0.11979219673657986</v>
      </c>
      <c r="P632">
        <v>8.4462821820867492E-2</v>
      </c>
      <c r="Q632">
        <v>0</v>
      </c>
      <c r="R632">
        <v>1.0046968430836078E-2</v>
      </c>
      <c r="S632">
        <v>0.262900574404067</v>
      </c>
      <c r="T632">
        <v>5.91070627293412</v>
      </c>
      <c r="U632">
        <v>0</v>
      </c>
      <c r="V632">
        <v>1.9078679299575723E-2</v>
      </c>
      <c r="W632">
        <v>0.10080609003167593</v>
      </c>
      <c r="X632">
        <v>-8.8999370718002542E-4</v>
      </c>
      <c r="Y632">
        <v>4.1371627704467034E-2</v>
      </c>
    </row>
    <row r="633" spans="1:25" x14ac:dyDescent="0.25">
      <c r="A633" s="879"/>
      <c r="B633" s="1133">
        <v>383</v>
      </c>
      <c r="C633" s="883">
        <v>1.0032665154717593</v>
      </c>
      <c r="D633" s="883">
        <v>0.9656500840420581</v>
      </c>
      <c r="E633" s="883">
        <v>1.0003899900686217</v>
      </c>
      <c r="F633" s="883">
        <v>0.98747183680107564</v>
      </c>
      <c r="G633" s="883">
        <v>0.97000916952777838</v>
      </c>
      <c r="H633" s="883">
        <v>0.99395222946159278</v>
      </c>
      <c r="I633" s="883">
        <v>0.98293623340810843</v>
      </c>
      <c r="K633">
        <v>6.7409861183531508</v>
      </c>
      <c r="L633">
        <v>0</v>
      </c>
      <c r="M633">
        <v>1.0477971975073164E-2</v>
      </c>
      <c r="N633">
        <v>0.19546241003452378</v>
      </c>
      <c r="O633">
        <v>0.12329028918793859</v>
      </c>
      <c r="P633">
        <v>8.3103282495382472E-2</v>
      </c>
      <c r="Q633">
        <v>0</v>
      </c>
      <c r="R633">
        <v>1.0477971975073164E-2</v>
      </c>
      <c r="S633">
        <v>0.2643093414215556</v>
      </c>
      <c r="T633">
        <v>5.9114339419464104</v>
      </c>
      <c r="U633">
        <v>0</v>
      </c>
      <c r="V633">
        <v>1.9137343810577453E-2</v>
      </c>
      <c r="W633">
        <v>0.102857922123002</v>
      </c>
      <c r="X633">
        <v>-1.7548362501058699E-3</v>
      </c>
      <c r="Y633">
        <v>4.3146423583864342E-2</v>
      </c>
    </row>
    <row r="634" spans="1:25" x14ac:dyDescent="0.25">
      <c r="A634" s="879"/>
      <c r="B634" s="1133">
        <v>384</v>
      </c>
      <c r="C634" s="883">
        <v>1.0306402012455245</v>
      </c>
      <c r="D634" s="883">
        <v>0.98409544462233922</v>
      </c>
      <c r="E634" s="883">
        <v>0.97891521774595247</v>
      </c>
      <c r="F634" s="883">
        <v>1.0021014918805224</v>
      </c>
      <c r="G634" s="883">
        <v>0.98212160106042201</v>
      </c>
      <c r="H634" s="883">
        <v>0.98069858021150413</v>
      </c>
      <c r="I634" s="883">
        <v>0.99435929626834818</v>
      </c>
      <c r="K634">
        <v>6.7154769007824298</v>
      </c>
      <c r="L634">
        <v>0</v>
      </c>
      <c r="M634">
        <v>1.0171181571225823E-2</v>
      </c>
      <c r="N634">
        <v>0.18379342486991287</v>
      </c>
      <c r="O634">
        <v>0.11950179332190855</v>
      </c>
      <c r="P634">
        <v>8.1705599658077555E-2</v>
      </c>
      <c r="Q634">
        <v>0</v>
      </c>
      <c r="R634">
        <v>1.0171181571225823E-2</v>
      </c>
      <c r="S634">
        <v>0.25883956804676506</v>
      </c>
      <c r="T634">
        <v>5.9134190788473937</v>
      </c>
      <c r="U634">
        <v>0</v>
      </c>
      <c r="V634">
        <v>1.8993020686125867E-2</v>
      </c>
      <c r="W634">
        <v>9.7758809347741851E-2</v>
      </c>
      <c r="X634">
        <v>-4.1750930297807128E-4</v>
      </c>
      <c r="Y634">
        <v>4.1883115307477216E-2</v>
      </c>
    </row>
    <row r="635" spans="1:25" x14ac:dyDescent="0.25">
      <c r="A635" s="879"/>
      <c r="B635" s="1133">
        <v>385</v>
      </c>
      <c r="C635" s="883">
        <v>0.98537663720423307</v>
      </c>
      <c r="D635" s="883">
        <v>0.98079803245791874</v>
      </c>
      <c r="E635" s="883">
        <v>0.97286349870088396</v>
      </c>
      <c r="F635" s="883">
        <v>1.024189751587794</v>
      </c>
      <c r="G635" s="883">
        <v>1.0180334401604862</v>
      </c>
      <c r="H635" s="883">
        <v>0.97227135238218054</v>
      </c>
      <c r="I635" s="883">
        <v>0.98834500023629324</v>
      </c>
      <c r="K635">
        <v>6.7431099471830906</v>
      </c>
      <c r="L635">
        <v>0</v>
      </c>
      <c r="M635">
        <v>1.0618001228015624E-2</v>
      </c>
      <c r="N635">
        <v>0.19015191205118948</v>
      </c>
      <c r="O635">
        <v>0.12527367774181136</v>
      </c>
      <c r="P635">
        <v>8.1472249131312902E-2</v>
      </c>
      <c r="Q635">
        <v>0</v>
      </c>
      <c r="R635">
        <v>1.0618001228015624E-2</v>
      </c>
      <c r="S635">
        <v>0.268310974155689</v>
      </c>
      <c r="T635">
        <v>5.9149452540045342</v>
      </c>
      <c r="U635">
        <v>0</v>
      </c>
      <c r="V635">
        <v>1.923599784438193E-2</v>
      </c>
      <c r="W635">
        <v>0.10144831153531969</v>
      </c>
      <c r="X635">
        <v>-1.4514684043564997E-3</v>
      </c>
      <c r="Y635">
        <v>4.3723039123203501E-2</v>
      </c>
    </row>
    <row r="636" spans="1:25" x14ac:dyDescent="0.25">
      <c r="A636" s="879"/>
      <c r="B636" s="1133">
        <v>386</v>
      </c>
      <c r="C636" s="883">
        <v>0.96230644025082623</v>
      </c>
      <c r="D636" s="883">
        <v>1.0054804763466063</v>
      </c>
      <c r="E636" s="883">
        <v>0.99851145789796347</v>
      </c>
      <c r="F636" s="883">
        <v>0.98473279867534214</v>
      </c>
      <c r="G636" s="883">
        <v>1.0090012870591487</v>
      </c>
      <c r="H636" s="883">
        <v>0.99091869266574228</v>
      </c>
      <c r="I636" s="883">
        <v>0.98230380697627828</v>
      </c>
      <c r="K636">
        <v>6.761367178844611</v>
      </c>
      <c r="L636">
        <v>0</v>
      </c>
      <c r="M636">
        <v>1.0721177659715279E-2</v>
      </c>
      <c r="N636">
        <v>0.19944346657800674</v>
      </c>
      <c r="O636">
        <v>0.1265131097760199</v>
      </c>
      <c r="P636">
        <v>8.3126513179357195E-2</v>
      </c>
      <c r="Q636">
        <v>0</v>
      </c>
      <c r="R636">
        <v>1.0721177659715279E-2</v>
      </c>
      <c r="S636">
        <v>0.27466848773645514</v>
      </c>
      <c r="T636">
        <v>5.9113914083447865</v>
      </c>
      <c r="U636">
        <v>0</v>
      </c>
      <c r="V636">
        <v>1.9368633927944853E-2</v>
      </c>
      <c r="W636">
        <v>0.10505085085869344</v>
      </c>
      <c r="X636">
        <v>-2.3431928608732321E-3</v>
      </c>
      <c r="Y636">
        <v>4.4147901304222435E-2</v>
      </c>
    </row>
    <row r="637" spans="1:25" x14ac:dyDescent="0.25">
      <c r="A637" s="879"/>
      <c r="B637" s="1133">
        <v>387</v>
      </c>
      <c r="C637" s="883">
        <v>1.0201697175008515</v>
      </c>
      <c r="D637" s="883">
        <v>0.99998642381874747</v>
      </c>
      <c r="E637" s="883">
        <v>0.96096176560577984</v>
      </c>
      <c r="F637" s="883">
        <v>1.0279614391722511</v>
      </c>
      <c r="G637" s="883">
        <v>1.0181283763944222</v>
      </c>
      <c r="H637" s="883">
        <v>0.96745195388627137</v>
      </c>
      <c r="I637" s="883">
        <v>0.96759438022111621</v>
      </c>
      <c r="K637">
        <v>6.7071665458261309</v>
      </c>
      <c r="L637">
        <v>0</v>
      </c>
      <c r="M637">
        <v>1.022605243014834E-2</v>
      </c>
      <c r="N637">
        <v>0.17992419157134393</v>
      </c>
      <c r="O637">
        <v>0.12028211754360425</v>
      </c>
      <c r="P637">
        <v>8.0531936645895807E-2</v>
      </c>
      <c r="Q637">
        <v>0</v>
      </c>
      <c r="R637">
        <v>1.022605243014834E-2</v>
      </c>
      <c r="S637">
        <v>0.25310107634217899</v>
      </c>
      <c r="T637">
        <v>5.9157962406842772</v>
      </c>
      <c r="U637">
        <v>0</v>
      </c>
      <c r="V637">
        <v>1.9047309866054241E-2</v>
      </c>
      <c r="W637">
        <v>9.6568541772473163E-2</v>
      </c>
      <c r="X637">
        <v>-1.9393233756966719E-4</v>
      </c>
      <c r="Y637">
        <v>4.2109063737871336E-2</v>
      </c>
    </row>
    <row r="638" spans="1:25" x14ac:dyDescent="0.25">
      <c r="A638" s="879"/>
      <c r="B638" s="1133">
        <v>388</v>
      </c>
      <c r="C638" s="883">
        <v>1.0364733695928974</v>
      </c>
      <c r="D638" s="883">
        <v>1.0123081823792788</v>
      </c>
      <c r="E638" s="883">
        <v>0.99682131545167807</v>
      </c>
      <c r="F638" s="883">
        <v>1.0064725240314099</v>
      </c>
      <c r="G638" s="883">
        <v>1.0370640539956657</v>
      </c>
      <c r="H638" s="883">
        <v>1.0062323171384784</v>
      </c>
      <c r="I638" s="883">
        <v>1.0031617307302578</v>
      </c>
      <c r="K638">
        <v>6.7203321458426313</v>
      </c>
      <c r="L638">
        <v>0</v>
      </c>
      <c r="M638">
        <v>1.0093471997703893E-2</v>
      </c>
      <c r="N638">
        <v>0.18729676641081688</v>
      </c>
      <c r="O638">
        <v>0.11717304782706341</v>
      </c>
      <c r="P638">
        <v>8.2859130122865776E-2</v>
      </c>
      <c r="Q638">
        <v>0</v>
      </c>
      <c r="R638">
        <v>1.0093471997703893E-2</v>
      </c>
      <c r="S638">
        <v>0.26175432380774888</v>
      </c>
      <c r="T638">
        <v>5.9126610843714387</v>
      </c>
      <c r="U638">
        <v>0</v>
      </c>
      <c r="V638">
        <v>1.8963251612184151E-2</v>
      </c>
      <c r="W638">
        <v>9.8735862983200487E-2</v>
      </c>
      <c r="X638">
        <v>-6.7444240819180548E-4</v>
      </c>
      <c r="Y638">
        <v>4.1563121115502373E-2</v>
      </c>
    </row>
    <row r="639" spans="1:25" x14ac:dyDescent="0.25">
      <c r="A639" s="879"/>
      <c r="B639" s="1133">
        <v>389</v>
      </c>
      <c r="C639" s="883">
        <v>1.022792380888268</v>
      </c>
      <c r="D639" s="883">
        <v>1.0011810716490133</v>
      </c>
      <c r="E639" s="883">
        <v>1.0192648103146709</v>
      </c>
      <c r="F639" s="883">
        <v>0.97322406557366703</v>
      </c>
      <c r="G639" s="883">
        <v>0.96226445004627548</v>
      </c>
      <c r="H639" s="883">
        <v>1.0054946425871925</v>
      </c>
      <c r="I639" s="883">
        <v>0.98967891163101196</v>
      </c>
      <c r="K639">
        <v>6.7278416308464779</v>
      </c>
      <c r="L639">
        <v>0</v>
      </c>
      <c r="M639">
        <v>1.006992055673755E-2</v>
      </c>
      <c r="N639">
        <v>0.19317337786833955</v>
      </c>
      <c r="O639">
        <v>0.1188539032700467</v>
      </c>
      <c r="P639">
        <v>8.4225698218660883E-2</v>
      </c>
      <c r="Q639">
        <v>0</v>
      </c>
      <c r="R639">
        <v>1.006992055673755E-2</v>
      </c>
      <c r="S639">
        <v>0.26176848246534851</v>
      </c>
      <c r="T639">
        <v>5.909593379027374</v>
      </c>
      <c r="U639">
        <v>0</v>
      </c>
      <c r="V639">
        <v>1.9033607086138566E-2</v>
      </c>
      <c r="W639">
        <v>0.10070871400516122</v>
      </c>
      <c r="X639">
        <v>-9.8167156819833705E-4</v>
      </c>
      <c r="Y639">
        <v>4.146614047360319E-2</v>
      </c>
    </row>
    <row r="640" spans="1:25" x14ac:dyDescent="0.25">
      <c r="A640" s="879"/>
      <c r="B640" s="1133">
        <v>390</v>
      </c>
      <c r="C640" s="883">
        <v>1.0013367887437128</v>
      </c>
      <c r="D640" s="883">
        <v>1.0247365649378171</v>
      </c>
      <c r="E640" s="883">
        <v>1.0104754502795208</v>
      </c>
      <c r="F640" s="883">
        <v>1.0124256804207103</v>
      </c>
      <c r="G640" s="883">
        <v>0.97492041960977105</v>
      </c>
      <c r="H640" s="883">
        <v>1.0185677235389914</v>
      </c>
      <c r="I640" s="883">
        <v>1.0257602649174313</v>
      </c>
      <c r="K640">
        <v>6.7547660612822868</v>
      </c>
      <c r="L640">
        <v>0</v>
      </c>
      <c r="M640">
        <v>1.0395842528939455E-2</v>
      </c>
      <c r="N640">
        <v>0.19684848493552082</v>
      </c>
      <c r="O640">
        <v>0.12044057800975178</v>
      </c>
      <c r="P640">
        <v>8.3933127153529782E-2</v>
      </c>
      <c r="Q640">
        <v>0</v>
      </c>
      <c r="R640">
        <v>1.0395842528939455E-2</v>
      </c>
      <c r="S640">
        <v>0.27812355176664749</v>
      </c>
      <c r="T640">
        <v>5.9122125669952217</v>
      </c>
      <c r="U640">
        <v>0</v>
      </c>
      <c r="V640">
        <v>1.9147815707608391E-2</v>
      </c>
      <c r="W640">
        <v>0.1030709097690581</v>
      </c>
      <c r="X640">
        <v>-1.8192021982308005E-3</v>
      </c>
      <c r="Y640">
        <v>4.2808229143182171E-2</v>
      </c>
    </row>
    <row r="641" spans="1:25" x14ac:dyDescent="0.25">
      <c r="A641" s="879"/>
      <c r="B641" s="1133">
        <v>391</v>
      </c>
      <c r="C641" s="883">
        <v>1.0403731782426913</v>
      </c>
      <c r="D641" s="883">
        <v>0.98018013118258973</v>
      </c>
      <c r="E641" s="883">
        <v>1.0062935148360281</v>
      </c>
      <c r="F641" s="883">
        <v>1.0427299303386053</v>
      </c>
      <c r="G641" s="883">
        <v>0.98142886794105677</v>
      </c>
      <c r="H641" s="883">
        <v>1.027650629782574</v>
      </c>
      <c r="I641" s="883">
        <v>1.0324508377819541</v>
      </c>
      <c r="K641">
        <v>6.742625282020982</v>
      </c>
      <c r="L641">
        <v>0</v>
      </c>
      <c r="M641">
        <v>1.0326730604110651E-2</v>
      </c>
      <c r="N641">
        <v>0.19433286246662784</v>
      </c>
      <c r="O641">
        <v>0.11807742968705297</v>
      </c>
      <c r="P641">
        <v>8.3593546101496136E-2</v>
      </c>
      <c r="Q641">
        <v>0</v>
      </c>
      <c r="R641">
        <v>1.0326730604110651E-2</v>
      </c>
      <c r="S641">
        <v>0.2707558870700022</v>
      </c>
      <c r="T641">
        <v>5.9140871352425268</v>
      </c>
      <c r="U641">
        <v>0</v>
      </c>
      <c r="V641">
        <v>1.8943535465347387E-2</v>
      </c>
      <c r="W641">
        <v>0.10196454333460389</v>
      </c>
      <c r="X641">
        <v>-1.653295884879089E-3</v>
      </c>
      <c r="Y641">
        <v>4.2523638538201194E-2</v>
      </c>
    </row>
    <row r="642" spans="1:25" x14ac:dyDescent="0.25">
      <c r="A642" s="879"/>
      <c r="B642" s="1133">
        <v>392</v>
      </c>
      <c r="C642" s="883">
        <v>0.97986207844419881</v>
      </c>
      <c r="D642" s="883">
        <v>0.97887317590529921</v>
      </c>
      <c r="E642" s="883">
        <v>0.95878877644850369</v>
      </c>
      <c r="F642" s="883">
        <v>1.0137506240774299</v>
      </c>
      <c r="G642" s="883">
        <v>0.99071826330283985</v>
      </c>
      <c r="H642" s="883">
        <v>1.0405057589152582</v>
      </c>
      <c r="I642" s="883">
        <v>0.98054586956348422</v>
      </c>
      <c r="K642">
        <v>6.7709883254335885</v>
      </c>
      <c r="L642">
        <v>0</v>
      </c>
      <c r="M642">
        <v>1.1577703670235305E-2</v>
      </c>
      <c r="N642">
        <v>0.20304939845999428</v>
      </c>
      <c r="O642">
        <v>0.12634465073229001</v>
      </c>
      <c r="P642">
        <v>8.0662992307894768E-2</v>
      </c>
      <c r="Q642">
        <v>0</v>
      </c>
      <c r="R642">
        <v>1.1577703670235305E-2</v>
      </c>
      <c r="S642">
        <v>0.27418060604798095</v>
      </c>
      <c r="T642">
        <v>5.9151450187209145</v>
      </c>
      <c r="U642">
        <v>0</v>
      </c>
      <c r="V642">
        <v>1.9267134330432707E-2</v>
      </c>
      <c r="W642">
        <v>0.10909987520464853</v>
      </c>
      <c r="X642">
        <v>-4.4362733301617939E-3</v>
      </c>
      <c r="Y642">
        <v>4.7674922959597368E-2</v>
      </c>
    </row>
    <row r="643" spans="1:25" x14ac:dyDescent="0.25">
      <c r="A643" s="879"/>
      <c r="B643" s="1133">
        <v>393</v>
      </c>
      <c r="C643" s="883">
        <v>0.95792894757336489</v>
      </c>
      <c r="D643" s="883">
        <v>0.96283533714039438</v>
      </c>
      <c r="E643" s="883">
        <v>1.0097407600602382</v>
      </c>
      <c r="F643" s="883">
        <v>0.9846474708859051</v>
      </c>
      <c r="G643" s="883">
        <v>1.0033193101024291</v>
      </c>
      <c r="H643" s="883">
        <v>0.98346550459175863</v>
      </c>
      <c r="I643" s="883">
        <v>0.99196839198414788</v>
      </c>
      <c r="K643">
        <v>6.7740217459875112</v>
      </c>
      <c r="L643">
        <v>0</v>
      </c>
      <c r="M643">
        <v>1.0783211825195609E-2</v>
      </c>
      <c r="N643">
        <v>0.20396148966977287</v>
      </c>
      <c r="O643">
        <v>0.12909015869340329</v>
      </c>
      <c r="P643">
        <v>8.3873960801550962E-2</v>
      </c>
      <c r="Q643">
        <v>0</v>
      </c>
      <c r="R643">
        <v>1.0783211825195609E-2</v>
      </c>
      <c r="S643">
        <v>0.27837108866356586</v>
      </c>
      <c r="T643">
        <v>5.9107532972422909</v>
      </c>
      <c r="U643">
        <v>0</v>
      </c>
      <c r="V643">
        <v>1.9394522302273294E-2</v>
      </c>
      <c r="W643">
        <v>0.10683412983380114</v>
      </c>
      <c r="X643">
        <v>-2.660248175147528E-3</v>
      </c>
      <c r="Y643">
        <v>4.4403346956000608E-2</v>
      </c>
    </row>
    <row r="644" spans="1:25" x14ac:dyDescent="0.25">
      <c r="A644" s="879"/>
      <c r="B644" s="1133">
        <v>394</v>
      </c>
      <c r="C644" s="883">
        <v>0.98795860209466191</v>
      </c>
      <c r="D644" s="883">
        <v>0.99079041584072891</v>
      </c>
      <c r="E644" s="883">
        <v>1.0115064094952604</v>
      </c>
      <c r="F644" s="883">
        <v>0.99547134097173706</v>
      </c>
      <c r="G644" s="883">
        <v>1.034020439956888</v>
      </c>
      <c r="H644" s="883">
        <v>1.0311910273061826</v>
      </c>
      <c r="I644" s="883">
        <v>1.0285923329445148</v>
      </c>
      <c r="K644">
        <v>6.7762325503133347</v>
      </c>
      <c r="L644">
        <v>0</v>
      </c>
      <c r="M644">
        <v>1.0812432253860324E-2</v>
      </c>
      <c r="N644">
        <v>0.20504942807693902</v>
      </c>
      <c r="O644">
        <v>0.12370782651969349</v>
      </c>
      <c r="P644">
        <v>8.4069001619050648E-2</v>
      </c>
      <c r="Q644">
        <v>0</v>
      </c>
      <c r="R644">
        <v>1.0812432253860324E-2</v>
      </c>
      <c r="S644">
        <v>0.28428393652366241</v>
      </c>
      <c r="T644">
        <v>5.9112378984756804</v>
      </c>
      <c r="U644">
        <v>0</v>
      </c>
      <c r="V644">
        <v>1.9221538940678743E-2</v>
      </c>
      <c r="W644">
        <v>0.10731025541582012</v>
      </c>
      <c r="X644">
        <v>-3.1710067383944247E-3</v>
      </c>
      <c r="Y644">
        <v>4.4523671480199485E-2</v>
      </c>
    </row>
    <row r="645" spans="1:25" x14ac:dyDescent="0.25">
      <c r="A645" s="879"/>
      <c r="B645" s="1133">
        <v>395</v>
      </c>
      <c r="C645" s="883">
        <v>1.0190183006418805</v>
      </c>
      <c r="D645" s="883">
        <v>0.98862286256300491</v>
      </c>
      <c r="E645" s="883">
        <v>1.035319725625234</v>
      </c>
      <c r="F645" s="883">
        <v>0.99443108151376758</v>
      </c>
      <c r="G645" s="883">
        <v>1.0167383336982663</v>
      </c>
      <c r="H645" s="883">
        <v>0.97536459723691427</v>
      </c>
      <c r="I645" s="883">
        <v>0.97480454266074656</v>
      </c>
      <c r="K645">
        <v>6.7196007181542612</v>
      </c>
      <c r="L645">
        <v>0</v>
      </c>
      <c r="M645">
        <v>9.7198219208742866E-3</v>
      </c>
      <c r="N645">
        <v>0.19093626301205019</v>
      </c>
      <c r="O645">
        <v>0.11959752324194339</v>
      </c>
      <c r="P645">
        <v>8.5156116361958592E-2</v>
      </c>
      <c r="Q645">
        <v>0</v>
      </c>
      <c r="R645">
        <v>9.7198219208742866E-3</v>
      </c>
      <c r="S645">
        <v>0.25621001363557805</v>
      </c>
      <c r="T645">
        <v>5.909812796096193</v>
      </c>
      <c r="U645">
        <v>0</v>
      </c>
      <c r="V645">
        <v>1.9053348020447624E-2</v>
      </c>
      <c r="W645">
        <v>9.8760609679096653E-2</v>
      </c>
      <c r="X645">
        <v>4.9551500634463099E-5</v>
      </c>
      <c r="Y645">
        <v>4.0024496606352447E-2</v>
      </c>
    </row>
    <row r="646" spans="1:25" x14ac:dyDescent="0.25">
      <c r="A646" s="879"/>
      <c r="B646" s="1133">
        <v>396</v>
      </c>
      <c r="C646" s="883">
        <v>0.98149386600628918</v>
      </c>
      <c r="D646" s="883">
        <v>1.0286777038077348</v>
      </c>
      <c r="E646" s="883">
        <v>1.0011057402334234</v>
      </c>
      <c r="F646" s="883">
        <v>1.0022321087611072</v>
      </c>
      <c r="G646" s="883">
        <v>1.0204048738083886</v>
      </c>
      <c r="H646" s="883">
        <v>0.99578120497014899</v>
      </c>
      <c r="I646" s="883">
        <v>0.98551522398492608</v>
      </c>
      <c r="K646">
        <v>6.7467741660740934</v>
      </c>
      <c r="L646">
        <v>0</v>
      </c>
      <c r="M646">
        <v>1.0436861377383026E-2</v>
      </c>
      <c r="N646">
        <v>0.19490205558787907</v>
      </c>
      <c r="O646">
        <v>0.12286437963619895</v>
      </c>
      <c r="P646">
        <v>8.3242010399702041E-2</v>
      </c>
      <c r="Q646">
        <v>0</v>
      </c>
      <c r="R646">
        <v>1.0436861377383026E-2</v>
      </c>
      <c r="S646">
        <v>0.27042792149610373</v>
      </c>
      <c r="T646">
        <v>5.9121913659873364</v>
      </c>
      <c r="U646">
        <v>0</v>
      </c>
      <c r="V646">
        <v>1.9257884428692626E-2</v>
      </c>
      <c r="W646">
        <v>0.10252660751940848</v>
      </c>
      <c r="X646">
        <v>-1.615196441218772E-3</v>
      </c>
      <c r="Y646">
        <v>4.2977137459989954E-2</v>
      </c>
    </row>
    <row r="647" spans="1:25" x14ac:dyDescent="0.25">
      <c r="A647" s="879"/>
      <c r="B647" s="1133">
        <v>397</v>
      </c>
      <c r="C647" s="883">
        <v>0.99560723602839929</v>
      </c>
      <c r="D647" s="883">
        <v>0.97928876385182106</v>
      </c>
      <c r="E647" s="883">
        <v>0.97002595455966067</v>
      </c>
      <c r="F647" s="883">
        <v>0.98826938281664667</v>
      </c>
      <c r="G647" s="883">
        <v>0.99394310443486167</v>
      </c>
      <c r="H647" s="883">
        <v>1.018146828086085</v>
      </c>
      <c r="I647" s="883">
        <v>1.0109491556529691</v>
      </c>
      <c r="K647">
        <v>6.7584352761433832</v>
      </c>
      <c r="L647">
        <v>0</v>
      </c>
      <c r="M647">
        <v>1.103925428639136E-2</v>
      </c>
      <c r="N647">
        <v>0.19686482235028849</v>
      </c>
      <c r="O647">
        <v>0.12411590098892376</v>
      </c>
      <c r="P647">
        <v>8.1370703927430399E-2</v>
      </c>
      <c r="Q647">
        <v>0</v>
      </c>
      <c r="R647">
        <v>1.103925428639136E-2</v>
      </c>
      <c r="S647">
        <v>0.27606697281760972</v>
      </c>
      <c r="T647">
        <v>5.9131580849278764</v>
      </c>
      <c r="U647">
        <v>0</v>
      </c>
      <c r="V647">
        <v>1.9179147016904704E-2</v>
      </c>
      <c r="W647">
        <v>0.10517958369798235</v>
      </c>
      <c r="X647">
        <v>-2.9576238209775094E-3</v>
      </c>
      <c r="Y647">
        <v>4.545768423734553E-2</v>
      </c>
    </row>
    <row r="648" spans="1:25" x14ac:dyDescent="0.25">
      <c r="A648" s="879"/>
      <c r="B648" s="1133">
        <v>398</v>
      </c>
      <c r="C648" s="883">
        <v>0.99448875185445984</v>
      </c>
      <c r="D648" s="883">
        <v>0.99004408256020382</v>
      </c>
      <c r="E648" s="883">
        <v>0.99929883760144234</v>
      </c>
      <c r="F648" s="883">
        <v>0.97381176120041457</v>
      </c>
      <c r="G648" s="883">
        <v>0.99982764815345593</v>
      </c>
      <c r="H648" s="883">
        <v>0.96951206223993802</v>
      </c>
      <c r="I648" s="883">
        <v>0.96071708943643175</v>
      </c>
      <c r="K648">
        <v>6.7257473681651936</v>
      </c>
      <c r="L648">
        <v>0</v>
      </c>
      <c r="M648">
        <v>1.0210586098545749E-2</v>
      </c>
      <c r="N648">
        <v>0.19016677164154286</v>
      </c>
      <c r="O648">
        <v>0.12316411764590592</v>
      </c>
      <c r="P648">
        <v>8.2943602971826208E-2</v>
      </c>
      <c r="Q648">
        <v>0</v>
      </c>
      <c r="R648">
        <v>1.0210586098545749E-2</v>
      </c>
      <c r="S648">
        <v>0.25812794403766293</v>
      </c>
      <c r="T648">
        <v>5.9107570075094653</v>
      </c>
      <c r="U648">
        <v>0</v>
      </c>
      <c r="V648">
        <v>1.9185305417909443E-2</v>
      </c>
      <c r="W648">
        <v>0.10012545247798114</v>
      </c>
      <c r="X648">
        <v>-7.682096743439888E-4</v>
      </c>
      <c r="Y648">
        <v>4.2045376137236273E-2</v>
      </c>
    </row>
    <row r="649" spans="1:25" x14ac:dyDescent="0.25">
      <c r="A649" s="879"/>
      <c r="B649" s="1133">
        <v>399</v>
      </c>
      <c r="C649" s="883">
        <v>1.0274684518634869</v>
      </c>
      <c r="D649" s="883">
        <v>1.0178366791995466</v>
      </c>
      <c r="E649" s="883">
        <v>1.0294678294916837</v>
      </c>
      <c r="F649" s="883">
        <v>1.0366808514567258</v>
      </c>
      <c r="G649" s="883">
        <v>1.0021322618243651</v>
      </c>
      <c r="H649" s="883">
        <v>0.97522646509570465</v>
      </c>
      <c r="I649" s="883">
        <v>0.99840510655857362</v>
      </c>
      <c r="K649">
        <v>6.7166759788308177</v>
      </c>
      <c r="L649">
        <v>0</v>
      </c>
      <c r="M649">
        <v>9.5680115346779577E-3</v>
      </c>
      <c r="N649">
        <v>0.18633554489387166</v>
      </c>
      <c r="O649">
        <v>0.11734783162860363</v>
      </c>
      <c r="P649">
        <v>8.4877750281161901E-2</v>
      </c>
      <c r="Q649">
        <v>0</v>
      </c>
      <c r="R649">
        <v>9.5680115346779577E-3</v>
      </c>
      <c r="S649">
        <v>0.25997969280439598</v>
      </c>
      <c r="T649">
        <v>5.9124342898712152</v>
      </c>
      <c r="U649">
        <v>0</v>
      </c>
      <c r="V649">
        <v>1.9009349300419507E-2</v>
      </c>
      <c r="W649">
        <v>9.6657739202380327E-2</v>
      </c>
      <c r="X649">
        <v>6.3441239153420002E-4</v>
      </c>
      <c r="Y649">
        <v>3.9399368457237398E-2</v>
      </c>
    </row>
    <row r="650" spans="1:25" x14ac:dyDescent="0.25">
      <c r="A650" s="879"/>
      <c r="B650" s="1133">
        <v>400</v>
      </c>
      <c r="C650" s="883">
        <v>1.0167613519563425</v>
      </c>
      <c r="D650" s="883">
        <v>0.97018724216937968</v>
      </c>
      <c r="E650" s="883">
        <v>1.0092148591214469</v>
      </c>
      <c r="F650" s="883">
        <v>0.98852515163654064</v>
      </c>
      <c r="G650" s="883">
        <v>0.96252949527271103</v>
      </c>
      <c r="H650" s="883">
        <v>0.99947342868737499</v>
      </c>
      <c r="I650" s="883">
        <v>0.98508338770714088</v>
      </c>
      <c r="K650">
        <v>6.7342878877902015</v>
      </c>
      <c r="L650">
        <v>0</v>
      </c>
      <c r="M650">
        <v>1.0295737275021954E-2</v>
      </c>
      <c r="N650">
        <v>0.19458948272785209</v>
      </c>
      <c r="O650">
        <v>0.12126103826186652</v>
      </c>
      <c r="P650">
        <v>8.3616785882527148E-2</v>
      </c>
      <c r="Q650">
        <v>0</v>
      </c>
      <c r="R650">
        <v>1.0295737275021954E-2</v>
      </c>
      <c r="S650">
        <v>0.26184825875066187</v>
      </c>
      <c r="T650">
        <v>5.9109926513297797</v>
      </c>
      <c r="U650">
        <v>0</v>
      </c>
      <c r="V650">
        <v>1.9065223378488736E-2</v>
      </c>
      <c r="W650">
        <v>0.10195163527667167</v>
      </c>
      <c r="X650">
        <v>-1.4332013432707769E-3</v>
      </c>
      <c r="Y650">
        <v>4.2396013525620876E-2</v>
      </c>
    </row>
    <row r="651" spans="1:25" x14ac:dyDescent="0.25">
      <c r="A651" s="879"/>
      <c r="B651" s="1133">
        <v>401</v>
      </c>
      <c r="C651" s="883">
        <v>1.0153151212418043</v>
      </c>
      <c r="D651" s="883">
        <v>0.99522070007887142</v>
      </c>
      <c r="E651" s="883">
        <v>1.0137387724733791</v>
      </c>
      <c r="F651" s="883">
        <v>0.96680727215721596</v>
      </c>
      <c r="G651" s="883">
        <v>1.0053631081661885</v>
      </c>
      <c r="H651" s="883">
        <v>0.99005001163514783</v>
      </c>
      <c r="I651" s="883">
        <v>0.97670109866510013</v>
      </c>
      <c r="K651">
        <v>6.7237065396771607</v>
      </c>
      <c r="L651">
        <v>0</v>
      </c>
      <c r="M651">
        <v>1.0062388660036262E-2</v>
      </c>
      <c r="N651">
        <v>0.1914569824840418</v>
      </c>
      <c r="O651">
        <v>0.12011849992556567</v>
      </c>
      <c r="P651">
        <v>8.384086243194995E-2</v>
      </c>
      <c r="Q651">
        <v>0</v>
      </c>
      <c r="R651">
        <v>1.0062388660036262E-2</v>
      </c>
      <c r="S651">
        <v>0.25888472469230261</v>
      </c>
      <c r="T651">
        <v>5.9095621444946831</v>
      </c>
      <c r="U651">
        <v>0</v>
      </c>
      <c r="V651">
        <v>1.907286074684577E-2</v>
      </c>
      <c r="W651">
        <v>0.10008635300002762</v>
      </c>
      <c r="X651">
        <v>-7.5101356187391656E-4</v>
      </c>
      <c r="Y651">
        <v>4.1435125463614927E-2</v>
      </c>
    </row>
    <row r="652" spans="1:25" x14ac:dyDescent="0.25">
      <c r="A652" s="879"/>
      <c r="B652" s="1133">
        <v>402</v>
      </c>
      <c r="C652" s="883">
        <v>0.99722643218738904</v>
      </c>
      <c r="D652" s="883">
        <v>0.9978556858562625</v>
      </c>
      <c r="E652" s="883">
        <v>1.0096866620449676</v>
      </c>
      <c r="F652" s="883">
        <v>0.99046547775327454</v>
      </c>
      <c r="G652" s="883">
        <v>1.0001785351712158</v>
      </c>
      <c r="H652" s="883">
        <v>0.97339448138115903</v>
      </c>
      <c r="I652" s="883">
        <v>0.99340495280695218</v>
      </c>
      <c r="K652">
        <v>6.7346614087063976</v>
      </c>
      <c r="L652">
        <v>0</v>
      </c>
      <c r="M652">
        <v>1.0096881406996093E-2</v>
      </c>
      <c r="N652">
        <v>0.19096444384229114</v>
      </c>
      <c r="O652">
        <v>0.12224468571718985</v>
      </c>
      <c r="P652">
        <v>8.3711472714630447E-2</v>
      </c>
      <c r="Q652">
        <v>0</v>
      </c>
      <c r="R652">
        <v>1.0096881406996093E-2</v>
      </c>
      <c r="S652">
        <v>0.26649042447058369</v>
      </c>
      <c r="T652">
        <v>5.9110707384361021</v>
      </c>
      <c r="U652">
        <v>0</v>
      </c>
      <c r="V652">
        <v>1.9170256158775635E-2</v>
      </c>
      <c r="W652">
        <v>0.10002901127206862</v>
      </c>
      <c r="X652">
        <v>-5.9678436136361888E-4</v>
      </c>
      <c r="Y652">
        <v>4.1577160456115425E-2</v>
      </c>
    </row>
    <row r="653" spans="1:25" x14ac:dyDescent="0.25">
      <c r="A653" s="879"/>
      <c r="B653" s="1133">
        <v>403</v>
      </c>
      <c r="C653" s="883">
        <v>0.98454976958660867</v>
      </c>
      <c r="D653" s="883">
        <v>0.9811902397323532</v>
      </c>
      <c r="E653" s="883">
        <v>1.0003666747592392</v>
      </c>
      <c r="F653" s="883">
        <v>1.0158545565807555</v>
      </c>
      <c r="G653" s="883">
        <v>0.99683049508414612</v>
      </c>
      <c r="H653" s="883">
        <v>1.0154538125896542</v>
      </c>
      <c r="I653" s="883">
        <v>1.0143585732824001</v>
      </c>
      <c r="K653">
        <v>6.7704119815958927</v>
      </c>
      <c r="L653">
        <v>0</v>
      </c>
      <c r="M653">
        <v>1.0833945105863071E-2</v>
      </c>
      <c r="N653">
        <v>0.20209596699425714</v>
      </c>
      <c r="O653">
        <v>0.12483480630380969</v>
      </c>
      <c r="P653">
        <v>8.333237547642075E-2</v>
      </c>
      <c r="Q653">
        <v>0</v>
      </c>
      <c r="R653">
        <v>1.0833945105863071E-2</v>
      </c>
      <c r="S653">
        <v>0.27987673055796825</v>
      </c>
      <c r="T653">
        <v>5.9129691220278042</v>
      </c>
      <c r="U653">
        <v>0</v>
      </c>
      <c r="V653">
        <v>1.9240644303165324E-2</v>
      </c>
      <c r="W653">
        <v>0.10634992115969599</v>
      </c>
      <c r="X653">
        <v>-2.8998428028334535E-3</v>
      </c>
      <c r="Y653">
        <v>4.4612257575601888E-2</v>
      </c>
    </row>
    <row r="654" spans="1:25" x14ac:dyDescent="0.25">
      <c r="A654" s="879"/>
      <c r="B654" s="1133">
        <v>404</v>
      </c>
      <c r="C654" s="883">
        <v>1.0295781257864396</v>
      </c>
      <c r="D654" s="883">
        <v>0.99432016477145801</v>
      </c>
      <c r="E654" s="883">
        <v>0.97841351473730021</v>
      </c>
      <c r="F654" s="883">
        <v>1.0173160894051481</v>
      </c>
      <c r="G654" s="883">
        <v>1.0026657005803878</v>
      </c>
      <c r="H654" s="883">
        <v>1.0138035183156735</v>
      </c>
      <c r="I654" s="883">
        <v>1.0159061254273025</v>
      </c>
      <c r="K654">
        <v>6.7335689754920365</v>
      </c>
      <c r="L654">
        <v>0</v>
      </c>
      <c r="M654">
        <v>1.0483439797426754E-2</v>
      </c>
      <c r="N654">
        <v>0.18929496509984667</v>
      </c>
      <c r="O654">
        <v>0.11914054925167439</v>
      </c>
      <c r="P654">
        <v>8.1802194103263615E-2</v>
      </c>
      <c r="Q654">
        <v>0</v>
      </c>
      <c r="R654">
        <v>1.0483439797426754E-2</v>
      </c>
      <c r="S654">
        <v>0.26770958458761135</v>
      </c>
      <c r="T654">
        <v>5.9142691964169254</v>
      </c>
      <c r="U654">
        <v>0</v>
      </c>
      <c r="V654">
        <v>1.8998477197052974E-2</v>
      </c>
      <c r="W654">
        <v>0.10071036110726422</v>
      </c>
      <c r="X654">
        <v>-1.5252913746873981E-3</v>
      </c>
      <c r="Y654">
        <v>4.3168939103080325E-2</v>
      </c>
    </row>
    <row r="655" spans="1:25" x14ac:dyDescent="0.25">
      <c r="A655" s="879"/>
      <c r="B655" s="1133">
        <v>405</v>
      </c>
      <c r="C655" s="883">
        <v>1.038288695379564</v>
      </c>
      <c r="D655" s="883">
        <v>1.0211541896033645</v>
      </c>
      <c r="E655" s="883">
        <v>1.027513491648989</v>
      </c>
      <c r="F655" s="883">
        <v>0.98144703560100177</v>
      </c>
      <c r="G655" s="883">
        <v>0.9961328266914693</v>
      </c>
      <c r="H655" s="883">
        <v>1.0126744193040464</v>
      </c>
      <c r="I655" s="883">
        <v>0.9828295412165694</v>
      </c>
      <c r="K655">
        <v>6.7158918797175051</v>
      </c>
      <c r="L655">
        <v>0</v>
      </c>
      <c r="M655">
        <v>9.8350207433372701E-3</v>
      </c>
      <c r="N655">
        <v>0.19098291878615464</v>
      </c>
      <c r="O655">
        <v>0.11600931874418094</v>
      </c>
      <c r="P655">
        <v>8.4668574272435473E-2</v>
      </c>
      <c r="Q655">
        <v>0</v>
      </c>
      <c r="R655">
        <v>9.8350207433372701E-3</v>
      </c>
      <c r="S655">
        <v>0.25653976480231516</v>
      </c>
      <c r="T655">
        <v>5.9095635606783903</v>
      </c>
      <c r="U655">
        <v>0</v>
      </c>
      <c r="V655">
        <v>1.8954055498231124E-2</v>
      </c>
      <c r="W655">
        <v>9.9163557166902949E-2</v>
      </c>
      <c r="X655">
        <v>-4.88735083733642E-4</v>
      </c>
      <c r="Y655">
        <v>4.0498864852628991E-2</v>
      </c>
    </row>
    <row r="656" spans="1:25" x14ac:dyDescent="0.25">
      <c r="A656" s="879"/>
      <c r="B656" s="1133">
        <v>406</v>
      </c>
      <c r="C656" s="883">
        <v>1.0222043559954574</v>
      </c>
      <c r="D656" s="883">
        <v>1.0098657572098604</v>
      </c>
      <c r="E656" s="883">
        <v>1.0181761743996924</v>
      </c>
      <c r="F656" s="883">
        <v>0.97522920343992325</v>
      </c>
      <c r="G656" s="883">
        <v>1.0038343703136072</v>
      </c>
      <c r="H656" s="883">
        <v>1.0197944949259321</v>
      </c>
      <c r="I656" s="883">
        <v>0.99132363418721581</v>
      </c>
      <c r="K656">
        <v>6.7326079460570289</v>
      </c>
      <c r="L656">
        <v>0</v>
      </c>
      <c r="M656">
        <v>1.0190987417552795E-2</v>
      </c>
      <c r="N656">
        <v>0.19518122414637123</v>
      </c>
      <c r="O656">
        <v>0.11853218420929829</v>
      </c>
      <c r="P656">
        <v>8.4184396738265665E-2</v>
      </c>
      <c r="Q656">
        <v>0</v>
      </c>
      <c r="R656">
        <v>1.0190987417552795E-2</v>
      </c>
      <c r="S656">
        <v>0.26356997304990504</v>
      </c>
      <c r="T656">
        <v>5.9097639917743212</v>
      </c>
      <c r="U656">
        <v>0</v>
      </c>
      <c r="V656">
        <v>1.9036673258333057E-2</v>
      </c>
      <c r="W656">
        <v>0.10181009154022612</v>
      </c>
      <c r="X656">
        <v>-1.4352609170391159E-3</v>
      </c>
      <c r="Y656">
        <v>4.1964672257342454E-2</v>
      </c>
    </row>
    <row r="657" spans="1:25" x14ac:dyDescent="0.25">
      <c r="A657" s="879"/>
      <c r="B657" s="1133">
        <v>407</v>
      </c>
      <c r="C657" s="883">
        <v>1.0197903386782632</v>
      </c>
      <c r="D657" s="883">
        <v>1.0134624095435096</v>
      </c>
      <c r="E657" s="883">
        <v>0.9998517394500045</v>
      </c>
      <c r="F657" s="883">
        <v>0.99572962044916091</v>
      </c>
      <c r="G657" s="883">
        <v>1.0041771881107533</v>
      </c>
      <c r="H657" s="883">
        <v>1.0183341903561203</v>
      </c>
      <c r="I657" s="883">
        <v>0.95339777508763179</v>
      </c>
      <c r="K657">
        <v>6.7222284206273057</v>
      </c>
      <c r="L657">
        <v>0</v>
      </c>
      <c r="M657">
        <v>1.0349480311642741E-2</v>
      </c>
      <c r="N657">
        <v>0.19291155977867427</v>
      </c>
      <c r="O657">
        <v>0.11898029839980061</v>
      </c>
      <c r="P657">
        <v>8.2935162167282375E-2</v>
      </c>
      <c r="Q657">
        <v>0</v>
      </c>
      <c r="R657">
        <v>1.0349480311642741E-2</v>
      </c>
      <c r="S657">
        <v>0.25389388006886565</v>
      </c>
      <c r="T657">
        <v>5.9119104629986587</v>
      </c>
      <c r="U657">
        <v>0</v>
      </c>
      <c r="V657">
        <v>1.9049297863418441E-2</v>
      </c>
      <c r="W657">
        <v>0.10154273038022432</v>
      </c>
      <c r="X657">
        <v>-1.6122888141469982E-3</v>
      </c>
      <c r="Y657">
        <v>4.2617317784521359E-2</v>
      </c>
    </row>
    <row r="658" spans="1:25" x14ac:dyDescent="0.25">
      <c r="A658" s="879"/>
      <c r="B658" s="1133">
        <v>408</v>
      </c>
      <c r="C658" s="883">
        <v>0.9787575378885377</v>
      </c>
      <c r="D658" s="883">
        <v>1.0237488214380708</v>
      </c>
      <c r="E658" s="883">
        <v>0.98215529175610983</v>
      </c>
      <c r="F658" s="883">
        <v>0.99366770312588559</v>
      </c>
      <c r="G658" s="883">
        <v>1.0307114084737996</v>
      </c>
      <c r="H658" s="883">
        <v>1.0429540191964475</v>
      </c>
      <c r="I658" s="883">
        <v>0.98496967738749197</v>
      </c>
      <c r="K658">
        <v>6.7661350175031272</v>
      </c>
      <c r="L658">
        <v>0</v>
      </c>
      <c r="M658">
        <v>1.1167581153557933E-2</v>
      </c>
      <c r="N658">
        <v>0.20277077065935323</v>
      </c>
      <c r="O658">
        <v>0.12380278438088006</v>
      </c>
      <c r="P658">
        <v>8.2124569605145525E-2</v>
      </c>
      <c r="Q658">
        <v>0</v>
      </c>
      <c r="R658">
        <v>1.1167581153557933E-2</v>
      </c>
      <c r="S658">
        <v>0.2754751704895827</v>
      </c>
      <c r="T658">
        <v>5.9127845920236224</v>
      </c>
      <c r="U658">
        <v>0</v>
      </c>
      <c r="V658">
        <v>1.9273413000140252E-2</v>
      </c>
      <c r="W658">
        <v>0.10767797179210588</v>
      </c>
      <c r="X658">
        <v>-3.760365882709605E-3</v>
      </c>
      <c r="Y658">
        <v>4.5986111435006617E-2</v>
      </c>
    </row>
    <row r="659" spans="1:25" x14ac:dyDescent="0.25">
      <c r="A659" s="879"/>
      <c r="B659" s="1133">
        <v>409</v>
      </c>
      <c r="C659" s="883">
        <v>0.99907554068344295</v>
      </c>
      <c r="D659" s="883">
        <v>0.99021292687180729</v>
      </c>
      <c r="E659" s="883">
        <v>1.0357443772104966</v>
      </c>
      <c r="F659" s="883">
        <v>1.02266423867283</v>
      </c>
      <c r="G659" s="883">
        <v>0.98728117975127427</v>
      </c>
      <c r="H659" s="883">
        <v>0.98946832360016057</v>
      </c>
      <c r="I659" s="883">
        <v>1.0277165066034557</v>
      </c>
      <c r="K659">
        <v>6.7547301365853407</v>
      </c>
      <c r="L659">
        <v>0</v>
      </c>
      <c r="M659">
        <v>1.0046530086618356E-2</v>
      </c>
      <c r="N659">
        <v>0.19747799201431734</v>
      </c>
      <c r="O659">
        <v>0.12189831464378001</v>
      </c>
      <c r="P659">
        <v>8.5488935457768866E-2</v>
      </c>
      <c r="Q659">
        <v>0</v>
      </c>
      <c r="R659">
        <v>1.0046530086618356E-2</v>
      </c>
      <c r="S659">
        <v>0.27686792214481937</v>
      </c>
      <c r="T659">
        <v>5.9113130397184799</v>
      </c>
      <c r="U659">
        <v>0</v>
      </c>
      <c r="V659">
        <v>1.9160138120288578E-2</v>
      </c>
      <c r="W659">
        <v>0.10212304950296486</v>
      </c>
      <c r="X659">
        <v>-9.6907769807751619E-4</v>
      </c>
      <c r="Y659">
        <v>4.1369822681000826E-2</v>
      </c>
    </row>
    <row r="660" spans="1:25" x14ac:dyDescent="0.25">
      <c r="A660" s="879"/>
      <c r="B660" s="1133">
        <v>410</v>
      </c>
      <c r="C660" s="883">
        <v>1.0366205061565694</v>
      </c>
      <c r="D660" s="883">
        <v>1.0215793826967958</v>
      </c>
      <c r="E660" s="883">
        <v>0.97328097101838285</v>
      </c>
      <c r="F660" s="883">
        <v>0.98723545691627956</v>
      </c>
      <c r="G660" s="883">
        <v>0.97369203939231097</v>
      </c>
      <c r="H660" s="883">
        <v>0.9982640493914805</v>
      </c>
      <c r="I660" s="883">
        <v>1.0268617492387704</v>
      </c>
      <c r="K660">
        <v>6.7187080944434214</v>
      </c>
      <c r="L660">
        <v>0</v>
      </c>
      <c r="M660">
        <v>1.0179994350525337E-2</v>
      </c>
      <c r="N660">
        <v>0.18242090280385559</v>
      </c>
      <c r="O660">
        <v>0.11714881443661346</v>
      </c>
      <c r="P660">
        <v>8.145174363296255E-2</v>
      </c>
      <c r="Q660">
        <v>0</v>
      </c>
      <c r="R660">
        <v>1.0179994350525337E-2</v>
      </c>
      <c r="S660">
        <v>0.26703450101559473</v>
      </c>
      <c r="T660">
        <v>5.912924455972921</v>
      </c>
      <c r="U660">
        <v>0</v>
      </c>
      <c r="V660">
        <v>1.8962505045326788E-2</v>
      </c>
      <c r="W660">
        <v>9.7303326566066758E-2</v>
      </c>
      <c r="X660">
        <v>-4.5755979393891403E-4</v>
      </c>
      <c r="Y660">
        <v>4.1919404764016392E-2</v>
      </c>
    </row>
    <row r="661" spans="1:25" x14ac:dyDescent="0.25">
      <c r="A661" s="879"/>
      <c r="B661" s="1133">
        <v>411</v>
      </c>
      <c r="C661" s="883">
        <v>1.0228621379706417</v>
      </c>
      <c r="D661" s="883">
        <v>0.98752156110412725</v>
      </c>
      <c r="E661" s="883">
        <v>1.0226603899687112</v>
      </c>
      <c r="F661" s="883">
        <v>1.0093394934268229</v>
      </c>
      <c r="G661" s="883">
        <v>1.0252577884817209</v>
      </c>
      <c r="H661" s="883">
        <v>1.0064665532791222</v>
      </c>
      <c r="I661" s="883">
        <v>0.97657469730491508</v>
      </c>
      <c r="K661">
        <v>6.7295242301261906</v>
      </c>
      <c r="L661">
        <v>0</v>
      </c>
      <c r="M661">
        <v>1.0108361408664087E-2</v>
      </c>
      <c r="N661">
        <v>0.19488720042291247</v>
      </c>
      <c r="O661">
        <v>0.11943750111318162</v>
      </c>
      <c r="P661">
        <v>8.4417682662529969E-2</v>
      </c>
      <c r="Q661">
        <v>0</v>
      </c>
      <c r="R661">
        <v>1.0108361408664087E-2</v>
      </c>
      <c r="S661">
        <v>0.25851461245227741</v>
      </c>
      <c r="T661">
        <v>5.9113497765055598</v>
      </c>
      <c r="U661">
        <v>0</v>
      </c>
      <c r="V661">
        <v>1.9033243581663865E-2</v>
      </c>
      <c r="W661">
        <v>0.10143246049238984</v>
      </c>
      <c r="X661">
        <v>-1.1726801639510309E-3</v>
      </c>
      <c r="Y661">
        <v>4.1624433059620082E-2</v>
      </c>
    </row>
    <row r="662" spans="1:25" x14ac:dyDescent="0.25">
      <c r="A662" s="879"/>
      <c r="B662" s="1133">
        <v>412</v>
      </c>
      <c r="C662" s="883">
        <v>1.0055978999301176</v>
      </c>
      <c r="D662" s="883">
        <v>0.98860934604531336</v>
      </c>
      <c r="E662" s="883">
        <v>0.99066267112730799</v>
      </c>
      <c r="F662" s="883">
        <v>0.99141316458463769</v>
      </c>
      <c r="G662" s="883">
        <v>1.0080023330388992</v>
      </c>
      <c r="H662" s="883">
        <v>0.96251850302027087</v>
      </c>
      <c r="I662" s="883">
        <v>1.006226324474458</v>
      </c>
      <c r="K662">
        <v>6.7280995821978111</v>
      </c>
      <c r="L662">
        <v>0</v>
      </c>
      <c r="M662">
        <v>1.0107100095566509E-2</v>
      </c>
      <c r="N662">
        <v>0.18584546120072729</v>
      </c>
      <c r="O662">
        <v>0.122035445130565</v>
      </c>
      <c r="P662">
        <v>8.2534076500197812E-2</v>
      </c>
      <c r="Q662">
        <v>0</v>
      </c>
      <c r="R662">
        <v>1.0107100095566509E-2</v>
      </c>
      <c r="S662">
        <v>0.26670436635665956</v>
      </c>
      <c r="T662">
        <v>5.9121911173061132</v>
      </c>
      <c r="U662">
        <v>0</v>
      </c>
      <c r="V662">
        <v>1.9124745878496448E-2</v>
      </c>
      <c r="W662">
        <v>9.8271670012487558E-2</v>
      </c>
      <c r="X662">
        <v>-2.2653938423206863E-4</v>
      </c>
      <c r="Y662">
        <v>4.1619239196789622E-2</v>
      </c>
    </row>
    <row r="663" spans="1:25" x14ac:dyDescent="0.25">
      <c r="A663" s="879"/>
      <c r="B663" s="1133">
        <v>413</v>
      </c>
      <c r="C663" s="883">
        <v>1.0224569331235693</v>
      </c>
      <c r="D663" s="883">
        <v>0.97438730738390211</v>
      </c>
      <c r="E663" s="883">
        <v>0.98812586837105643</v>
      </c>
      <c r="F663" s="883">
        <v>1.0213574501887859</v>
      </c>
      <c r="G663" s="883">
        <v>0.96213093145004636</v>
      </c>
      <c r="H663" s="883">
        <v>0.98797942743570677</v>
      </c>
      <c r="I663" s="883">
        <v>0.99352526091207771</v>
      </c>
      <c r="K663">
        <v>6.7272679911680475</v>
      </c>
      <c r="L663">
        <v>0</v>
      </c>
      <c r="M663">
        <v>1.028971562158814E-2</v>
      </c>
      <c r="N663">
        <v>0.1884930337389063</v>
      </c>
      <c r="O663">
        <v>0.12076766507001797</v>
      </c>
      <c r="P663">
        <v>8.2327266956017595E-2</v>
      </c>
      <c r="Q663">
        <v>0</v>
      </c>
      <c r="R663">
        <v>1.028971562158814E-2</v>
      </c>
      <c r="S663">
        <v>0.26147621256045961</v>
      </c>
      <c r="T663">
        <v>5.9139507409491188</v>
      </c>
      <c r="U663">
        <v>0</v>
      </c>
      <c r="V663">
        <v>1.9035355798721017E-2</v>
      </c>
      <c r="W663">
        <v>9.9797855561321272E-2</v>
      </c>
      <c r="X663">
        <v>-9.5135689511550265E-4</v>
      </c>
      <c r="Y663">
        <v>4.237121742859478E-2</v>
      </c>
    </row>
    <row r="664" spans="1:25" x14ac:dyDescent="0.25">
      <c r="A664" s="879"/>
      <c r="B664" s="1133">
        <v>414</v>
      </c>
      <c r="C664" s="883">
        <v>1.0029045059357693</v>
      </c>
      <c r="D664" s="883">
        <v>0.98402888936653055</v>
      </c>
      <c r="E664" s="883">
        <v>0.99719853301757566</v>
      </c>
      <c r="F664" s="883">
        <v>0.99253829556205231</v>
      </c>
      <c r="G664" s="883">
        <v>1.0214334952885837</v>
      </c>
      <c r="H664" s="883">
        <v>1.0084780287516062</v>
      </c>
      <c r="I664" s="883">
        <v>0.95938017281074039</v>
      </c>
      <c r="K664">
        <v>6.7368877306391113</v>
      </c>
      <c r="L664">
        <v>0</v>
      </c>
      <c r="M664">
        <v>1.0578766680386554E-2</v>
      </c>
      <c r="N664">
        <v>0.19641176167998212</v>
      </c>
      <c r="O664">
        <v>0.12246814467212484</v>
      </c>
      <c r="P664">
        <v>8.2840591925542925E-2</v>
      </c>
      <c r="Q664">
        <v>0</v>
      </c>
      <c r="R664">
        <v>1.0578766680386554E-2</v>
      </c>
      <c r="S664">
        <v>0.25919347339628562</v>
      </c>
      <c r="T664">
        <v>5.9118868690031645</v>
      </c>
      <c r="U664">
        <v>0</v>
      </c>
      <c r="V664">
        <v>1.9139305228554952E-2</v>
      </c>
      <c r="W664">
        <v>0.10352152905477399</v>
      </c>
      <c r="X664">
        <v>-2.1354225608745947E-3</v>
      </c>
      <c r="Y664">
        <v>4.356147823955614E-2</v>
      </c>
    </row>
    <row r="665" spans="1:25" x14ac:dyDescent="0.25">
      <c r="A665" s="879"/>
      <c r="B665" s="1133">
        <v>415</v>
      </c>
      <c r="C665" s="883">
        <v>0.99634871172570316</v>
      </c>
      <c r="D665" s="883">
        <v>1.0084095473607648</v>
      </c>
      <c r="E665" s="883">
        <v>1.0027664386518114</v>
      </c>
      <c r="F665" s="883">
        <v>1.0097103344099498</v>
      </c>
      <c r="G665" s="883">
        <v>0.97970879893530216</v>
      </c>
      <c r="H665" s="883">
        <v>0.99535946495814953</v>
      </c>
      <c r="I665" s="883">
        <v>0.98550028852621607</v>
      </c>
      <c r="K665">
        <v>6.7402832788341138</v>
      </c>
      <c r="L665">
        <v>0</v>
      </c>
      <c r="M665">
        <v>1.034977981629329E-2</v>
      </c>
      <c r="N665">
        <v>0.19375189276615987</v>
      </c>
      <c r="O665">
        <v>0.12196865651546061</v>
      </c>
      <c r="P665">
        <v>8.3297199665833141E-2</v>
      </c>
      <c r="Q665">
        <v>0</v>
      </c>
      <c r="R665">
        <v>1.034977981629329E-2</v>
      </c>
      <c r="S665">
        <v>0.26653970949270145</v>
      </c>
      <c r="T665">
        <v>5.9125019799008554</v>
      </c>
      <c r="U665">
        <v>0</v>
      </c>
      <c r="V665">
        <v>1.9175072054989806E-2</v>
      </c>
      <c r="W665">
        <v>0.10183761425692445</v>
      </c>
      <c r="X665">
        <v>-1.4073969101710349E-3</v>
      </c>
      <c r="Y665">
        <v>4.2618551091362492E-2</v>
      </c>
    </row>
    <row r="666" spans="1:25" x14ac:dyDescent="0.25">
      <c r="A666" s="879"/>
      <c r="B666" s="1133">
        <v>416</v>
      </c>
      <c r="C666" s="883">
        <v>1.026109756325589</v>
      </c>
      <c r="D666" s="883">
        <v>1.0089814007510574</v>
      </c>
      <c r="E666" s="883">
        <v>0.96756618093816094</v>
      </c>
      <c r="F666" s="883">
        <v>1.0125799022507267</v>
      </c>
      <c r="G666" s="883">
        <v>0.9631093054978026</v>
      </c>
      <c r="H666" s="883">
        <v>0.98173851839979176</v>
      </c>
      <c r="I666" s="883">
        <v>0.99471664874502175</v>
      </c>
      <c r="K666">
        <v>6.7140125092344478</v>
      </c>
      <c r="L666">
        <v>0</v>
      </c>
      <c r="M666">
        <v>1.0218610201947285E-2</v>
      </c>
      <c r="N666">
        <v>0.18156575163535216</v>
      </c>
      <c r="O666">
        <v>0.11904016486230314</v>
      </c>
      <c r="P666">
        <v>8.1021187486919471E-2</v>
      </c>
      <c r="Q666">
        <v>0</v>
      </c>
      <c r="R666">
        <v>1.0218610201947285E-2</v>
      </c>
      <c r="S666">
        <v>0.25992604563637323</v>
      </c>
      <c r="T666">
        <v>5.9146064782141758</v>
      </c>
      <c r="U666">
        <v>0</v>
      </c>
      <c r="V666">
        <v>1.9016374940175933E-2</v>
      </c>
      <c r="W666">
        <v>9.7125799662596907E-2</v>
      </c>
      <c r="X666">
        <v>-3.6771117025614442E-4</v>
      </c>
      <c r="Y666">
        <v>4.2078417966806628E-2</v>
      </c>
    </row>
    <row r="667" spans="1:25" x14ac:dyDescent="0.25">
      <c r="A667" s="879"/>
      <c r="B667" s="1133">
        <v>417</v>
      </c>
      <c r="C667" s="883">
        <v>0.99180035204304096</v>
      </c>
      <c r="D667" s="883">
        <v>0.98298809541027032</v>
      </c>
      <c r="E667" s="883">
        <v>1.012708158393721</v>
      </c>
      <c r="F667" s="883">
        <v>0.97153784272597599</v>
      </c>
      <c r="G667" s="883">
        <v>1.0105015661595147</v>
      </c>
      <c r="H667" s="883">
        <v>0.99975346925355368</v>
      </c>
      <c r="I667" s="883">
        <v>0.97777864384613655</v>
      </c>
      <c r="K667">
        <v>6.7468611618744507</v>
      </c>
      <c r="L667">
        <v>0</v>
      </c>
      <c r="M667">
        <v>1.0466621878779232E-2</v>
      </c>
      <c r="N667">
        <v>0.19884478679879339</v>
      </c>
      <c r="O667">
        <v>0.12359596445566373</v>
      </c>
      <c r="P667">
        <v>8.3883198411198262E-2</v>
      </c>
      <c r="Q667">
        <v>0</v>
      </c>
      <c r="R667">
        <v>1.0466621878779232E-2</v>
      </c>
      <c r="S667">
        <v>0.26634254099562982</v>
      </c>
      <c r="T667">
        <v>5.9098763901406146</v>
      </c>
      <c r="U667">
        <v>0</v>
      </c>
      <c r="V667">
        <v>1.9200164629389661E-2</v>
      </c>
      <c r="W667">
        <v>0.10400134476344688</v>
      </c>
      <c r="X667">
        <v>-1.9829142278570476E-3</v>
      </c>
      <c r="Y667">
        <v>4.3099685907567749E-2</v>
      </c>
    </row>
    <row r="668" spans="1:25" x14ac:dyDescent="0.25">
      <c r="A668" s="879"/>
      <c r="B668" s="1133">
        <v>418</v>
      </c>
      <c r="C668" s="883">
        <v>1.0148438542082689</v>
      </c>
      <c r="D668" s="883">
        <v>0.99273447485296917</v>
      </c>
      <c r="E668" s="883">
        <v>0.98497691313753266</v>
      </c>
      <c r="F668" s="883">
        <v>1.0453548956608036</v>
      </c>
      <c r="G668" s="883">
        <v>1.0360260018102734</v>
      </c>
      <c r="H668" s="883">
        <v>1.0185356017594598</v>
      </c>
      <c r="I668" s="883">
        <v>1.0238922094780281</v>
      </c>
      <c r="K668">
        <v>6.7502087067175607</v>
      </c>
      <c r="L668">
        <v>0</v>
      </c>
      <c r="M668">
        <v>1.0631589602607476E-2</v>
      </c>
      <c r="N668">
        <v>0.19384833721951517</v>
      </c>
      <c r="O668">
        <v>0.12082704629072638</v>
      </c>
      <c r="P668">
        <v>8.2317955932014866E-2</v>
      </c>
      <c r="Q668">
        <v>0</v>
      </c>
      <c r="R668">
        <v>1.0631589602607476E-2</v>
      </c>
      <c r="S668">
        <v>0.27421154938768094</v>
      </c>
      <c r="T668">
        <v>5.9154226023026082</v>
      </c>
      <c r="U668">
        <v>0</v>
      </c>
      <c r="V668">
        <v>1.9075354152967537E-2</v>
      </c>
      <c r="W668">
        <v>0.1027947445325704</v>
      </c>
      <c r="X668">
        <v>-2.0678767316525994E-3</v>
      </c>
      <c r="Y668">
        <v>4.3778993631132225E-2</v>
      </c>
    </row>
    <row r="669" spans="1:25" x14ac:dyDescent="0.25">
      <c r="A669" s="879"/>
      <c r="B669" s="1133">
        <v>419</v>
      </c>
      <c r="C669" s="883">
        <v>1.0298124632193382</v>
      </c>
      <c r="D669" s="883">
        <v>0.98404224394458129</v>
      </c>
      <c r="E669" s="883">
        <v>0.98423586118657158</v>
      </c>
      <c r="F669" s="883">
        <v>0.96310905429625238</v>
      </c>
      <c r="G669" s="883">
        <v>1.0089601424809931</v>
      </c>
      <c r="H669" s="883">
        <v>0.99831833293136651</v>
      </c>
      <c r="I669" s="883">
        <v>0.96692675981967913</v>
      </c>
      <c r="K669">
        <v>6.7138326870317364</v>
      </c>
      <c r="L669">
        <v>0</v>
      </c>
      <c r="M669">
        <v>1.0314529161902876E-2</v>
      </c>
      <c r="N669">
        <v>0.18786070501889765</v>
      </c>
      <c r="O669">
        <v>0.11950386284508796</v>
      </c>
      <c r="P669">
        <v>8.1937540965205904E-2</v>
      </c>
      <c r="Q669">
        <v>0</v>
      </c>
      <c r="R669">
        <v>1.0314529161902876E-2</v>
      </c>
      <c r="S669">
        <v>0.25348011584148022</v>
      </c>
      <c r="T669">
        <v>5.9110177434641775</v>
      </c>
      <c r="U669">
        <v>0</v>
      </c>
      <c r="V669">
        <v>1.8997272299122511E-2</v>
      </c>
      <c r="W669">
        <v>9.9656498075913175E-2</v>
      </c>
      <c r="X669">
        <v>-1.0944466491191478E-3</v>
      </c>
      <c r="Y669">
        <v>4.2473395170965336E-2</v>
      </c>
    </row>
    <row r="670" spans="1:25" x14ac:dyDescent="0.25">
      <c r="A670" s="879"/>
      <c r="B670" s="1133">
        <v>420</v>
      </c>
      <c r="C670" s="883">
        <v>1.0213826828010026</v>
      </c>
      <c r="D670" s="883">
        <v>1.0008421078440417</v>
      </c>
      <c r="E670" s="883">
        <v>1.0145462680464661</v>
      </c>
      <c r="F670" s="883">
        <v>1.0189471090383106</v>
      </c>
      <c r="G670" s="883">
        <v>1.0177844553312754</v>
      </c>
      <c r="H670" s="883">
        <v>1.0058365472154043</v>
      </c>
      <c r="I670" s="883">
        <v>0.98764473266412423</v>
      </c>
      <c r="K670">
        <v>6.7305456385179987</v>
      </c>
      <c r="L670">
        <v>0</v>
      </c>
      <c r="M670">
        <v>1.0130458400482215E-2</v>
      </c>
      <c r="N670">
        <v>0.19298262864470397</v>
      </c>
      <c r="O670">
        <v>0.11912130416246923</v>
      </c>
      <c r="P670">
        <v>8.3965469608488844E-2</v>
      </c>
      <c r="Q670">
        <v>0</v>
      </c>
      <c r="R670">
        <v>1.0130458400482215E-2</v>
      </c>
      <c r="S670">
        <v>0.26161761007372925</v>
      </c>
      <c r="T670">
        <v>5.912333284059434</v>
      </c>
      <c r="U670">
        <v>0</v>
      </c>
      <c r="V670">
        <v>1.9040963669779084E-2</v>
      </c>
      <c r="W670">
        <v>0.10084368582689873</v>
      </c>
      <c r="X670">
        <v>-1.0747320663125784E-3</v>
      </c>
      <c r="Y670">
        <v>4.1715424538809227E-2</v>
      </c>
    </row>
    <row r="671" spans="1:25" x14ac:dyDescent="0.25">
      <c r="A671" s="879"/>
      <c r="B671" s="1133">
        <v>421</v>
      </c>
      <c r="C671" s="883">
        <v>1.0218586826388016</v>
      </c>
      <c r="D671" s="883">
        <v>1.0025544809363132</v>
      </c>
      <c r="E671" s="883">
        <v>0.97241052824874608</v>
      </c>
      <c r="F671" s="883">
        <v>1.0160345746389912</v>
      </c>
      <c r="G671" s="883">
        <v>1.0288546726165579</v>
      </c>
      <c r="H671" s="883">
        <v>1.0302564311541378</v>
      </c>
      <c r="I671" s="883">
        <v>1.0105281063814351</v>
      </c>
      <c r="K671">
        <v>6.7415972974243958</v>
      </c>
      <c r="L671">
        <v>0</v>
      </c>
      <c r="M671">
        <v>1.0752288341029492E-2</v>
      </c>
      <c r="N671">
        <v>0.19242734820593058</v>
      </c>
      <c r="O671">
        <v>0.1197538757116634</v>
      </c>
      <c r="P671">
        <v>8.1454373279193151E-2</v>
      </c>
      <c r="Q671">
        <v>0</v>
      </c>
      <c r="R671">
        <v>1.0752288341029492E-2</v>
      </c>
      <c r="S671">
        <v>0.26973910727233685</v>
      </c>
      <c r="T671">
        <v>5.9145291052491045</v>
      </c>
      <c r="U671">
        <v>0</v>
      </c>
      <c r="V671">
        <v>1.9038477369858978E-2</v>
      </c>
      <c r="W671">
        <v>0.1026856412043026</v>
      </c>
      <c r="X671">
        <v>-2.3066404203740229E-3</v>
      </c>
      <c r="Y671">
        <v>4.4276009552379529E-2</v>
      </c>
    </row>
    <row r="672" spans="1:25" x14ac:dyDescent="0.25">
      <c r="A672" s="879"/>
      <c r="B672" s="1133">
        <v>422</v>
      </c>
      <c r="C672" s="883">
        <v>1.0023538605242175</v>
      </c>
      <c r="D672" s="883">
        <v>0.97943815134887713</v>
      </c>
      <c r="E672" s="883">
        <v>1.0097689260565277</v>
      </c>
      <c r="F672" s="883">
        <v>1.0008137248893183</v>
      </c>
      <c r="G672" s="883">
        <v>0.98464378347566095</v>
      </c>
      <c r="H672" s="883">
        <v>1.0168729520716282</v>
      </c>
      <c r="I672" s="883">
        <v>1.019521691674115</v>
      </c>
      <c r="K672">
        <v>6.75970603406435</v>
      </c>
      <c r="L672">
        <v>0</v>
      </c>
      <c r="M672">
        <v>1.0577266205906129E-2</v>
      </c>
      <c r="N672">
        <v>0.20007442723534999</v>
      </c>
      <c r="O672">
        <v>0.12252747161630452</v>
      </c>
      <c r="P672">
        <v>8.3858541127251301E-2</v>
      </c>
      <c r="Q672">
        <v>0</v>
      </c>
      <c r="R672">
        <v>1.0577266205906129E-2</v>
      </c>
      <c r="S672">
        <v>0.27647892517196937</v>
      </c>
      <c r="T672">
        <v>5.9116252322679914</v>
      </c>
      <c r="U672">
        <v>0</v>
      </c>
      <c r="V672">
        <v>1.9142291418410121E-2</v>
      </c>
      <c r="W672">
        <v>0.10479664355833442</v>
      </c>
      <c r="X672">
        <v>-2.3527978839860695E-3</v>
      </c>
      <c r="Y672">
        <v>4.3555299552720243E-2</v>
      </c>
    </row>
    <row r="673" spans="1:25" x14ac:dyDescent="0.25">
      <c r="A673" s="879"/>
      <c r="B673" s="1133">
        <v>423</v>
      </c>
      <c r="C673" s="883">
        <v>0.99990265435397863</v>
      </c>
      <c r="D673" s="883">
        <v>1.004062874283371</v>
      </c>
      <c r="E673" s="883">
        <v>0.99181311852172194</v>
      </c>
      <c r="F673" s="883">
        <v>0.986940651557209</v>
      </c>
      <c r="G673" s="883">
        <v>1.0112243810645016</v>
      </c>
      <c r="H673" s="883">
        <v>0.96092283288975022</v>
      </c>
      <c r="I673" s="883">
        <v>1.0256214258570773</v>
      </c>
      <c r="K673">
        <v>6.7336740008878406</v>
      </c>
      <c r="L673">
        <v>0</v>
      </c>
      <c r="M673">
        <v>1.0070498252091499E-2</v>
      </c>
      <c r="N673">
        <v>0.18548851674193956</v>
      </c>
      <c r="O673">
        <v>0.12195000344750882</v>
      </c>
      <c r="P673">
        <v>8.2687975026325425E-2</v>
      </c>
      <c r="Q673">
        <v>0</v>
      </c>
      <c r="R673">
        <v>1.0070498252091499E-2</v>
      </c>
      <c r="S673">
        <v>0.27310476875544148</v>
      </c>
      <c r="T673">
        <v>5.9118852945905234</v>
      </c>
      <c r="U673">
        <v>0</v>
      </c>
      <c r="V673">
        <v>1.9155624394292123E-2</v>
      </c>
      <c r="W673">
        <v>9.8026699661938263E-2</v>
      </c>
      <c r="X673">
        <v>-9.3401050374422023E-5</v>
      </c>
      <c r="Y673">
        <v>4.1468519320244798E-2</v>
      </c>
    </row>
    <row r="674" spans="1:25" x14ac:dyDescent="0.25">
      <c r="A674" s="879"/>
      <c r="B674" s="1133">
        <v>424</v>
      </c>
      <c r="C674" s="883">
        <v>0.96270477944151778</v>
      </c>
      <c r="D674" s="883">
        <v>1.0471223568124084</v>
      </c>
      <c r="E674" s="883">
        <v>0.98549362861775858</v>
      </c>
      <c r="F674" s="883">
        <v>1.0297536074459743</v>
      </c>
      <c r="G674" s="883">
        <v>1.0130846267067639</v>
      </c>
      <c r="H674" s="883">
        <v>0.96154431836730214</v>
      </c>
      <c r="I674" s="883">
        <v>1.0188923256643834</v>
      </c>
      <c r="K674">
        <v>6.7530120459721577</v>
      </c>
      <c r="L674">
        <v>0</v>
      </c>
      <c r="M674">
        <v>1.0336826476818014E-2</v>
      </c>
      <c r="N674">
        <v>0.18861834094851646</v>
      </c>
      <c r="O674">
        <v>0.12467241292738032</v>
      </c>
      <c r="P674">
        <v>8.2439414647061671E-2</v>
      </c>
      <c r="Q674">
        <v>0</v>
      </c>
      <c r="R674">
        <v>1.0336826476818014E-2</v>
      </c>
      <c r="S674">
        <v>0.28149978499487127</v>
      </c>
      <c r="T674">
        <v>5.9145506390659248</v>
      </c>
      <c r="U674">
        <v>0</v>
      </c>
      <c r="V674">
        <v>1.9366289847254022E-2</v>
      </c>
      <c r="W674">
        <v>9.9995539897765551E-2</v>
      </c>
      <c r="X674">
        <v>-6.9558790162992871E-4</v>
      </c>
      <c r="Y674">
        <v>4.2565211545011764E-2</v>
      </c>
    </row>
    <row r="675" spans="1:25" x14ac:dyDescent="0.25">
      <c r="A675" s="879"/>
      <c r="B675" s="1133">
        <v>425</v>
      </c>
      <c r="C675" s="883">
        <v>0.96337110966957218</v>
      </c>
      <c r="D675" s="883">
        <v>1.0098294185101973</v>
      </c>
      <c r="E675" s="883">
        <v>1.0021435370871703</v>
      </c>
      <c r="F675" s="883">
        <v>0.98049170781579931</v>
      </c>
      <c r="G675" s="883">
        <v>1.0010604589757346</v>
      </c>
      <c r="H675" s="883">
        <v>1.008496271336804</v>
      </c>
      <c r="I675" s="883">
        <v>0.98024382835104784</v>
      </c>
      <c r="K675">
        <v>6.7664004485923215</v>
      </c>
      <c r="L675">
        <v>0</v>
      </c>
      <c r="M675">
        <v>1.0844710010791634E-2</v>
      </c>
      <c r="N675">
        <v>0.20282995070591339</v>
      </c>
      <c r="O675">
        <v>0.12608492964455506</v>
      </c>
      <c r="P675">
        <v>8.3359261933030282E-2</v>
      </c>
      <c r="Q675">
        <v>0</v>
      </c>
      <c r="R675">
        <v>1.0844710010791634E-2</v>
      </c>
      <c r="S675">
        <v>0.27543340487318951</v>
      </c>
      <c r="T675">
        <v>5.9109580770984484</v>
      </c>
      <c r="U675">
        <v>0</v>
      </c>
      <c r="V675">
        <v>1.9362373070574583E-2</v>
      </c>
      <c r="W675">
        <v>0.10664206936796083</v>
      </c>
      <c r="X675">
        <v>-2.926203639373192E-3</v>
      </c>
      <c r="Y675">
        <v>4.4656585538016061E-2</v>
      </c>
    </row>
    <row r="676" spans="1:25" x14ac:dyDescent="0.25">
      <c r="A676" s="879"/>
      <c r="B676" s="1133">
        <v>426</v>
      </c>
      <c r="C676" s="883">
        <v>0.9875302688424803</v>
      </c>
      <c r="D676" s="883">
        <v>1.0128239311621321</v>
      </c>
      <c r="E676" s="883">
        <v>0.98359638740712707</v>
      </c>
      <c r="F676" s="883">
        <v>0.98649642889758971</v>
      </c>
      <c r="G676" s="883">
        <v>0.99711532559412863</v>
      </c>
      <c r="H676" s="883">
        <v>1.0035187344396448</v>
      </c>
      <c r="I676" s="883">
        <v>1.0204462769830873</v>
      </c>
      <c r="K676">
        <v>6.755722742169139</v>
      </c>
      <c r="L676">
        <v>0</v>
      </c>
      <c r="M676">
        <v>1.0685449643346336E-2</v>
      </c>
      <c r="N676">
        <v>0.19443185250810152</v>
      </c>
      <c r="O676">
        <v>0.12320371589366919</v>
      </c>
      <c r="P676">
        <v>8.2257461053092853E-2</v>
      </c>
      <c r="Q676">
        <v>0</v>
      </c>
      <c r="R676">
        <v>1.0685449643346336E-2</v>
      </c>
      <c r="S676">
        <v>0.27916914602984855</v>
      </c>
      <c r="T676">
        <v>5.9123173328423944</v>
      </c>
      <c r="U676">
        <v>0</v>
      </c>
      <c r="V676">
        <v>1.922393235931661E-2</v>
      </c>
      <c r="W676">
        <v>0.10317534337232033</v>
      </c>
      <c r="X676">
        <v>-2.0568215817712743E-3</v>
      </c>
      <c r="Y676">
        <v>4.4000779692164996E-2</v>
      </c>
    </row>
    <row r="677" spans="1:25" x14ac:dyDescent="0.25">
      <c r="A677" s="879"/>
      <c r="B677" s="1133">
        <v>427</v>
      </c>
      <c r="C677" s="883">
        <v>0.97920843948788838</v>
      </c>
      <c r="D677" s="883">
        <v>1.0347003542438251</v>
      </c>
      <c r="E677" s="883">
        <v>1.0056598862568387</v>
      </c>
      <c r="F677" s="883">
        <v>0.98700535785487087</v>
      </c>
      <c r="G677" s="883">
        <v>0.9935070431866786</v>
      </c>
      <c r="H677" s="883">
        <v>0.99484955890927063</v>
      </c>
      <c r="I677" s="883">
        <v>1.030750227333036</v>
      </c>
      <c r="K677">
        <v>6.7591879191245683</v>
      </c>
      <c r="L677">
        <v>0</v>
      </c>
      <c r="M677">
        <v>1.0383955216601504E-2</v>
      </c>
      <c r="N677">
        <v>0.19522647414377758</v>
      </c>
      <c r="O677">
        <v>0.12277779558540411</v>
      </c>
      <c r="P677">
        <v>8.3687791248002866E-2</v>
      </c>
      <c r="Q677">
        <v>0</v>
      </c>
      <c r="R677">
        <v>1.0383955216601504E-2</v>
      </c>
      <c r="S677">
        <v>0.28336240546534858</v>
      </c>
      <c r="T677">
        <v>5.9111117419545174</v>
      </c>
      <c r="U677">
        <v>0</v>
      </c>
      <c r="V677">
        <v>1.9270848176257134E-2</v>
      </c>
      <c r="W677">
        <v>0.10246557292295587</v>
      </c>
      <c r="X677">
        <v>-1.4739896785283429E-3</v>
      </c>
      <c r="Y677">
        <v>4.2759279306837213E-2</v>
      </c>
    </row>
    <row r="678" spans="1:25" x14ac:dyDescent="0.25">
      <c r="A678" s="879"/>
      <c r="B678" s="1133">
        <v>428</v>
      </c>
      <c r="C678" s="883">
        <v>1.011292808023488</v>
      </c>
      <c r="D678" s="883">
        <v>1.009747560983514</v>
      </c>
      <c r="E678" s="883">
        <v>0.98986648552815637</v>
      </c>
      <c r="F678" s="883">
        <v>0.98712563048178681</v>
      </c>
      <c r="G678" s="883">
        <v>1.0052628521966724</v>
      </c>
      <c r="H678" s="883">
        <v>1.0217844545430264</v>
      </c>
      <c r="I678" s="883">
        <v>1.0250114564820252</v>
      </c>
      <c r="K678">
        <v>6.7482784447507784</v>
      </c>
      <c r="L678">
        <v>0</v>
      </c>
      <c r="M678">
        <v>1.0580115421015673E-2</v>
      </c>
      <c r="N678">
        <v>0.19431358435126989</v>
      </c>
      <c r="O678">
        <v>0.12034026787239298</v>
      </c>
      <c r="P678">
        <v>8.2599492269930255E-2</v>
      </c>
      <c r="Q678">
        <v>0</v>
      </c>
      <c r="R678">
        <v>1.0580115421015673E-2</v>
      </c>
      <c r="S678">
        <v>0.27560815928098842</v>
      </c>
      <c r="T678">
        <v>5.9120036778005192</v>
      </c>
      <c r="U678">
        <v>0</v>
      </c>
      <c r="V678">
        <v>1.9094216955444956E-2</v>
      </c>
      <c r="W678">
        <v>0.10279025665049976</v>
      </c>
      <c r="X678">
        <v>-2.0382425436709026E-3</v>
      </c>
      <c r="Y678">
        <v>4.3567032113399969E-2</v>
      </c>
    </row>
    <row r="679" spans="1:25" x14ac:dyDescent="0.25">
      <c r="A679" s="879"/>
      <c r="B679" s="1133">
        <v>429</v>
      </c>
      <c r="C679" s="883">
        <v>0.99730179347945824</v>
      </c>
      <c r="D679" s="883">
        <v>0.98555662175333769</v>
      </c>
      <c r="E679" s="883">
        <v>1.0045786802305767</v>
      </c>
      <c r="F679" s="883">
        <v>0.98133416925014372</v>
      </c>
      <c r="G679" s="883">
        <v>1.0118752996167975</v>
      </c>
      <c r="H679" s="883">
        <v>1.0153317203223424</v>
      </c>
      <c r="I679" s="883">
        <v>0.97085650514429578</v>
      </c>
      <c r="K679">
        <v>6.7464979531392091</v>
      </c>
      <c r="L679">
        <v>0</v>
      </c>
      <c r="M679">
        <v>1.0634586569193931E-2</v>
      </c>
      <c r="N679">
        <v>0.19961865813087001</v>
      </c>
      <c r="O679">
        <v>0.12294021443248791</v>
      </c>
      <c r="P679">
        <v>8.3360124619930018E-2</v>
      </c>
      <c r="Q679">
        <v>0</v>
      </c>
      <c r="R679">
        <v>1.0634586569193931E-2</v>
      </c>
      <c r="S679">
        <v>0.26439656733322781</v>
      </c>
      <c r="T679">
        <v>5.9108663358278974</v>
      </c>
      <c r="U679">
        <v>0</v>
      </c>
      <c r="V679">
        <v>1.9169843059916571E-2</v>
      </c>
      <c r="W679">
        <v>0.10482698785243971</v>
      </c>
      <c r="X679">
        <v>-2.4721127236597483E-3</v>
      </c>
      <c r="Y679">
        <v>4.3791334606095078E-2</v>
      </c>
    </row>
    <row r="680" spans="1:25" x14ac:dyDescent="0.25">
      <c r="A680" s="879"/>
      <c r="B680" s="1133">
        <v>430</v>
      </c>
      <c r="C680" s="883">
        <v>1.0243780891614054</v>
      </c>
      <c r="D680" s="883">
        <v>0.97027404090942071</v>
      </c>
      <c r="E680" s="883">
        <v>1.004570042778788</v>
      </c>
      <c r="F680" s="883">
        <v>1.0113219592947593</v>
      </c>
      <c r="G680" s="883">
        <v>0.99050366048210181</v>
      </c>
      <c r="H680" s="883">
        <v>0.99758856409563568</v>
      </c>
      <c r="I680" s="883">
        <v>1.0106728298119192</v>
      </c>
      <c r="K680">
        <v>6.7360247322275599</v>
      </c>
      <c r="L680">
        <v>0</v>
      </c>
      <c r="M680">
        <v>1.0241020663488736E-2</v>
      </c>
      <c r="N680">
        <v>0.19222869071176438</v>
      </c>
      <c r="O680">
        <v>0.12044138314212678</v>
      </c>
      <c r="P680">
        <v>8.3407229293695304E-2</v>
      </c>
      <c r="Q680">
        <v>0</v>
      </c>
      <c r="R680">
        <v>1.0241020663488736E-2</v>
      </c>
      <c r="S680">
        <v>0.26646629302760844</v>
      </c>
      <c r="T680">
        <v>5.912487326810747</v>
      </c>
      <c r="U680">
        <v>0</v>
      </c>
      <c r="V680">
        <v>1.9025356181488977E-2</v>
      </c>
      <c r="W680">
        <v>0.1009466805022077</v>
      </c>
      <c r="X680">
        <v>-1.1489277005963163E-3</v>
      </c>
      <c r="Y680">
        <v>4.2170700258520877E-2</v>
      </c>
    </row>
    <row r="681" spans="1:25" x14ac:dyDescent="0.25">
      <c r="A681" s="879"/>
      <c r="B681" s="1133">
        <v>431</v>
      </c>
      <c r="C681" s="883">
        <v>1.0106553955450308</v>
      </c>
      <c r="D681" s="883">
        <v>0.99448048013027579</v>
      </c>
      <c r="E681" s="883">
        <v>0.97473743448187111</v>
      </c>
      <c r="F681" s="883">
        <v>0.99114678514893173</v>
      </c>
      <c r="G681" s="883">
        <v>0.97950011138493343</v>
      </c>
      <c r="H681" s="883">
        <v>0.97405868276533636</v>
      </c>
      <c r="I681" s="883">
        <v>1.0327123065063122</v>
      </c>
      <c r="K681">
        <v>6.7337948405486125</v>
      </c>
      <c r="L681">
        <v>0</v>
      </c>
      <c r="M681">
        <v>1.0293247385154329E-2</v>
      </c>
      <c r="N681">
        <v>0.18484953798808942</v>
      </c>
      <c r="O681">
        <v>0.12143094831169329</v>
      </c>
      <c r="P681">
        <v>8.1630535918233119E-2</v>
      </c>
      <c r="Q681">
        <v>0</v>
      </c>
      <c r="R681">
        <v>1.0293247385154329E-2</v>
      </c>
      <c r="S681">
        <v>0.27338857373896058</v>
      </c>
      <c r="T681">
        <v>5.9130562018232391</v>
      </c>
      <c r="U681">
        <v>0</v>
      </c>
      <c r="V681">
        <v>1.9097616858899005E-2</v>
      </c>
      <c r="W681">
        <v>9.8526706119374127E-2</v>
      </c>
      <c r="X681">
        <v>-5.7104081220829431E-4</v>
      </c>
      <c r="Y681">
        <v>4.2385760602329868E-2</v>
      </c>
    </row>
    <row r="682" spans="1:25" x14ac:dyDescent="0.25">
      <c r="A682" s="879"/>
      <c r="B682" s="1133">
        <v>432</v>
      </c>
      <c r="C682" s="883">
        <v>0.97571615397931022</v>
      </c>
      <c r="D682" s="883">
        <v>1.0056041279160279</v>
      </c>
      <c r="E682" s="883">
        <v>0.99702984246676329</v>
      </c>
      <c r="F682" s="883">
        <v>1.0319666938847838</v>
      </c>
      <c r="G682" s="883">
        <v>1.0080016662026088</v>
      </c>
      <c r="H682" s="883">
        <v>1.0308336700127876</v>
      </c>
      <c r="I682" s="883">
        <v>0.95974241452437892</v>
      </c>
      <c r="K682">
        <v>6.7634603645049491</v>
      </c>
      <c r="L682">
        <v>0</v>
      </c>
      <c r="M682">
        <v>1.1013416422247003E-2</v>
      </c>
      <c r="N682">
        <v>0.20443062393965081</v>
      </c>
      <c r="O682">
        <v>0.12479660638579203</v>
      </c>
      <c r="P682">
        <v>8.2983141557790033E-2</v>
      </c>
      <c r="Q682">
        <v>0</v>
      </c>
      <c r="R682">
        <v>1.1013416422247003E-2</v>
      </c>
      <c r="S682">
        <v>0.26836021098824875</v>
      </c>
      <c r="T682">
        <v>5.9140272380372334</v>
      </c>
      <c r="U682">
        <v>0</v>
      </c>
      <c r="V682">
        <v>1.9290774956885033E-2</v>
      </c>
      <c r="W682">
        <v>0.10775701892968813</v>
      </c>
      <c r="X682">
        <v>-3.5365388021105586E-3</v>
      </c>
      <c r="Y682">
        <v>4.5351288511767458E-2</v>
      </c>
    </row>
    <row r="683" spans="1:25" x14ac:dyDescent="0.25">
      <c r="A683" s="879"/>
      <c r="B683" s="1133">
        <v>433</v>
      </c>
      <c r="C683" s="883">
        <v>1.0185203398683524</v>
      </c>
      <c r="D683" s="883">
        <v>0.9662345673485685</v>
      </c>
      <c r="E683" s="883">
        <v>1.0189762556269077</v>
      </c>
      <c r="F683" s="883">
        <v>1.0091183198908695</v>
      </c>
      <c r="G683" s="883">
        <v>1.0168464903847199</v>
      </c>
      <c r="H683" s="883">
        <v>0.96675055267541421</v>
      </c>
      <c r="I683" s="883">
        <v>1.0050681351697528</v>
      </c>
      <c r="K683">
        <v>6.7282761353734148</v>
      </c>
      <c r="L683">
        <v>0</v>
      </c>
      <c r="M683">
        <v>9.8741859494619593E-3</v>
      </c>
      <c r="N683">
        <v>0.18933771777562119</v>
      </c>
      <c r="O683">
        <v>0.12106615302100752</v>
      </c>
      <c r="P683">
        <v>8.4260329967057984E-2</v>
      </c>
      <c r="Q683">
        <v>0</v>
      </c>
      <c r="R683">
        <v>9.8741859494619593E-3</v>
      </c>
      <c r="S683">
        <v>0.26367002613261276</v>
      </c>
      <c r="T683">
        <v>5.9115491337452921</v>
      </c>
      <c r="U683">
        <v>0</v>
      </c>
      <c r="V683">
        <v>1.9055963609337655E-2</v>
      </c>
      <c r="W683">
        <v>9.872307337488534E-2</v>
      </c>
      <c r="X683">
        <v>-4.6402452701976743E-5</v>
      </c>
      <c r="Y683">
        <v>4.0660140200303639E-2</v>
      </c>
    </row>
    <row r="684" spans="1:25" x14ac:dyDescent="0.25">
      <c r="A684" s="879"/>
      <c r="B684" s="1133">
        <v>434</v>
      </c>
      <c r="C684" s="883">
        <v>1.0047442915781521</v>
      </c>
      <c r="D684" s="883">
        <v>1.0025943313400727</v>
      </c>
      <c r="E684" s="883">
        <v>0.98394921166616967</v>
      </c>
      <c r="F684" s="883">
        <v>1.0017228674052356</v>
      </c>
      <c r="G684" s="883">
        <v>1.0208510455130941</v>
      </c>
      <c r="H684" s="883">
        <v>1.0068541225511216</v>
      </c>
      <c r="I684" s="883">
        <v>1.0133929472293848</v>
      </c>
      <c r="K684">
        <v>6.745497955311448</v>
      </c>
      <c r="L684">
        <v>0</v>
      </c>
      <c r="M684">
        <v>1.0579932470879121E-2</v>
      </c>
      <c r="N684">
        <v>0.19261264177803622</v>
      </c>
      <c r="O684">
        <v>0.12157908353763225</v>
      </c>
      <c r="P684">
        <v>8.2206225525971524E-2</v>
      </c>
      <c r="Q684">
        <v>0</v>
      </c>
      <c r="R684">
        <v>1.0579932470879121E-2</v>
      </c>
      <c r="S684">
        <v>0.27290883131956578</v>
      </c>
      <c r="T684">
        <v>5.9131209151325965</v>
      </c>
      <c r="U684">
        <v>0</v>
      </c>
      <c r="V684">
        <v>1.9129351675485684E-2</v>
      </c>
      <c r="W684">
        <v>0.10219195117925127</v>
      </c>
      <c r="X684">
        <v>-1.8173235943940776E-3</v>
      </c>
      <c r="Y684">
        <v>4.3566278757301555E-2</v>
      </c>
    </row>
    <row r="685" spans="1:25" x14ac:dyDescent="0.25">
      <c r="A685" s="879"/>
      <c r="B685" s="1133">
        <v>435</v>
      </c>
      <c r="C685" s="883">
        <v>1.0038289222589192</v>
      </c>
      <c r="D685" s="883">
        <v>0.96202756038634496</v>
      </c>
      <c r="E685" s="883">
        <v>1.0101933820401121</v>
      </c>
      <c r="F685" s="883">
        <v>0.99867008277706193</v>
      </c>
      <c r="G685" s="883">
        <v>0.98621220392655606</v>
      </c>
      <c r="H685" s="883">
        <v>0.99501843423958503</v>
      </c>
      <c r="I685" s="883">
        <v>1.0343199806528123</v>
      </c>
      <c r="K685">
        <v>6.757311288712895</v>
      </c>
      <c r="L685">
        <v>0</v>
      </c>
      <c r="M685">
        <v>1.0410657854108231E-2</v>
      </c>
      <c r="N685">
        <v>0.19704672183020255</v>
      </c>
      <c r="O685">
        <v>0.1232202660899948</v>
      </c>
      <c r="P685">
        <v>8.3905566845478854E-2</v>
      </c>
      <c r="Q685">
        <v>0</v>
      </c>
      <c r="R685">
        <v>1.0410657854108231E-2</v>
      </c>
      <c r="S685">
        <v>0.27813481368478432</v>
      </c>
      <c r="T685">
        <v>5.9114853138062369</v>
      </c>
      <c r="U685">
        <v>0</v>
      </c>
      <c r="V685">
        <v>1.9134299418577375E-2</v>
      </c>
      <c r="W685">
        <v>0.10318910096120237</v>
      </c>
      <c r="X685">
        <v>-1.6740299387760374E-3</v>
      </c>
      <c r="Y685">
        <v>4.2869236015197619E-2</v>
      </c>
    </row>
    <row r="686" spans="1:25" x14ac:dyDescent="0.25">
      <c r="A686" s="879"/>
      <c r="B686" s="1133">
        <v>436</v>
      </c>
      <c r="C686" s="883">
        <v>1.0193111593167339</v>
      </c>
      <c r="D686" s="883">
        <v>0.99121140309853428</v>
      </c>
      <c r="E686" s="883">
        <v>0.99063234588801485</v>
      </c>
      <c r="F686" s="883">
        <v>0.98477424116417689</v>
      </c>
      <c r="G686" s="883">
        <v>0.99522262740407297</v>
      </c>
      <c r="H686" s="883">
        <v>0.97356363969373383</v>
      </c>
      <c r="I686" s="883">
        <v>1.0345766626737771</v>
      </c>
      <c r="K686">
        <v>6.7297755832721045</v>
      </c>
      <c r="L686">
        <v>0</v>
      </c>
      <c r="M686">
        <v>1.0074459456176377E-2</v>
      </c>
      <c r="N686">
        <v>0.18523694973993901</v>
      </c>
      <c r="O686">
        <v>0.12026768403711662</v>
      </c>
      <c r="P686">
        <v>8.2591139598964441E-2</v>
      </c>
      <c r="Q686">
        <v>0</v>
      </c>
      <c r="R686">
        <v>1.0074459456176377E-2</v>
      </c>
      <c r="S686">
        <v>0.2715668336485621</v>
      </c>
      <c r="T686">
        <v>5.9118339670010123</v>
      </c>
      <c r="U686">
        <v>0</v>
      </c>
      <c r="V686">
        <v>1.9051810944341663E-2</v>
      </c>
      <c r="W686">
        <v>9.7951381154922898E-2</v>
      </c>
      <c r="X686">
        <v>-2.0901370634932649E-4</v>
      </c>
      <c r="Y686">
        <v>4.1484830853598297E-2</v>
      </c>
    </row>
    <row r="687" spans="1:25" x14ac:dyDescent="0.25">
      <c r="A687" s="879"/>
      <c r="B687" s="1133">
        <v>437</v>
      </c>
      <c r="C687" s="883">
        <v>0.99210893805907374</v>
      </c>
      <c r="D687" s="883">
        <v>0.98761196071650026</v>
      </c>
      <c r="E687" s="883">
        <v>0.98639945368774229</v>
      </c>
      <c r="F687" s="883">
        <v>1.0352470476242117</v>
      </c>
      <c r="G687" s="883">
        <v>0.98757460341542092</v>
      </c>
      <c r="H687" s="883">
        <v>1.0011186671357906</v>
      </c>
      <c r="I687" s="883">
        <v>0.97510384044929355</v>
      </c>
      <c r="K687">
        <v>6.746648565114719</v>
      </c>
      <c r="L687">
        <v>0</v>
      </c>
      <c r="M687">
        <v>1.0699691425531861E-2</v>
      </c>
      <c r="N687">
        <v>0.19550207092291266</v>
      </c>
      <c r="O687">
        <v>0.12382509979058018</v>
      </c>
      <c r="P687">
        <v>8.2286329852735013E-2</v>
      </c>
      <c r="Q687">
        <v>0</v>
      </c>
      <c r="R687">
        <v>1.0699691425531861E-2</v>
      </c>
      <c r="S687">
        <v>0.26556603494376579</v>
      </c>
      <c r="T687">
        <v>5.9147973633329158</v>
      </c>
      <c r="U687">
        <v>0</v>
      </c>
      <c r="V687">
        <v>1.9198454934308662E-2</v>
      </c>
      <c r="W687">
        <v>0.10359804806316708</v>
      </c>
      <c r="X687">
        <v>-2.1842615419326917E-3</v>
      </c>
      <c r="Y687">
        <v>4.4059424816262245E-2</v>
      </c>
    </row>
    <row r="688" spans="1:25" x14ac:dyDescent="0.25">
      <c r="A688" s="879"/>
      <c r="B688" s="1133">
        <v>438</v>
      </c>
      <c r="C688" s="883">
        <v>0.99684232206303769</v>
      </c>
      <c r="D688" s="883">
        <v>0.96885266322921593</v>
      </c>
      <c r="E688" s="883">
        <v>0.99555515511709836</v>
      </c>
      <c r="F688" s="883">
        <v>1.0081737005987064</v>
      </c>
      <c r="G688" s="883">
        <v>1.0012035937078714</v>
      </c>
      <c r="H688" s="883">
        <v>1.0035260465742064</v>
      </c>
      <c r="I688" s="883">
        <v>0.98323364107093414</v>
      </c>
      <c r="K688">
        <v>6.7495349488801821</v>
      </c>
      <c r="L688">
        <v>0</v>
      </c>
      <c r="M688">
        <v>1.0676954570635245E-2</v>
      </c>
      <c r="N688">
        <v>0.19775260593498248</v>
      </c>
      <c r="O688">
        <v>0.12401256502581733</v>
      </c>
      <c r="P688">
        <v>8.2854002785022821E-2</v>
      </c>
      <c r="Q688">
        <v>0</v>
      </c>
      <c r="R688">
        <v>1.0676954570635245E-2</v>
      </c>
      <c r="S688">
        <v>0.26695247130853528</v>
      </c>
      <c r="T688">
        <v>5.9128239231368509</v>
      </c>
      <c r="U688">
        <v>0</v>
      </c>
      <c r="V688">
        <v>1.9172362659175917E-2</v>
      </c>
      <c r="W688">
        <v>0.10431346698299385</v>
      </c>
      <c r="X688">
        <v>-2.3122474480093873E-3</v>
      </c>
      <c r="Y688">
        <v>4.3965798494807293E-2</v>
      </c>
    </row>
    <row r="689" spans="1:25" x14ac:dyDescent="0.25">
      <c r="A689" s="879"/>
      <c r="B689" s="1133">
        <v>439</v>
      </c>
      <c r="C689" s="883">
        <v>0.99976613714118034</v>
      </c>
      <c r="D689" s="883">
        <v>0.98421990575463747</v>
      </c>
      <c r="E689" s="883">
        <v>1.0107325548235866</v>
      </c>
      <c r="F689" s="883">
        <v>1.0007710320375138</v>
      </c>
      <c r="G689" s="883">
        <v>1.0018515187500672</v>
      </c>
      <c r="H689" s="883">
        <v>1.0274086283031987</v>
      </c>
      <c r="I689" s="883">
        <v>1.0054431351048279</v>
      </c>
      <c r="K689">
        <v>6.7610393509667439</v>
      </c>
      <c r="L689">
        <v>0</v>
      </c>
      <c r="M689">
        <v>1.0683167188140778E-2</v>
      </c>
      <c r="N689">
        <v>0.20236607118198691</v>
      </c>
      <c r="O689">
        <v>0.1225872651424756</v>
      </c>
      <c r="P689">
        <v>8.3889325140630688E-2</v>
      </c>
      <c r="Q689">
        <v>0</v>
      </c>
      <c r="R689">
        <v>1.0683167188140778E-2</v>
      </c>
      <c r="S689">
        <v>0.27431932790811997</v>
      </c>
      <c r="T689">
        <v>5.9115682226906818</v>
      </c>
      <c r="U689">
        <v>0</v>
      </c>
      <c r="V689">
        <v>1.9156368881619961E-2</v>
      </c>
      <c r="W689">
        <v>0.10594647681606105</v>
      </c>
      <c r="X689">
        <v>-2.7850877427201435E-3</v>
      </c>
      <c r="Y689">
        <v>4.3991380947890374E-2</v>
      </c>
    </row>
    <row r="690" spans="1:25" x14ac:dyDescent="0.25">
      <c r="A690" s="879"/>
      <c r="B690" s="1133">
        <v>440</v>
      </c>
      <c r="C690" s="883">
        <v>1.012493476592748</v>
      </c>
      <c r="D690" s="883">
        <v>0.99551924844386031</v>
      </c>
      <c r="E690" s="883">
        <v>0.96180036885890496</v>
      </c>
      <c r="F690" s="883">
        <v>1.0077058918805679</v>
      </c>
      <c r="G690" s="883">
        <v>1.0195614805824005</v>
      </c>
      <c r="H690" s="883">
        <v>0.98891774850138292</v>
      </c>
      <c r="I690" s="883">
        <v>0.99575650813689676</v>
      </c>
      <c r="K690">
        <v>6.7279528826701913</v>
      </c>
      <c r="L690">
        <v>0</v>
      </c>
      <c r="M690">
        <v>1.0544720737373231E-2</v>
      </c>
      <c r="N690">
        <v>0.18576236521256173</v>
      </c>
      <c r="O690">
        <v>0.1213960272374931</v>
      </c>
      <c r="P690">
        <v>8.0718464457114614E-2</v>
      </c>
      <c r="Q690">
        <v>0</v>
      </c>
      <c r="R690">
        <v>1.0544720737373231E-2</v>
      </c>
      <c r="S690">
        <v>0.26447572537425584</v>
      </c>
      <c r="T690">
        <v>5.9146555817404431</v>
      </c>
      <c r="U690">
        <v>0</v>
      </c>
      <c r="V690">
        <v>1.9087824318645776E-2</v>
      </c>
      <c r="W690">
        <v>9.9659818723354096E-2</v>
      </c>
      <c r="X690">
        <v>-1.2242074998542098E-3</v>
      </c>
      <c r="Y690">
        <v>4.3421283106179223E-2</v>
      </c>
    </row>
    <row r="691" spans="1:25" x14ac:dyDescent="0.25">
      <c r="A691" s="879"/>
      <c r="B691" s="1133">
        <v>441</v>
      </c>
      <c r="C691" s="883">
        <v>1.0116175224332544</v>
      </c>
      <c r="D691" s="883">
        <v>0.98852736401465569</v>
      </c>
      <c r="E691" s="883">
        <v>0.97996947758793673</v>
      </c>
      <c r="F691" s="883">
        <v>0.97836167927897533</v>
      </c>
      <c r="G691" s="883">
        <v>0.99686726296298878</v>
      </c>
      <c r="H691" s="883">
        <v>0.96964176295202498</v>
      </c>
      <c r="I691" s="883">
        <v>1.041909548751011</v>
      </c>
      <c r="K691">
        <v>6.7347198566875912</v>
      </c>
      <c r="L691">
        <v>0</v>
      </c>
      <c r="M691">
        <v>1.02165097716891E-2</v>
      </c>
      <c r="N691">
        <v>0.18490151203410818</v>
      </c>
      <c r="O691">
        <v>0.12151087636836351</v>
      </c>
      <c r="P691">
        <v>8.1971365396801263E-2</v>
      </c>
      <c r="Q691">
        <v>0</v>
      </c>
      <c r="R691">
        <v>1.02165097716891E-2</v>
      </c>
      <c r="S691">
        <v>0.27519607402195173</v>
      </c>
      <c r="T691">
        <v>5.9120776680339828</v>
      </c>
      <c r="U691">
        <v>0</v>
      </c>
      <c r="V691">
        <v>1.9092486603917394E-2</v>
      </c>
      <c r="W691">
        <v>9.8296281393035631E-2</v>
      </c>
      <c r="X691">
        <v>-3.9617593343785438E-4</v>
      </c>
      <c r="Y691">
        <v>4.2069768768866089E-2</v>
      </c>
    </row>
    <row r="692" spans="1:25" x14ac:dyDescent="0.25">
      <c r="A692" s="879"/>
      <c r="B692" s="1133">
        <v>442</v>
      </c>
      <c r="C692" s="883">
        <v>0.96995312927231458</v>
      </c>
      <c r="D692" s="883">
        <v>1.0179885698420841</v>
      </c>
      <c r="E692" s="883">
        <v>0.96021959535558732</v>
      </c>
      <c r="F692" s="883">
        <v>1.0087127371161624</v>
      </c>
      <c r="G692" s="883">
        <v>1.0056642970224041</v>
      </c>
      <c r="H692" s="883">
        <v>1.0354932910714401</v>
      </c>
      <c r="I692" s="883">
        <v>0.95949335468748065</v>
      </c>
      <c r="K692">
        <v>6.7623993971672052</v>
      </c>
      <c r="L692">
        <v>0</v>
      </c>
      <c r="M692">
        <v>1.1431681114109951E-2</v>
      </c>
      <c r="N692">
        <v>0.20091517337325693</v>
      </c>
      <c r="O692">
        <v>0.1256236722665228</v>
      </c>
      <c r="P692">
        <v>8.0696914887763704E-2</v>
      </c>
      <c r="Q692">
        <v>0</v>
      </c>
      <c r="R692">
        <v>1.1431681114109951E-2</v>
      </c>
      <c r="S692">
        <v>0.27012030594984771</v>
      </c>
      <c r="T692">
        <v>5.9147954145865116</v>
      </c>
      <c r="U692">
        <v>0</v>
      </c>
      <c r="V692">
        <v>1.9323972219856739E-2</v>
      </c>
      <c r="W692">
        <v>0.1078751778935793</v>
      </c>
      <c r="X692">
        <v>-4.0248620746502917E-3</v>
      </c>
      <c r="Y692">
        <v>4.7073628064519243E-2</v>
      </c>
    </row>
    <row r="693" spans="1:25" x14ac:dyDescent="0.25">
      <c r="A693" s="879"/>
      <c r="B693" s="1133">
        <v>443</v>
      </c>
      <c r="C693" s="883">
        <v>0.97500846317684497</v>
      </c>
      <c r="D693" s="883">
        <v>0.97550425412967068</v>
      </c>
      <c r="E693" s="883">
        <v>0.98726724590284287</v>
      </c>
      <c r="F693" s="883">
        <v>0.98634137582447601</v>
      </c>
      <c r="G693" s="883">
        <v>1.0266191851827156</v>
      </c>
      <c r="H693" s="883">
        <v>0.99945442612500424</v>
      </c>
      <c r="I693" s="883">
        <v>0.99492846321673822</v>
      </c>
      <c r="K693">
        <v>6.7638801086853748</v>
      </c>
      <c r="L693">
        <v>0</v>
      </c>
      <c r="M693">
        <v>1.0918603643837753E-2</v>
      </c>
      <c r="N693">
        <v>0.19975887893567174</v>
      </c>
      <c r="O693">
        <v>0.12660332868321236</v>
      </c>
      <c r="P693">
        <v>8.2440883031213066E-2</v>
      </c>
      <c r="Q693">
        <v>0</v>
      </c>
      <c r="R693">
        <v>1.0918603643837753E-2</v>
      </c>
      <c r="S693">
        <v>0.27569021268177918</v>
      </c>
      <c r="T693">
        <v>5.9121056770322404</v>
      </c>
      <c r="U693">
        <v>0</v>
      </c>
      <c r="V693">
        <v>1.9294830394375056E-2</v>
      </c>
      <c r="W693">
        <v>0.10580790679221379</v>
      </c>
      <c r="X693">
        <v>-2.782475231653616E-3</v>
      </c>
      <c r="Y693">
        <v>4.4960866366323599E-2</v>
      </c>
    </row>
    <row r="694" spans="1:25" x14ac:dyDescent="0.25">
      <c r="A694" s="879"/>
      <c r="B694" s="1133">
        <v>444</v>
      </c>
      <c r="C694" s="883">
        <v>0.98486739847557703</v>
      </c>
      <c r="D694" s="883">
        <v>1.0327091127616095</v>
      </c>
      <c r="E694" s="883">
        <v>0.99767034038691238</v>
      </c>
      <c r="F694" s="883">
        <v>1.0174541573367173</v>
      </c>
      <c r="G694" s="883">
        <v>1.0298627360831498</v>
      </c>
      <c r="H694" s="883">
        <v>0.99504189111821095</v>
      </c>
      <c r="I694" s="883">
        <v>0.96920281984151935</v>
      </c>
      <c r="K694">
        <v>6.739283953869907</v>
      </c>
      <c r="L694">
        <v>0</v>
      </c>
      <c r="M694">
        <v>1.0407194861537584E-2</v>
      </c>
      <c r="N694">
        <v>0.19336138883387863</v>
      </c>
      <c r="O694">
        <v>0.12231661632299269</v>
      </c>
      <c r="P694">
        <v>8.2965913814365688E-2</v>
      </c>
      <c r="Q694">
        <v>0</v>
      </c>
      <c r="R694">
        <v>1.0407194861537584E-2</v>
      </c>
      <c r="S694">
        <v>0.26493255025893397</v>
      </c>
      <c r="T694">
        <v>5.9132069938216123</v>
      </c>
      <c r="U694">
        <v>0</v>
      </c>
      <c r="V694">
        <v>1.9238858512287696E-2</v>
      </c>
      <c r="W694">
        <v>0.10188988573670164</v>
      </c>
      <c r="X694">
        <v>-1.4832294590456493E-3</v>
      </c>
      <c r="Y694">
        <v>4.2854976028181405E-2</v>
      </c>
    </row>
    <row r="695" spans="1:25" x14ac:dyDescent="0.25">
      <c r="A695" s="879"/>
      <c r="B695" s="1133">
        <v>445</v>
      </c>
      <c r="C695" s="883">
        <v>1.0074183392763656</v>
      </c>
      <c r="D695" s="883">
        <v>1.0176018973800016</v>
      </c>
      <c r="E695" s="883">
        <v>1.0021576283817999</v>
      </c>
      <c r="F695" s="883">
        <v>1.0259608381501666</v>
      </c>
      <c r="G695" s="883">
        <v>1.0248581221312654</v>
      </c>
      <c r="H695" s="883">
        <v>0.96296519546172377</v>
      </c>
      <c r="I695" s="883">
        <v>0.97457872200455087</v>
      </c>
      <c r="K695">
        <v>6.7161027569724352</v>
      </c>
      <c r="L695">
        <v>0</v>
      </c>
      <c r="M695">
        <v>9.8697724802389569E-3</v>
      </c>
      <c r="N695">
        <v>0.18459942670463825</v>
      </c>
      <c r="O695">
        <v>0.12020265135281072</v>
      </c>
      <c r="P695">
        <v>8.3151409289887429E-2</v>
      </c>
      <c r="Q695">
        <v>0</v>
      </c>
      <c r="R695">
        <v>9.8697724802389569E-3</v>
      </c>
      <c r="S695">
        <v>0.25767313375884787</v>
      </c>
      <c r="T695">
        <v>5.913414473760481</v>
      </c>
      <c r="U695">
        <v>0</v>
      </c>
      <c r="V695">
        <v>1.9114949443878895E-2</v>
      </c>
      <c r="W695">
        <v>9.7056313200348868E-2</v>
      </c>
      <c r="X695">
        <v>2.4843314192750149E-4</v>
      </c>
      <c r="Y695">
        <v>4.0641966319611554E-2</v>
      </c>
    </row>
    <row r="696" spans="1:25" x14ac:dyDescent="0.25">
      <c r="A696" s="879"/>
      <c r="B696" s="1133">
        <v>446</v>
      </c>
      <c r="C696" s="883">
        <v>0.96643770661987038</v>
      </c>
      <c r="D696" s="883">
        <v>1.0224769196310948</v>
      </c>
      <c r="E696" s="883">
        <v>1.0267464643873379</v>
      </c>
      <c r="F696" s="883">
        <v>0.99511629501143783</v>
      </c>
      <c r="G696" s="883">
        <v>0.99533512709588778</v>
      </c>
      <c r="H696" s="883">
        <v>0.97913082281917019</v>
      </c>
      <c r="I696" s="883">
        <v>1.0393520488363106</v>
      </c>
      <c r="K696">
        <v>6.7694376297611187</v>
      </c>
      <c r="L696">
        <v>0</v>
      </c>
      <c r="M696">
        <v>1.0217430065654287E-2</v>
      </c>
      <c r="N696">
        <v>0.19818391572309638</v>
      </c>
      <c r="O696">
        <v>0.12458458462688148</v>
      </c>
      <c r="P696">
        <v>8.5067778626289267E-2</v>
      </c>
      <c r="Q696">
        <v>0</v>
      </c>
      <c r="R696">
        <v>1.0217430065654287E-2</v>
      </c>
      <c r="S696">
        <v>0.28807878203870585</v>
      </c>
      <c r="T696">
        <v>5.9103462122641357</v>
      </c>
      <c r="U696">
        <v>0</v>
      </c>
      <c r="V696">
        <v>1.9344416836583396E-2</v>
      </c>
      <c r="W696">
        <v>0.10294128600615095</v>
      </c>
      <c r="X696">
        <v>-1.1829047363300055E-3</v>
      </c>
      <c r="Y696">
        <v>4.20735583756085E-2</v>
      </c>
    </row>
    <row r="697" spans="1:25" x14ac:dyDescent="0.25">
      <c r="A697" s="879"/>
      <c r="B697" s="1133">
        <v>447</v>
      </c>
      <c r="C697" s="883">
        <v>0.9791576868919124</v>
      </c>
      <c r="D697" s="883">
        <v>1.0072281867505484</v>
      </c>
      <c r="E697" s="883">
        <v>1.0338028135488253</v>
      </c>
      <c r="F697" s="883">
        <v>0.95652582400985886</v>
      </c>
      <c r="G697" s="883">
        <v>0.98634464778190711</v>
      </c>
      <c r="H697" s="883">
        <v>0.98063212922906839</v>
      </c>
      <c r="I697" s="883">
        <v>1.0125397250891599</v>
      </c>
      <c r="K697">
        <v>6.7543924301810447</v>
      </c>
      <c r="L697">
        <v>0</v>
      </c>
      <c r="M697">
        <v>1.0102665455610803E-2</v>
      </c>
      <c r="N697">
        <v>0.19801249412887034</v>
      </c>
      <c r="O697">
        <v>0.12357085259320007</v>
      </c>
      <c r="P697">
        <v>8.5327293295214476E-2</v>
      </c>
      <c r="Q697">
        <v>0</v>
      </c>
      <c r="R697">
        <v>1.0102665455610803E-2</v>
      </c>
      <c r="S697">
        <v>0.2772962421263066</v>
      </c>
      <c r="T697">
        <v>5.9078535088096658</v>
      </c>
      <c r="U697">
        <v>0</v>
      </c>
      <c r="V697">
        <v>1.9271136749803457E-2</v>
      </c>
      <c r="W697">
        <v>0.10249685235126564</v>
      </c>
      <c r="X697">
        <v>-1.0369280120730746E-3</v>
      </c>
      <c r="Y697">
        <v>4.1600978138788519E-2</v>
      </c>
    </row>
    <row r="698" spans="1:25" x14ac:dyDescent="0.25">
      <c r="A698" s="879"/>
      <c r="B698" s="1133">
        <v>448</v>
      </c>
      <c r="C698" s="883">
        <v>1.01790859938265</v>
      </c>
      <c r="D698" s="883">
        <v>1.0003061521145535</v>
      </c>
      <c r="E698" s="883">
        <v>0.9733269976591471</v>
      </c>
      <c r="F698" s="883">
        <v>1.0123475239647219</v>
      </c>
      <c r="G698" s="883">
        <v>0.97290487718228602</v>
      </c>
      <c r="H698" s="883">
        <v>1.0302624901432005</v>
      </c>
      <c r="I698" s="883">
        <v>1.0013808310034851</v>
      </c>
      <c r="K698">
        <v>6.742166113910514</v>
      </c>
      <c r="L698">
        <v>0</v>
      </c>
      <c r="M698">
        <v>1.0795840460636284E-2</v>
      </c>
      <c r="N698">
        <v>0.19346980499360844</v>
      </c>
      <c r="O698">
        <v>0.12030995607252083</v>
      </c>
      <c r="P698">
        <v>8.1491097647519328E-2</v>
      </c>
      <c r="Q698">
        <v>0</v>
      </c>
      <c r="R698">
        <v>1.0795840460636284E-2</v>
      </c>
      <c r="S698">
        <v>0.26836154446401145</v>
      </c>
      <c r="T698">
        <v>5.9142796371824264</v>
      </c>
      <c r="U698">
        <v>0</v>
      </c>
      <c r="V698">
        <v>1.9059180340563624E-2</v>
      </c>
      <c r="W698">
        <v>0.10319442725906486</v>
      </c>
      <c r="X698">
        <v>-2.4548834781403352E-3</v>
      </c>
      <c r="Y698">
        <v>4.4455349428931985E-2</v>
      </c>
    </row>
    <row r="699" spans="1:25" x14ac:dyDescent="0.25">
      <c r="A699" s="879"/>
      <c r="B699" s="1133">
        <v>449</v>
      </c>
      <c r="C699" s="883">
        <v>0.98543431496541223</v>
      </c>
      <c r="D699" s="883">
        <v>1.0250793077196774</v>
      </c>
      <c r="E699" s="883">
        <v>1.0195659695628474</v>
      </c>
      <c r="F699" s="883">
        <v>0.98522681211497509</v>
      </c>
      <c r="G699" s="883">
        <v>1.0078115767594391</v>
      </c>
      <c r="H699" s="883">
        <v>0.97856122618943397</v>
      </c>
      <c r="I699" s="883">
        <v>0.99289889107671581</v>
      </c>
      <c r="K699">
        <v>6.740497885870024</v>
      </c>
      <c r="L699">
        <v>0</v>
      </c>
      <c r="M699">
        <v>1.0066852564089882E-2</v>
      </c>
      <c r="N699">
        <v>0.19320057969370927</v>
      </c>
      <c r="O699">
        <v>0.12219543258161036</v>
      </c>
      <c r="P699">
        <v>8.4365195316544725E-2</v>
      </c>
      <c r="Q699">
        <v>0</v>
      </c>
      <c r="R699">
        <v>1.0066852564089882E-2</v>
      </c>
      <c r="S699">
        <v>0.26981026633834565</v>
      </c>
      <c r="T699">
        <v>5.910224598328587</v>
      </c>
      <c r="U699">
        <v>0</v>
      </c>
      <c r="V699">
        <v>1.9235674023767108E-2</v>
      </c>
      <c r="W699">
        <v>0.10070795076295798</v>
      </c>
      <c r="X699">
        <v>-6.9531820146585105E-4</v>
      </c>
      <c r="Y699">
        <v>4.1453507025962434E-2</v>
      </c>
    </row>
    <row r="700" spans="1:25" x14ac:dyDescent="0.25">
      <c r="A700" s="879"/>
      <c r="B700" s="1133">
        <v>450</v>
      </c>
      <c r="C700" s="883">
        <v>1.0127855549507954</v>
      </c>
      <c r="D700" s="883">
        <v>0.99857598040445927</v>
      </c>
      <c r="E700" s="883">
        <v>1.0028501355040753</v>
      </c>
      <c r="F700" s="883">
        <v>0.98178558986256848</v>
      </c>
      <c r="G700" s="883">
        <v>0.99449321693409398</v>
      </c>
      <c r="H700" s="883">
        <v>1.0166871521907241</v>
      </c>
      <c r="I700" s="883">
        <v>1.0321478231026981</v>
      </c>
      <c r="K700">
        <v>6.7501833683627899</v>
      </c>
      <c r="L700">
        <v>0</v>
      </c>
      <c r="M700">
        <v>1.0442950045814442E-2</v>
      </c>
      <c r="N700">
        <v>0.19552031266535855</v>
      </c>
      <c r="O700">
        <v>0.12045888715378783</v>
      </c>
      <c r="P700">
        <v>8.3418365938725481E-2</v>
      </c>
      <c r="Q700">
        <v>0</v>
      </c>
      <c r="R700">
        <v>1.0442950045814442E-2</v>
      </c>
      <c r="S700">
        <v>0.27677306038848498</v>
      </c>
      <c r="T700">
        <v>5.9109882023262657</v>
      </c>
      <c r="U700">
        <v>0</v>
      </c>
      <c r="V700">
        <v>1.9086271518056412E-2</v>
      </c>
      <c r="W700">
        <v>0.10276284383562011</v>
      </c>
      <c r="X700">
        <v>-1.826784976357498E-3</v>
      </c>
      <c r="Y700">
        <v>4.3002209512847937E-2</v>
      </c>
    </row>
    <row r="701" spans="1:25" x14ac:dyDescent="0.25">
      <c r="A701" s="879"/>
      <c r="B701" s="1133">
        <v>451</v>
      </c>
      <c r="C701" s="883">
        <v>0.96914710458647213</v>
      </c>
      <c r="D701" s="883">
        <v>0.96344150867450551</v>
      </c>
      <c r="E701" s="883">
        <v>1.0000555356891248</v>
      </c>
      <c r="F701" s="883">
        <v>0.99721243699824014</v>
      </c>
      <c r="G701" s="883">
        <v>1.000047830159257</v>
      </c>
      <c r="H701" s="883">
        <v>1.030697581281649</v>
      </c>
      <c r="I701" s="883">
        <v>1.0127204520270567</v>
      </c>
      <c r="K701">
        <v>6.7906631656393612</v>
      </c>
      <c r="L701">
        <v>0</v>
      </c>
      <c r="M701">
        <v>1.1262193871636994E-2</v>
      </c>
      <c r="N701">
        <v>0.20998768793642636</v>
      </c>
      <c r="O701">
        <v>0.12775431439521465</v>
      </c>
      <c r="P701">
        <v>8.3377517210382293E-2</v>
      </c>
      <c r="Q701">
        <v>0</v>
      </c>
      <c r="R701">
        <v>1.1262193871636994E-2</v>
      </c>
      <c r="S701">
        <v>0.28560827851082965</v>
      </c>
      <c r="T701">
        <v>5.9119791463679388</v>
      </c>
      <c r="U701">
        <v>0</v>
      </c>
      <c r="V701">
        <v>1.932864670660446E-2</v>
      </c>
      <c r="W701">
        <v>0.11051989395831895</v>
      </c>
      <c r="X701">
        <v>-4.2680292139730767E-3</v>
      </c>
      <c r="Y701">
        <v>4.6375709767620149E-2</v>
      </c>
    </row>
    <row r="702" spans="1:25" x14ac:dyDescent="0.25">
      <c r="A702" s="879"/>
      <c r="B702" s="1133">
        <v>452</v>
      </c>
      <c r="C702" s="883">
        <v>1.017242417923679</v>
      </c>
      <c r="D702" s="883">
        <v>1.0454325589622337</v>
      </c>
      <c r="E702" s="883">
        <v>0.98982782876566178</v>
      </c>
      <c r="F702" s="883">
        <v>0.99362424480365741</v>
      </c>
      <c r="G702" s="883">
        <v>0.9860985583302242</v>
      </c>
      <c r="H702" s="883">
        <v>0.99701132404945902</v>
      </c>
      <c r="I702" s="883">
        <v>1.0053963077363544</v>
      </c>
      <c r="K702">
        <v>6.7230964219764422</v>
      </c>
      <c r="L702">
        <v>0</v>
      </c>
      <c r="M702">
        <v>1.0112172851392553E-2</v>
      </c>
      <c r="N702">
        <v>0.1857087434695017</v>
      </c>
      <c r="O702">
        <v>0.11798660441565097</v>
      </c>
      <c r="P702">
        <v>8.247545138702618E-2</v>
      </c>
      <c r="Q702">
        <v>0</v>
      </c>
      <c r="R702">
        <v>1.0112172851392553E-2</v>
      </c>
      <c r="S702">
        <v>0.26613971768143824</v>
      </c>
      <c r="T702">
        <v>5.9123570872247093</v>
      </c>
      <c r="U702">
        <v>0</v>
      </c>
      <c r="V702">
        <v>1.9062687740885358E-2</v>
      </c>
      <c r="W702">
        <v>9.8240261846828783E-2</v>
      </c>
      <c r="X702">
        <v>-5.1425969196261794E-4</v>
      </c>
      <c r="Y702">
        <v>4.1640127902364391E-2</v>
      </c>
    </row>
    <row r="703" spans="1:25" x14ac:dyDescent="0.25">
      <c r="A703" s="879"/>
      <c r="B703" s="1133">
        <v>453</v>
      </c>
      <c r="C703" s="883">
        <v>1.010963607224328</v>
      </c>
      <c r="D703" s="883">
        <v>0.98910893093914765</v>
      </c>
      <c r="E703" s="883">
        <v>0.98295495482344097</v>
      </c>
      <c r="F703" s="883">
        <v>1.006803081122958</v>
      </c>
      <c r="G703" s="883">
        <v>1.0199819363813303</v>
      </c>
      <c r="H703" s="883">
        <v>0.99644989581898635</v>
      </c>
      <c r="I703" s="883">
        <v>1.0102847362786957</v>
      </c>
      <c r="K703">
        <v>6.7389373356345077</v>
      </c>
      <c r="L703">
        <v>0</v>
      </c>
      <c r="M703">
        <v>1.0475812938911299E-2</v>
      </c>
      <c r="N703">
        <v>0.19043603815602342</v>
      </c>
      <c r="O703">
        <v>0.12150579080868071</v>
      </c>
      <c r="P703">
        <v>8.2103101865487985E-2</v>
      </c>
      <c r="Q703">
        <v>0</v>
      </c>
      <c r="R703">
        <v>1.0475812938911299E-2</v>
      </c>
      <c r="S703">
        <v>0.26955243911473237</v>
      </c>
      <c r="T703">
        <v>5.9134504976701612</v>
      </c>
      <c r="U703">
        <v>0</v>
      </c>
      <c r="V703">
        <v>1.9095972348925312E-2</v>
      </c>
      <c r="W703">
        <v>0.10108738057931069</v>
      </c>
      <c r="X703">
        <v>-1.431417966059174E-3</v>
      </c>
      <c r="Y703">
        <v>4.3137533057243889E-2</v>
      </c>
    </row>
    <row r="704" spans="1:25" x14ac:dyDescent="0.25">
      <c r="A704" s="879"/>
      <c r="B704" s="1133">
        <v>454</v>
      </c>
      <c r="C704" s="883">
        <v>1.0359870425571183</v>
      </c>
      <c r="D704" s="883">
        <v>0.99229452471443824</v>
      </c>
      <c r="E704" s="883">
        <v>1.0124955234806619</v>
      </c>
      <c r="F704" s="883">
        <v>1.0108442370318034</v>
      </c>
      <c r="G704" s="883">
        <v>0.97903695112320521</v>
      </c>
      <c r="H704" s="883">
        <v>0.98187274578407824</v>
      </c>
      <c r="I704" s="883">
        <v>0.97456615305865923</v>
      </c>
      <c r="K704">
        <v>6.7090541550658607</v>
      </c>
      <c r="L704">
        <v>0</v>
      </c>
      <c r="M704">
        <v>9.8031555663088549E-3</v>
      </c>
      <c r="N704">
        <v>0.18618165537753001</v>
      </c>
      <c r="O704">
        <v>0.11788311087943751</v>
      </c>
      <c r="P704">
        <v>8.3707819709559483E-2</v>
      </c>
      <c r="Q704">
        <v>0</v>
      </c>
      <c r="R704">
        <v>9.8031555663088549E-3</v>
      </c>
      <c r="S704">
        <v>0.25246185265615551</v>
      </c>
      <c r="T704">
        <v>5.9120122864826579</v>
      </c>
      <c r="U704">
        <v>0</v>
      </c>
      <c r="V704">
        <v>1.8965720730964308E-2</v>
      </c>
      <c r="W704">
        <v>9.7388406451707751E-2</v>
      </c>
      <c r="X704">
        <v>8.5653052430793893E-5</v>
      </c>
      <c r="Y704">
        <v>4.0367649725416052E-2</v>
      </c>
    </row>
    <row r="705" spans="1:25" x14ac:dyDescent="0.25">
      <c r="A705" s="879"/>
      <c r="B705" s="1133">
        <v>455</v>
      </c>
      <c r="C705" s="883">
        <v>0.99844153144895798</v>
      </c>
      <c r="D705" s="883">
        <v>1.0430840705619497</v>
      </c>
      <c r="E705" s="883">
        <v>0.97771034152576419</v>
      </c>
      <c r="F705" s="883">
        <v>1.0198819562232053</v>
      </c>
      <c r="G705" s="883">
        <v>0.98116372484876357</v>
      </c>
      <c r="H705" s="883">
        <v>1.010089825467535</v>
      </c>
      <c r="I705" s="883">
        <v>1.0341467821281882</v>
      </c>
      <c r="K705">
        <v>6.7499045110271565</v>
      </c>
      <c r="L705">
        <v>0</v>
      </c>
      <c r="M705">
        <v>1.0558759463610625E-2</v>
      </c>
      <c r="N705">
        <v>0.19045614784669787</v>
      </c>
      <c r="O705">
        <v>0.12053836240348373</v>
      </c>
      <c r="P705">
        <v>8.1926357769762578E-2</v>
      </c>
      <c r="Q705">
        <v>0</v>
      </c>
      <c r="R705">
        <v>1.0558759463610625E-2</v>
      </c>
      <c r="S705">
        <v>0.28015788248812279</v>
      </c>
      <c r="T705">
        <v>5.9144465778686808</v>
      </c>
      <c r="U705">
        <v>0</v>
      </c>
      <c r="V705">
        <v>1.9163603099712968E-2</v>
      </c>
      <c r="W705">
        <v>0.10136385446446507</v>
      </c>
      <c r="X705">
        <v>-1.6273669957953371E-3</v>
      </c>
      <c r="Y705">
        <v>4.3479092082024683E-2</v>
      </c>
    </row>
    <row r="706" spans="1:25" x14ac:dyDescent="0.25">
      <c r="A706" s="879"/>
      <c r="B706" s="1133">
        <v>456</v>
      </c>
      <c r="C706" s="883">
        <v>1.0282049340307389</v>
      </c>
      <c r="D706" s="883">
        <v>0.9938285704390647</v>
      </c>
      <c r="E706" s="883">
        <v>0.97737594517553428</v>
      </c>
      <c r="F706" s="883">
        <v>0.98200123197192701</v>
      </c>
      <c r="G706" s="883">
        <v>1.0182543611207464</v>
      </c>
      <c r="H706" s="883">
        <v>1.0202228518763887</v>
      </c>
      <c r="I706" s="883">
        <v>1.0000305871772561</v>
      </c>
      <c r="K706">
        <v>6.7307689388775582</v>
      </c>
      <c r="L706">
        <v>0</v>
      </c>
      <c r="M706">
        <v>1.0575706158002258E-2</v>
      </c>
      <c r="N706">
        <v>0.19066719012331032</v>
      </c>
      <c r="O706">
        <v>0.11934201756942556</v>
      </c>
      <c r="P706">
        <v>8.1669914103473892E-2</v>
      </c>
      <c r="Q706">
        <v>0</v>
      </c>
      <c r="R706">
        <v>1.0575706158002258E-2</v>
      </c>
      <c r="S706">
        <v>0.26447148152961275</v>
      </c>
      <c r="T706">
        <v>5.9124170450964586</v>
      </c>
      <c r="U706">
        <v>0</v>
      </c>
      <c r="V706">
        <v>1.9005548806018045E-2</v>
      </c>
      <c r="W706">
        <v>0.1014931838104404</v>
      </c>
      <c r="X706">
        <v>-1.8463177143149333E-3</v>
      </c>
      <c r="Y706">
        <v>4.3548875553130272E-2</v>
      </c>
    </row>
    <row r="707" spans="1:25" x14ac:dyDescent="0.25">
      <c r="A707" s="879"/>
      <c r="B707" s="1133">
        <v>457</v>
      </c>
      <c r="C707" s="883">
        <v>1.0050026257205691</v>
      </c>
      <c r="D707" s="883">
        <v>0.98921305457695996</v>
      </c>
      <c r="E707" s="883">
        <v>1.0363378122244535</v>
      </c>
      <c r="F707" s="883">
        <v>1.00867866032141</v>
      </c>
      <c r="G707" s="883">
        <v>0.98216874180511038</v>
      </c>
      <c r="H707" s="883">
        <v>0.98547645475503254</v>
      </c>
      <c r="I707" s="883">
        <v>0.98956908090293538</v>
      </c>
      <c r="K707">
        <v>6.7379658579404778</v>
      </c>
      <c r="L707">
        <v>0</v>
      </c>
      <c r="M707">
        <v>9.9461169312873472E-3</v>
      </c>
      <c r="N707">
        <v>0.19567573469999816</v>
      </c>
      <c r="O707">
        <v>0.12121708704609206</v>
      </c>
      <c r="P707">
        <v>8.5346703550703826E-2</v>
      </c>
      <c r="Q707">
        <v>0</v>
      </c>
      <c r="R707">
        <v>9.9461169312873472E-3</v>
      </c>
      <c r="S707">
        <v>0.26465721098543304</v>
      </c>
      <c r="T707">
        <v>5.9105231183154183</v>
      </c>
      <c r="U707">
        <v>0</v>
      </c>
      <c r="V707">
        <v>1.9127956961663025E-2</v>
      </c>
      <c r="W707">
        <v>0.10116165368356307</v>
      </c>
      <c r="X707">
        <v>-6.9994648261903752E-4</v>
      </c>
      <c r="Y707">
        <v>4.0956339180223116E-2</v>
      </c>
    </row>
    <row r="708" spans="1:25" x14ac:dyDescent="0.25">
      <c r="A708" s="879"/>
      <c r="B708" s="1133">
        <v>458</v>
      </c>
      <c r="C708" s="883">
        <v>0.98186637053928016</v>
      </c>
      <c r="D708" s="883">
        <v>0.97823729406989446</v>
      </c>
      <c r="E708" s="883">
        <v>1.0053912026572698</v>
      </c>
      <c r="F708" s="883">
        <v>0.98705820242121434</v>
      </c>
      <c r="G708" s="883">
        <v>0.96719821380925153</v>
      </c>
      <c r="H708" s="883">
        <v>0.97545989692316137</v>
      </c>
      <c r="I708" s="883">
        <v>1.0158361565971874</v>
      </c>
      <c r="K708">
        <v>6.755948066699716</v>
      </c>
      <c r="L708">
        <v>0</v>
      </c>
      <c r="M708">
        <v>1.0403403491740133E-2</v>
      </c>
      <c r="N708">
        <v>0.19551430885212906</v>
      </c>
      <c r="O708">
        <v>0.12523010581401173</v>
      </c>
      <c r="P708">
        <v>8.3587443750846299E-2</v>
      </c>
      <c r="Q708">
        <v>0</v>
      </c>
      <c r="R708">
        <v>1.0403403491740133E-2</v>
      </c>
      <c r="S708">
        <v>0.27715674376085825</v>
      </c>
      <c r="T708">
        <v>5.91112977673078</v>
      </c>
      <c r="U708">
        <v>0</v>
      </c>
      <c r="V708">
        <v>1.925577717109762E-2</v>
      </c>
      <c r="W708">
        <v>0.10263030730893062</v>
      </c>
      <c r="X708">
        <v>-1.3957605311347198E-3</v>
      </c>
      <c r="Y708">
        <v>4.2839363842194174E-2</v>
      </c>
    </row>
    <row r="709" spans="1:25" x14ac:dyDescent="0.25">
      <c r="A709" s="879"/>
      <c r="B709" s="1133">
        <v>459</v>
      </c>
      <c r="C709" s="883">
        <v>0.98228355631801267</v>
      </c>
      <c r="D709" s="883">
        <v>0.98649392555525939</v>
      </c>
      <c r="E709" s="883">
        <v>0.99223869150136568</v>
      </c>
      <c r="F709" s="883">
        <v>0.97302426814174803</v>
      </c>
      <c r="G709" s="883">
        <v>0.9805339707522458</v>
      </c>
      <c r="H709" s="883">
        <v>1.0022254453513442</v>
      </c>
      <c r="I709" s="883">
        <v>0.95953092557938202</v>
      </c>
      <c r="K709">
        <v>6.7471874686315312</v>
      </c>
      <c r="L709">
        <v>0</v>
      </c>
      <c r="M709">
        <v>1.0768908299788398E-2</v>
      </c>
      <c r="N709">
        <v>0.19847770245884189</v>
      </c>
      <c r="O709">
        <v>0.12500892385283763</v>
      </c>
      <c r="P709">
        <v>8.2585304649772012E-2</v>
      </c>
      <c r="Q709">
        <v>0</v>
      </c>
      <c r="R709">
        <v>1.0768908299788398E-2</v>
      </c>
      <c r="S709">
        <v>0.26406254966148113</v>
      </c>
      <c r="T709">
        <v>5.9111094000295159</v>
      </c>
      <c r="U709">
        <v>0</v>
      </c>
      <c r="V709">
        <v>1.9253419049058942E-2</v>
      </c>
      <c r="W709">
        <v>0.10486896634136572</v>
      </c>
      <c r="X709">
        <v>-2.523244995653171E-3</v>
      </c>
      <c r="Y709">
        <v>4.4344447584306321E-2</v>
      </c>
    </row>
    <row r="710" spans="1:25" x14ac:dyDescent="0.25">
      <c r="A710" s="879"/>
      <c r="B710" s="1133">
        <v>460</v>
      </c>
      <c r="C710" s="883">
        <v>1.0010971549718388</v>
      </c>
      <c r="D710" s="883">
        <v>1.0049743064130741</v>
      </c>
      <c r="E710" s="883">
        <v>1.0027522455170186</v>
      </c>
      <c r="F710" s="883">
        <v>0.99554111746889951</v>
      </c>
      <c r="G710" s="883">
        <v>0.98146327724224725</v>
      </c>
      <c r="H710" s="883">
        <v>1.0038825242826994</v>
      </c>
      <c r="I710" s="883">
        <v>1.0086399302889042</v>
      </c>
      <c r="K710">
        <v>6.7465146072791518</v>
      </c>
      <c r="L710">
        <v>0</v>
      </c>
      <c r="M710">
        <v>1.0404211628306499E-2</v>
      </c>
      <c r="N710">
        <v>0.1947667828595</v>
      </c>
      <c r="O710">
        <v>0.12155620194185129</v>
      </c>
      <c r="P710">
        <v>8.3363646016164444E-2</v>
      </c>
      <c r="Q710">
        <v>0</v>
      </c>
      <c r="R710">
        <v>1.0404211628306499E-2</v>
      </c>
      <c r="S710">
        <v>0.27234505971973511</v>
      </c>
      <c r="T710">
        <v>5.9117370706483889</v>
      </c>
      <c r="U710">
        <v>0</v>
      </c>
      <c r="V710">
        <v>1.9149118927395164E-2</v>
      </c>
      <c r="W710">
        <v>0.10237176975420219</v>
      </c>
      <c r="X710">
        <v>-1.6177341928185745E-3</v>
      </c>
      <c r="Y710">
        <v>4.284269160473151E-2</v>
      </c>
    </row>
    <row r="711" spans="1:25" x14ac:dyDescent="0.25">
      <c r="A711" s="879"/>
      <c r="B711" s="1133">
        <v>461</v>
      </c>
      <c r="C711" s="883">
        <v>0.98749527641386992</v>
      </c>
      <c r="D711" s="883">
        <v>1.0276069667207062</v>
      </c>
      <c r="E711" s="883">
        <v>1.0180329797474648</v>
      </c>
      <c r="F711" s="883">
        <v>1.0169719322138182</v>
      </c>
      <c r="G711" s="883">
        <v>1.0090813872286071</v>
      </c>
      <c r="H711" s="883">
        <v>0.9822128551978464</v>
      </c>
      <c r="I711" s="883">
        <v>0.99391878187331129</v>
      </c>
      <c r="K711">
        <v>6.741902748285451</v>
      </c>
      <c r="L711">
        <v>0</v>
      </c>
      <c r="M711">
        <v>1.0086234973925575E-2</v>
      </c>
      <c r="N711">
        <v>0.19313404909437507</v>
      </c>
      <c r="O711">
        <v>0.12184937035788222</v>
      </c>
      <c r="P711">
        <v>8.4293858861999638E-2</v>
      </c>
      <c r="Q711">
        <v>0</v>
      </c>
      <c r="R711">
        <v>1.0086234973925575E-2</v>
      </c>
      <c r="S711">
        <v>0.2698425948042189</v>
      </c>
      <c r="T711">
        <v>5.9120274255603897</v>
      </c>
      <c r="U711">
        <v>0</v>
      </c>
      <c r="V711">
        <v>1.9224127979960141E-2</v>
      </c>
      <c r="W711">
        <v>0.10074935942158209</v>
      </c>
      <c r="X711">
        <v>-7.5135813468334871E-4</v>
      </c>
      <c r="Y711">
        <v>4.1533320339725469E-2</v>
      </c>
    </row>
    <row r="712" spans="1:25" x14ac:dyDescent="0.25">
      <c r="A712" s="879"/>
      <c r="B712" s="1133">
        <v>462</v>
      </c>
      <c r="C712" s="883">
        <v>0.99863197459454434</v>
      </c>
      <c r="D712" s="883">
        <v>1.0321314841938896</v>
      </c>
      <c r="E712" s="883">
        <v>1.0081617869245627</v>
      </c>
      <c r="F712" s="883">
        <v>0.96857216876241703</v>
      </c>
      <c r="G712" s="883">
        <v>0.96947889942196996</v>
      </c>
      <c r="H712" s="883">
        <v>1.0095631310713815</v>
      </c>
      <c r="I712" s="883">
        <v>0.98714904424518068</v>
      </c>
      <c r="K712">
        <v>6.7385094020333627</v>
      </c>
      <c r="L712">
        <v>0</v>
      </c>
      <c r="M712">
        <v>1.0320969385759819E-2</v>
      </c>
      <c r="N712">
        <v>0.19476247802992519</v>
      </c>
      <c r="O712">
        <v>0.12046300424946002</v>
      </c>
      <c r="P712">
        <v>8.3614260294764514E-2</v>
      </c>
      <c r="Q712">
        <v>0</v>
      </c>
      <c r="R712">
        <v>1.0320969385759819E-2</v>
      </c>
      <c r="S712">
        <v>0.26747660915496096</v>
      </c>
      <c r="T712">
        <v>5.9099741561139814</v>
      </c>
      <c r="U712">
        <v>0</v>
      </c>
      <c r="V712">
        <v>1.9162561829890512E-2</v>
      </c>
      <c r="W712">
        <v>0.10209546501886724</v>
      </c>
      <c r="X712">
        <v>-1.5390475249828404E-3</v>
      </c>
      <c r="Y712">
        <v>4.2499914866491115E-2</v>
      </c>
    </row>
    <row r="713" spans="1:25" x14ac:dyDescent="0.25">
      <c r="A713" s="879"/>
      <c r="B713" s="1133">
        <v>463</v>
      </c>
      <c r="C713" s="883">
        <v>0.97689855640162904</v>
      </c>
      <c r="D713" s="883">
        <v>1.034877930575276</v>
      </c>
      <c r="E713" s="883">
        <v>0.98523757618806984</v>
      </c>
      <c r="F713" s="883">
        <v>1.0139818663959759</v>
      </c>
      <c r="G713" s="883">
        <v>1.0488614910886227</v>
      </c>
      <c r="H713" s="883">
        <v>1.0175616380545924</v>
      </c>
      <c r="I713" s="883">
        <v>1.0251265386216275</v>
      </c>
      <c r="K713">
        <v>6.7680469804734473</v>
      </c>
      <c r="L713">
        <v>0</v>
      </c>
      <c r="M713">
        <v>1.083687284348233E-2</v>
      </c>
      <c r="N713">
        <v>0.19766771843479278</v>
      </c>
      <c r="O713">
        <v>0.12344521886229684</v>
      </c>
      <c r="P713">
        <v>8.2452919886032858E-2</v>
      </c>
      <c r="Q713">
        <v>0</v>
      </c>
      <c r="R713">
        <v>1.083687284348233E-2</v>
      </c>
      <c r="S713">
        <v>0.28465818219884548</v>
      </c>
      <c r="T713">
        <v>5.9137122797152308</v>
      </c>
      <c r="U713">
        <v>0</v>
      </c>
      <c r="V713">
        <v>1.9284012283877466E-2</v>
      </c>
      <c r="W713">
        <v>0.10480645137836915</v>
      </c>
      <c r="X713">
        <v>-2.6041157639964661E-3</v>
      </c>
      <c r="Y713">
        <v>4.4624313478000117E-2</v>
      </c>
    </row>
    <row r="714" spans="1:25" x14ac:dyDescent="0.25">
      <c r="A714" s="879"/>
      <c r="B714" s="1133">
        <v>464</v>
      </c>
      <c r="C714" s="883">
        <v>0.99088533209847673</v>
      </c>
      <c r="D714" s="883">
        <v>1.033926165384379</v>
      </c>
      <c r="E714" s="883">
        <v>0.97711928297449391</v>
      </c>
      <c r="F714" s="883">
        <v>0.98470374377604941</v>
      </c>
      <c r="G714" s="883">
        <v>0.99977597227264647</v>
      </c>
      <c r="H714" s="883">
        <v>0.99576671019420659</v>
      </c>
      <c r="I714" s="883">
        <v>0.99679863037878669</v>
      </c>
      <c r="K714">
        <v>6.739058404281832</v>
      </c>
      <c r="L714">
        <v>0</v>
      </c>
      <c r="M714">
        <v>1.0533470078155626E-2</v>
      </c>
      <c r="N714">
        <v>0.18983340674931296</v>
      </c>
      <c r="O714">
        <v>0.12189764254486855</v>
      </c>
      <c r="P714">
        <v>8.1742370263005945E-2</v>
      </c>
      <c r="Q714">
        <v>0</v>
      </c>
      <c r="R714">
        <v>1.0533470078155626E-2</v>
      </c>
      <c r="S714">
        <v>0.27084285424139198</v>
      </c>
      <c r="T714">
        <v>5.9125772429203494</v>
      </c>
      <c r="U714">
        <v>0</v>
      </c>
      <c r="V714">
        <v>1.9205240481308342E-2</v>
      </c>
      <c r="W714">
        <v>0.10106235802253788</v>
      </c>
      <c r="X714">
        <v>-1.4776658350054003E-3</v>
      </c>
      <c r="Y714">
        <v>4.3374954894063809E-2</v>
      </c>
    </row>
    <row r="715" spans="1:25" x14ac:dyDescent="0.25">
      <c r="A715" s="879"/>
      <c r="B715" s="1133">
        <v>465</v>
      </c>
      <c r="C715" s="883">
        <v>0.98921608471633926</v>
      </c>
      <c r="D715" s="883">
        <v>1.0381439625292228</v>
      </c>
      <c r="E715" s="883">
        <v>0.96603576329433516</v>
      </c>
      <c r="F715" s="883">
        <v>0.97772069281105811</v>
      </c>
      <c r="G715" s="883">
        <v>0.99430674907006111</v>
      </c>
      <c r="H715" s="883">
        <v>0.98639740437607326</v>
      </c>
      <c r="I715" s="883">
        <v>1.0078149457608929</v>
      </c>
      <c r="K715">
        <v>6.7374862020622537</v>
      </c>
      <c r="L715">
        <v>0</v>
      </c>
      <c r="M715">
        <v>1.0534975117410869E-2</v>
      </c>
      <c r="N715">
        <v>0.18676200002957161</v>
      </c>
      <c r="O715">
        <v>0.12210862071206913</v>
      </c>
      <c r="P715">
        <v>8.1079143045360597E-2</v>
      </c>
      <c r="Q715">
        <v>0</v>
      </c>
      <c r="R715">
        <v>1.0534975117410869E-2</v>
      </c>
      <c r="S715">
        <v>0.27335671679609119</v>
      </c>
      <c r="T715">
        <v>5.9128047508800172</v>
      </c>
      <c r="U715">
        <v>0</v>
      </c>
      <c r="V715">
        <v>1.9214524418116299E-2</v>
      </c>
      <c r="W715">
        <v>9.9982453646040415E-2</v>
      </c>
      <c r="X715">
        <v>-1.2031598428459702E-3</v>
      </c>
      <c r="Y715">
        <v>4.3381152377829899E-2</v>
      </c>
    </row>
    <row r="716" spans="1:25" x14ac:dyDescent="0.25">
      <c r="A716" s="879"/>
      <c r="B716" s="1133">
        <v>466</v>
      </c>
      <c r="C716" s="883">
        <v>1.001525008343676</v>
      </c>
      <c r="D716" s="883">
        <v>0.98464132511982827</v>
      </c>
      <c r="E716" s="883">
        <v>0.98093912338937639</v>
      </c>
      <c r="F716" s="883">
        <v>0.98152933214182503</v>
      </c>
      <c r="G716" s="883">
        <v>1.0280643605571058</v>
      </c>
      <c r="H716" s="883">
        <v>1.0289105992327754</v>
      </c>
      <c r="I716" s="883">
        <v>0.99869801900135147</v>
      </c>
      <c r="K716">
        <v>6.7545915593753474</v>
      </c>
      <c r="L716">
        <v>0</v>
      </c>
      <c r="M716">
        <v>1.0959466568174545E-2</v>
      </c>
      <c r="N716">
        <v>0.19863331837865714</v>
      </c>
      <c r="O716">
        <v>0.12291080657432767</v>
      </c>
      <c r="P716">
        <v>8.1993702550876985E-2</v>
      </c>
      <c r="Q716">
        <v>0</v>
      </c>
      <c r="R716">
        <v>1.0959466568174545E-2</v>
      </c>
      <c r="S716">
        <v>0.27208611332342936</v>
      </c>
      <c r="T716">
        <v>5.9121954915098369</v>
      </c>
      <c r="U716">
        <v>0</v>
      </c>
      <c r="V716">
        <v>1.9146792534972836E-2</v>
      </c>
      <c r="W716">
        <v>0.10554505929518854</v>
      </c>
      <c r="X716">
        <v>-3.048857407359341E-3</v>
      </c>
      <c r="Y716">
        <v>4.5129132615413105E-2</v>
      </c>
    </row>
    <row r="717" spans="1:25" x14ac:dyDescent="0.25">
      <c r="A717" s="879"/>
      <c r="B717" s="1133">
        <v>467</v>
      </c>
      <c r="C717" s="883">
        <v>1.0003269654390683</v>
      </c>
      <c r="D717" s="883">
        <v>0.97416264709965406</v>
      </c>
      <c r="E717" s="883">
        <v>0.95854134002484614</v>
      </c>
      <c r="F717" s="883">
        <v>0.9776479751892535</v>
      </c>
      <c r="G717" s="883">
        <v>0.98897589841087363</v>
      </c>
      <c r="H717" s="883">
        <v>1.0032748643081297</v>
      </c>
      <c r="I717" s="883">
        <v>0.98946678711819303</v>
      </c>
      <c r="K717">
        <v>6.7425554405280685</v>
      </c>
      <c r="L717">
        <v>0</v>
      </c>
      <c r="M717">
        <v>1.0960046757566675E-2</v>
      </c>
      <c r="N717">
        <v>0.19214628632838618</v>
      </c>
      <c r="O717">
        <v>0.12400348376663745</v>
      </c>
      <c r="P717">
        <v>8.0534873168414595E-2</v>
      </c>
      <c r="Q717">
        <v>0</v>
      </c>
      <c r="R717">
        <v>1.0960046757566675E-2</v>
      </c>
      <c r="S717">
        <v>0.26756333233840901</v>
      </c>
      <c r="T717">
        <v>5.9132059812017799</v>
      </c>
      <c r="U717">
        <v>0</v>
      </c>
      <c r="V717">
        <v>1.9153311739976021E-2</v>
      </c>
      <c r="W717">
        <v>0.10325445996951901</v>
      </c>
      <c r="X717">
        <v>-2.4378097171153454E-3</v>
      </c>
      <c r="Y717">
        <v>4.5131521732060038E-2</v>
      </c>
    </row>
    <row r="718" spans="1:25" x14ac:dyDescent="0.25">
      <c r="A718" s="879"/>
      <c r="B718" s="1133">
        <v>468</v>
      </c>
      <c r="C718" s="883">
        <v>1.0041552844521144</v>
      </c>
      <c r="D718" s="883">
        <v>1.0005252264936304</v>
      </c>
      <c r="E718" s="883">
        <v>1.015199945464381</v>
      </c>
      <c r="F718" s="883">
        <v>1.0066184367327906</v>
      </c>
      <c r="G718" s="883">
        <v>1.0286631761280094</v>
      </c>
      <c r="H718" s="883">
        <v>0.98469848955855022</v>
      </c>
      <c r="I718" s="883">
        <v>1.0330179666292809</v>
      </c>
      <c r="K718">
        <v>6.7459469717851004</v>
      </c>
      <c r="L718">
        <v>0</v>
      </c>
      <c r="M718">
        <v>1.0083309030001261E-2</v>
      </c>
      <c r="N718">
        <v>0.19227034713376628</v>
      </c>
      <c r="O718">
        <v>0.12116802811144059</v>
      </c>
      <c r="P718">
        <v>8.4196916899661786E-2</v>
      </c>
      <c r="Q718">
        <v>0</v>
      </c>
      <c r="R718">
        <v>1.0083309030001261E-2</v>
      </c>
      <c r="S718">
        <v>0.27628596817717316</v>
      </c>
      <c r="T718">
        <v>5.9116298854386669</v>
      </c>
      <c r="U718">
        <v>0</v>
      </c>
      <c r="V718">
        <v>1.9132534334889262E-2</v>
      </c>
      <c r="W718">
        <v>0.10043906676323536</v>
      </c>
      <c r="X718">
        <v>-6.9704689717945128E-4</v>
      </c>
      <c r="Y718">
        <v>4.1521271823443749E-2</v>
      </c>
    </row>
    <row r="719" spans="1:25" x14ac:dyDescent="0.25">
      <c r="A719" s="879"/>
      <c r="B719" s="1133">
        <v>469</v>
      </c>
      <c r="C719" s="883">
        <v>0.9999233307884795</v>
      </c>
      <c r="D719" s="883">
        <v>0.99691530981283816</v>
      </c>
      <c r="E719" s="883">
        <v>1.0073111519844478</v>
      </c>
      <c r="F719" s="883">
        <v>0.98420161155041341</v>
      </c>
      <c r="G719" s="883">
        <v>0.98425185998066633</v>
      </c>
      <c r="H719" s="883">
        <v>0.95971317888200747</v>
      </c>
      <c r="I719" s="883">
        <v>0.98598977771367424</v>
      </c>
      <c r="K719">
        <v>6.7249503898682148</v>
      </c>
      <c r="L719">
        <v>0</v>
      </c>
      <c r="M719">
        <v>9.9527794061280515E-3</v>
      </c>
      <c r="N719">
        <v>0.18757812732499121</v>
      </c>
      <c r="O719">
        <v>0.1220057214928076</v>
      </c>
      <c r="P719">
        <v>8.3506024313447641E-2</v>
      </c>
      <c r="Q719">
        <v>0</v>
      </c>
      <c r="R719">
        <v>9.9527794061280515E-3</v>
      </c>
      <c r="S719">
        <v>0.26251876975639843</v>
      </c>
      <c r="T719">
        <v>5.910866862308632</v>
      </c>
      <c r="U719">
        <v>0</v>
      </c>
      <c r="V719">
        <v>1.9155511654490087E-2</v>
      </c>
      <c r="W719">
        <v>9.8370809736855483E-2</v>
      </c>
      <c r="X719">
        <v>-3.5210785158442348E-5</v>
      </c>
      <c r="Y719">
        <v>4.0983774065740823E-2</v>
      </c>
    </row>
    <row r="720" spans="1:25" x14ac:dyDescent="0.25">
      <c r="A720" s="879"/>
      <c r="B720" s="1133">
        <v>470</v>
      </c>
      <c r="C720" s="883">
        <v>0.98623415290951244</v>
      </c>
      <c r="D720" s="883">
        <v>0.98382208271129556</v>
      </c>
      <c r="E720" s="883">
        <v>1.0038444126164583</v>
      </c>
      <c r="F720" s="883">
        <v>1.0006928594471609</v>
      </c>
      <c r="G720" s="883">
        <v>1.018369404716456</v>
      </c>
      <c r="H720" s="883">
        <v>1.0013546410347161</v>
      </c>
      <c r="I720" s="883">
        <v>1.0258323053230551</v>
      </c>
      <c r="K720">
        <v>6.7655804354565872</v>
      </c>
      <c r="L720">
        <v>0</v>
      </c>
      <c r="M720">
        <v>1.0620713432625675E-2</v>
      </c>
      <c r="N720">
        <v>0.19914157240742639</v>
      </c>
      <c r="O720">
        <v>0.12442156326111943</v>
      </c>
      <c r="P720">
        <v>8.3554485848995219E-2</v>
      </c>
      <c r="Q720">
        <v>0</v>
      </c>
      <c r="R720">
        <v>1.0620713432625675E-2</v>
      </c>
      <c r="S720">
        <v>0.28114222980122822</v>
      </c>
      <c r="T720">
        <v>5.9119538929301871</v>
      </c>
      <c r="U720">
        <v>0</v>
      </c>
      <c r="V720">
        <v>1.9231187393054617E-2</v>
      </c>
      <c r="W720">
        <v>0.10461452929764578</v>
      </c>
      <c r="X720">
        <v>-2.2132329821044731E-3</v>
      </c>
      <c r="Y720">
        <v>4.373420749903327E-2</v>
      </c>
    </row>
    <row r="721" spans="1:25" x14ac:dyDescent="0.25">
      <c r="A721" s="879"/>
      <c r="B721" s="1133">
        <v>471</v>
      </c>
      <c r="C721" s="883">
        <v>0.99860272816144202</v>
      </c>
      <c r="D721" s="883">
        <v>1.0041428394211032</v>
      </c>
      <c r="E721" s="883">
        <v>0.99549399222878743</v>
      </c>
      <c r="F721" s="883">
        <v>0.96371825170283798</v>
      </c>
      <c r="G721" s="883">
        <v>0.99743057129700363</v>
      </c>
      <c r="H721" s="883">
        <v>0.98374947321736961</v>
      </c>
      <c r="I721" s="883">
        <v>0.99093743521152045</v>
      </c>
      <c r="K721">
        <v>6.7332189198605494</v>
      </c>
      <c r="L721">
        <v>0</v>
      </c>
      <c r="M721">
        <v>1.0289674096305009E-2</v>
      </c>
      <c r="N721">
        <v>0.19056233900471548</v>
      </c>
      <c r="O721">
        <v>0.12203611353079041</v>
      </c>
      <c r="P721">
        <v>8.2809988174765578E-2</v>
      </c>
      <c r="Q721">
        <v>0</v>
      </c>
      <c r="R721">
        <v>1.0289674096305009E-2</v>
      </c>
      <c r="S721">
        <v>0.26634947442360085</v>
      </c>
      <c r="T721">
        <v>5.9104246822032316</v>
      </c>
      <c r="U721">
        <v>0</v>
      </c>
      <c r="V721">
        <v>1.9162721712317591E-2</v>
      </c>
      <c r="W721">
        <v>0.10052369772996445</v>
      </c>
      <c r="X721">
        <v>-1.0211433537030562E-3</v>
      </c>
      <c r="Y721">
        <v>4.2371046434870073E-2</v>
      </c>
    </row>
    <row r="722" spans="1:25" x14ac:dyDescent="0.25">
      <c r="A722" s="879"/>
      <c r="B722" s="1133">
        <v>472</v>
      </c>
      <c r="C722" s="883">
        <v>0.97749221164915023</v>
      </c>
      <c r="D722" s="883">
        <v>1.0253809019422151</v>
      </c>
      <c r="E722" s="883">
        <v>1.0081032437634156</v>
      </c>
      <c r="F722" s="883">
        <v>0.9955021898115447</v>
      </c>
      <c r="G722" s="883">
        <v>1.0251799348577098</v>
      </c>
      <c r="H722" s="883">
        <v>0.98762642962070712</v>
      </c>
      <c r="I722" s="883">
        <v>1.0035832031102478</v>
      </c>
      <c r="K722">
        <v>6.7523637966475532</v>
      </c>
      <c r="L722">
        <v>0</v>
      </c>
      <c r="M722">
        <v>1.0344593310938387E-2</v>
      </c>
      <c r="N722">
        <v>0.1951913551348049</v>
      </c>
      <c r="O722">
        <v>0.12339276599369914</v>
      </c>
      <c r="P722">
        <v>8.3743671356283939E-2</v>
      </c>
      <c r="Q722">
        <v>0</v>
      </c>
      <c r="R722">
        <v>1.0344593310938387E-2</v>
      </c>
      <c r="S722">
        <v>0.27577476688395569</v>
      </c>
      <c r="T722">
        <v>5.9114326550855409</v>
      </c>
      <c r="U722">
        <v>0</v>
      </c>
      <c r="V722">
        <v>1.9280623080906518E-2</v>
      </c>
      <c r="W722">
        <v>0.10232324963000551</v>
      </c>
      <c r="X722">
        <v>-1.3724845031200131E-3</v>
      </c>
      <c r="Y722">
        <v>4.2597193985474534E-2</v>
      </c>
    </row>
    <row r="723" spans="1:25" x14ac:dyDescent="0.25">
      <c r="A723" s="879"/>
      <c r="B723" s="1133">
        <v>473</v>
      </c>
      <c r="C723" s="883">
        <v>1.023449057626169</v>
      </c>
      <c r="D723" s="883">
        <v>0.99459869670322332</v>
      </c>
      <c r="E723" s="883">
        <v>0.99976543134134155</v>
      </c>
      <c r="F723" s="883">
        <v>1.0031844632981264</v>
      </c>
      <c r="G723" s="883">
        <v>0.99132978000527461</v>
      </c>
      <c r="H723" s="883">
        <v>0.98914250742910714</v>
      </c>
      <c r="I723" s="883">
        <v>1.0229848778140314</v>
      </c>
      <c r="K723">
        <v>6.7311305356219249</v>
      </c>
      <c r="L723">
        <v>0</v>
      </c>
      <c r="M723">
        <v>1.0098547704255346E-2</v>
      </c>
      <c r="N723">
        <v>0.18821017557126515</v>
      </c>
      <c r="O723">
        <v>0.1194508877626537</v>
      </c>
      <c r="P723">
        <v>8.3135886470801001E-2</v>
      </c>
      <c r="Q723">
        <v>0</v>
      </c>
      <c r="R723">
        <v>1.0098547704255346E-2</v>
      </c>
      <c r="S723">
        <v>0.26889413515675814</v>
      </c>
      <c r="T723">
        <v>5.9123181934633804</v>
      </c>
      <c r="U723">
        <v>0</v>
      </c>
      <c r="V723">
        <v>1.9030187103050142E-2</v>
      </c>
      <c r="W723">
        <v>9.9072312707803339E-2</v>
      </c>
      <c r="X723">
        <v>-5.6526458542769428E-4</v>
      </c>
      <c r="Y723">
        <v>4.1584021971639157E-2</v>
      </c>
    </row>
    <row r="724" spans="1:25" x14ac:dyDescent="0.25">
      <c r="A724" s="879"/>
      <c r="B724" s="1133">
        <v>474</v>
      </c>
      <c r="C724" s="883">
        <v>0.96268578311080422</v>
      </c>
      <c r="D724" s="883">
        <v>0.98106855378158719</v>
      </c>
      <c r="E724" s="883">
        <v>0.98803777640840096</v>
      </c>
      <c r="F724" s="883">
        <v>1.0272830269964122</v>
      </c>
      <c r="G724" s="883">
        <v>0.95804516415044128</v>
      </c>
      <c r="H724" s="883">
        <v>0.97667835682119808</v>
      </c>
      <c r="I724" s="883">
        <v>1.0337528820454787</v>
      </c>
      <c r="K724">
        <v>6.7760117655373806</v>
      </c>
      <c r="L724">
        <v>0</v>
      </c>
      <c r="M724">
        <v>1.0772801536751402E-2</v>
      </c>
      <c r="N724">
        <v>0.19731670873008222</v>
      </c>
      <c r="O724">
        <v>0.12791747313746005</v>
      </c>
      <c r="P724">
        <v>8.2678957573114775E-2</v>
      </c>
      <c r="Q724">
        <v>0</v>
      </c>
      <c r="R724">
        <v>1.0772801536751402E-2</v>
      </c>
      <c r="S724">
        <v>0.28772744497449931</v>
      </c>
      <c r="T724">
        <v>5.9142759296122298</v>
      </c>
      <c r="U724">
        <v>0</v>
      </c>
      <c r="V724">
        <v>1.9366401589675064E-2</v>
      </c>
      <c r="W724">
        <v>0.10447415343057662</v>
      </c>
      <c r="X724">
        <v>-2.1057827514123222E-3</v>
      </c>
      <c r="Y724">
        <v>4.4360479241149622E-2</v>
      </c>
    </row>
    <row r="725" spans="1:25" x14ac:dyDescent="0.25">
      <c r="A725" s="879"/>
      <c r="B725" s="1133">
        <v>475</v>
      </c>
      <c r="C725" s="883">
        <v>1.0031422771250635</v>
      </c>
      <c r="D725" s="883">
        <v>1.0071815588875772</v>
      </c>
      <c r="E725" s="883">
        <v>0.98491654624913438</v>
      </c>
      <c r="F725" s="883">
        <v>1.0030271962204822</v>
      </c>
      <c r="G725" s="883">
        <v>1.0288687351640895</v>
      </c>
      <c r="H725" s="883">
        <v>1.0196468925728304</v>
      </c>
      <c r="I725" s="883">
        <v>1.0065341107836683</v>
      </c>
      <c r="K725">
        <v>6.7490744601128956</v>
      </c>
      <c r="L725">
        <v>0</v>
      </c>
      <c r="M725">
        <v>1.070147892531848E-2</v>
      </c>
      <c r="N725">
        <v>0.19510517710593112</v>
      </c>
      <c r="O725">
        <v>0.12153321091394509</v>
      </c>
      <c r="P725">
        <v>8.226415889893815E-2</v>
      </c>
      <c r="Q725">
        <v>0</v>
      </c>
      <c r="R725">
        <v>1.070147892531848E-2</v>
      </c>
      <c r="S725">
        <v>0.27265595326574332</v>
      </c>
      <c r="T725">
        <v>5.9131378965456056</v>
      </c>
      <c r="U725">
        <v>0</v>
      </c>
      <c r="V725">
        <v>1.9138016791654226E-2</v>
      </c>
      <c r="W725">
        <v>0.10346434806696531</v>
      </c>
      <c r="X725">
        <v>-2.2910868981144525E-3</v>
      </c>
      <c r="Y725">
        <v>4.4066785422220436E-2</v>
      </c>
    </row>
    <row r="726" spans="1:25" x14ac:dyDescent="0.25">
      <c r="A726" s="879"/>
      <c r="B726" s="1133">
        <v>476</v>
      </c>
      <c r="C726" s="883">
        <v>1.0293914115407299</v>
      </c>
      <c r="D726" s="883">
        <v>0.99675927343383575</v>
      </c>
      <c r="E726" s="883">
        <v>1.0089383114955648</v>
      </c>
      <c r="F726" s="883">
        <v>1.0090820575571617</v>
      </c>
      <c r="G726" s="883">
        <v>0.95940390225269478</v>
      </c>
      <c r="H726" s="883">
        <v>0.98860501815781099</v>
      </c>
      <c r="I726" s="883">
        <v>0.96693919574060017</v>
      </c>
      <c r="K726">
        <v>6.7127085122981827</v>
      </c>
      <c r="L726">
        <v>0</v>
      </c>
      <c r="M726">
        <v>9.9454204486090457E-3</v>
      </c>
      <c r="N726">
        <v>0.18789154983582637</v>
      </c>
      <c r="O726">
        <v>0.11849074563260976</v>
      </c>
      <c r="P726">
        <v>8.3489570441907218E-2</v>
      </c>
      <c r="Q726">
        <v>0</v>
      </c>
      <c r="R726">
        <v>9.9454204486090457E-3</v>
      </c>
      <c r="S726">
        <v>0.25264255084828768</v>
      </c>
      <c r="T726">
        <v>5.9121191227213066</v>
      </c>
      <c r="U726">
        <v>0</v>
      </c>
      <c r="V726">
        <v>1.8999437622476814E-2</v>
      </c>
      <c r="W726">
        <v>9.8455845885261559E-2</v>
      </c>
      <c r="X726">
        <v>-3.3378187801248293E-4</v>
      </c>
      <c r="Y726">
        <v>4.0953471188523161E-2</v>
      </c>
    </row>
    <row r="727" spans="1:25" x14ac:dyDescent="0.25">
      <c r="A727" s="879"/>
      <c r="B727" s="1133">
        <v>477</v>
      </c>
      <c r="C727" s="883">
        <v>1.006088248822776</v>
      </c>
      <c r="D727" s="883">
        <v>0.98047856125727684</v>
      </c>
      <c r="E727" s="883">
        <v>1.0266787064127576</v>
      </c>
      <c r="F727" s="883">
        <v>1.0372717393102089</v>
      </c>
      <c r="G727" s="883">
        <v>1.0008022270586094</v>
      </c>
      <c r="H727" s="883">
        <v>0.9622757731616991</v>
      </c>
      <c r="I727" s="883">
        <v>1.0075917983737179</v>
      </c>
      <c r="K727">
        <v>6.7352251514855661</v>
      </c>
      <c r="L727">
        <v>0</v>
      </c>
      <c r="M727">
        <v>9.8212251861286883E-3</v>
      </c>
      <c r="N727">
        <v>0.19047978434101981</v>
      </c>
      <c r="O727">
        <v>0.12170064181450267</v>
      </c>
      <c r="P727">
        <v>8.4804175582471344E-2</v>
      </c>
      <c r="Q727">
        <v>0</v>
      </c>
      <c r="R727">
        <v>9.8212251861286883E-3</v>
      </c>
      <c r="S727">
        <v>0.26704798747594094</v>
      </c>
      <c r="T727">
        <v>5.9126273533247353</v>
      </c>
      <c r="U727">
        <v>0</v>
      </c>
      <c r="V727">
        <v>1.9122103647361943E-2</v>
      </c>
      <c r="W727">
        <v>9.8942876230493207E-2</v>
      </c>
      <c r="X727">
        <v>5.8171865476907741E-5</v>
      </c>
      <c r="Y727">
        <v>4.0442057203561706E-2</v>
      </c>
    </row>
    <row r="728" spans="1:25" x14ac:dyDescent="0.25">
      <c r="A728" s="879"/>
      <c r="B728" s="1133">
        <v>478</v>
      </c>
      <c r="C728" s="883">
        <v>0.98016217012823315</v>
      </c>
      <c r="D728" s="883">
        <v>0.98020459297961215</v>
      </c>
      <c r="E728" s="883">
        <v>0.99064968308753432</v>
      </c>
      <c r="F728" s="883">
        <v>0.97788184993626959</v>
      </c>
      <c r="G728" s="883">
        <v>0.99105343764118703</v>
      </c>
      <c r="H728" s="883">
        <v>0.95736953143226666</v>
      </c>
      <c r="I728" s="883">
        <v>0.99748144227527891</v>
      </c>
      <c r="K728">
        <v>6.7425196568749648</v>
      </c>
      <c r="L728">
        <v>0</v>
      </c>
      <c r="M728">
        <v>1.0351840220460432E-2</v>
      </c>
      <c r="N728">
        <v>0.19034198324756432</v>
      </c>
      <c r="O728">
        <v>0.12563089836107394</v>
      </c>
      <c r="P728">
        <v>8.2580263459230571E-2</v>
      </c>
      <c r="Q728">
        <v>0</v>
      </c>
      <c r="R728">
        <v>1.0351840220460432E-2</v>
      </c>
      <c r="S728">
        <v>0.27082667752354322</v>
      </c>
      <c r="T728">
        <v>5.911460463361788</v>
      </c>
      <c r="U728">
        <v>0</v>
      </c>
      <c r="V728">
        <v>1.9265430928582662E-2</v>
      </c>
      <c r="W728">
        <v>0.10065000007334034</v>
      </c>
      <c r="X728">
        <v>-8.6309554913861623E-4</v>
      </c>
      <c r="Y728">
        <v>4.2627035468984512E-2</v>
      </c>
    </row>
    <row r="729" spans="1:25" x14ac:dyDescent="0.25">
      <c r="A729" s="879"/>
      <c r="B729" s="1133">
        <v>479</v>
      </c>
      <c r="C729" s="883">
        <v>1.0212504508011786</v>
      </c>
      <c r="D729" s="883">
        <v>0.98232144392596776</v>
      </c>
      <c r="E729" s="883">
        <v>1.0407029301808879</v>
      </c>
      <c r="F729" s="883">
        <v>0.99939639036063255</v>
      </c>
      <c r="G729" s="883">
        <v>0.9974465658020043</v>
      </c>
      <c r="H729" s="883">
        <v>0.97668677402441739</v>
      </c>
      <c r="I729" s="883">
        <v>0.99272588095739367</v>
      </c>
      <c r="K729">
        <v>6.7253365748835732</v>
      </c>
      <c r="L729">
        <v>0</v>
      </c>
      <c r="M729">
        <v>9.6924996105738487E-3</v>
      </c>
      <c r="N729">
        <v>0.19191977567185481</v>
      </c>
      <c r="O729">
        <v>0.11954047858792313</v>
      </c>
      <c r="P729">
        <v>8.5550869450173372E-2</v>
      </c>
      <c r="Q729">
        <v>0</v>
      </c>
      <c r="R729">
        <v>9.6924996105738487E-3</v>
      </c>
      <c r="S729">
        <v>0.26053957261669242</v>
      </c>
      <c r="T729">
        <v>5.909767227756805</v>
      </c>
      <c r="U729">
        <v>0</v>
      </c>
      <c r="V729">
        <v>1.9041654771310885E-2</v>
      </c>
      <c r="W729">
        <v>9.9008361985994123E-2</v>
      </c>
      <c r="X729">
        <v>5.6645847090831267E-5</v>
      </c>
      <c r="Y729">
        <v>3.9911988195725182E-2</v>
      </c>
    </row>
    <row r="730" spans="1:25" x14ac:dyDescent="0.25">
      <c r="A730" s="879"/>
      <c r="B730" s="1133">
        <v>480</v>
      </c>
      <c r="C730" s="883">
        <v>0.99180128469599727</v>
      </c>
      <c r="D730" s="883">
        <v>1.0105913036127423</v>
      </c>
      <c r="E730" s="883">
        <v>1.0146175537275481</v>
      </c>
      <c r="F730" s="883">
        <v>0.99582161404539116</v>
      </c>
      <c r="G730" s="883">
        <v>1.0027512885645118</v>
      </c>
      <c r="H730" s="883">
        <v>0.95664890341484432</v>
      </c>
      <c r="I730" s="883">
        <v>1.0104608791983187</v>
      </c>
      <c r="K730">
        <v>6.7348321263819031</v>
      </c>
      <c r="L730">
        <v>0</v>
      </c>
      <c r="M730">
        <v>9.8807106504762553E-3</v>
      </c>
      <c r="N730">
        <v>0.18824485594442589</v>
      </c>
      <c r="O730">
        <v>0.122198103624703</v>
      </c>
      <c r="P730">
        <v>8.4080085737230068E-2</v>
      </c>
      <c r="Q730">
        <v>0</v>
      </c>
      <c r="R730">
        <v>9.8807106504762553E-3</v>
      </c>
      <c r="S730">
        <v>0.2708419529320496</v>
      </c>
      <c r="T730">
        <v>5.9110797442193084</v>
      </c>
      <c r="U730">
        <v>0</v>
      </c>
      <c r="V730">
        <v>1.9200159460500882E-2</v>
      </c>
      <c r="W730">
        <v>9.8364485882132452E-2</v>
      </c>
      <c r="X730">
        <v>1.3573082382247042E-4</v>
      </c>
      <c r="Y730">
        <v>4.0687007757727024E-2</v>
      </c>
    </row>
    <row r="731" spans="1:25" x14ac:dyDescent="0.25">
      <c r="A731" s="879"/>
      <c r="B731" s="1133">
        <v>481</v>
      </c>
      <c r="C731" s="883">
        <v>0.99346640735619196</v>
      </c>
      <c r="D731" s="883">
        <v>0.99551458480343846</v>
      </c>
      <c r="E731" s="883">
        <v>1.0295285733707946</v>
      </c>
      <c r="F731" s="883">
        <v>1.0107086306299817</v>
      </c>
      <c r="G731" s="883">
        <v>0.99587593238710825</v>
      </c>
      <c r="H731" s="883">
        <v>1.0213444118340063</v>
      </c>
      <c r="I731" s="883">
        <v>1.0380798561630902</v>
      </c>
      <c r="K731">
        <v>6.7723430577655543</v>
      </c>
      <c r="L731">
        <v>0</v>
      </c>
      <c r="M731">
        <v>1.0461753447016791E-2</v>
      </c>
      <c r="N731">
        <v>0.20375932610611114</v>
      </c>
      <c r="O731">
        <v>0.12244426346152658</v>
      </c>
      <c r="P731">
        <v>8.5198169776921531E-2</v>
      </c>
      <c r="Q731">
        <v>0</v>
      </c>
      <c r="R731">
        <v>1.0461753447016791E-2</v>
      </c>
      <c r="S731">
        <v>0.28431945103033968</v>
      </c>
      <c r="T731">
        <v>5.9110278212969325</v>
      </c>
      <c r="U731">
        <v>0</v>
      </c>
      <c r="V731">
        <v>1.9190946601619272E-2</v>
      </c>
      <c r="W731">
        <v>0.10569281771686494</v>
      </c>
      <c r="X731">
        <v>-2.3693767968783292E-3</v>
      </c>
      <c r="Y731">
        <v>4.3079638572118571E-2</v>
      </c>
    </row>
    <row r="732" spans="1:25" x14ac:dyDescent="0.25">
      <c r="A732" s="879"/>
      <c r="B732" s="1133">
        <v>482</v>
      </c>
      <c r="C732" s="883">
        <v>0.99698985047454769</v>
      </c>
      <c r="D732" s="883">
        <v>1.0266427689833442</v>
      </c>
      <c r="E732" s="883">
        <v>1.0119285725445681</v>
      </c>
      <c r="F732" s="883">
        <v>1.0245259678636625</v>
      </c>
      <c r="G732" s="883">
        <v>0.99772773868274378</v>
      </c>
      <c r="H732" s="883">
        <v>1.0053294172366176</v>
      </c>
      <c r="I732" s="883">
        <v>0.9920838352821244</v>
      </c>
      <c r="K732">
        <v>6.7438055477435732</v>
      </c>
      <c r="L732">
        <v>0</v>
      </c>
      <c r="M732">
        <v>1.0284194277478446E-2</v>
      </c>
      <c r="N732">
        <v>0.19515371318275856</v>
      </c>
      <c r="O732">
        <v>0.12084864409369679</v>
      </c>
      <c r="P732">
        <v>8.3908058710971692E-2</v>
      </c>
      <c r="Q732">
        <v>0</v>
      </c>
      <c r="R732">
        <v>1.0284194277478446E-2</v>
      </c>
      <c r="S732">
        <v>0.2689212846282707</v>
      </c>
      <c r="T732">
        <v>5.9127837949913502</v>
      </c>
      <c r="U732">
        <v>0</v>
      </c>
      <c r="V732">
        <v>1.9171553405833285E-2</v>
      </c>
      <c r="W732">
        <v>0.10211013860546345</v>
      </c>
      <c r="X732">
        <v>-1.4401213910818801E-3</v>
      </c>
      <c r="Y732">
        <v>4.2348481516313694E-2</v>
      </c>
    </row>
    <row r="733" spans="1:25" x14ac:dyDescent="0.25">
      <c r="A733" s="879"/>
      <c r="B733" s="1133">
        <v>483</v>
      </c>
      <c r="C733" s="883">
        <v>1.0241075419277144</v>
      </c>
      <c r="D733" s="883">
        <v>1.0117727487719197</v>
      </c>
      <c r="E733" s="883">
        <v>1.0073523290315023</v>
      </c>
      <c r="F733" s="883">
        <v>1.0317786190197755</v>
      </c>
      <c r="G733" s="883">
        <v>0.9923525082874799</v>
      </c>
      <c r="H733" s="883">
        <v>1.0030801911412377</v>
      </c>
      <c r="I733" s="883">
        <v>1.0017736799525652</v>
      </c>
      <c r="K733">
        <v>6.7294640398299626</v>
      </c>
      <c r="L733">
        <v>0</v>
      </c>
      <c r="M733">
        <v>1.0092359588132021E-2</v>
      </c>
      <c r="N733">
        <v>0.19022036565002484</v>
      </c>
      <c r="O733">
        <v>0.11842098978183339</v>
      </c>
      <c r="P733">
        <v>8.3565184079998439E-2</v>
      </c>
      <c r="Q733">
        <v>0</v>
      </c>
      <c r="R733">
        <v>1.0092359588132021E-2</v>
      </c>
      <c r="S733">
        <v>0.26428205589870141</v>
      </c>
      <c r="T733">
        <v>5.9134354221780105</v>
      </c>
      <c r="U733">
        <v>0</v>
      </c>
      <c r="V733">
        <v>1.9026762110179618E-2</v>
      </c>
      <c r="W733">
        <v>9.9754433798726797E-2</v>
      </c>
      <c r="X733">
        <v>-7.9971407839857201E-4</v>
      </c>
      <c r="Y733">
        <v>4.1558540410886927E-2</v>
      </c>
    </row>
    <row r="734" spans="1:25" x14ac:dyDescent="0.25">
      <c r="A734" s="879"/>
      <c r="B734" s="1133">
        <v>484</v>
      </c>
      <c r="C734" s="883">
        <v>0.99246017144810816</v>
      </c>
      <c r="D734" s="883">
        <v>0.99080348937701124</v>
      </c>
      <c r="E734" s="883">
        <v>0.9758884043837448</v>
      </c>
      <c r="F734" s="883">
        <v>1.0025611528625598</v>
      </c>
      <c r="G734" s="883">
        <v>0.960704352452312</v>
      </c>
      <c r="H734" s="883">
        <v>1.0013052822703585</v>
      </c>
      <c r="I734" s="883">
        <v>1.004113642788979</v>
      </c>
      <c r="K734">
        <v>6.7511334300074548</v>
      </c>
      <c r="L734">
        <v>0</v>
      </c>
      <c r="M734">
        <v>1.0781459867559341E-2</v>
      </c>
      <c r="N734">
        <v>0.1939480508144551</v>
      </c>
      <c r="O734">
        <v>0.12381900671380887</v>
      </c>
      <c r="P734">
        <v>8.1711019986445241E-2</v>
      </c>
      <c r="Q734">
        <v>0</v>
      </c>
      <c r="R734">
        <v>1.0781459867559341E-2</v>
      </c>
      <c r="S734">
        <v>0.27333582200476425</v>
      </c>
      <c r="T734">
        <v>5.9136102157775952</v>
      </c>
      <c r="U734">
        <v>0</v>
      </c>
      <c r="V734">
        <v>1.9196510248764558E-2</v>
      </c>
      <c r="W734">
        <v>0.10331663407747285</v>
      </c>
      <c r="X734">
        <v>-2.1999623221485875E-3</v>
      </c>
      <c r="Y734">
        <v>4.439613270629128E-2</v>
      </c>
    </row>
    <row r="735" spans="1:25" x14ac:dyDescent="0.25">
      <c r="A735" s="879"/>
      <c r="B735" s="1133">
        <v>485</v>
      </c>
      <c r="C735" s="883">
        <v>0.98180676954980761</v>
      </c>
      <c r="D735" s="883">
        <v>0.97638095262219393</v>
      </c>
      <c r="E735" s="883">
        <v>0.9766222798048545</v>
      </c>
      <c r="F735" s="883">
        <v>1.0361423928459439</v>
      </c>
      <c r="G735" s="883">
        <v>1.0051359197702556</v>
      </c>
      <c r="H735" s="883">
        <v>0.98932546921009945</v>
      </c>
      <c r="I735" s="883">
        <v>1.0308759549194266</v>
      </c>
      <c r="K735">
        <v>6.7663206993507723</v>
      </c>
      <c r="L735">
        <v>0</v>
      </c>
      <c r="M735">
        <v>1.0829014958349559E-2</v>
      </c>
      <c r="N735">
        <v>0.19501580456667431</v>
      </c>
      <c r="O735">
        <v>0.12588484690714835</v>
      </c>
      <c r="P735">
        <v>8.1903756524085228E-2</v>
      </c>
      <c r="Q735">
        <v>0</v>
      </c>
      <c r="R735">
        <v>1.0829014958349559E-2</v>
      </c>
      <c r="S735">
        <v>0.28263125442417802</v>
      </c>
      <c r="T735">
        <v>5.9153854395808203</v>
      </c>
      <c r="U735">
        <v>0</v>
      </c>
      <c r="V735">
        <v>1.9256114226353021E-2</v>
      </c>
      <c r="W735">
        <v>0.10384720424092363</v>
      </c>
      <c r="X735">
        <v>-2.1956772250904975E-3</v>
      </c>
      <c r="Y735">
        <v>4.459195610567479E-2</v>
      </c>
    </row>
    <row r="736" spans="1:25" x14ac:dyDescent="0.25">
      <c r="A736" s="879"/>
      <c r="B736" s="1133">
        <v>486</v>
      </c>
      <c r="C736" s="883">
        <v>1.0071144137582466</v>
      </c>
      <c r="D736" s="883">
        <v>0.99676913008520418</v>
      </c>
      <c r="E736" s="883">
        <v>1.0078520089121548</v>
      </c>
      <c r="F736" s="883">
        <v>1.0113276218983556</v>
      </c>
      <c r="G736" s="883">
        <v>0.99526043644366602</v>
      </c>
      <c r="H736" s="883">
        <v>0.97616615259045025</v>
      </c>
      <c r="I736" s="883">
        <v>1.0033255261906215</v>
      </c>
      <c r="K736">
        <v>6.7327356995152394</v>
      </c>
      <c r="L736">
        <v>0</v>
      </c>
      <c r="M736">
        <v>1.0047001659663267E-2</v>
      </c>
      <c r="N736">
        <v>0.18950561518784007</v>
      </c>
      <c r="O736">
        <v>0.12113155828249909</v>
      </c>
      <c r="P736">
        <v>8.3616103838269701E-2</v>
      </c>
      <c r="Q736">
        <v>0</v>
      </c>
      <c r="R736">
        <v>1.0047001659663267E-2</v>
      </c>
      <c r="S736">
        <v>0.26677647017716627</v>
      </c>
      <c r="T736">
        <v>5.9123020269796784</v>
      </c>
      <c r="U736">
        <v>0</v>
      </c>
      <c r="V736">
        <v>1.9116582512907872E-2</v>
      </c>
      <c r="W736">
        <v>9.9355025536564265E-2</v>
      </c>
      <c r="X736">
        <v>-4.3944753454699481E-4</v>
      </c>
      <c r="Y736">
        <v>4.1371764534862895E-2</v>
      </c>
    </row>
    <row r="737" spans="1:25" x14ac:dyDescent="0.25">
      <c r="A737" s="879"/>
      <c r="B737" s="1133">
        <v>487</v>
      </c>
      <c r="C737" s="883">
        <v>0.99358707159656423</v>
      </c>
      <c r="D737" s="883">
        <v>1.0016572202300302</v>
      </c>
      <c r="E737" s="883">
        <v>0.98516159678477422</v>
      </c>
      <c r="F737" s="883">
        <v>0.99220417106751646</v>
      </c>
      <c r="G737" s="883">
        <v>0.96713751107393997</v>
      </c>
      <c r="H737" s="883">
        <v>1.0199459127071355</v>
      </c>
      <c r="I737" s="883">
        <v>0.96826286706095044</v>
      </c>
      <c r="K737">
        <v>6.745925139703596</v>
      </c>
      <c r="L737">
        <v>0</v>
      </c>
      <c r="M737">
        <v>1.0830733031126064E-2</v>
      </c>
      <c r="N737">
        <v>0.19753346603319574</v>
      </c>
      <c r="O737">
        <v>0.12296763997930864</v>
      </c>
      <c r="P737">
        <v>8.2169575329630873E-2</v>
      </c>
      <c r="Q737">
        <v>0</v>
      </c>
      <c r="R737">
        <v>1.0830733031126064E-2</v>
      </c>
      <c r="S737">
        <v>0.26489632779144856</v>
      </c>
      <c r="T737">
        <v>5.9125392856773304</v>
      </c>
      <c r="U737">
        <v>0</v>
      </c>
      <c r="V737">
        <v>1.9190280185480982E-2</v>
      </c>
      <c r="W737">
        <v>0.10473924482515813</v>
      </c>
      <c r="X737">
        <v>-2.709710941524131E-3</v>
      </c>
      <c r="Y737">
        <v>4.4599030823562875E-2</v>
      </c>
    </row>
    <row r="738" spans="1:25" x14ac:dyDescent="0.25">
      <c r="A738" s="879"/>
      <c r="B738" s="1133">
        <v>488</v>
      </c>
      <c r="C738" s="883">
        <v>0.98493522995476912</v>
      </c>
      <c r="D738" s="883">
        <v>1.0004765155395949</v>
      </c>
      <c r="E738" s="883">
        <v>0.98077057497099807</v>
      </c>
      <c r="F738" s="883">
        <v>1.0221207275856687</v>
      </c>
      <c r="G738" s="883">
        <v>0.9998788296502048</v>
      </c>
      <c r="H738" s="883">
        <v>0.97896006649625533</v>
      </c>
      <c r="I738" s="883">
        <v>1.003353328272675</v>
      </c>
      <c r="K738">
        <v>6.7470808570932448</v>
      </c>
      <c r="L738">
        <v>0</v>
      </c>
      <c r="M738">
        <v>1.0532370091896502E-2</v>
      </c>
      <c r="N738">
        <v>0.19084474021764539</v>
      </c>
      <c r="O738">
        <v>0.12418918107249939</v>
      </c>
      <c r="P738">
        <v>8.2025123869616523E-2</v>
      </c>
      <c r="Q738">
        <v>0</v>
      </c>
      <c r="R738">
        <v>1.0532370091896502E-2</v>
      </c>
      <c r="S738">
        <v>0.27297826934804065</v>
      </c>
      <c r="T738">
        <v>5.9143991185236553</v>
      </c>
      <c r="U738">
        <v>0</v>
      </c>
      <c r="V738">
        <v>1.9238477295607206E-2</v>
      </c>
      <c r="W738">
        <v>0.10141510490990242</v>
      </c>
      <c r="X738">
        <v>-1.3795834901659902E-3</v>
      </c>
      <c r="Y738">
        <v>4.3370425346439E-2</v>
      </c>
    </row>
    <row r="739" spans="1:25" x14ac:dyDescent="0.25">
      <c r="A739" s="879"/>
      <c r="B739" s="1133">
        <v>489</v>
      </c>
      <c r="C739" s="883">
        <v>0.98563904947958969</v>
      </c>
      <c r="D739" s="883">
        <v>1.0040006200871701</v>
      </c>
      <c r="E739" s="883">
        <v>0.97278265588755219</v>
      </c>
      <c r="F739" s="883">
        <v>1.0255711089114519</v>
      </c>
      <c r="G739" s="883">
        <v>0.96847836498016471</v>
      </c>
      <c r="H739" s="883">
        <v>1.0244784218315843</v>
      </c>
      <c r="I739" s="883">
        <v>0.97763376772627353</v>
      </c>
      <c r="K739">
        <v>6.7563492493380402</v>
      </c>
      <c r="L739">
        <v>0</v>
      </c>
      <c r="M739">
        <v>1.1074457861486121E-2</v>
      </c>
      <c r="N739">
        <v>0.19830254200897637</v>
      </c>
      <c r="O739">
        <v>0.12407598286764189</v>
      </c>
      <c r="P739">
        <v>8.1490247325945064E-2</v>
      </c>
      <c r="Q739">
        <v>0</v>
      </c>
      <c r="R739">
        <v>1.1074457861486121E-2</v>
      </c>
      <c r="S739">
        <v>0.26999368319514505</v>
      </c>
      <c r="T739">
        <v>5.9150243605316062</v>
      </c>
      <c r="U739">
        <v>0</v>
      </c>
      <c r="V739">
        <v>1.9234524887527995E-2</v>
      </c>
      <c r="W739">
        <v>0.10580106496422453</v>
      </c>
      <c r="X739">
        <v>-3.1758027366107031E-3</v>
      </c>
      <c r="Y739">
        <v>4.5602646293582974E-2</v>
      </c>
    </row>
    <row r="740" spans="1:25" x14ac:dyDescent="0.25">
      <c r="A740" s="879"/>
      <c r="B740" s="1133">
        <v>490</v>
      </c>
      <c r="C740" s="883">
        <v>1.045120140979382</v>
      </c>
      <c r="D740" s="883">
        <v>1.0081013237897039</v>
      </c>
      <c r="E740" s="883">
        <v>0.98688608742313122</v>
      </c>
      <c r="F740" s="883">
        <v>1.0053515619230053</v>
      </c>
      <c r="G740" s="883">
        <v>1.0089388444024365</v>
      </c>
      <c r="H740" s="883">
        <v>0.99550026183075169</v>
      </c>
      <c r="I740" s="883">
        <v>1.0041849578617061</v>
      </c>
      <c r="K740">
        <v>6.7106974341652172</v>
      </c>
      <c r="L740">
        <v>0</v>
      </c>
      <c r="M740">
        <v>1.0007276288679728E-2</v>
      </c>
      <c r="N740">
        <v>0.18298243784306156</v>
      </c>
      <c r="O740">
        <v>0.11657421481709331</v>
      </c>
      <c r="P740">
        <v>8.2203181269580469E-2</v>
      </c>
      <c r="Q740">
        <v>0</v>
      </c>
      <c r="R740">
        <v>1.0007276288679728E-2</v>
      </c>
      <c r="S740">
        <v>0.25890842613065779</v>
      </c>
      <c r="T740">
        <v>5.9131543940663702</v>
      </c>
      <c r="U740">
        <v>0</v>
      </c>
      <c r="V740">
        <v>1.8919734942424406E-2</v>
      </c>
      <c r="W740">
        <v>9.6940238899466888E-2</v>
      </c>
      <c r="X740">
        <v>-1.9337633144741147E-4</v>
      </c>
      <c r="Y740">
        <v>4.1208182528005136E-2</v>
      </c>
    </row>
    <row r="741" spans="1:25" x14ac:dyDescent="0.25">
      <c r="A741" s="879"/>
      <c r="B741" s="1133">
        <v>491</v>
      </c>
      <c r="C741" s="883">
        <v>0.99534508469819161</v>
      </c>
      <c r="D741" s="883">
        <v>1.0082160453151197</v>
      </c>
      <c r="E741" s="883">
        <v>1.0173243007605972</v>
      </c>
      <c r="F741" s="883">
        <v>0.98803030212106735</v>
      </c>
      <c r="G741" s="883">
        <v>0.9909911462278107</v>
      </c>
      <c r="H741" s="883">
        <v>1.0117656214949506</v>
      </c>
      <c r="I741" s="883">
        <v>0.99949285794101161</v>
      </c>
      <c r="K741">
        <v>6.7515354124890896</v>
      </c>
      <c r="L741">
        <v>0</v>
      </c>
      <c r="M741">
        <v>1.0398612632790551E-2</v>
      </c>
      <c r="N741">
        <v>0.19890687634140838</v>
      </c>
      <c r="O741">
        <v>0.12182651689785105</v>
      </c>
      <c r="P741">
        <v>8.425980212079949E-2</v>
      </c>
      <c r="Q741">
        <v>0</v>
      </c>
      <c r="R741">
        <v>1.0398612632790551E-2</v>
      </c>
      <c r="S741">
        <v>0.27217143181969172</v>
      </c>
      <c r="T741">
        <v>5.9105042998423789</v>
      </c>
      <c r="U741">
        <v>0</v>
      </c>
      <c r="V741">
        <v>1.9180589186669317E-2</v>
      </c>
      <c r="W741">
        <v>0.10379704671708354</v>
      </c>
      <c r="X741">
        <v>-1.9307863745753162E-3</v>
      </c>
      <c r="Y741">
        <v>4.2819635937780889E-2</v>
      </c>
    </row>
    <row r="742" spans="1:25" x14ac:dyDescent="0.25">
      <c r="A742" s="879"/>
      <c r="B742" s="1133">
        <v>492</v>
      </c>
      <c r="C742" s="883">
        <v>1.0138555121954667</v>
      </c>
      <c r="D742" s="883">
        <v>1.0383733549159271</v>
      </c>
      <c r="E742" s="883">
        <v>1.0323246287382772</v>
      </c>
      <c r="F742" s="883">
        <v>0.9841178256057197</v>
      </c>
      <c r="G742" s="883">
        <v>0.98186581972404219</v>
      </c>
      <c r="H742" s="883">
        <v>0.97220527098432219</v>
      </c>
      <c r="I742" s="883">
        <v>0.97450984719694489</v>
      </c>
      <c r="K742">
        <v>6.7119550479311991</v>
      </c>
      <c r="L742">
        <v>0</v>
      </c>
      <c r="M742">
        <v>9.5602048662478557E-3</v>
      </c>
      <c r="N742">
        <v>0.18697135776679005</v>
      </c>
      <c r="O742">
        <v>0.11792422038043122</v>
      </c>
      <c r="P742">
        <v>8.497161727088616E-2</v>
      </c>
      <c r="Q742">
        <v>0</v>
      </c>
      <c r="R742">
        <v>9.5602048662478557E-3</v>
      </c>
      <c r="S742">
        <v>0.25674083506910178</v>
      </c>
      <c r="T742">
        <v>5.9094295984517942</v>
      </c>
      <c r="U742">
        <v>0</v>
      </c>
      <c r="V742">
        <v>1.9080590856710516E-2</v>
      </c>
      <c r="W742">
        <v>9.6851770247684099E-2</v>
      </c>
      <c r="X742">
        <v>6.178359016213317E-4</v>
      </c>
      <c r="Y742">
        <v>3.9367221986177411E-2</v>
      </c>
    </row>
    <row r="743" spans="1:25" x14ac:dyDescent="0.25">
      <c r="A743" s="879"/>
      <c r="B743" s="1133">
        <v>493</v>
      </c>
      <c r="C743" s="883">
        <v>1.0069581739542375</v>
      </c>
      <c r="D743" s="883">
        <v>1.0138955418499853</v>
      </c>
      <c r="E743" s="883">
        <v>1.0118464665945297</v>
      </c>
      <c r="F743" s="883">
        <v>1.0322066040200237</v>
      </c>
      <c r="G743" s="883">
        <v>1.0081721934541694</v>
      </c>
      <c r="H743" s="883">
        <v>1.0317887715123106</v>
      </c>
      <c r="I743" s="883">
        <v>0.97533042500516665</v>
      </c>
      <c r="K743">
        <v>6.745294410098424</v>
      </c>
      <c r="L743">
        <v>0</v>
      </c>
      <c r="M743">
        <v>1.0507164365070074E-2</v>
      </c>
      <c r="N743">
        <v>0.19936058178385696</v>
      </c>
      <c r="O743">
        <v>0.12025331712417051</v>
      </c>
      <c r="P743">
        <v>8.3845124043684383E-2</v>
      </c>
      <c r="Q743">
        <v>0</v>
      </c>
      <c r="R743">
        <v>1.0507164365070074E-2</v>
      </c>
      <c r="S743">
        <v>0.26428170402318663</v>
      </c>
      <c r="T743">
        <v>5.9132034694469864</v>
      </c>
      <c r="U743">
        <v>0</v>
      </c>
      <c r="V743">
        <v>1.9117422412718351E-2</v>
      </c>
      <c r="W743">
        <v>0.10431552841212383</v>
      </c>
      <c r="X743">
        <v>-2.3493697981278859E-3</v>
      </c>
      <c r="Y743">
        <v>4.3266632649819885E-2</v>
      </c>
    </row>
    <row r="744" spans="1:25" x14ac:dyDescent="0.25">
      <c r="A744" s="879"/>
      <c r="B744" s="1133">
        <v>494</v>
      </c>
      <c r="C744" s="883">
        <v>1.0069569533736584</v>
      </c>
      <c r="D744" s="883">
        <v>1.0046628143873586</v>
      </c>
      <c r="E744" s="883">
        <v>1.0046995746487815</v>
      </c>
      <c r="F744" s="883">
        <v>0.97765095414039549</v>
      </c>
      <c r="G744" s="883">
        <v>1.020863365271659</v>
      </c>
      <c r="H744" s="883">
        <v>1.0169111576861527</v>
      </c>
      <c r="I744" s="883">
        <v>0.99479934241699486</v>
      </c>
      <c r="K744">
        <v>6.7429442829210613</v>
      </c>
      <c r="L744">
        <v>0</v>
      </c>
      <c r="M744">
        <v>1.0461481354336655E-2</v>
      </c>
      <c r="N744">
        <v>0.19640451305817902</v>
      </c>
      <c r="O744">
        <v>0.12082757751792943</v>
      </c>
      <c r="P744">
        <v>8.3416214528236082E-2</v>
      </c>
      <c r="Q744">
        <v>0</v>
      </c>
      <c r="R744">
        <v>1.0461481354336655E-2</v>
      </c>
      <c r="S744">
        <v>0.26826215451638002</v>
      </c>
      <c r="T744">
        <v>5.9106604764373767</v>
      </c>
      <c r="U744">
        <v>0</v>
      </c>
      <c r="V744">
        <v>1.91174289752311E-2</v>
      </c>
      <c r="W744">
        <v>0.10313294326573272</v>
      </c>
      <c r="X744">
        <v>-1.9555435209012368E-3</v>
      </c>
      <c r="Y744">
        <v>4.3078518142892451E-2</v>
      </c>
    </row>
    <row r="745" spans="1:25" x14ac:dyDescent="0.25">
      <c r="A745" s="879"/>
      <c r="B745" s="1133">
        <v>495</v>
      </c>
      <c r="C745" s="883">
        <v>1.0047423123215635</v>
      </c>
      <c r="D745" s="883">
        <v>1.0106433147237879</v>
      </c>
      <c r="E745" s="883">
        <v>1.0128194127352792</v>
      </c>
      <c r="F745" s="883">
        <v>0.97119314123553813</v>
      </c>
      <c r="G745" s="883">
        <v>1.003863179755309</v>
      </c>
      <c r="H745" s="883">
        <v>0.98195668637754319</v>
      </c>
      <c r="I745" s="883">
        <v>1.000292422123997</v>
      </c>
      <c r="K745">
        <v>6.7314989540624497</v>
      </c>
      <c r="L745">
        <v>0</v>
      </c>
      <c r="M745">
        <v>1.0027012184490178E-2</v>
      </c>
      <c r="N745">
        <v>0.19052445607787438</v>
      </c>
      <c r="O745">
        <v>0.12065532914579535</v>
      </c>
      <c r="P745">
        <v>8.389809799115025E-2</v>
      </c>
      <c r="Q745">
        <v>0</v>
      </c>
      <c r="R745">
        <v>1.0027012184490178E-2</v>
      </c>
      <c r="S745">
        <v>0.26702419130549093</v>
      </c>
      <c r="T745">
        <v>5.9098514370654645</v>
      </c>
      <c r="U745">
        <v>0</v>
      </c>
      <c r="V745">
        <v>1.9129362364013712E-2</v>
      </c>
      <c r="W745">
        <v>9.964410364702235E-2</v>
      </c>
      <c r="X745">
        <v>-5.1747496845709401E-4</v>
      </c>
      <c r="Y745">
        <v>4.1289451434094078E-2</v>
      </c>
    </row>
    <row r="746" spans="1:25" x14ac:dyDescent="0.25">
      <c r="A746" s="879"/>
      <c r="B746" s="1133">
        <v>496</v>
      </c>
      <c r="C746" s="883">
        <v>0.97636878779857661</v>
      </c>
      <c r="D746" s="883">
        <v>0.98155682679587963</v>
      </c>
      <c r="E746" s="883">
        <v>0.99517601309537085</v>
      </c>
      <c r="F746" s="883">
        <v>0.9908320328716852</v>
      </c>
      <c r="G746" s="883">
        <v>0.97330470710970896</v>
      </c>
      <c r="H746" s="883">
        <v>1.0121171886546234</v>
      </c>
      <c r="I746" s="883">
        <v>1.0029095749453334</v>
      </c>
      <c r="K746">
        <v>6.7700405320429677</v>
      </c>
      <c r="L746">
        <v>0</v>
      </c>
      <c r="M746">
        <v>1.0936548636056625E-2</v>
      </c>
      <c r="N746">
        <v>0.20244687884918439</v>
      </c>
      <c r="O746">
        <v>0.12596224857861602</v>
      </c>
      <c r="P746">
        <v>8.2976272222341829E-2</v>
      </c>
      <c r="Q746">
        <v>0</v>
      </c>
      <c r="R746">
        <v>1.0936548636056625E-2</v>
      </c>
      <c r="S746">
        <v>0.27869724176929966</v>
      </c>
      <c r="T746">
        <v>5.9119078736678388</v>
      </c>
      <c r="U746">
        <v>0</v>
      </c>
      <c r="V746">
        <v>1.9287040235287208E-2</v>
      </c>
      <c r="W746">
        <v>0.10680981937949419</v>
      </c>
      <c r="X746">
        <v>-3.081603309294874E-3</v>
      </c>
      <c r="Y746">
        <v>4.503476065019138E-2</v>
      </c>
    </row>
    <row r="747" spans="1:25" x14ac:dyDescent="0.25">
      <c r="A747" s="879"/>
      <c r="B747" s="1133">
        <v>497</v>
      </c>
      <c r="C747" s="883">
        <v>1.0198718166601421</v>
      </c>
      <c r="D747" s="883">
        <v>0.96617405899387654</v>
      </c>
      <c r="E747" s="883">
        <v>0.99351584813711713</v>
      </c>
      <c r="F747" s="883">
        <v>1.0129350504115522</v>
      </c>
      <c r="G747" s="883">
        <v>1.039520744589483</v>
      </c>
      <c r="H747" s="883">
        <v>0.99311935173539401</v>
      </c>
      <c r="I747" s="883">
        <v>0.98977367597981625</v>
      </c>
      <c r="K747">
        <v>6.7316451707491947</v>
      </c>
      <c r="L747">
        <v>0</v>
      </c>
      <c r="M747">
        <v>1.0358334447162235E-2</v>
      </c>
      <c r="N747">
        <v>0.19127232185938495</v>
      </c>
      <c r="O747">
        <v>0.12138446232611218</v>
      </c>
      <c r="P747">
        <v>8.2659357006575465E-2</v>
      </c>
      <c r="Q747">
        <v>0</v>
      </c>
      <c r="R747">
        <v>1.0358334447162235E-2</v>
      </c>
      <c r="S747">
        <v>0.26172014885227551</v>
      </c>
      <c r="T747">
        <v>5.9131952679614086</v>
      </c>
      <c r="U747">
        <v>0</v>
      </c>
      <c r="V747">
        <v>1.9048870782841554E-2</v>
      </c>
      <c r="W747">
        <v>0.10099761686639026</v>
      </c>
      <c r="X747">
        <v>-1.286652444407752E-3</v>
      </c>
      <c r="Y747">
        <v>4.2653777538613255E-2</v>
      </c>
    </row>
    <row r="748" spans="1:25" x14ac:dyDescent="0.25">
      <c r="A748" s="879"/>
      <c r="B748" s="1133">
        <v>498</v>
      </c>
      <c r="C748" s="883">
        <v>0.98595441906655457</v>
      </c>
      <c r="D748" s="883">
        <v>0.98623826538557968</v>
      </c>
      <c r="E748" s="883">
        <v>0.98521950839170969</v>
      </c>
      <c r="F748" s="883">
        <v>1.0384715155389976</v>
      </c>
      <c r="G748" s="883">
        <v>0.97670799140884568</v>
      </c>
      <c r="H748" s="883">
        <v>1.0061650109380635</v>
      </c>
      <c r="I748" s="883">
        <v>0.99502132465013737</v>
      </c>
      <c r="K748">
        <v>6.7590238529969779</v>
      </c>
      <c r="L748">
        <v>0</v>
      </c>
      <c r="M748">
        <v>1.0838356451978129E-2</v>
      </c>
      <c r="N748">
        <v>0.19768948244352597</v>
      </c>
      <c r="O748">
        <v>0.12468982603716358</v>
      </c>
      <c r="P748">
        <v>8.2316533070952658E-2</v>
      </c>
      <c r="Q748">
        <v>0</v>
      </c>
      <c r="R748">
        <v>1.0838356451978129E-2</v>
      </c>
      <c r="S748">
        <v>0.273177527109565</v>
      </c>
      <c r="T748">
        <v>5.9150370772194742</v>
      </c>
      <c r="U748">
        <v>0</v>
      </c>
      <c r="V748">
        <v>1.9232755711234829E-2</v>
      </c>
      <c r="W748">
        <v>0.10481893722823206</v>
      </c>
      <c r="X748">
        <v>-2.5687085368849951E-3</v>
      </c>
      <c r="Y748">
        <v>4.4630422713713355E-2</v>
      </c>
    </row>
    <row r="749" spans="1:25" x14ac:dyDescent="0.25">
      <c r="A749" s="879"/>
      <c r="B749" s="1133">
        <v>499</v>
      </c>
      <c r="C749" s="883">
        <v>0.99648849065459955</v>
      </c>
      <c r="D749" s="883">
        <v>1.0292414956679545</v>
      </c>
      <c r="E749" s="883">
        <v>0.98720604819041857</v>
      </c>
      <c r="F749" s="883">
        <v>0.97323508803680836</v>
      </c>
      <c r="G749" s="883">
        <v>1.0421003542176239</v>
      </c>
      <c r="H749" s="883">
        <v>0.9682721563639558</v>
      </c>
      <c r="I749" s="883">
        <v>0.96423060638976421</v>
      </c>
      <c r="K749">
        <v>6.7165547523225992</v>
      </c>
      <c r="L749">
        <v>0</v>
      </c>
      <c r="M749">
        <v>1.0115489154284079E-2</v>
      </c>
      <c r="N749">
        <v>0.18504888304942965</v>
      </c>
      <c r="O749">
        <v>0.12124672402360571</v>
      </c>
      <c r="P749">
        <v>8.2192698984887444E-2</v>
      </c>
      <c r="Q749">
        <v>0</v>
      </c>
      <c r="R749">
        <v>1.0115489154284079E-2</v>
      </c>
      <c r="S749">
        <v>0.2580998907412545</v>
      </c>
      <c r="T749">
        <v>5.9114006293097354</v>
      </c>
      <c r="U749">
        <v>0</v>
      </c>
      <c r="V749">
        <v>1.9174304544890945E-2</v>
      </c>
      <c r="W749">
        <v>9.8019338494711006E-2</v>
      </c>
      <c r="X749">
        <v>-2.8150067330446634E-4</v>
      </c>
      <c r="Y749">
        <v>4.1653783847391788E-2</v>
      </c>
    </row>
    <row r="750" spans="1:25" x14ac:dyDescent="0.25">
      <c r="A750" s="879"/>
      <c r="B750" s="1133">
        <v>500</v>
      </c>
      <c r="C750" s="883">
        <v>0.9920210745096143</v>
      </c>
      <c r="D750" s="883">
        <v>1.0083408683815887</v>
      </c>
      <c r="E750" s="883">
        <v>0.9885831768263601</v>
      </c>
      <c r="F750" s="883">
        <v>1.0208356649807739</v>
      </c>
      <c r="G750" s="883">
        <v>0.97044270158135459</v>
      </c>
      <c r="H750" s="883">
        <v>1.0126790768824181</v>
      </c>
      <c r="I750" s="883">
        <v>0.96095217275334832</v>
      </c>
      <c r="K750">
        <v>6.7427469291507709</v>
      </c>
      <c r="L750">
        <v>0</v>
      </c>
      <c r="M750">
        <v>1.070790474850682E-2</v>
      </c>
      <c r="N750">
        <v>0.19628671972381551</v>
      </c>
      <c r="O750">
        <v>0.12277055051884923</v>
      </c>
      <c r="P750">
        <v>8.2372229184903695E-2</v>
      </c>
      <c r="Q750">
        <v>0</v>
      </c>
      <c r="R750">
        <v>1.070790474850682E-2</v>
      </c>
      <c r="S750">
        <v>0.26258705272689326</v>
      </c>
      <c r="T750">
        <v>5.9138971251033254</v>
      </c>
      <c r="U750">
        <v>0</v>
      </c>
      <c r="V750">
        <v>1.9198941626663218E-2</v>
      </c>
      <c r="W750">
        <v>0.10390051903513038</v>
      </c>
      <c r="X750">
        <v>-2.3594545871686613E-3</v>
      </c>
      <c r="Y750">
        <v>4.4093245818356129E-2</v>
      </c>
    </row>
    <row r="751" spans="1:25" x14ac:dyDescent="0.25">
      <c r="A751" s="879"/>
      <c r="B751" s="1133">
        <v>501</v>
      </c>
      <c r="C751" s="883">
        <v>1.0155864192019664</v>
      </c>
      <c r="D751" s="883">
        <v>0.99728643354263413</v>
      </c>
      <c r="E751" s="883">
        <v>1.021005029742738</v>
      </c>
      <c r="F751" s="883">
        <v>1.0179201311842301</v>
      </c>
      <c r="G751" s="883">
        <v>0.98896595246385333</v>
      </c>
      <c r="H751" s="883">
        <v>0.98033112028371205</v>
      </c>
      <c r="I751" s="883">
        <v>1.0103653529510277</v>
      </c>
      <c r="K751">
        <v>6.731847172930431</v>
      </c>
      <c r="L751">
        <v>0</v>
      </c>
      <c r="M751">
        <v>9.8890155642836503E-3</v>
      </c>
      <c r="N751">
        <v>0.19019201451742282</v>
      </c>
      <c r="O751">
        <v>0.11985152321643996</v>
      </c>
      <c r="P751">
        <v>8.4435257707930589E-2</v>
      </c>
      <c r="Q751">
        <v>0</v>
      </c>
      <c r="R751">
        <v>9.8890155642836503E-3</v>
      </c>
      <c r="S751">
        <v>0.26681600199688588</v>
      </c>
      <c r="T751">
        <v>5.9119083798508925</v>
      </c>
      <c r="U751">
        <v>0</v>
      </c>
      <c r="V751">
        <v>1.9071426397860664E-2</v>
      </c>
      <c r="W751">
        <v>9.9069458503263097E-2</v>
      </c>
      <c r="X751">
        <v>-2.1809517483136661E-4</v>
      </c>
      <c r="Y751">
        <v>4.0721205914566329E-2</v>
      </c>
    </row>
    <row r="752" spans="1:25" x14ac:dyDescent="0.25">
      <c r="A752" s="879"/>
      <c r="B752" s="1133">
        <v>502</v>
      </c>
      <c r="C752" s="883">
        <v>0.99476768647432068</v>
      </c>
      <c r="D752" s="883">
        <v>1.0033163668654197</v>
      </c>
      <c r="E752" s="883">
        <v>1.0359714769724981</v>
      </c>
      <c r="F752" s="883">
        <v>0.99072800013239304</v>
      </c>
      <c r="G752" s="883">
        <v>1.0063175579215209</v>
      </c>
      <c r="H752" s="883">
        <v>1.0151181915151681</v>
      </c>
      <c r="I752" s="883">
        <v>1.0061584074951133</v>
      </c>
      <c r="K752">
        <v>6.7579445307366628</v>
      </c>
      <c r="L752">
        <v>0</v>
      </c>
      <c r="M752">
        <v>1.0291419497038597E-2</v>
      </c>
      <c r="N752">
        <v>0.20235951197310009</v>
      </c>
      <c r="O752">
        <v>0.12177976747330732</v>
      </c>
      <c r="P752">
        <v>8.5447672018547138E-2</v>
      </c>
      <c r="Q752">
        <v>0</v>
      </c>
      <c r="R752">
        <v>1.0291419497038597E-2</v>
      </c>
      <c r="S752">
        <v>0.27454842780328859</v>
      </c>
      <c r="T752">
        <v>5.9095748845476308</v>
      </c>
      <c r="U752">
        <v>0</v>
      </c>
      <c r="V752">
        <v>1.9183768300943708E-2</v>
      </c>
      <c r="W752">
        <v>0.10463583045845477</v>
      </c>
      <c r="X752">
        <v>-1.9635655230337721E-3</v>
      </c>
      <c r="Y752">
        <v>4.2378233684421236E-2</v>
      </c>
    </row>
    <row r="753" spans="1:25" x14ac:dyDescent="0.25">
      <c r="A753" s="879"/>
      <c r="B753" s="1133">
        <v>503</v>
      </c>
      <c r="C753" s="883">
        <v>1.013629884023614</v>
      </c>
      <c r="D753" s="883">
        <v>1.0087454849731838</v>
      </c>
      <c r="E753" s="883">
        <v>0.98871911691964232</v>
      </c>
      <c r="F753" s="883">
        <v>0.990353472774685</v>
      </c>
      <c r="G753" s="883">
        <v>1.0377411426666401</v>
      </c>
      <c r="H753" s="883">
        <v>0.96304401957014008</v>
      </c>
      <c r="I753" s="883">
        <v>1.0094369077901906</v>
      </c>
      <c r="K753">
        <v>6.7197484600788719</v>
      </c>
      <c r="L753">
        <v>0</v>
      </c>
      <c r="M753">
        <v>9.963092909201738E-3</v>
      </c>
      <c r="N753">
        <v>0.18267038143411432</v>
      </c>
      <c r="O753">
        <v>0.12013152711657382</v>
      </c>
      <c r="P753">
        <v>8.2393431230479236E-2</v>
      </c>
      <c r="Q753">
        <v>0</v>
      </c>
      <c r="R753">
        <v>9.963092909201738E-3</v>
      </c>
      <c r="S753">
        <v>0.26530977908310704</v>
      </c>
      <c r="T753">
        <v>5.9122419346160644</v>
      </c>
      <c r="U753">
        <v>0</v>
      </c>
      <c r="V753">
        <v>1.9081787773317642E-2</v>
      </c>
      <c r="W753">
        <v>9.6686419752523803E-2</v>
      </c>
      <c r="X753">
        <v>2.0695583702756991E-4</v>
      </c>
      <c r="Y753">
        <v>4.1026243235663146E-2</v>
      </c>
    </row>
    <row r="754" spans="1:25" x14ac:dyDescent="0.25">
      <c r="A754" s="879"/>
      <c r="B754" s="1133">
        <v>504</v>
      </c>
      <c r="C754" s="883">
        <v>1.0100858441809804</v>
      </c>
      <c r="D754" s="883">
        <v>1.0420284257479022</v>
      </c>
      <c r="E754" s="883">
        <v>0.98942482842919888</v>
      </c>
      <c r="F754" s="883">
        <v>1.0181866658786443</v>
      </c>
      <c r="G754" s="883">
        <v>1.0029362727954056</v>
      </c>
      <c r="H754" s="883">
        <v>0.97337374567910695</v>
      </c>
      <c r="I754" s="883">
        <v>1.0197253611189685</v>
      </c>
      <c r="K754">
        <v>6.7246563036650162</v>
      </c>
      <c r="L754">
        <v>0</v>
      </c>
      <c r="M754">
        <v>9.9597545968149546E-3</v>
      </c>
      <c r="N754">
        <v>0.18280034674982271</v>
      </c>
      <c r="O754">
        <v>0.11898498814667946</v>
      </c>
      <c r="P754">
        <v>8.2515363255455984E-2</v>
      </c>
      <c r="Q754">
        <v>0</v>
      </c>
      <c r="R754">
        <v>9.9597545968149546E-3</v>
      </c>
      <c r="S754">
        <v>0.2696633628930139</v>
      </c>
      <c r="T754">
        <v>5.9137071423444567</v>
      </c>
      <c r="U754">
        <v>0</v>
      </c>
      <c r="V754">
        <v>1.9100658427062135E-2</v>
      </c>
      <c r="W754">
        <v>9.672115311151061E-2</v>
      </c>
      <c r="X754">
        <v>1.5079207756146174E-4</v>
      </c>
      <c r="Y754">
        <v>4.1012496659451829E-2</v>
      </c>
    </row>
    <row r="755" spans="1:25" x14ac:dyDescent="0.25">
      <c r="A755" s="879"/>
      <c r="B755" s="1133">
        <v>505</v>
      </c>
      <c r="C755" s="883">
        <v>0.99057832657915978</v>
      </c>
      <c r="D755" s="883">
        <v>1.0016588039852916</v>
      </c>
      <c r="E755" s="883">
        <v>1.0221013851826075</v>
      </c>
      <c r="F755" s="883">
        <v>0.96237342751386812</v>
      </c>
      <c r="G755" s="883">
        <v>1.0060096082890573</v>
      </c>
      <c r="H755" s="883">
        <v>0.99202455308378035</v>
      </c>
      <c r="I755" s="883">
        <v>0.99521858564100751</v>
      </c>
      <c r="K755">
        <v>6.7461818226320851</v>
      </c>
      <c r="L755">
        <v>0</v>
      </c>
      <c r="M755">
        <v>1.0230575629347344E-2</v>
      </c>
      <c r="N755">
        <v>0.19708045586991063</v>
      </c>
      <c r="O755">
        <v>0.12264151834277974</v>
      </c>
      <c r="P755">
        <v>8.4514536023776093E-2</v>
      </c>
      <c r="Q755">
        <v>0</v>
      </c>
      <c r="R755">
        <v>1.0230575629347344E-2</v>
      </c>
      <c r="S755">
        <v>0.27051924353513096</v>
      </c>
      <c r="T755">
        <v>5.9088446004150725</v>
      </c>
      <c r="U755">
        <v>0</v>
      </c>
      <c r="V755">
        <v>1.9206945621153607E-2</v>
      </c>
      <c r="W755">
        <v>0.1026022001551891</v>
      </c>
      <c r="X755">
        <v>-1.3553667980003286E-3</v>
      </c>
      <c r="Y755">
        <v>4.212768946707339E-2</v>
      </c>
    </row>
    <row r="756" spans="1:25" x14ac:dyDescent="0.25">
      <c r="A756" s="879"/>
      <c r="B756" s="1133">
        <v>506</v>
      </c>
      <c r="C756" s="883">
        <v>1.031469198886533</v>
      </c>
      <c r="D756" s="883">
        <v>1.0113683945810681</v>
      </c>
      <c r="E756" s="883">
        <v>0.9796897338927284</v>
      </c>
      <c r="F756" s="883">
        <v>0.96723181404524272</v>
      </c>
      <c r="G756" s="883">
        <v>1.0133886013140281</v>
      </c>
      <c r="H756" s="883">
        <v>0.96845609018817802</v>
      </c>
      <c r="I756" s="883">
        <v>0.98863214420377665</v>
      </c>
      <c r="K756">
        <v>6.7019411541045786</v>
      </c>
      <c r="L756">
        <v>0</v>
      </c>
      <c r="M756">
        <v>9.9126082599285542E-3</v>
      </c>
      <c r="N756">
        <v>0.17932696367594811</v>
      </c>
      <c r="O756">
        <v>0.11809333249390941</v>
      </c>
      <c r="P756">
        <v>8.1688758256675056E-2</v>
      </c>
      <c r="Q756">
        <v>0</v>
      </c>
      <c r="R756">
        <v>9.9126082599285542E-3</v>
      </c>
      <c r="S756">
        <v>0.25579906424902793</v>
      </c>
      <c r="T756">
        <v>5.9114913872598338</v>
      </c>
      <c r="U756">
        <v>0</v>
      </c>
      <c r="V756">
        <v>1.8988769442504942E-2</v>
      </c>
      <c r="W756">
        <v>9.5346127133767514E-2</v>
      </c>
      <c r="X756">
        <v>3.8839515701987495E-4</v>
      </c>
      <c r="Y756">
        <v>4.081835643588877E-2</v>
      </c>
    </row>
    <row r="757" spans="1:25" x14ac:dyDescent="0.25">
      <c r="A757" s="879"/>
      <c r="B757" s="1133">
        <v>507</v>
      </c>
      <c r="C757" s="883">
        <v>1.0179431437609481</v>
      </c>
      <c r="D757" s="883">
        <v>0.97014517467483363</v>
      </c>
      <c r="E757" s="883">
        <v>0.98766800783649278</v>
      </c>
      <c r="F757" s="883">
        <v>0.98035058902402139</v>
      </c>
      <c r="G757" s="883">
        <v>0.9993312965208585</v>
      </c>
      <c r="H757" s="883">
        <v>0.99853620837819312</v>
      </c>
      <c r="I757" s="883">
        <v>0.98739748992770937</v>
      </c>
      <c r="K757">
        <v>6.731361415800821</v>
      </c>
      <c r="L757">
        <v>0</v>
      </c>
      <c r="M757">
        <v>1.0469519446803001E-2</v>
      </c>
      <c r="N757">
        <v>0.19165662165210273</v>
      </c>
      <c r="O757">
        <v>0.12152354810278966</v>
      </c>
      <c r="P757">
        <v>8.2277190185020346E-2</v>
      </c>
      <c r="Q757">
        <v>0</v>
      </c>
      <c r="R757">
        <v>1.0469519446803001E-2</v>
      </c>
      <c r="S757">
        <v>0.26203635128001118</v>
      </c>
      <c r="T757">
        <v>5.911759617574492</v>
      </c>
      <c r="U757">
        <v>0</v>
      </c>
      <c r="V757">
        <v>1.905899859194566E-2</v>
      </c>
      <c r="W757">
        <v>0.10149601171345009</v>
      </c>
      <c r="X757">
        <v>-1.558540875937675E-3</v>
      </c>
      <c r="Y757">
        <v>4.3111617576941749E-2</v>
      </c>
    </row>
    <row r="758" spans="1:25" x14ac:dyDescent="0.25">
      <c r="A758" s="879"/>
      <c r="B758" s="1133">
        <v>508</v>
      </c>
      <c r="C758" s="883">
        <v>1.0183364988053267</v>
      </c>
      <c r="D758" s="883">
        <v>1.040527044915339</v>
      </c>
      <c r="E758" s="883">
        <v>1.0339648329134072</v>
      </c>
      <c r="F758" s="883">
        <v>0.98424705915711852</v>
      </c>
      <c r="G758" s="883">
        <v>1.012764288156335</v>
      </c>
      <c r="H758" s="883">
        <v>0.99930460301734236</v>
      </c>
      <c r="I758" s="883">
        <v>1.0019270920880614</v>
      </c>
      <c r="K758">
        <v>6.7265113345757612</v>
      </c>
      <c r="L758">
        <v>0</v>
      </c>
      <c r="M758">
        <v>9.7607350256448278E-3</v>
      </c>
      <c r="N758">
        <v>0.19135645976093707</v>
      </c>
      <c r="O758">
        <v>0.11727788450943527</v>
      </c>
      <c r="P758">
        <v>8.5189526435501442E-2</v>
      </c>
      <c r="Q758">
        <v>0</v>
      </c>
      <c r="R758">
        <v>9.7607350256448278E-3</v>
      </c>
      <c r="S758">
        <v>0.26526079692688354</v>
      </c>
      <c r="T758">
        <v>5.9093414349759259</v>
      </c>
      <c r="U758">
        <v>0</v>
      </c>
      <c r="V758">
        <v>1.9056929899476313E-2</v>
      </c>
      <c r="W758">
        <v>9.9043640940565239E-2</v>
      </c>
      <c r="X758">
        <v>-2.0830836249783043E-4</v>
      </c>
      <c r="Y758">
        <v>4.0192969489536358E-2</v>
      </c>
    </row>
    <row r="759" spans="1:25" x14ac:dyDescent="0.25">
      <c r="A759" s="879"/>
      <c r="B759" s="1133">
        <v>509</v>
      </c>
      <c r="C759" s="883">
        <v>0.97982099236465459</v>
      </c>
      <c r="D759" s="883">
        <v>0.96462080904607672</v>
      </c>
      <c r="E759" s="883">
        <v>0.99662823363390241</v>
      </c>
      <c r="F759" s="883">
        <v>1.0012355411303921</v>
      </c>
      <c r="G759" s="883">
        <v>1.0356619503176707</v>
      </c>
      <c r="H759" s="883">
        <v>1.0061789353083725</v>
      </c>
      <c r="I759" s="883">
        <v>0.98703869464298144</v>
      </c>
      <c r="K759">
        <v>6.7647241909031797</v>
      </c>
      <c r="L759">
        <v>0</v>
      </c>
      <c r="M759">
        <v>1.0901395253247311E-2</v>
      </c>
      <c r="N759">
        <v>0.20223090455642243</v>
      </c>
      <c r="O759">
        <v>0.126367225082857</v>
      </c>
      <c r="P759">
        <v>8.2997019048518084E-2</v>
      </c>
      <c r="Q759">
        <v>0</v>
      </c>
      <c r="R759">
        <v>1.0901395253247311E-2</v>
      </c>
      <c r="S759">
        <v>0.27294746940443243</v>
      </c>
      <c r="T759">
        <v>5.9123888656221126</v>
      </c>
      <c r="U759">
        <v>0</v>
      </c>
      <c r="V759">
        <v>1.9267367627378577E-2</v>
      </c>
      <c r="W759">
        <v>0.10661882006405755</v>
      </c>
      <c r="X759">
        <v>-2.9834857794548198E-3</v>
      </c>
      <c r="Y759">
        <v>4.4890005276851504E-2</v>
      </c>
    </row>
    <row r="760" spans="1:25" x14ac:dyDescent="0.25">
      <c r="A760" s="879"/>
      <c r="B760" s="1133">
        <v>510</v>
      </c>
      <c r="C760" s="883">
        <v>0.9943123679865834</v>
      </c>
      <c r="D760" s="883">
        <v>0.99946900436789321</v>
      </c>
      <c r="E760" s="883">
        <v>1.0055509013589286</v>
      </c>
      <c r="F760" s="883">
        <v>0.99436343552935236</v>
      </c>
      <c r="G760" s="883">
        <v>1.0108261266172935</v>
      </c>
      <c r="H760" s="883">
        <v>1.0049215007389514</v>
      </c>
      <c r="I760" s="883">
        <v>1.0016158518289529</v>
      </c>
      <c r="K760">
        <v>6.7511041120698829</v>
      </c>
      <c r="L760">
        <v>0</v>
      </c>
      <c r="M760">
        <v>1.0485068640493037E-2</v>
      </c>
      <c r="N760">
        <v>0.19709567329210012</v>
      </c>
      <c r="O760">
        <v>0.12260199844335232</v>
      </c>
      <c r="P760">
        <v>8.3538450270735684E-2</v>
      </c>
      <c r="Q760">
        <v>0</v>
      </c>
      <c r="R760">
        <v>1.0485068640493037E-2</v>
      </c>
      <c r="S760">
        <v>0.27245337679026449</v>
      </c>
      <c r="T760">
        <v>5.9115155148391745</v>
      </c>
      <c r="U760">
        <v>0</v>
      </c>
      <c r="V760">
        <v>1.9186277856501739E-2</v>
      </c>
      <c r="W760">
        <v>0.10345221772042293</v>
      </c>
      <c r="X760">
        <v>-1.9150435315770631E-3</v>
      </c>
      <c r="Y760">
        <v>4.3175646388904011E-2</v>
      </c>
    </row>
    <row r="761" spans="1:25" x14ac:dyDescent="0.25">
      <c r="A761" s="879"/>
      <c r="B761" s="1133">
        <v>511</v>
      </c>
      <c r="C761" s="883">
        <v>0.98211826873927588</v>
      </c>
      <c r="D761" s="883">
        <v>1.0120583540636634</v>
      </c>
      <c r="E761" s="883">
        <v>0.98643159351049314</v>
      </c>
      <c r="F761" s="883">
        <v>1.0172541652194174</v>
      </c>
      <c r="G761" s="883">
        <v>0.99072074602614202</v>
      </c>
      <c r="H761" s="883">
        <v>0.97702449222289334</v>
      </c>
      <c r="I761" s="883">
        <v>1.0092660771965318</v>
      </c>
      <c r="K761">
        <v>6.7480439724282357</v>
      </c>
      <c r="L761">
        <v>0</v>
      </c>
      <c r="M761">
        <v>1.0438212125101239E-2</v>
      </c>
      <c r="N761">
        <v>0.19073347752358991</v>
      </c>
      <c r="O761">
        <v>0.12386666451492057</v>
      </c>
      <c r="P761">
        <v>8.2402499836672125E-2</v>
      </c>
      <c r="Q761">
        <v>0</v>
      </c>
      <c r="R761">
        <v>1.0438212125101239E-2</v>
      </c>
      <c r="S761">
        <v>0.27509148806032047</v>
      </c>
      <c r="T761">
        <v>5.9138229874749673</v>
      </c>
      <c r="U761">
        <v>0</v>
      </c>
      <c r="V761">
        <v>1.9254353089317347E-2</v>
      </c>
      <c r="W761">
        <v>0.10106951157978475</v>
      </c>
      <c r="X761">
        <v>-1.1797092500048837E-3</v>
      </c>
      <c r="Y761">
        <v>4.2982699598669412E-2</v>
      </c>
    </row>
    <row r="762" spans="1:25" x14ac:dyDescent="0.25">
      <c r="A762" s="879"/>
      <c r="B762" s="1133">
        <v>512</v>
      </c>
      <c r="C762" s="883">
        <v>0.96165924893092525</v>
      </c>
      <c r="D762" s="883">
        <v>1.0161183604358537</v>
      </c>
      <c r="E762" s="883">
        <v>0.98463799811818331</v>
      </c>
      <c r="F762" s="883">
        <v>0.97866186354850893</v>
      </c>
      <c r="G762" s="883">
        <v>0.97415029772600292</v>
      </c>
      <c r="H762" s="883">
        <v>0.98545070258320533</v>
      </c>
      <c r="I762" s="883">
        <v>1.0104950347764878</v>
      </c>
      <c r="K762">
        <v>6.7639850302226323</v>
      </c>
      <c r="L762">
        <v>0</v>
      </c>
      <c r="M762">
        <v>1.0750612131213436E-2</v>
      </c>
      <c r="N762">
        <v>0.19591999739314195</v>
      </c>
      <c r="O762">
        <v>0.12633395189558969</v>
      </c>
      <c r="P762">
        <v>8.2357229565500373E-2</v>
      </c>
      <c r="Q762">
        <v>0</v>
      </c>
      <c r="R762">
        <v>1.0750612131213436E-2</v>
      </c>
      <c r="S762">
        <v>0.28207507894415856</v>
      </c>
      <c r="T762">
        <v>5.9118362259842829</v>
      </c>
      <c r="U762">
        <v>0</v>
      </c>
      <c r="V762">
        <v>1.9372446553194391E-2</v>
      </c>
      <c r="W762">
        <v>0.10391091092925397</v>
      </c>
      <c r="X762">
        <v>-2.0899182612088654E-3</v>
      </c>
      <c r="Y762">
        <v>4.4269107218711225E-2</v>
      </c>
    </row>
    <row r="763" spans="1:25" x14ac:dyDescent="0.25">
      <c r="A763" s="879"/>
      <c r="B763" s="1133">
        <v>513</v>
      </c>
      <c r="C763" s="883">
        <v>1.014593498128576</v>
      </c>
      <c r="D763" s="883">
        <v>0.96915005599629511</v>
      </c>
      <c r="E763" s="883">
        <v>0.97555456688533759</v>
      </c>
      <c r="F763" s="883">
        <v>0.95463816479176866</v>
      </c>
      <c r="G763" s="883">
        <v>1.0210775250920265</v>
      </c>
      <c r="H763" s="883">
        <v>0.97738957528768899</v>
      </c>
      <c r="I763" s="883">
        <v>1.0107470898577497</v>
      </c>
      <c r="K763">
        <v>6.7293388283433782</v>
      </c>
      <c r="L763">
        <v>0</v>
      </c>
      <c r="M763">
        <v>1.0395361599268847E-2</v>
      </c>
      <c r="N763">
        <v>0.18690988556800198</v>
      </c>
      <c r="O763">
        <v>0.12219934013226172</v>
      </c>
      <c r="P763">
        <v>8.1572558950561633E-2</v>
      </c>
      <c r="Q763">
        <v>0</v>
      </c>
      <c r="R763">
        <v>1.0395361599268847E-2</v>
      </c>
      <c r="S763">
        <v>0.26709638503935318</v>
      </c>
      <c r="T763">
        <v>5.9110376320941853</v>
      </c>
      <c r="U763">
        <v>0</v>
      </c>
      <c r="V763">
        <v>1.9076679693104105E-2</v>
      </c>
      <c r="W763">
        <v>9.9584058830490388E-2</v>
      </c>
      <c r="X763">
        <v>-9.4396072497800003E-4</v>
      </c>
      <c r="Y763">
        <v>4.2806248760400907E-2</v>
      </c>
    </row>
    <row r="764" spans="1:25" x14ac:dyDescent="0.25">
      <c r="A764" s="879"/>
      <c r="B764" s="1133">
        <v>514</v>
      </c>
      <c r="C764" s="883">
        <v>0.98585961798390764</v>
      </c>
      <c r="D764" s="883">
        <v>0.99432960679191529</v>
      </c>
      <c r="E764" s="883">
        <v>0.99229942102426849</v>
      </c>
      <c r="F764" s="883">
        <v>0.99521170547258786</v>
      </c>
      <c r="G764" s="883">
        <v>1.0138079281079588</v>
      </c>
      <c r="H764" s="883">
        <v>0.99509256645549182</v>
      </c>
      <c r="I764" s="883">
        <v>1.0136449552334958</v>
      </c>
      <c r="K764">
        <v>6.7564958220893896</v>
      </c>
      <c r="L764">
        <v>0</v>
      </c>
      <c r="M764">
        <v>1.0616865093061307E-2</v>
      </c>
      <c r="N764">
        <v>0.1956930669806668</v>
      </c>
      <c r="O764">
        <v>0.12416076991126405</v>
      </c>
      <c r="P764">
        <v>8.2779288345388224E-2</v>
      </c>
      <c r="Q764">
        <v>0</v>
      </c>
      <c r="R764">
        <v>1.0616865093061307E-2</v>
      </c>
      <c r="S764">
        <v>0.27716569633082888</v>
      </c>
      <c r="T764">
        <v>5.9123052297038248</v>
      </c>
      <c r="U764">
        <v>0</v>
      </c>
      <c r="V764">
        <v>1.923328741216793E-2</v>
      </c>
      <c r="W764">
        <v>0.10339452994931805</v>
      </c>
      <c r="X764">
        <v>-1.9544072657525511E-3</v>
      </c>
      <c r="Y764">
        <v>4.3718360721686118E-2</v>
      </c>
    </row>
    <row r="765" spans="1:25" x14ac:dyDescent="0.25">
      <c r="A765" s="879"/>
      <c r="B765" s="1133">
        <v>515</v>
      </c>
      <c r="C765" s="883">
        <v>0.98258695249004557</v>
      </c>
      <c r="D765" s="883">
        <v>1.0318244431257522</v>
      </c>
      <c r="E765" s="883">
        <v>0.98811605123413093</v>
      </c>
      <c r="F765" s="883">
        <v>0.99554859707775278</v>
      </c>
      <c r="G765" s="883">
        <v>0.97074291412732927</v>
      </c>
      <c r="H765" s="883">
        <v>1.0042459318054799</v>
      </c>
      <c r="I765" s="883">
        <v>0.98191591920655896</v>
      </c>
      <c r="K765">
        <v>6.7462064525169758</v>
      </c>
      <c r="L765">
        <v>0</v>
      </c>
      <c r="M765">
        <v>1.0619897816241562E-2</v>
      </c>
      <c r="N765">
        <v>0.19453867258472185</v>
      </c>
      <c r="O765">
        <v>0.12282185748559436</v>
      </c>
      <c r="P765">
        <v>8.2422576501634329E-2</v>
      </c>
      <c r="Q765">
        <v>0</v>
      </c>
      <c r="R765">
        <v>1.0619897816241562E-2</v>
      </c>
      <c r="S765">
        <v>0.26987737264923228</v>
      </c>
      <c r="T765">
        <v>5.9125562437035022</v>
      </c>
      <c r="U765">
        <v>0</v>
      </c>
      <c r="V765">
        <v>1.9251705374808498E-2</v>
      </c>
      <c r="W765">
        <v>0.10299923068491808</v>
      </c>
      <c r="X765">
        <v>-1.992055403375677E-3</v>
      </c>
      <c r="Y765">
        <v>4.3730848935937788E-2</v>
      </c>
    </row>
    <row r="766" spans="1:25" x14ac:dyDescent="0.25">
      <c r="A766" s="879"/>
      <c r="B766" s="1133">
        <v>516</v>
      </c>
      <c r="C766" s="883">
        <v>1.0205715960578914</v>
      </c>
      <c r="D766" s="883">
        <v>0.96186910383056357</v>
      </c>
      <c r="E766" s="883">
        <v>1.0064581586211472</v>
      </c>
      <c r="F766" s="883">
        <v>0.99231994263601253</v>
      </c>
      <c r="G766" s="883">
        <v>0.95932923334477826</v>
      </c>
      <c r="H766" s="883">
        <v>0.99341367727401786</v>
      </c>
      <c r="I766" s="883">
        <v>1.0155422185351113</v>
      </c>
      <c r="K766">
        <v>6.7390835356671541</v>
      </c>
      <c r="L766">
        <v>0</v>
      </c>
      <c r="M766">
        <v>1.0257522174202168E-2</v>
      </c>
      <c r="N766">
        <v>0.19307753530586</v>
      </c>
      <c r="O766">
        <v>0.1212767371089911</v>
      </c>
      <c r="P766">
        <v>8.3537431017213171E-2</v>
      </c>
      <c r="Q766">
        <v>0</v>
      </c>
      <c r="R766">
        <v>1.0257522174202168E-2</v>
      </c>
      <c r="S766">
        <v>0.26844766100604672</v>
      </c>
      <c r="T766">
        <v>5.9113538054446213</v>
      </c>
      <c r="U766">
        <v>0</v>
      </c>
      <c r="V766">
        <v>1.9045205579063765E-2</v>
      </c>
      <c r="W766">
        <v>0.10129762384864106</v>
      </c>
      <c r="X766">
        <v>-1.1911141857613365E-3</v>
      </c>
      <c r="Y766">
        <v>4.2238650542479363E-2</v>
      </c>
    </row>
    <row r="767" spans="1:25" x14ac:dyDescent="0.25">
      <c r="A767" s="879"/>
      <c r="B767" s="1133">
        <v>517</v>
      </c>
      <c r="C767" s="883">
        <v>0.97584593525894103</v>
      </c>
      <c r="D767" s="883">
        <v>0.97171297214079089</v>
      </c>
      <c r="E767" s="883">
        <v>0.99364426963173336</v>
      </c>
      <c r="F767" s="883">
        <v>0.96364059817384917</v>
      </c>
      <c r="G767" s="883">
        <v>1.0026373688606423</v>
      </c>
      <c r="H767" s="883">
        <v>1.0336914348996891</v>
      </c>
      <c r="I767" s="883">
        <v>0.97481581653128224</v>
      </c>
      <c r="K767">
        <v>6.7716707187104612</v>
      </c>
      <c r="L767">
        <v>0</v>
      </c>
      <c r="M767">
        <v>1.1239071139212299E-2</v>
      </c>
      <c r="N767">
        <v>0.20757511455431871</v>
      </c>
      <c r="O767">
        <v>0.12656856224374541</v>
      </c>
      <c r="P767">
        <v>8.2788154838488393E-2</v>
      </c>
      <c r="Q767">
        <v>0</v>
      </c>
      <c r="R767">
        <v>1.1239071139212299E-2</v>
      </c>
      <c r="S767">
        <v>0.27320160229516183</v>
      </c>
      <c r="T767">
        <v>5.9105238221855965</v>
      </c>
      <c r="U767">
        <v>0</v>
      </c>
      <c r="V767">
        <v>1.9290031880704342E-2</v>
      </c>
      <c r="W767">
        <v>0.10959897976027999</v>
      </c>
      <c r="X767">
        <v>-4.1560435190305962E-3</v>
      </c>
      <c r="Y767">
        <v>4.6280494471188198E-2</v>
      </c>
    </row>
    <row r="768" spans="1:25" x14ac:dyDescent="0.25">
      <c r="A768" s="879"/>
      <c r="B768" s="1133">
        <v>518</v>
      </c>
      <c r="C768" s="883">
        <v>0.9795985910424978</v>
      </c>
      <c r="D768" s="883">
        <v>0.99472379291122548</v>
      </c>
      <c r="E768" s="883">
        <v>1.0231067236099038</v>
      </c>
      <c r="F768" s="883">
        <v>0.99970893889567247</v>
      </c>
      <c r="G768" s="883">
        <v>0.97658218138245245</v>
      </c>
      <c r="H768" s="883">
        <v>0.99922413545755417</v>
      </c>
      <c r="I768" s="883">
        <v>0.96813150704180739</v>
      </c>
      <c r="K768">
        <v>6.7530179777148502</v>
      </c>
      <c r="L768">
        <v>0</v>
      </c>
      <c r="M768">
        <v>1.0442183996640592E-2</v>
      </c>
      <c r="N768">
        <v>0.20145617419760931</v>
      </c>
      <c r="O768">
        <v>0.12434178061895439</v>
      </c>
      <c r="P768">
        <v>8.455495265111275E-2</v>
      </c>
      <c r="Q768">
        <v>0</v>
      </c>
      <c r="R768">
        <v>1.0442183996640592E-2</v>
      </c>
      <c r="S768">
        <v>0.26684695110353102</v>
      </c>
      <c r="T768">
        <v>5.9108038551241293</v>
      </c>
      <c r="U768">
        <v>0</v>
      </c>
      <c r="V768">
        <v>1.926863081689913E-2</v>
      </c>
      <c r="W768">
        <v>0.10482837499763503</v>
      </c>
      <c r="X768">
        <v>-2.0817968537208496E-3</v>
      </c>
      <c r="Y768">
        <v>4.2999055058701698E-2</v>
      </c>
    </row>
    <row r="769" spans="1:25" x14ac:dyDescent="0.25">
      <c r="A769" s="879"/>
      <c r="B769" s="1133">
        <v>519</v>
      </c>
      <c r="C769" s="883">
        <v>0.99796416182256498</v>
      </c>
      <c r="D769" s="883">
        <v>1.0071077727930688</v>
      </c>
      <c r="E769" s="883">
        <v>1.0344663487969759</v>
      </c>
      <c r="F769" s="883">
        <v>0.98519761504257253</v>
      </c>
      <c r="G769" s="883">
        <v>0.97301221460144516</v>
      </c>
      <c r="H769" s="883">
        <v>1.0149647404451685</v>
      </c>
      <c r="I769" s="883">
        <v>1.0369657557569147</v>
      </c>
      <c r="K769">
        <v>6.7629189043582354</v>
      </c>
      <c r="L769">
        <v>0</v>
      </c>
      <c r="M769">
        <v>1.0253876281619763E-2</v>
      </c>
      <c r="N769">
        <v>0.20117339113501523</v>
      </c>
      <c r="O769">
        <v>0.12123535399442578</v>
      </c>
      <c r="P769">
        <v>8.5452636229563367E-2</v>
      </c>
      <c r="Q769">
        <v>0</v>
      </c>
      <c r="R769">
        <v>1.0253876281619763E-2</v>
      </c>
      <c r="S769">
        <v>0.28198967656159452</v>
      </c>
      <c r="T769">
        <v>5.9093636567851986</v>
      </c>
      <c r="U769">
        <v>0</v>
      </c>
      <c r="V769">
        <v>1.9166214919696611E-2</v>
      </c>
      <c r="W769">
        <v>0.10409918694427064</v>
      </c>
      <c r="X769">
        <v>-1.7848496173034788E-3</v>
      </c>
      <c r="Y769">
        <v>4.2223637405769718E-2</v>
      </c>
    </row>
    <row r="770" spans="1:25" x14ac:dyDescent="0.25">
      <c r="A770" s="879"/>
      <c r="B770" s="1133">
        <v>520</v>
      </c>
      <c r="C770" s="883">
        <v>0.98349943537332674</v>
      </c>
      <c r="D770" s="883">
        <v>1.0214479573363848</v>
      </c>
      <c r="E770" s="883">
        <v>1.0097290808621742</v>
      </c>
      <c r="F770" s="883">
        <v>0.9803197846213908</v>
      </c>
      <c r="G770" s="883">
        <v>0.99025492290694439</v>
      </c>
      <c r="H770" s="883">
        <v>0.98294999205051259</v>
      </c>
      <c r="I770" s="883">
        <v>1.0061282210380205</v>
      </c>
      <c r="K770">
        <v>6.7468426550485852</v>
      </c>
      <c r="L770">
        <v>0</v>
      </c>
      <c r="M770">
        <v>1.0235007064497984E-2</v>
      </c>
      <c r="N770">
        <v>0.19358900001369703</v>
      </c>
      <c r="O770">
        <v>0.12279689881029927</v>
      </c>
      <c r="P770">
        <v>8.3814172644734397E-2</v>
      </c>
      <c r="Q770">
        <v>0</v>
      </c>
      <c r="R770">
        <v>1.0235007064497984E-2</v>
      </c>
      <c r="S770">
        <v>0.27437631936008922</v>
      </c>
      <c r="T770">
        <v>5.9105201159519547</v>
      </c>
      <c r="U770">
        <v>0</v>
      </c>
      <c r="V770">
        <v>1.9246557764526918E-2</v>
      </c>
      <c r="W770">
        <v>0.10140165126531846</v>
      </c>
      <c r="X770">
        <v>-1.04799809029487E-3</v>
      </c>
      <c r="Y770">
        <v>4.2145937328257679E-2</v>
      </c>
    </row>
    <row r="771" spans="1:25" x14ac:dyDescent="0.25">
      <c r="A771" s="879"/>
      <c r="B771" s="1133">
        <v>521</v>
      </c>
      <c r="C771" s="883">
        <v>1.0141338022860593</v>
      </c>
      <c r="D771" s="883">
        <v>0.99701818116295005</v>
      </c>
      <c r="E771" s="883">
        <v>1.0209784687283321</v>
      </c>
      <c r="F771" s="883">
        <v>0.98972616438525107</v>
      </c>
      <c r="G771" s="883">
        <v>0.98870281086608403</v>
      </c>
      <c r="H771" s="883">
        <v>1.0080640029281995</v>
      </c>
      <c r="I771" s="883">
        <v>0.99529162401384452</v>
      </c>
      <c r="K771">
        <v>6.7381701960161413</v>
      </c>
      <c r="L771">
        <v>0</v>
      </c>
      <c r="M771">
        <v>1.0184744784500809E-2</v>
      </c>
      <c r="N771">
        <v>0.19587197660166752</v>
      </c>
      <c r="O771">
        <v>0.12003660756467271</v>
      </c>
      <c r="P771">
        <v>8.4398965132766277E-2</v>
      </c>
      <c r="Q771">
        <v>0</v>
      </c>
      <c r="R771">
        <v>1.0184744784500809E-2</v>
      </c>
      <c r="S771">
        <v>0.26578355677790005</v>
      </c>
      <c r="T771">
        <v>5.9103867310756772</v>
      </c>
      <c r="U771">
        <v>0</v>
      </c>
      <c r="V771">
        <v>1.9079115311713437E-2</v>
      </c>
      <c r="W771">
        <v>0.10202943849016195</v>
      </c>
      <c r="X771">
        <v>-1.3551611439978767E-3</v>
      </c>
      <c r="Y771">
        <v>4.1938966205581636E-2</v>
      </c>
    </row>
    <row r="772" spans="1:25" x14ac:dyDescent="0.25">
      <c r="A772" s="879"/>
      <c r="B772" s="1133">
        <v>522</v>
      </c>
      <c r="C772" s="883">
        <v>0.99414496218627513</v>
      </c>
      <c r="D772" s="883">
        <v>1.002763111188834</v>
      </c>
      <c r="E772" s="883">
        <v>0.99872107126280896</v>
      </c>
      <c r="F772" s="883">
        <v>1.0189142702378469</v>
      </c>
      <c r="G772" s="883">
        <v>1.0173185375138549</v>
      </c>
      <c r="H772" s="883">
        <v>0.98477162378991123</v>
      </c>
      <c r="I772" s="883">
        <v>0.98009284618746573</v>
      </c>
      <c r="K772">
        <v>6.7373764190092116</v>
      </c>
      <c r="L772">
        <v>0</v>
      </c>
      <c r="M772">
        <v>1.0323512323746953E-2</v>
      </c>
      <c r="N772">
        <v>0.19210544777826491</v>
      </c>
      <c r="O772">
        <v>0.12259008681788143</v>
      </c>
      <c r="P772">
        <v>8.302876014940426E-2</v>
      </c>
      <c r="Q772">
        <v>0</v>
      </c>
      <c r="R772">
        <v>1.0323512323746953E-2</v>
      </c>
      <c r="S772">
        <v>0.26472872438651879</v>
      </c>
      <c r="T772">
        <v>5.9132269430521323</v>
      </c>
      <c r="U772">
        <v>0</v>
      </c>
      <c r="V772">
        <v>1.9187201116426394E-2</v>
      </c>
      <c r="W772">
        <v>0.10117523107660847</v>
      </c>
      <c r="X772">
        <v>-1.1763616005244777E-3</v>
      </c>
      <c r="Y772">
        <v>4.2510386232496047E-2</v>
      </c>
    </row>
    <row r="773" spans="1:25" x14ac:dyDescent="0.25">
      <c r="A773" s="879"/>
      <c r="B773" s="1133">
        <v>523</v>
      </c>
      <c r="C773" s="883">
        <v>1.0062024299704595</v>
      </c>
      <c r="D773" s="883">
        <v>1.0018296933595658</v>
      </c>
      <c r="E773" s="883">
        <v>0.99101666531973143</v>
      </c>
      <c r="F773" s="883">
        <v>1.0212436207847273</v>
      </c>
      <c r="G773" s="883">
        <v>0.96944795848884213</v>
      </c>
      <c r="H773" s="883">
        <v>1.006519682395254</v>
      </c>
      <c r="I773" s="883">
        <v>0.9643182268508671</v>
      </c>
      <c r="K773">
        <v>6.7327560477459212</v>
      </c>
      <c r="L773">
        <v>0</v>
      </c>
      <c r="M773">
        <v>1.0499608249162722E-2</v>
      </c>
      <c r="N773">
        <v>0.1931640942173207</v>
      </c>
      <c r="O773">
        <v>0.12130922484297461</v>
      </c>
      <c r="P773">
        <v>8.2479000487640106E-2</v>
      </c>
      <c r="Q773">
        <v>0</v>
      </c>
      <c r="R773">
        <v>1.0499608249162722E-2</v>
      </c>
      <c r="S773">
        <v>0.25930551080538777</v>
      </c>
      <c r="T773">
        <v>5.9137837538312832</v>
      </c>
      <c r="U773">
        <v>0</v>
      </c>
      <c r="V773">
        <v>1.9121488755129767E-2</v>
      </c>
      <c r="W773">
        <v>0.10212360605936262</v>
      </c>
      <c r="X773">
        <v>-1.7661491626295403E-3</v>
      </c>
      <c r="Y773">
        <v>4.3235517909451904E-2</v>
      </c>
    </row>
    <row r="774" spans="1:25" x14ac:dyDescent="0.25">
      <c r="A774" s="879"/>
      <c r="B774" s="1133">
        <v>524</v>
      </c>
      <c r="C774" s="883">
        <v>1.0139169000883517</v>
      </c>
      <c r="D774" s="883">
        <v>1.0063760520066252</v>
      </c>
      <c r="E774" s="883">
        <v>0.99846057532059551</v>
      </c>
      <c r="F774" s="883">
        <v>1.0236617535686574</v>
      </c>
      <c r="G774" s="883">
        <v>1.003215127266722</v>
      </c>
      <c r="H774" s="883">
        <v>1.0003129155957224</v>
      </c>
      <c r="I774" s="883">
        <v>0.98863444536985545</v>
      </c>
      <c r="K774">
        <v>6.7315734711811626</v>
      </c>
      <c r="L774">
        <v>0</v>
      </c>
      <c r="M774">
        <v>1.0268455068502463E-2</v>
      </c>
      <c r="N774">
        <v>0.19100717748028748</v>
      </c>
      <c r="O774">
        <v>0.12003151624915975</v>
      </c>
      <c r="P774">
        <v>8.2994404504175667E-2</v>
      </c>
      <c r="Q774">
        <v>0</v>
      </c>
      <c r="R774">
        <v>1.0268455068502463E-2</v>
      </c>
      <c r="S774">
        <v>0.26322014019101853</v>
      </c>
      <c r="T774">
        <v>5.9134981396003754</v>
      </c>
      <c r="U774">
        <v>0</v>
      </c>
      <c r="V774">
        <v>1.9080265297235909E-2</v>
      </c>
      <c r="W774">
        <v>0.10060983311895287</v>
      </c>
      <c r="X774">
        <v>-1.151675515271467E-3</v>
      </c>
      <c r="Y774">
        <v>4.228367025522535E-2</v>
      </c>
    </row>
    <row r="775" spans="1:25" x14ac:dyDescent="0.25">
      <c r="A775" s="879"/>
      <c r="B775" s="1133">
        <v>525</v>
      </c>
      <c r="C775" s="883">
        <v>0.99033036084505532</v>
      </c>
      <c r="D775" s="883">
        <v>0.99837305085650774</v>
      </c>
      <c r="E775" s="883">
        <v>1.0288507511026577</v>
      </c>
      <c r="F775" s="883">
        <v>0.99460577957555241</v>
      </c>
      <c r="G775" s="883">
        <v>1.0055139375496245</v>
      </c>
      <c r="H775" s="883">
        <v>0.97934826243928397</v>
      </c>
      <c r="I775" s="883">
        <v>0.99105050667556616</v>
      </c>
      <c r="K775">
        <v>6.7431238946781686</v>
      </c>
      <c r="L775">
        <v>0</v>
      </c>
      <c r="M775">
        <v>1.0056968017409114E-2</v>
      </c>
      <c r="N775">
        <v>0.19567931277863612</v>
      </c>
      <c r="O775">
        <v>0.12270422039475166</v>
      </c>
      <c r="P775">
        <v>8.4925227119737767E-2</v>
      </c>
      <c r="Q775">
        <v>0</v>
      </c>
      <c r="R775">
        <v>1.0056968017409114E-2</v>
      </c>
      <c r="S775">
        <v>0.2683003535510835</v>
      </c>
      <c r="T775">
        <v>5.9101971643330717</v>
      </c>
      <c r="U775">
        <v>0</v>
      </c>
      <c r="V775">
        <v>1.9208323619817724E-2</v>
      </c>
      <c r="W775">
        <v>0.10153537071848184</v>
      </c>
      <c r="X775">
        <v>-8.3888205952959403E-4</v>
      </c>
      <c r="Y775">
        <v>4.1412804222114755E-2</v>
      </c>
    </row>
    <row r="776" spans="1:25" x14ac:dyDescent="0.25">
      <c r="A776" s="879"/>
      <c r="B776" s="1133">
        <v>526</v>
      </c>
      <c r="C776" s="883">
        <v>1.0130905712933793</v>
      </c>
      <c r="D776" s="883">
        <v>0.9776952522197343</v>
      </c>
      <c r="E776" s="883">
        <v>1.0213695372806502</v>
      </c>
      <c r="F776" s="883">
        <v>0.99618182492379426</v>
      </c>
      <c r="G776" s="883">
        <v>1.0066208649682682</v>
      </c>
      <c r="H776" s="883">
        <v>1.0095821220581271</v>
      </c>
      <c r="I776" s="883">
        <v>0.96145378624690259</v>
      </c>
      <c r="K776">
        <v>6.7344210931328883</v>
      </c>
      <c r="L776">
        <v>0</v>
      </c>
      <c r="M776">
        <v>1.0293053804640668E-2</v>
      </c>
      <c r="N776">
        <v>0.19806950554569527</v>
      </c>
      <c r="O776">
        <v>0.12109719713952943</v>
      </c>
      <c r="P776">
        <v>8.4313118351445143E-2</v>
      </c>
      <c r="Q776">
        <v>0</v>
      </c>
      <c r="R776">
        <v>1.0293053804640668E-2</v>
      </c>
      <c r="S776">
        <v>0.25734805842159586</v>
      </c>
      <c r="T776">
        <v>5.9107130633737839</v>
      </c>
      <c r="U776">
        <v>0</v>
      </c>
      <c r="V776">
        <v>1.908465088990648E-2</v>
      </c>
      <c r="W776">
        <v>0.10315426445011298</v>
      </c>
      <c r="X776">
        <v>-1.7437285114153781E-3</v>
      </c>
      <c r="Y776">
        <v>4.2384963472230669E-2</v>
      </c>
    </row>
    <row r="777" spans="1:25" x14ac:dyDescent="0.25">
      <c r="A777" s="879"/>
      <c r="B777" s="1133">
        <v>527</v>
      </c>
      <c r="C777" s="883">
        <v>1.0358304755708512</v>
      </c>
      <c r="D777" s="883">
        <v>1.0261072968063363</v>
      </c>
      <c r="E777" s="883">
        <v>1.0077621970482107</v>
      </c>
      <c r="F777" s="883">
        <v>0.99704144656000426</v>
      </c>
      <c r="G777" s="883">
        <v>0.95432555260857099</v>
      </c>
      <c r="H777" s="883">
        <v>1.0104855742908434</v>
      </c>
      <c r="I777" s="883">
        <v>0.99664395331705069</v>
      </c>
      <c r="K777">
        <v>6.7185916738309714</v>
      </c>
      <c r="L777">
        <v>0</v>
      </c>
      <c r="M777">
        <v>9.9878808543085364E-3</v>
      </c>
      <c r="N777">
        <v>0.18836543396055097</v>
      </c>
      <c r="O777">
        <v>0.11641640078852658</v>
      </c>
      <c r="P777">
        <v>8.3513375534987444E-2</v>
      </c>
      <c r="Q777">
        <v>0</v>
      </c>
      <c r="R777">
        <v>9.9878808543085364E-3</v>
      </c>
      <c r="S777">
        <v>0.26048769450852238</v>
      </c>
      <c r="T777">
        <v>5.9115351455894105</v>
      </c>
      <c r="U777">
        <v>0</v>
      </c>
      <c r="V777">
        <v>1.8966516126638987E-2</v>
      </c>
      <c r="W777">
        <v>9.8761636176039058E-2</v>
      </c>
      <c r="X777">
        <v>-5.8284443522854071E-4</v>
      </c>
      <c r="Y777">
        <v>4.1128315581523189E-2</v>
      </c>
    </row>
    <row r="778" spans="1:25" x14ac:dyDescent="0.25">
      <c r="A778" s="879"/>
      <c r="B778" s="1133">
        <v>528</v>
      </c>
      <c r="C778" s="883">
        <v>0.98707645469009886</v>
      </c>
      <c r="D778" s="883">
        <v>0.99321507974322709</v>
      </c>
      <c r="E778" s="883">
        <v>0.99420245161855569</v>
      </c>
      <c r="F778" s="883">
        <v>0.97420992995016298</v>
      </c>
      <c r="G778" s="883">
        <v>1.0058769464817774</v>
      </c>
      <c r="H778" s="883">
        <v>1.0052119672054289</v>
      </c>
      <c r="I778" s="883">
        <v>0.99688679379074918</v>
      </c>
      <c r="K778">
        <v>6.7542462440123643</v>
      </c>
      <c r="L778">
        <v>0</v>
      </c>
      <c r="M778">
        <v>1.0698970034212062E-2</v>
      </c>
      <c r="N778">
        <v>0.19776349693667669</v>
      </c>
      <c r="O778">
        <v>0.1240272426538068</v>
      </c>
      <c r="P778">
        <v>8.2829967632216589E-2</v>
      </c>
      <c r="Q778">
        <v>0</v>
      </c>
      <c r="R778">
        <v>1.0698970034212062E-2</v>
      </c>
      <c r="S778">
        <v>0.27322817233063196</v>
      </c>
      <c r="T778">
        <v>5.9110639063623509</v>
      </c>
      <c r="U778">
        <v>0</v>
      </c>
      <c r="V778">
        <v>1.9226470425062075E-2</v>
      </c>
      <c r="W778">
        <v>0.10438946384460664</v>
      </c>
      <c r="X778">
        <v>-2.3389304281977723E-3</v>
      </c>
      <c r="Y778">
        <v>4.4056454255210181E-2</v>
      </c>
    </row>
    <row r="779" spans="1:25" x14ac:dyDescent="0.25">
      <c r="A779" s="879"/>
      <c r="B779" s="1133">
        <v>529</v>
      </c>
      <c r="C779" s="883">
        <v>1.0126122070347479</v>
      </c>
      <c r="D779" s="883">
        <v>1.0307830262473598</v>
      </c>
      <c r="E779" s="883">
        <v>1.0105653976386006</v>
      </c>
      <c r="F779" s="883">
        <v>1.0235493163382643</v>
      </c>
      <c r="G779" s="883">
        <v>1.013016654113664</v>
      </c>
      <c r="H779" s="883">
        <v>1.0026869226736574</v>
      </c>
      <c r="I779" s="883">
        <v>1.0210479819167673</v>
      </c>
      <c r="K779">
        <v>6.7387766151202264</v>
      </c>
      <c r="L779">
        <v>0</v>
      </c>
      <c r="M779">
        <v>1.0093568823745451E-2</v>
      </c>
      <c r="N779">
        <v>0.19115028935903336</v>
      </c>
      <c r="O779">
        <v>0.11881787813797409</v>
      </c>
      <c r="P779">
        <v>8.3866186973308235E-2</v>
      </c>
      <c r="Q779">
        <v>0</v>
      </c>
      <c r="R779">
        <v>1.0093568823745451E-2</v>
      </c>
      <c r="S779">
        <v>0.27221378317513634</v>
      </c>
      <c r="T779">
        <v>5.9128085093827405</v>
      </c>
      <c r="U779">
        <v>0</v>
      </c>
      <c r="V779">
        <v>1.9087192994015199E-2</v>
      </c>
      <c r="W779">
        <v>0.10008285265503966</v>
      </c>
      <c r="X779">
        <v>-8.135973849285092E-4</v>
      </c>
      <c r="Y779">
        <v>4.1563519827907104E-2</v>
      </c>
    </row>
    <row r="780" spans="1:25" x14ac:dyDescent="0.25">
      <c r="A780" s="879"/>
      <c r="B780" s="1133">
        <v>530</v>
      </c>
      <c r="C780" s="883">
        <v>0.96468408136168138</v>
      </c>
      <c r="D780" s="883">
        <v>1.0116807153432941</v>
      </c>
      <c r="E780" s="883">
        <v>1.007263164991228</v>
      </c>
      <c r="F780" s="883">
        <v>0.99058898160584208</v>
      </c>
      <c r="G780" s="883">
        <v>1.029937574455337</v>
      </c>
      <c r="H780" s="883">
        <v>1.028870926451811</v>
      </c>
      <c r="I780" s="883">
        <v>1.0183332535977463</v>
      </c>
      <c r="K780">
        <v>6.7853286129480583</v>
      </c>
      <c r="L780">
        <v>0</v>
      </c>
      <c r="M780">
        <v>1.099079677332915E-2</v>
      </c>
      <c r="N780">
        <v>0.20712672424595291</v>
      </c>
      <c r="O780">
        <v>0.12572189483001436</v>
      </c>
      <c r="P780">
        <v>8.3850330930742095E-2</v>
      </c>
      <c r="Q780">
        <v>0</v>
      </c>
      <c r="R780">
        <v>1.099079677332915E-2</v>
      </c>
      <c r="S780">
        <v>0.28775384811738502</v>
      </c>
      <c r="T780">
        <v>5.9112147288364625</v>
      </c>
      <c r="U780">
        <v>0</v>
      </c>
      <c r="V780">
        <v>1.9354671085487347E-2</v>
      </c>
      <c r="W780">
        <v>0.10862517936734112</v>
      </c>
      <c r="X780">
        <v>-3.5769092889981033E-3</v>
      </c>
      <c r="Y780">
        <v>4.5258144823671138E-2</v>
      </c>
    </row>
    <row r="781" spans="1:25" x14ac:dyDescent="0.25">
      <c r="A781" s="879"/>
      <c r="B781" s="1133">
        <v>531</v>
      </c>
      <c r="C781" s="883">
        <v>1.0481597854964595</v>
      </c>
      <c r="D781" s="883">
        <v>0.9887652293024054</v>
      </c>
      <c r="E781" s="883">
        <v>1.0146581598779014</v>
      </c>
      <c r="F781" s="883">
        <v>1.0031886499183646</v>
      </c>
      <c r="G781" s="883">
        <v>1.0019542362343143</v>
      </c>
      <c r="H781" s="883">
        <v>0.98415305009721643</v>
      </c>
      <c r="I781" s="883">
        <v>0.98641946648439871</v>
      </c>
      <c r="K781">
        <v>6.7055756688958761</v>
      </c>
      <c r="L781">
        <v>0</v>
      </c>
      <c r="M781">
        <v>9.7082623096479814E-3</v>
      </c>
      <c r="N781">
        <v>0.18497052773314837</v>
      </c>
      <c r="O781">
        <v>0.11664116760880862</v>
      </c>
      <c r="P781">
        <v>8.3839629760337819E-2</v>
      </c>
      <c r="Q781">
        <v>0</v>
      </c>
      <c r="R781">
        <v>9.7082623096479814E-3</v>
      </c>
      <c r="S781">
        <v>0.25280358781474993</v>
      </c>
      <c r="T781">
        <v>5.9114754716048017</v>
      </c>
      <c r="U781">
        <v>0</v>
      </c>
      <c r="V781">
        <v>1.8904607861618534E-2</v>
      </c>
      <c r="W781">
        <v>9.6651597971542103E-2</v>
      </c>
      <c r="X781">
        <v>3.1218235600720759E-4</v>
      </c>
      <c r="Y781">
        <v>3.9976896184856614E-2</v>
      </c>
    </row>
    <row r="782" spans="1:25" x14ac:dyDescent="0.25">
      <c r="A782" s="879"/>
      <c r="B782" s="1133">
        <v>532</v>
      </c>
      <c r="C782" s="883">
        <v>1.0195425941188914</v>
      </c>
      <c r="D782" s="883">
        <v>1.0033582581919991</v>
      </c>
      <c r="E782" s="883">
        <v>1.0067247708852602</v>
      </c>
      <c r="F782" s="883">
        <v>1.0162258892260823</v>
      </c>
      <c r="G782" s="883">
        <v>1.0270186806127894</v>
      </c>
      <c r="H782" s="883">
        <v>1.0077814489035684</v>
      </c>
      <c r="I782" s="883">
        <v>0.97827727507034634</v>
      </c>
      <c r="K782">
        <v>6.7287047625525354</v>
      </c>
      <c r="L782">
        <v>0</v>
      </c>
      <c r="M782">
        <v>1.0227156911506973E-2</v>
      </c>
      <c r="N782">
        <v>0.19258198351004024</v>
      </c>
      <c r="O782">
        <v>0.11936079803325915</v>
      </c>
      <c r="P782">
        <v>8.345417632611446E-2</v>
      </c>
      <c r="Q782">
        <v>0</v>
      </c>
      <c r="R782">
        <v>1.0227156911506973E-2</v>
      </c>
      <c r="S782">
        <v>0.25974212539650499</v>
      </c>
      <c r="T782">
        <v>5.9126305304653455</v>
      </c>
      <c r="U782">
        <v>0</v>
      </c>
      <c r="V782">
        <v>1.9050596877620875E-2</v>
      </c>
      <c r="W782">
        <v>0.10102429249612777</v>
      </c>
      <c r="X782">
        <v>-1.2533523479937669E-3</v>
      </c>
      <c r="Y782">
        <v>4.2113611795515836E-2</v>
      </c>
    </row>
    <row r="783" spans="1:25" x14ac:dyDescent="0.25">
      <c r="A783" s="879"/>
      <c r="B783" s="1133">
        <v>533</v>
      </c>
      <c r="C783" s="883">
        <v>0.99079256050620168</v>
      </c>
      <c r="D783" s="883">
        <v>0.95263269932117622</v>
      </c>
      <c r="E783" s="883">
        <v>1.0227527318017617</v>
      </c>
      <c r="F783" s="883">
        <v>1.0180314966400923</v>
      </c>
      <c r="G783" s="883">
        <v>0.97267094996179349</v>
      </c>
      <c r="H783" s="883">
        <v>0.9971562493898759</v>
      </c>
      <c r="I783" s="883">
        <v>1.0211986779640496</v>
      </c>
      <c r="K783">
        <v>6.7682370377431909</v>
      </c>
      <c r="L783">
        <v>0</v>
      </c>
      <c r="M783">
        <v>1.0498867165078489E-2</v>
      </c>
      <c r="N783">
        <v>0.20244372031069663</v>
      </c>
      <c r="O783">
        <v>0.12508846818516756</v>
      </c>
      <c r="P783">
        <v>8.4705377559290057E-2</v>
      </c>
      <c r="Q783">
        <v>0</v>
      </c>
      <c r="R783">
        <v>1.0498867165078489E-2</v>
      </c>
      <c r="S783">
        <v>0.27856507563607491</v>
      </c>
      <c r="T783">
        <v>5.911814040976644</v>
      </c>
      <c r="U783">
        <v>0</v>
      </c>
      <c r="V783">
        <v>1.920575563274457E-2</v>
      </c>
      <c r="W783">
        <v>0.10536059641051683</v>
      </c>
      <c r="X783">
        <v>-2.1784632250412658E-3</v>
      </c>
      <c r="Y783">
        <v>4.3232466257101095E-2</v>
      </c>
    </row>
    <row r="784" spans="1:25" x14ac:dyDescent="0.25">
      <c r="A784" s="879"/>
      <c r="B784" s="1133">
        <v>534</v>
      </c>
      <c r="C784" s="883">
        <v>1.0066115733961665</v>
      </c>
      <c r="D784" s="883">
        <v>1.0167987041997693</v>
      </c>
      <c r="E784" s="883">
        <v>0.96612013799747309</v>
      </c>
      <c r="F784" s="883">
        <v>0.9597183725888353</v>
      </c>
      <c r="G784" s="883">
        <v>1.0206373044334329</v>
      </c>
      <c r="H784" s="883">
        <v>0.99294628758952985</v>
      </c>
      <c r="I784" s="883">
        <v>1.0319440153036012</v>
      </c>
      <c r="K784">
        <v>6.7372246553433728</v>
      </c>
      <c r="L784">
        <v>0</v>
      </c>
      <c r="M784">
        <v>1.0513935613443364E-2</v>
      </c>
      <c r="N784">
        <v>0.18641237447436981</v>
      </c>
      <c r="O784">
        <v>0.12099825655337004</v>
      </c>
      <c r="P784">
        <v>8.1103404861743597E-2</v>
      </c>
      <c r="Q784">
        <v>0</v>
      </c>
      <c r="R784">
        <v>1.0513935613443364E-2</v>
      </c>
      <c r="S784">
        <v>0.27587899982979441</v>
      </c>
      <c r="T784">
        <v>5.9118267535173477</v>
      </c>
      <c r="U784">
        <v>0</v>
      </c>
      <c r="V784">
        <v>1.9119286567407655E-2</v>
      </c>
      <c r="W784">
        <v>9.9791042642144931E-2</v>
      </c>
      <c r="X784">
        <v>-1.1999785481937183E-3</v>
      </c>
      <c r="Y784">
        <v>4.3294515445383819E-2</v>
      </c>
    </row>
    <row r="785" spans="1:25" x14ac:dyDescent="0.25">
      <c r="A785" s="879"/>
      <c r="B785" s="1133">
        <v>535</v>
      </c>
      <c r="C785" s="883">
        <v>1.0061047144613944</v>
      </c>
      <c r="D785" s="883">
        <v>0.99154237436090065</v>
      </c>
      <c r="E785" s="883">
        <v>0.9711727178273224</v>
      </c>
      <c r="F785" s="883">
        <v>1.0120039339122249</v>
      </c>
      <c r="G785" s="883">
        <v>0.99027337400012594</v>
      </c>
      <c r="H785" s="883">
        <v>1.0428271987940045</v>
      </c>
      <c r="I785" s="883">
        <v>1.0130709333807393</v>
      </c>
      <c r="K785">
        <v>6.7601684883135826</v>
      </c>
      <c r="L785">
        <v>0</v>
      </c>
      <c r="M785">
        <v>1.1118301851922341E-2</v>
      </c>
      <c r="N785">
        <v>0.19861236346155783</v>
      </c>
      <c r="O785">
        <v>0.12219037842249353</v>
      </c>
      <c r="P785">
        <v>8.1457112675969848E-2</v>
      </c>
      <c r="Q785">
        <v>0</v>
      </c>
      <c r="R785">
        <v>1.1118301851922341E-2</v>
      </c>
      <c r="S785">
        <v>0.27597313412689922</v>
      </c>
      <c r="T785">
        <v>5.9143788045290346</v>
      </c>
      <c r="U785">
        <v>0</v>
      </c>
      <c r="V785">
        <v>1.9122014967428189E-2</v>
      </c>
      <c r="W785">
        <v>0.10605210116256329</v>
      </c>
      <c r="X785">
        <v>-3.4006090746231147E-3</v>
      </c>
      <c r="Y785">
        <v>4.5783188042259955E-2</v>
      </c>
    </row>
    <row r="786" spans="1:25" x14ac:dyDescent="0.25">
      <c r="A786" s="879"/>
      <c r="B786" s="1133">
        <v>536</v>
      </c>
      <c r="C786" s="883">
        <v>1.0038397037702997</v>
      </c>
      <c r="D786" s="883">
        <v>0.99919571743218361</v>
      </c>
      <c r="E786" s="883">
        <v>0.98653595936281335</v>
      </c>
      <c r="F786" s="883">
        <v>0.9790089903082182</v>
      </c>
      <c r="G786" s="883">
        <v>0.95549299692807865</v>
      </c>
      <c r="H786" s="883">
        <v>0.99956721549926864</v>
      </c>
      <c r="I786" s="883">
        <v>1.0281615401865074</v>
      </c>
      <c r="K786">
        <v>6.746935139196566</v>
      </c>
      <c r="L786">
        <v>0</v>
      </c>
      <c r="M786">
        <v>1.0504402283565329E-2</v>
      </c>
      <c r="N786">
        <v>0.19197265460536236</v>
      </c>
      <c r="O786">
        <v>0.12180607796148075</v>
      </c>
      <c r="P786">
        <v>8.2398338730953966E-2</v>
      </c>
      <c r="Q786">
        <v>0</v>
      </c>
      <c r="R786">
        <v>1.0504402283565329E-2</v>
      </c>
      <c r="S786">
        <v>0.27647206675531971</v>
      </c>
      <c r="T786">
        <v>5.9117498858564757</v>
      </c>
      <c r="U786">
        <v>0</v>
      </c>
      <c r="V786">
        <v>1.9134241089969226E-2</v>
      </c>
      <c r="W786">
        <v>0.10172084879184821</v>
      </c>
      <c r="X786">
        <v>-1.574233484664839E-3</v>
      </c>
      <c r="Y786">
        <v>4.3255258889815532E-2</v>
      </c>
    </row>
    <row r="787" spans="1:25" x14ac:dyDescent="0.25">
      <c r="A787" s="879"/>
      <c r="B787" s="1133">
        <v>537</v>
      </c>
      <c r="C787" s="883">
        <v>0.98181397077363242</v>
      </c>
      <c r="D787" s="883">
        <v>0.97717455419750054</v>
      </c>
      <c r="E787" s="883">
        <v>0.99041934817403054</v>
      </c>
      <c r="F787" s="883">
        <v>1.019618567155097</v>
      </c>
      <c r="G787" s="883">
        <v>1.0240926849592173</v>
      </c>
      <c r="H787" s="883">
        <v>1.0293376434987647</v>
      </c>
      <c r="I787" s="883">
        <v>1.0276276231048207</v>
      </c>
      <c r="K787">
        <v>6.781991644475549</v>
      </c>
      <c r="L787">
        <v>0</v>
      </c>
      <c r="M787">
        <v>1.1128284409360992E-2</v>
      </c>
      <c r="N787">
        <v>0.20454880434405245</v>
      </c>
      <c r="O787">
        <v>0.12557937097484637</v>
      </c>
      <c r="P787">
        <v>8.2794156135291952E-2</v>
      </c>
      <c r="Q787">
        <v>0</v>
      </c>
      <c r="R787">
        <v>1.1128284409360992E-2</v>
      </c>
      <c r="S787">
        <v>0.28574140993610037</v>
      </c>
      <c r="T787">
        <v>5.9137291892301249</v>
      </c>
      <c r="U787">
        <v>0</v>
      </c>
      <c r="V787">
        <v>1.9256073499850004E-2</v>
      </c>
      <c r="W787">
        <v>0.10817477662887842</v>
      </c>
      <c r="X787">
        <v>-3.6564307105610826E-3</v>
      </c>
      <c r="Y787">
        <v>4.5824294436963328E-2</v>
      </c>
    </row>
    <row r="788" spans="1:25" x14ac:dyDescent="0.25">
      <c r="A788" s="879"/>
      <c r="B788" s="1133">
        <v>538</v>
      </c>
      <c r="C788" s="883">
        <v>1.0233141802718719</v>
      </c>
      <c r="D788" s="883">
        <v>1.0078083762692471</v>
      </c>
      <c r="E788" s="883">
        <v>1.0006872281986359</v>
      </c>
      <c r="F788" s="883">
        <v>0.99231832885175975</v>
      </c>
      <c r="G788" s="883">
        <v>0.98274091113720752</v>
      </c>
      <c r="H788" s="883">
        <v>1.0039745520334704</v>
      </c>
      <c r="I788" s="883">
        <v>1.005600412540427</v>
      </c>
      <c r="K788">
        <v>6.7293483236181562</v>
      </c>
      <c r="L788">
        <v>0</v>
      </c>
      <c r="M788">
        <v>1.0185353322331151E-2</v>
      </c>
      <c r="N788">
        <v>0.19008740891945758</v>
      </c>
      <c r="O788">
        <v>0.11882096556471046</v>
      </c>
      <c r="P788">
        <v>8.3141185862036143E-2</v>
      </c>
      <c r="Q788">
        <v>0</v>
      </c>
      <c r="R788">
        <v>1.0185353322331151E-2</v>
      </c>
      <c r="S788">
        <v>0.26560666767493385</v>
      </c>
      <c r="T788">
        <v>5.9116791462522773</v>
      </c>
      <c r="U788">
        <v>0</v>
      </c>
      <c r="V788">
        <v>1.9030889188312403E-2</v>
      </c>
      <c r="W788">
        <v>0.10001468063081018</v>
      </c>
      <c r="X788">
        <v>-9.7409253043955E-4</v>
      </c>
      <c r="Y788">
        <v>4.1941472056051296E-2</v>
      </c>
    </row>
    <row r="789" spans="1:25" x14ac:dyDescent="0.25">
      <c r="A789" s="879"/>
      <c r="B789" s="1133">
        <v>539</v>
      </c>
      <c r="C789" s="883">
        <v>0.99255473963626217</v>
      </c>
      <c r="D789" s="883">
        <v>1.0087347380935936</v>
      </c>
      <c r="E789" s="883">
        <v>0.98296057898588862</v>
      </c>
      <c r="F789" s="883">
        <v>1.0377194267251912</v>
      </c>
      <c r="G789" s="883">
        <v>1.0109642861592751</v>
      </c>
      <c r="H789" s="883">
        <v>1.0395810202313773</v>
      </c>
      <c r="I789" s="883">
        <v>0.98274395952041393</v>
      </c>
      <c r="K789">
        <v>6.7593896446198922</v>
      </c>
      <c r="L789">
        <v>0</v>
      </c>
      <c r="M789">
        <v>1.1038615849975836E-2</v>
      </c>
      <c r="N789">
        <v>0.20066870408788451</v>
      </c>
      <c r="O789">
        <v>0.12279042823710609</v>
      </c>
      <c r="P789">
        <v>8.2144470147679616E-2</v>
      </c>
      <c r="Q789">
        <v>0</v>
      </c>
      <c r="R789">
        <v>1.1038615849975836E-2</v>
      </c>
      <c r="S789">
        <v>0.27088512257915998</v>
      </c>
      <c r="T789">
        <v>5.9151214410582842</v>
      </c>
      <c r="U789">
        <v>0</v>
      </c>
      <c r="V789">
        <v>1.9195986885115521E-2</v>
      </c>
      <c r="W789">
        <v>0.10651879130522346</v>
      </c>
      <c r="X789">
        <v>-3.3903549503859752E-3</v>
      </c>
      <c r="Y789">
        <v>4.5455055269823852E-2</v>
      </c>
    </row>
    <row r="790" spans="1:25" x14ac:dyDescent="0.25">
      <c r="A790" s="879"/>
      <c r="B790" s="1133">
        <v>540</v>
      </c>
      <c r="C790" s="883">
        <v>1.0334702915529037</v>
      </c>
      <c r="D790" s="883">
        <v>1.0051028049636446</v>
      </c>
      <c r="E790" s="883">
        <v>0.97238401037217481</v>
      </c>
      <c r="F790" s="883">
        <v>0.98456077994384794</v>
      </c>
      <c r="G790" s="883">
        <v>1.0317096040475968</v>
      </c>
      <c r="H790" s="883">
        <v>0.98857319268040078</v>
      </c>
      <c r="I790" s="883">
        <v>1.0228108930014759</v>
      </c>
      <c r="K790">
        <v>6.7187644757535638</v>
      </c>
      <c r="L790">
        <v>0</v>
      </c>
      <c r="M790">
        <v>1.0190491207485752E-2</v>
      </c>
      <c r="N790">
        <v>0.18236601780974901</v>
      </c>
      <c r="O790">
        <v>0.11828867220750092</v>
      </c>
      <c r="P790">
        <v>8.1381155167289276E-2</v>
      </c>
      <c r="Q790">
        <v>0</v>
      </c>
      <c r="R790">
        <v>1.0190491207485752E-2</v>
      </c>
      <c r="S790">
        <v>0.26604260643497435</v>
      </c>
      <c r="T790">
        <v>5.9128288802492026</v>
      </c>
      <c r="U790">
        <v>0</v>
      </c>
      <c r="V790">
        <v>1.8978535594069958E-2</v>
      </c>
      <c r="W790">
        <v>9.7317876421042393E-2</v>
      </c>
      <c r="X790">
        <v>-4.0189708287151137E-4</v>
      </c>
      <c r="Y790">
        <v>4.196262895260848E-2</v>
      </c>
    </row>
    <row r="791" spans="1:25" x14ac:dyDescent="0.25">
      <c r="A791" s="879"/>
      <c r="B791" s="1133">
        <v>541</v>
      </c>
      <c r="C791" s="883">
        <v>1.0221464484300138</v>
      </c>
      <c r="D791" s="883">
        <v>1.0183351814862018</v>
      </c>
      <c r="E791" s="883">
        <v>0.97737662326411356</v>
      </c>
      <c r="F791" s="883">
        <v>0.99305381285527605</v>
      </c>
      <c r="G791" s="883">
        <v>0.99197039399880116</v>
      </c>
      <c r="H791" s="883">
        <v>0.9831118179084215</v>
      </c>
      <c r="I791" s="883">
        <v>1.0093414389026785</v>
      </c>
      <c r="K791">
        <v>6.7191838916053337</v>
      </c>
      <c r="L791">
        <v>0</v>
      </c>
      <c r="M791">
        <v>1.0145029125392842E-2</v>
      </c>
      <c r="N791">
        <v>0.18290278820124695</v>
      </c>
      <c r="O791">
        <v>0.11888530526415328</v>
      </c>
      <c r="P791">
        <v>8.1682979072509057E-2</v>
      </c>
      <c r="Q791">
        <v>0</v>
      </c>
      <c r="R791">
        <v>1.0145029125392842E-2</v>
      </c>
      <c r="S791">
        <v>0.26483233615977519</v>
      </c>
      <c r="T791">
        <v>5.9130145335855158</v>
      </c>
      <c r="U791">
        <v>0</v>
      </c>
      <c r="V791">
        <v>1.9036975399913329E-2</v>
      </c>
      <c r="W791">
        <v>9.7360117285185482E-2</v>
      </c>
      <c r="X791">
        <v>-3.0656755346358724E-4</v>
      </c>
      <c r="Y791">
        <v>4.1775424190498824E-2</v>
      </c>
    </row>
    <row r="792" spans="1:25" x14ac:dyDescent="0.25">
      <c r="A792" s="879"/>
      <c r="B792" s="1133">
        <v>542</v>
      </c>
      <c r="C792" s="883">
        <v>1.0020414497297503</v>
      </c>
      <c r="D792" s="883">
        <v>1.0160195882994647</v>
      </c>
      <c r="E792" s="883">
        <v>1.0236662946584327</v>
      </c>
      <c r="F792" s="883">
        <v>0.99957020833742771</v>
      </c>
      <c r="G792" s="883">
        <v>0.96341345701563241</v>
      </c>
      <c r="H792" s="883">
        <v>0.99884289602770948</v>
      </c>
      <c r="I792" s="883">
        <v>1.0040250055815803</v>
      </c>
      <c r="K792">
        <v>6.7426016236787136</v>
      </c>
      <c r="L792">
        <v>0</v>
      </c>
      <c r="M792">
        <v>1.0107312822565419E-2</v>
      </c>
      <c r="N792">
        <v>0.19515709869026007</v>
      </c>
      <c r="O792">
        <v>0.1205207509632213</v>
      </c>
      <c r="P792">
        <v>8.4634816361869022E-2</v>
      </c>
      <c r="Q792">
        <v>0</v>
      </c>
      <c r="R792">
        <v>1.0107312822565419E-2</v>
      </c>
      <c r="S792">
        <v>0.27029849325296407</v>
      </c>
      <c r="T792">
        <v>5.91076419179024</v>
      </c>
      <c r="U792">
        <v>0</v>
      </c>
      <c r="V792">
        <v>1.9143987103956133E-2</v>
      </c>
      <c r="W792">
        <v>0.1015226816010356</v>
      </c>
      <c r="X792">
        <v>-1.0605112535399977E-3</v>
      </c>
      <c r="Y792">
        <v>4.1620115168707138E-2</v>
      </c>
    </row>
    <row r="793" spans="1:25" x14ac:dyDescent="0.25">
      <c r="A793" s="879"/>
      <c r="B793" s="1133">
        <v>543</v>
      </c>
      <c r="C793" s="883">
        <v>1.0088896552357134</v>
      </c>
      <c r="D793" s="883">
        <v>0.98606950361068879</v>
      </c>
      <c r="E793" s="883">
        <v>0.98754041634246459</v>
      </c>
      <c r="F793" s="883">
        <v>1.006348320132666</v>
      </c>
      <c r="G793" s="883">
        <v>1.0301289751188822</v>
      </c>
      <c r="H793" s="883">
        <v>0.97931182468169087</v>
      </c>
      <c r="I793" s="883">
        <v>0.96457778249120429</v>
      </c>
      <c r="K793">
        <v>6.7222181289487724</v>
      </c>
      <c r="L793">
        <v>0</v>
      </c>
      <c r="M793">
        <v>1.0289186307991267E-2</v>
      </c>
      <c r="N793">
        <v>0.18831978254993983</v>
      </c>
      <c r="O793">
        <v>0.12182051064237516</v>
      </c>
      <c r="P793">
        <v>8.2213329128746293E-2</v>
      </c>
      <c r="Q793">
        <v>0</v>
      </c>
      <c r="R793">
        <v>1.0289186307991267E-2</v>
      </c>
      <c r="S793">
        <v>0.25637024702756583</v>
      </c>
      <c r="T793">
        <v>5.9131719627165777</v>
      </c>
      <c r="U793">
        <v>0</v>
      </c>
      <c r="V793">
        <v>1.9107057600363037E-2</v>
      </c>
      <c r="W793">
        <v>9.9735266354175942E-2</v>
      </c>
      <c r="X793">
        <v>-8.8906488038920247E-4</v>
      </c>
      <c r="Y793">
        <v>4.2369037809417184E-2</v>
      </c>
    </row>
    <row r="794" spans="1:25" x14ac:dyDescent="0.25">
      <c r="A794" s="879"/>
      <c r="B794" s="1133">
        <v>544</v>
      </c>
      <c r="C794" s="883">
        <v>1.0321658584367701</v>
      </c>
      <c r="D794" s="883">
        <v>0.97204499380914833</v>
      </c>
      <c r="E794" s="883">
        <v>1.0106064039331537</v>
      </c>
      <c r="F794" s="883">
        <v>0.97610379559174409</v>
      </c>
      <c r="G794" s="883">
        <v>0.99974511354593465</v>
      </c>
      <c r="H794" s="883">
        <v>1.0332473219615645</v>
      </c>
      <c r="I794" s="883">
        <v>1.0270060985738088</v>
      </c>
      <c r="K794">
        <v>6.7473118449092215</v>
      </c>
      <c r="L794">
        <v>0</v>
      </c>
      <c r="M794">
        <v>1.0463459138377987E-2</v>
      </c>
      <c r="N794">
        <v>0.19816723809028805</v>
      </c>
      <c r="O794">
        <v>0.11933424124071139</v>
      </c>
      <c r="P794">
        <v>8.3831325294365655E-2</v>
      </c>
      <c r="Q794">
        <v>0</v>
      </c>
      <c r="R794">
        <v>1.0463459138377987E-2</v>
      </c>
      <c r="S794">
        <v>0.27210624029455321</v>
      </c>
      <c r="T794">
        <v>5.910242526797961</v>
      </c>
      <c r="U794">
        <v>0</v>
      </c>
      <c r="V794">
        <v>1.8985202132247202E-2</v>
      </c>
      <c r="W794">
        <v>0.10375469689419618</v>
      </c>
      <c r="X794">
        <v>-2.1962881406456317E-3</v>
      </c>
      <c r="Y794">
        <v>4.3086662305542235E-2</v>
      </c>
    </row>
    <row r="795" spans="1:25" x14ac:dyDescent="0.25">
      <c r="A795" s="879"/>
      <c r="B795" s="1133">
        <v>545</v>
      </c>
      <c r="C795" s="883">
        <v>0.97478640037976594</v>
      </c>
      <c r="D795" s="883">
        <v>0.99734109991791275</v>
      </c>
      <c r="E795" s="883">
        <v>1.0086661649653728</v>
      </c>
      <c r="F795" s="883">
        <v>0.99502903823618694</v>
      </c>
      <c r="G795" s="883">
        <v>0.98733434025668998</v>
      </c>
      <c r="H795" s="883">
        <v>1.0077407012185629</v>
      </c>
      <c r="I795" s="883">
        <v>1.0089599264492253</v>
      </c>
      <c r="K795">
        <v>6.7694663428535469</v>
      </c>
      <c r="L795">
        <v>0</v>
      </c>
      <c r="M795">
        <v>1.0705698335919538E-2</v>
      </c>
      <c r="N795">
        <v>0.20217344794059647</v>
      </c>
      <c r="O795">
        <v>0.12510434594604719</v>
      </c>
      <c r="P795">
        <v>8.383885179276962E-2</v>
      </c>
      <c r="Q795">
        <v>0</v>
      </c>
      <c r="R795">
        <v>1.0705698335919538E-2</v>
      </c>
      <c r="S795">
        <v>0.2802521790410557</v>
      </c>
      <c r="T795">
        <v>5.9113751931599738</v>
      </c>
      <c r="U795">
        <v>0</v>
      </c>
      <c r="V795">
        <v>1.9296104143796802E-2</v>
      </c>
      <c r="W795">
        <v>0.10595387976830117</v>
      </c>
      <c r="X795">
        <v>-2.6118191430480079E-3</v>
      </c>
      <c r="Y795">
        <v>4.4084160204048511E-2</v>
      </c>
    </row>
    <row r="796" spans="1:25" x14ac:dyDescent="0.25">
      <c r="A796" s="879"/>
      <c r="B796" s="1133">
        <v>546</v>
      </c>
      <c r="C796" s="883">
        <v>1.013792866673747</v>
      </c>
      <c r="D796" s="883">
        <v>0.99311628766908344</v>
      </c>
      <c r="E796" s="883">
        <v>1.0359732852141645</v>
      </c>
      <c r="F796" s="883">
        <v>1.0070776578247669</v>
      </c>
      <c r="G796" s="883">
        <v>1.0395714923956161</v>
      </c>
      <c r="H796" s="883">
        <v>0.98157845326480764</v>
      </c>
      <c r="I796" s="883">
        <v>1.0003382660636058</v>
      </c>
      <c r="K796">
        <v>6.7323711415078673</v>
      </c>
      <c r="L796">
        <v>0</v>
      </c>
      <c r="M796">
        <v>9.8074554507400144E-3</v>
      </c>
      <c r="N796">
        <v>0.19284387365053532</v>
      </c>
      <c r="O796">
        <v>0.11998378956113216</v>
      </c>
      <c r="P796">
        <v>8.5324566632223972E-2</v>
      </c>
      <c r="Q796">
        <v>0</v>
      </c>
      <c r="R796">
        <v>9.8074554507400144E-3</v>
      </c>
      <c r="S796">
        <v>0.26481578142574796</v>
      </c>
      <c r="T796">
        <v>5.9104578574078692</v>
      </c>
      <c r="U796">
        <v>0</v>
      </c>
      <c r="V796">
        <v>1.9080923126436763E-2</v>
      </c>
      <c r="W796">
        <v>9.9715406579511945E-2</v>
      </c>
      <c r="X796">
        <v>-2.3641275974293938E-4</v>
      </c>
      <c r="Y796">
        <v>4.0385355884152672E-2</v>
      </c>
    </row>
    <row r="797" spans="1:25" x14ac:dyDescent="0.25">
      <c r="A797" s="879"/>
      <c r="B797" s="1133">
        <v>547</v>
      </c>
      <c r="C797" s="883">
        <v>0.96876389365851867</v>
      </c>
      <c r="D797" s="883">
        <v>0.96955935799442439</v>
      </c>
      <c r="E797" s="883">
        <v>1.0167221840376892</v>
      </c>
      <c r="F797" s="883">
        <v>0.98846483140795405</v>
      </c>
      <c r="G797" s="883">
        <v>1.0205819549236843</v>
      </c>
      <c r="H797" s="883">
        <v>0.9845746384056312</v>
      </c>
      <c r="I797" s="883">
        <v>0.98200282935101413</v>
      </c>
      <c r="K797">
        <v>6.7628389458506435</v>
      </c>
      <c r="L797">
        <v>0</v>
      </c>
      <c r="M797">
        <v>1.0578018507268912E-2</v>
      </c>
      <c r="N797">
        <v>0.20215840665317689</v>
      </c>
      <c r="O797">
        <v>0.12715394911491704</v>
      </c>
      <c r="P797">
        <v>8.4229861752634624E-2</v>
      </c>
      <c r="Q797">
        <v>0</v>
      </c>
      <c r="R797">
        <v>1.0578018507268912E-2</v>
      </c>
      <c r="S797">
        <v>0.27253956130289103</v>
      </c>
      <c r="T797">
        <v>5.9105621753335127</v>
      </c>
      <c r="U797">
        <v>0</v>
      </c>
      <c r="V797">
        <v>1.9330871841167135E-2</v>
      </c>
      <c r="W797">
        <v>0.10552514886362993</v>
      </c>
      <c r="X797">
        <v>-2.2194264071112978E-3</v>
      </c>
      <c r="Y797">
        <v>4.3558397395827543E-2</v>
      </c>
    </row>
    <row r="798" spans="1:25" x14ac:dyDescent="0.25">
      <c r="A798" s="879"/>
      <c r="B798" s="1133">
        <v>548</v>
      </c>
      <c r="C798" s="883">
        <v>1.0110671963611373</v>
      </c>
      <c r="D798" s="883">
        <v>0.97620125707593663</v>
      </c>
      <c r="E798" s="883">
        <v>0.96683225554164109</v>
      </c>
      <c r="F798" s="883">
        <v>1.0254650277152251</v>
      </c>
      <c r="G798" s="883">
        <v>1.0025716224017633</v>
      </c>
      <c r="H798" s="883">
        <v>0.98611066561494642</v>
      </c>
      <c r="I798" s="883">
        <v>1.0250262444822633</v>
      </c>
      <c r="K798">
        <v>6.7408523837723076</v>
      </c>
      <c r="L798">
        <v>0</v>
      </c>
      <c r="M798">
        <v>1.0572028799563583E-2</v>
      </c>
      <c r="N798">
        <v>0.18764071508020161</v>
      </c>
      <c r="O798">
        <v>0.12243138977570997</v>
      </c>
      <c r="P798">
        <v>8.1150703331772475E-2</v>
      </c>
      <c r="Q798">
        <v>0</v>
      </c>
      <c r="R798">
        <v>1.0572028799563583E-2</v>
      </c>
      <c r="S798">
        <v>0.27256910446099503</v>
      </c>
      <c r="T798">
        <v>5.9153430961230153</v>
      </c>
      <c r="U798">
        <v>0</v>
      </c>
      <c r="V798">
        <v>1.9095419858554875E-2</v>
      </c>
      <c r="W798">
        <v>0.1004125944813366</v>
      </c>
      <c r="X798">
        <v>-1.3243721849084721E-3</v>
      </c>
      <c r="Y798">
        <v>4.3533732845625221E-2</v>
      </c>
    </row>
    <row r="799" spans="1:25" x14ac:dyDescent="0.25">
      <c r="A799" s="879"/>
      <c r="B799" s="1133">
        <v>549</v>
      </c>
      <c r="C799" s="883">
        <v>0.97662193167229905</v>
      </c>
      <c r="D799" s="883">
        <v>1.0164062031385916</v>
      </c>
      <c r="E799" s="883">
        <v>1.0246488669183811</v>
      </c>
      <c r="F799" s="883">
        <v>1.0389958511012278</v>
      </c>
      <c r="G799" s="883">
        <v>1.026765895684977</v>
      </c>
      <c r="H799" s="883">
        <v>0.99166382481284576</v>
      </c>
      <c r="I799" s="883">
        <v>1.0008354471054424</v>
      </c>
      <c r="K799">
        <v>6.7594403308770019</v>
      </c>
      <c r="L799">
        <v>0</v>
      </c>
      <c r="M799">
        <v>1.0285318246841112E-2</v>
      </c>
      <c r="N799">
        <v>0.19888289669489434</v>
      </c>
      <c r="O799">
        <v>0.12361990314548436</v>
      </c>
      <c r="P799">
        <v>8.4801109987605428E-2</v>
      </c>
      <c r="Q799">
        <v>0</v>
      </c>
      <c r="R799">
        <v>1.0285318246841112E-2</v>
      </c>
      <c r="S799">
        <v>0.27576200289086944</v>
      </c>
      <c r="T799">
        <v>5.9128375022562354</v>
      </c>
      <c r="U799">
        <v>0</v>
      </c>
      <c r="V799">
        <v>1.9285592953482641E-2</v>
      </c>
      <c r="W799">
        <v>0.10341090019021744</v>
      </c>
      <c r="X799">
        <v>-1.5126870638757319E-3</v>
      </c>
      <c r="Y799">
        <v>4.2353109822090063E-2</v>
      </c>
    </row>
    <row r="800" spans="1:25" x14ac:dyDescent="0.25">
      <c r="A800" s="879"/>
      <c r="B800" s="1133">
        <v>550</v>
      </c>
      <c r="C800" s="883">
        <v>1.0342448644422735</v>
      </c>
      <c r="D800" s="883">
        <v>1.0195699864083536</v>
      </c>
      <c r="E800" s="883">
        <v>0.97376699512064357</v>
      </c>
      <c r="F800" s="883">
        <v>1.0136384839373824</v>
      </c>
      <c r="G800" s="883">
        <v>1.0190095336460803</v>
      </c>
      <c r="H800" s="883">
        <v>1.0126658366975432</v>
      </c>
      <c r="I800" s="883">
        <v>0.98634450159909248</v>
      </c>
      <c r="K800">
        <v>6.7168204681158592</v>
      </c>
      <c r="L800">
        <v>0</v>
      </c>
      <c r="M800">
        <v>1.0354921152354778E-2</v>
      </c>
      <c r="N800">
        <v>0.18568942955682829</v>
      </c>
      <c r="O800">
        <v>0.11750178781192624</v>
      </c>
      <c r="P800">
        <v>8.1387381949089024E-2</v>
      </c>
      <c r="Q800">
        <v>0</v>
      </c>
      <c r="R800">
        <v>1.0354921152354778E-2</v>
      </c>
      <c r="S800">
        <v>0.25838943826963368</v>
      </c>
      <c r="T800">
        <v>5.9143253524663981</v>
      </c>
      <c r="U800">
        <v>0</v>
      </c>
      <c r="V800">
        <v>1.8974584958556528E-2</v>
      </c>
      <c r="W800">
        <v>9.9022594356312388E-2</v>
      </c>
      <c r="X800">
        <v>-1.1098234510249561E-3</v>
      </c>
      <c r="Y800">
        <v>4.2639722198139968E-2</v>
      </c>
    </row>
    <row r="801" spans="1:25" x14ac:dyDescent="0.25">
      <c r="A801" s="879"/>
      <c r="B801" s="1133">
        <v>551</v>
      </c>
      <c r="C801" s="883">
        <v>1.0099854465860747</v>
      </c>
      <c r="D801" s="883">
        <v>0.98823864265516637</v>
      </c>
      <c r="E801" s="883">
        <v>1.0179167298654959</v>
      </c>
      <c r="F801" s="883">
        <v>1.0016498623027545</v>
      </c>
      <c r="G801" s="883">
        <v>0.980178092435948</v>
      </c>
      <c r="H801" s="883">
        <v>0.97396403894762373</v>
      </c>
      <c r="I801" s="883">
        <v>1.0211298278532142</v>
      </c>
      <c r="K801">
        <v>6.7366334000691701</v>
      </c>
      <c r="L801">
        <v>0</v>
      </c>
      <c r="M801">
        <v>9.9447726877864573E-3</v>
      </c>
      <c r="N801">
        <v>0.1903925406538744</v>
      </c>
      <c r="O801">
        <v>0.12101442343624089</v>
      </c>
      <c r="P801">
        <v>8.4284397388972629E-2</v>
      </c>
      <c r="Q801">
        <v>0</v>
      </c>
      <c r="R801">
        <v>9.9447726877864573E-3</v>
      </c>
      <c r="S801">
        <v>0.27062547069698217</v>
      </c>
      <c r="T801">
        <v>5.9112062644659131</v>
      </c>
      <c r="U801">
        <v>0</v>
      </c>
      <c r="V801">
        <v>1.9101194934749963E-2</v>
      </c>
      <c r="W801">
        <v>9.9324929869924986E-2</v>
      </c>
      <c r="X801">
        <v>-2.6662520224530383E-4</v>
      </c>
      <c r="Y801">
        <v>4.0950803824752871E-2</v>
      </c>
    </row>
    <row r="802" spans="1:25" x14ac:dyDescent="0.25">
      <c r="A802" s="879"/>
      <c r="B802" s="1133">
        <v>552</v>
      </c>
      <c r="C802" s="883">
        <v>1.0241841345353662</v>
      </c>
      <c r="D802" s="883">
        <v>1.0002201307029912</v>
      </c>
      <c r="E802" s="883">
        <v>1.0101676528754466</v>
      </c>
      <c r="F802" s="883">
        <v>1.0042548081475631</v>
      </c>
      <c r="G802" s="883">
        <v>1.0323659452767731</v>
      </c>
      <c r="H802" s="883">
        <v>0.99382986507241655</v>
      </c>
      <c r="I802" s="883">
        <v>0.99652094151871262</v>
      </c>
      <c r="K802">
        <v>6.7252959650676631</v>
      </c>
      <c r="L802">
        <v>0</v>
      </c>
      <c r="M802">
        <v>1.0023126606983125E-2</v>
      </c>
      <c r="N802">
        <v>0.18970453583998637</v>
      </c>
      <c r="O802">
        <v>0.11890559516492473</v>
      </c>
      <c r="P802">
        <v>8.3690697429659427E-2</v>
      </c>
      <c r="Q802">
        <v>0</v>
      </c>
      <c r="R802">
        <v>1.0023126606983125E-2</v>
      </c>
      <c r="S802">
        <v>0.26214441624799739</v>
      </c>
      <c r="T802">
        <v>5.9117885392554976</v>
      </c>
      <c r="U802">
        <v>0</v>
      </c>
      <c r="V802">
        <v>1.9026364012828183E-2</v>
      </c>
      <c r="W802">
        <v>9.9345421317654947E-2</v>
      </c>
      <c r="X802">
        <v>-5.8305551841339497E-4</v>
      </c>
      <c r="Y802">
        <v>4.1273451317527035E-2</v>
      </c>
    </row>
    <row r="803" spans="1:25" x14ac:dyDescent="0.25">
      <c r="A803" s="879"/>
      <c r="B803" s="1133">
        <v>553</v>
      </c>
      <c r="C803" s="883">
        <v>1.002782665706506</v>
      </c>
      <c r="D803" s="883">
        <v>0.99730709854571264</v>
      </c>
      <c r="E803" s="883">
        <v>1.0215421954953805</v>
      </c>
      <c r="F803" s="883">
        <v>0.9990458982406959</v>
      </c>
      <c r="G803" s="883">
        <v>0.99181745189911574</v>
      </c>
      <c r="H803" s="883">
        <v>1.0160557022696397</v>
      </c>
      <c r="I803" s="883">
        <v>1.0053886333408482</v>
      </c>
      <c r="K803">
        <v>6.7526201350856558</v>
      </c>
      <c r="L803">
        <v>0</v>
      </c>
      <c r="M803">
        <v>1.0375277916718934E-2</v>
      </c>
      <c r="N803">
        <v>0.19970274068554369</v>
      </c>
      <c r="O803">
        <v>0.12137065772333956</v>
      </c>
      <c r="P803">
        <v>8.4529855875239979E-2</v>
      </c>
      <c r="Q803">
        <v>0</v>
      </c>
      <c r="R803">
        <v>1.0375277916718934E-2</v>
      </c>
      <c r="S803">
        <v>0.27227319752441498</v>
      </c>
      <c r="T803">
        <v>5.9108578858588743</v>
      </c>
      <c r="U803">
        <v>0</v>
      </c>
      <c r="V803">
        <v>1.9139965694376038E-2</v>
      </c>
      <c r="W803">
        <v>0.10399601054854826</v>
      </c>
      <c r="X803">
        <v>-1.9737265551018962E-3</v>
      </c>
      <c r="Y803">
        <v>4.2723547730422598E-2</v>
      </c>
    </row>
    <row r="804" spans="1:25" x14ac:dyDescent="0.25">
      <c r="A804" s="879"/>
      <c r="B804" s="1133">
        <v>554</v>
      </c>
      <c r="C804" s="883">
        <v>1.0138423641874905</v>
      </c>
      <c r="D804" s="883">
        <v>0.98677283569946028</v>
      </c>
      <c r="E804" s="883">
        <v>0.97733856027554034</v>
      </c>
      <c r="F804" s="883">
        <v>0.97265870186528725</v>
      </c>
      <c r="G804" s="883">
        <v>1.0465637654237012</v>
      </c>
      <c r="H804" s="883">
        <v>1.0031458114981224</v>
      </c>
      <c r="I804" s="883">
        <v>1.0050912160778436</v>
      </c>
      <c r="K804">
        <v>6.7362183471366777</v>
      </c>
      <c r="L804">
        <v>0</v>
      </c>
      <c r="M804">
        <v>1.0578585846243183E-2</v>
      </c>
      <c r="N804">
        <v>0.19070852698138679</v>
      </c>
      <c r="O804">
        <v>0.12137878926567783</v>
      </c>
      <c r="P804">
        <v>8.1709041172373986E-2</v>
      </c>
      <c r="Q804">
        <v>0</v>
      </c>
      <c r="R804">
        <v>1.0578585846243183E-2</v>
      </c>
      <c r="S804">
        <v>0.26804890873572185</v>
      </c>
      <c r="T804">
        <v>5.9119140210970409</v>
      </c>
      <c r="U804">
        <v>0</v>
      </c>
      <c r="V804">
        <v>1.9080660589895021E-2</v>
      </c>
      <c r="W804">
        <v>0.10151708997881455</v>
      </c>
      <c r="X804">
        <v>-1.6994242809737063E-3</v>
      </c>
      <c r="Y804">
        <v>4.3560733596741008E-2</v>
      </c>
    </row>
    <row r="805" spans="1:25" x14ac:dyDescent="0.25">
      <c r="A805" s="879"/>
      <c r="B805" s="1133">
        <v>555</v>
      </c>
      <c r="C805" s="883">
        <v>1.0181582295283009</v>
      </c>
      <c r="D805" s="883">
        <v>1.0027437317763663</v>
      </c>
      <c r="E805" s="883">
        <v>1.0325612753616473</v>
      </c>
      <c r="F805" s="883">
        <v>1.0034424459716145</v>
      </c>
      <c r="G805" s="883">
        <v>1.0326039624097014</v>
      </c>
      <c r="H805" s="883">
        <v>1.033374114824904</v>
      </c>
      <c r="I805" s="883">
        <v>1.0059575316383433</v>
      </c>
      <c r="K805">
        <v>6.7488959427133191</v>
      </c>
      <c r="L805">
        <v>0</v>
      </c>
      <c r="M805">
        <v>1.0268981797299287E-2</v>
      </c>
      <c r="N805">
        <v>0.2009033415239439</v>
      </c>
      <c r="O805">
        <v>0.11907295542207416</v>
      </c>
      <c r="P805">
        <v>8.5180649392350871E-2</v>
      </c>
      <c r="Q805">
        <v>0</v>
      </c>
      <c r="R805">
        <v>1.0268981797299287E-2</v>
      </c>
      <c r="S805">
        <v>0.26988630553563547</v>
      </c>
      <c r="T805">
        <v>5.9104596980323727</v>
      </c>
      <c r="U805">
        <v>0</v>
      </c>
      <c r="V805">
        <v>1.9057867236903506E-2</v>
      </c>
      <c r="W805">
        <v>0.10405651389745223</v>
      </c>
      <c r="X805">
        <v>-2.0072275580722437E-3</v>
      </c>
      <c r="Y805">
        <v>4.2285839230656444E-2</v>
      </c>
    </row>
    <row r="806" spans="1:25" x14ac:dyDescent="0.25">
      <c r="A806" s="879"/>
      <c r="B806" s="1133">
        <v>556</v>
      </c>
      <c r="C806" s="883">
        <v>0.99994425854653601</v>
      </c>
      <c r="D806" s="883">
        <v>1.0123994007181902</v>
      </c>
      <c r="E806" s="883">
        <v>0.99410243029714562</v>
      </c>
      <c r="F806" s="883">
        <v>1.0263566552411936</v>
      </c>
      <c r="G806" s="883">
        <v>0.99900580472723677</v>
      </c>
      <c r="H806" s="883">
        <v>0.9890559344035631</v>
      </c>
      <c r="I806" s="883">
        <v>1.0299309712075937</v>
      </c>
      <c r="K806">
        <v>6.7468231154722709</v>
      </c>
      <c r="L806">
        <v>0</v>
      </c>
      <c r="M806">
        <v>1.0307652548863738E-2</v>
      </c>
      <c r="N806">
        <v>0.19050200507273748</v>
      </c>
      <c r="O806">
        <v>0.12149972765456385</v>
      </c>
      <c r="P806">
        <v>8.2909209654504962E-2</v>
      </c>
      <c r="Q806">
        <v>0</v>
      </c>
      <c r="R806">
        <v>1.0307652548863738E-2</v>
      </c>
      <c r="S806">
        <v>0.27689195189455373</v>
      </c>
      <c r="T806">
        <v>5.9138879053164839</v>
      </c>
      <c r="U806">
        <v>0</v>
      </c>
      <c r="V806">
        <v>1.9155397549075266E-2</v>
      </c>
      <c r="W806">
        <v>0.10056149240497818</v>
      </c>
      <c r="X806">
        <v>-1.0296525770866207E-3</v>
      </c>
      <c r="Y806">
        <v>4.2445078502461667E-2</v>
      </c>
    </row>
    <row r="807" spans="1:25" x14ac:dyDescent="0.25">
      <c r="A807" s="879"/>
      <c r="B807" s="1133">
        <v>557</v>
      </c>
      <c r="C807" s="883">
        <v>0.99009838176728582</v>
      </c>
      <c r="D807" s="883">
        <v>1.0044155553138803</v>
      </c>
      <c r="E807" s="883">
        <v>0.98957041296957737</v>
      </c>
      <c r="F807" s="883">
        <v>0.99623306000517531</v>
      </c>
      <c r="G807" s="883">
        <v>1.0107594936762339</v>
      </c>
      <c r="H807" s="883">
        <v>1.041420763203518</v>
      </c>
      <c r="I807" s="883">
        <v>0.97022137684476406</v>
      </c>
      <c r="K807">
        <v>6.7575793972279268</v>
      </c>
      <c r="L807">
        <v>0</v>
      </c>
      <c r="M807">
        <v>1.1042126407946728E-2</v>
      </c>
      <c r="N807">
        <v>0.20270984141729279</v>
      </c>
      <c r="O807">
        <v>0.12318247337898443</v>
      </c>
      <c r="P807">
        <v>8.249233587448028E-2</v>
      </c>
      <c r="Q807">
        <v>0</v>
      </c>
      <c r="R807">
        <v>1.1042126407946728E-2</v>
      </c>
      <c r="S807">
        <v>0.26832578186236944</v>
      </c>
      <c r="T807">
        <v>5.9125124154243878</v>
      </c>
      <c r="U807">
        <v>0</v>
      </c>
      <c r="V807">
        <v>1.9209613402122488E-2</v>
      </c>
      <c r="W807">
        <v>0.10724764110933849</v>
      </c>
      <c r="X807">
        <v>-3.5702163637415093E-3</v>
      </c>
      <c r="Y807">
        <v>4.5469511122691944E-2</v>
      </c>
    </row>
    <row r="808" spans="1:25" x14ac:dyDescent="0.25">
      <c r="A808" s="879"/>
      <c r="B808" s="1133">
        <v>558</v>
      </c>
      <c r="C808" s="883">
        <v>1.046906288977165</v>
      </c>
      <c r="D808" s="883">
        <v>0.98134058862189721</v>
      </c>
      <c r="E808" s="883">
        <v>1.0014403758185553</v>
      </c>
      <c r="F808" s="883">
        <v>0.97194159520879664</v>
      </c>
      <c r="G808" s="883">
        <v>0.9998687147012747</v>
      </c>
      <c r="H808" s="883">
        <v>0.99154361299524729</v>
      </c>
      <c r="I808" s="883">
        <v>0.99308338948556363</v>
      </c>
      <c r="K808">
        <v>6.7094500308010074</v>
      </c>
      <c r="L808">
        <v>0</v>
      </c>
      <c r="M808">
        <v>9.9387607510095094E-3</v>
      </c>
      <c r="N808">
        <v>0.1856923552069828</v>
      </c>
      <c r="O808">
        <v>0.11737274600470482</v>
      </c>
      <c r="P808">
        <v>8.3036399165812708E-2</v>
      </c>
      <c r="Q808">
        <v>0</v>
      </c>
      <c r="R808">
        <v>9.9387607510095094E-3</v>
      </c>
      <c r="S808">
        <v>0.25553078745609437</v>
      </c>
      <c r="T808">
        <v>5.9105355919867408</v>
      </c>
      <c r="U808">
        <v>0</v>
      </c>
      <c r="V808">
        <v>1.8910835363557425E-2</v>
      </c>
      <c r="W808">
        <v>9.7665697028124665E-2</v>
      </c>
      <c r="X808">
        <v>-2.204291501993614E-4</v>
      </c>
      <c r="Y808">
        <v>4.0926047739190251E-2</v>
      </c>
    </row>
    <row r="809" spans="1:25" x14ac:dyDescent="0.25">
      <c r="A809" s="879"/>
      <c r="B809" s="1133">
        <v>559</v>
      </c>
      <c r="C809" s="883">
        <v>0.99784519781287329</v>
      </c>
      <c r="D809" s="883">
        <v>0.99506160829428936</v>
      </c>
      <c r="E809" s="883">
        <v>1.006364674063577</v>
      </c>
      <c r="F809" s="883">
        <v>0.99380898064971313</v>
      </c>
      <c r="G809" s="883">
        <v>1.0306920049394148</v>
      </c>
      <c r="H809" s="883">
        <v>1.0042409348100843</v>
      </c>
      <c r="I809" s="883">
        <v>1.0097000375825598</v>
      </c>
      <c r="K809">
        <v>6.7514154997025662</v>
      </c>
      <c r="L809">
        <v>0</v>
      </c>
      <c r="M809">
        <v>1.0453217206750529E-2</v>
      </c>
      <c r="N809">
        <v>0.19673387089708511</v>
      </c>
      <c r="O809">
        <v>0.12236873381079919</v>
      </c>
      <c r="P809">
        <v>8.3604555730240462E-2</v>
      </c>
      <c r="Q809">
        <v>0</v>
      </c>
      <c r="R809">
        <v>1.0453217206750529E-2</v>
      </c>
      <c r="S809">
        <v>0.27366234035030346</v>
      </c>
      <c r="T809">
        <v>5.9114395553275756</v>
      </c>
      <c r="U809">
        <v>0</v>
      </c>
      <c r="V809">
        <v>1.916686619336198E-2</v>
      </c>
      <c r="W809">
        <v>0.10322069039344729</v>
      </c>
      <c r="X809">
        <v>-1.8256008543423255E-3</v>
      </c>
      <c r="Y809">
        <v>4.3044487854096238E-2</v>
      </c>
    </row>
    <row r="810" spans="1:25" x14ac:dyDescent="0.25">
      <c r="A810" s="879"/>
      <c r="B810" s="1133">
        <v>560</v>
      </c>
      <c r="C810" s="883">
        <v>1.0008832363247258</v>
      </c>
      <c r="D810" s="883">
        <v>0.98236074549134411</v>
      </c>
      <c r="E810" s="883">
        <v>0.98624116460433031</v>
      </c>
      <c r="F810" s="883">
        <v>0.96768351308900269</v>
      </c>
      <c r="G810" s="883">
        <v>0.97490013521781049</v>
      </c>
      <c r="H810" s="883">
        <v>1.0417488969478335</v>
      </c>
      <c r="I810" s="883">
        <v>0.98434675074127143</v>
      </c>
      <c r="K810">
        <v>6.7563489584849643</v>
      </c>
      <c r="L810">
        <v>0</v>
      </c>
      <c r="M810">
        <v>1.1063102079100379E-2</v>
      </c>
      <c r="N810">
        <v>0.20209477365468678</v>
      </c>
      <c r="O810">
        <v>0.12300456788532604</v>
      </c>
      <c r="P810">
        <v>8.2280751164753654E-2</v>
      </c>
      <c r="Q810">
        <v>0</v>
      </c>
      <c r="R810">
        <v>1.1063102079100379E-2</v>
      </c>
      <c r="S810">
        <v>0.26958298785580104</v>
      </c>
      <c r="T810">
        <v>5.9111540312903541</v>
      </c>
      <c r="U810">
        <v>0</v>
      </c>
      <c r="V810">
        <v>1.9150282825716458E-2</v>
      </c>
      <c r="W810">
        <v>0.10710003802752285</v>
      </c>
      <c r="X810">
        <v>-3.5743594221743797E-3</v>
      </c>
      <c r="Y810">
        <v>4.5555885202972421E-2</v>
      </c>
    </row>
    <row r="811" spans="1:25" x14ac:dyDescent="0.25">
      <c r="A811" s="879"/>
      <c r="B811" s="1133">
        <v>561</v>
      </c>
      <c r="C811" s="883">
        <v>0.98888612137567555</v>
      </c>
      <c r="D811" s="883">
        <v>0.98899684623112616</v>
      </c>
      <c r="E811" s="883">
        <v>0.99771515721359283</v>
      </c>
      <c r="F811" s="883">
        <v>1.0040212335230638</v>
      </c>
      <c r="G811" s="883">
        <v>1.0186904300809381</v>
      </c>
      <c r="H811" s="883">
        <v>0.98933785360438176</v>
      </c>
      <c r="I811" s="883">
        <v>1.0188809091581472</v>
      </c>
      <c r="K811">
        <v>6.7554208182878801</v>
      </c>
      <c r="L811">
        <v>0</v>
      </c>
      <c r="M811">
        <v>1.0497680359535204E-2</v>
      </c>
      <c r="N811">
        <v>0.19505552462601355</v>
      </c>
      <c r="O811">
        <v>0.12394448374969828</v>
      </c>
      <c r="P811">
        <v>8.3123417949608744E-2</v>
      </c>
      <c r="Q811">
        <v>0</v>
      </c>
      <c r="R811">
        <v>1.0497680359535204E-2</v>
      </c>
      <c r="S811">
        <v>0.27724833923510089</v>
      </c>
      <c r="T811">
        <v>5.9124785026443494</v>
      </c>
      <c r="U811">
        <v>0</v>
      </c>
      <c r="V811">
        <v>1.9216363301894652E-2</v>
      </c>
      <c r="W811">
        <v>0.10278030414113309</v>
      </c>
      <c r="X811">
        <v>-1.6536965630346034E-3</v>
      </c>
      <c r="Y811">
        <v>4.3227579203117358E-2</v>
      </c>
    </row>
    <row r="812" spans="1:25" x14ac:dyDescent="0.25">
      <c r="A812" s="879"/>
      <c r="B812" s="1133">
        <v>562</v>
      </c>
      <c r="C812" s="883">
        <v>0.98793201249893803</v>
      </c>
      <c r="D812" s="883">
        <v>0.96253989830311526</v>
      </c>
      <c r="E812" s="883">
        <v>1.0296622849509627</v>
      </c>
      <c r="F812" s="883">
        <v>1.0098397078962218</v>
      </c>
      <c r="G812" s="883">
        <v>0.97044969461150454</v>
      </c>
      <c r="H812" s="883">
        <v>1.0405488005082368</v>
      </c>
      <c r="I812" s="883">
        <v>0.97702331188219194</v>
      </c>
      <c r="K812">
        <v>6.7738916562906342</v>
      </c>
      <c r="L812">
        <v>0</v>
      </c>
      <c r="M812">
        <v>1.0872785766489788E-2</v>
      </c>
      <c r="N812">
        <v>0.21180669691233597</v>
      </c>
      <c r="O812">
        <v>0.12479783357865273</v>
      </c>
      <c r="P812">
        <v>8.5027861375169031E-2</v>
      </c>
      <c r="Q812">
        <v>0</v>
      </c>
      <c r="R812">
        <v>1.0872785766489788E-2</v>
      </c>
      <c r="S812">
        <v>0.27129787614514594</v>
      </c>
      <c r="T812">
        <v>5.910973150929788</v>
      </c>
      <c r="U812">
        <v>0</v>
      </c>
      <c r="V812">
        <v>1.9221687456243121E-2</v>
      </c>
      <c r="W812">
        <v>0.10985989380831981</v>
      </c>
      <c r="X812">
        <v>-3.8655404177063979E-3</v>
      </c>
      <c r="Y812">
        <v>4.4772196502682833E-2</v>
      </c>
    </row>
    <row r="813" spans="1:25" x14ac:dyDescent="0.25">
      <c r="A813" s="879"/>
      <c r="B813" s="1133">
        <v>563</v>
      </c>
      <c r="C813" s="883">
        <v>0.99499744208687613</v>
      </c>
      <c r="D813" s="883">
        <v>1.0207944663182813</v>
      </c>
      <c r="E813" s="883">
        <v>1.0387300062125959</v>
      </c>
      <c r="F813" s="883">
        <v>1.0061507312079212</v>
      </c>
      <c r="G813" s="883">
        <v>0.98752712550291155</v>
      </c>
      <c r="H813" s="883">
        <v>1.0365470037613929</v>
      </c>
      <c r="I813" s="883">
        <v>0.97112020172977753</v>
      </c>
      <c r="K813">
        <v>6.7542579197029671</v>
      </c>
      <c r="L813">
        <v>0</v>
      </c>
      <c r="M813">
        <v>1.0403644943410079E-2</v>
      </c>
      <c r="N813">
        <v>0.20540159087440293</v>
      </c>
      <c r="O813">
        <v>0.12086103717253292</v>
      </c>
      <c r="P813">
        <v>8.5521428140536787E-2</v>
      </c>
      <c r="Q813">
        <v>0</v>
      </c>
      <c r="R813">
        <v>1.0403644943410079E-2</v>
      </c>
      <c r="S813">
        <v>0.26671221090152952</v>
      </c>
      <c r="T813">
        <v>5.9102472008088567</v>
      </c>
      <c r="U813">
        <v>0</v>
      </c>
      <c r="V813">
        <v>1.9182502840610023E-2</v>
      </c>
      <c r="W813">
        <v>0.10606562038822021</v>
      </c>
      <c r="X813">
        <v>-2.574029520915917E-3</v>
      </c>
      <c r="Y813">
        <v>4.2840358097194199E-2</v>
      </c>
    </row>
    <row r="814" spans="1:25" x14ac:dyDescent="0.25">
      <c r="A814" s="879"/>
      <c r="B814" s="1133">
        <v>564</v>
      </c>
      <c r="C814" s="883">
        <v>0.99024929977701204</v>
      </c>
      <c r="D814" s="883">
        <v>0.99320656014709352</v>
      </c>
      <c r="E814" s="883">
        <v>1.0054956332396157</v>
      </c>
      <c r="F814" s="883">
        <v>1.0094501401368754</v>
      </c>
      <c r="G814" s="883">
        <v>1.023252987491825</v>
      </c>
      <c r="H814" s="883">
        <v>0.98311030872971505</v>
      </c>
      <c r="I814" s="883">
        <v>1.0108381879995747</v>
      </c>
      <c r="K814">
        <v>6.7498748294354245</v>
      </c>
      <c r="L814">
        <v>0</v>
      </c>
      <c r="M814">
        <v>1.0327852493855089E-2</v>
      </c>
      <c r="N814">
        <v>0.19412447504905647</v>
      </c>
      <c r="O814">
        <v>0.12341599498193417</v>
      </c>
      <c r="P814">
        <v>8.3567772577797392E-2</v>
      </c>
      <c r="Q814">
        <v>0</v>
      </c>
      <c r="R814">
        <v>1.0327852493855089E-2</v>
      </c>
      <c r="S814">
        <v>0.27405120111887465</v>
      </c>
      <c r="T814">
        <v>5.9123338926598752</v>
      </c>
      <c r="U814">
        <v>0</v>
      </c>
      <c r="V814">
        <v>1.9208774243202206E-2</v>
      </c>
      <c r="W814">
        <v>0.10189547601419925</v>
      </c>
      <c r="X814">
        <v>-1.2510154900022543E-3</v>
      </c>
      <c r="Y814">
        <v>4.2528258280479868E-2</v>
      </c>
    </row>
    <row r="815" spans="1:25" x14ac:dyDescent="0.25">
      <c r="A815" s="879"/>
      <c r="B815" s="1133">
        <v>565</v>
      </c>
      <c r="C815" s="883">
        <v>0.99067867249061425</v>
      </c>
      <c r="D815" s="883">
        <v>1.0150248470647847</v>
      </c>
      <c r="E815" s="883">
        <v>0.99979713006505155</v>
      </c>
      <c r="F815" s="883">
        <v>1.0113972648932621</v>
      </c>
      <c r="G815" s="883">
        <v>0.98285441330188461</v>
      </c>
      <c r="H815" s="883">
        <v>1.0149929605990768</v>
      </c>
      <c r="I815" s="883">
        <v>0.95807499713918409</v>
      </c>
      <c r="K815">
        <v>6.7430414190473718</v>
      </c>
      <c r="L815">
        <v>0</v>
      </c>
      <c r="M815">
        <v>1.0612156393752041E-2</v>
      </c>
      <c r="N815">
        <v>0.19779176930862391</v>
      </c>
      <c r="O815">
        <v>0.12240218336276694</v>
      </c>
      <c r="P815">
        <v>8.3058067879140343E-2</v>
      </c>
      <c r="Q815">
        <v>0</v>
      </c>
      <c r="R815">
        <v>1.0612156393752041E-2</v>
      </c>
      <c r="S815">
        <v>0.26231866884156063</v>
      </c>
      <c r="T815">
        <v>5.9127602556064005</v>
      </c>
      <c r="U815">
        <v>0</v>
      </c>
      <c r="V815">
        <v>1.9206388173504896E-2</v>
      </c>
      <c r="W815">
        <v>0.10411434688457315</v>
      </c>
      <c r="X815">
        <v>-2.3092321452441522E-3</v>
      </c>
      <c r="Y815">
        <v>4.3698971136047787E-2</v>
      </c>
    </row>
    <row r="816" spans="1:25" x14ac:dyDescent="0.25">
      <c r="A816" s="879"/>
      <c r="B816" s="1133">
        <v>566</v>
      </c>
      <c r="C816" s="883">
        <v>0.98218621841122977</v>
      </c>
      <c r="D816" s="883">
        <v>0.95467764418008527</v>
      </c>
      <c r="E816" s="883">
        <v>0.97412238779062865</v>
      </c>
      <c r="F816" s="883">
        <v>0.99935444125299822</v>
      </c>
      <c r="G816" s="883">
        <v>0.97179651536636724</v>
      </c>
      <c r="H816" s="883">
        <v>1.0385365530446125</v>
      </c>
      <c r="I816" s="883">
        <v>0.98891942356459017</v>
      </c>
      <c r="K816">
        <v>6.7765913298386407</v>
      </c>
      <c r="L816">
        <v>0</v>
      </c>
      <c r="M816">
        <v>1.1498380038054335E-2</v>
      </c>
      <c r="N816">
        <v>0.20630328620596095</v>
      </c>
      <c r="O816">
        <v>0.12702079483174544</v>
      </c>
      <c r="P816">
        <v>8.1634627445531543E-2</v>
      </c>
      <c r="Q816">
        <v>0</v>
      </c>
      <c r="R816">
        <v>1.1498380038054335E-2</v>
      </c>
      <c r="S816">
        <v>0.27602095640794078</v>
      </c>
      <c r="T816">
        <v>5.913533628383699</v>
      </c>
      <c r="U816">
        <v>0</v>
      </c>
      <c r="V816">
        <v>1.9253969067605032E-2</v>
      </c>
      <c r="W816">
        <v>0.10999572097702283</v>
      </c>
      <c r="X816">
        <v>-4.5199358422218037E-3</v>
      </c>
      <c r="Y816">
        <v>4.7348282361356325E-2</v>
      </c>
    </row>
    <row r="817" spans="1:25" x14ac:dyDescent="0.25">
      <c r="A817" s="879"/>
      <c r="B817" s="1133">
        <v>567</v>
      </c>
      <c r="C817" s="883">
        <v>1.0016377867895443</v>
      </c>
      <c r="D817" s="883">
        <v>0.97720355078648258</v>
      </c>
      <c r="E817" s="883">
        <v>1.0013428460601832</v>
      </c>
      <c r="F817" s="883">
        <v>0.99871036256136436</v>
      </c>
      <c r="G817" s="883">
        <v>1.0228414073016152</v>
      </c>
      <c r="H817" s="883">
        <v>0.99169838440260438</v>
      </c>
      <c r="I817" s="883">
        <v>0.97814682849064793</v>
      </c>
      <c r="K817">
        <v>6.7383412119682848</v>
      </c>
      <c r="L817">
        <v>0</v>
      </c>
      <c r="M817">
        <v>1.0409277929801879E-2</v>
      </c>
      <c r="N817">
        <v>0.19445523913005613</v>
      </c>
      <c r="O817">
        <v>0.12288667057066467</v>
      </c>
      <c r="P817">
        <v>8.3154656991926992E-2</v>
      </c>
      <c r="Q817">
        <v>0</v>
      </c>
      <c r="R817">
        <v>1.0409277929801879E-2</v>
      </c>
      <c r="S817">
        <v>0.26311876370198073</v>
      </c>
      <c r="T817">
        <v>5.9119877036433692</v>
      </c>
      <c r="U817">
        <v>0</v>
      </c>
      <c r="V817">
        <v>1.9146179649047076E-2</v>
      </c>
      <c r="W817">
        <v>0.10227952484611341</v>
      </c>
      <c r="X817">
        <v>-1.5510802973964543E-3</v>
      </c>
      <c r="Y817">
        <v>4.2863553732521445E-2</v>
      </c>
    </row>
    <row r="818" spans="1:25" x14ac:dyDescent="0.25">
      <c r="A818" s="879"/>
      <c r="B818" s="1133">
        <v>568</v>
      </c>
      <c r="C818" s="883">
        <v>1.0212400840315703</v>
      </c>
      <c r="D818" s="883">
        <v>0.98098536269424141</v>
      </c>
      <c r="E818" s="883">
        <v>0.95590484278977161</v>
      </c>
      <c r="F818" s="883">
        <v>0.98694478019623166</v>
      </c>
      <c r="G818" s="883">
        <v>1.0111968789282255</v>
      </c>
      <c r="H818" s="883">
        <v>0.99009793805943458</v>
      </c>
      <c r="I818" s="883">
        <v>1.0157097202818828</v>
      </c>
      <c r="K818">
        <v>6.7288704180423924</v>
      </c>
      <c r="L818">
        <v>0</v>
      </c>
      <c r="M818">
        <v>1.0587194937027533E-2</v>
      </c>
      <c r="N818">
        <v>0.18488376873266563</v>
      </c>
      <c r="O818">
        <v>0.12117322101055884</v>
      </c>
      <c r="P818">
        <v>8.0377139315865487E-2</v>
      </c>
      <c r="Q818">
        <v>0</v>
      </c>
      <c r="R818">
        <v>1.0587194937027533E-2</v>
      </c>
      <c r="S818">
        <v>0.26771082131646878</v>
      </c>
      <c r="T818">
        <v>5.9138505323273547</v>
      </c>
      <c r="U818">
        <v>0</v>
      </c>
      <c r="V818">
        <v>1.9041708960090945E-2</v>
      </c>
      <c r="W818">
        <v>9.9484242115788088E-2</v>
      </c>
      <c r="X818">
        <v>-1.247200036633106E-3</v>
      </c>
      <c r="Y818">
        <v>4.3596184300229927E-2</v>
      </c>
    </row>
    <row r="819" spans="1:25" x14ac:dyDescent="0.25">
      <c r="A819" s="879"/>
      <c r="B819" s="1133">
        <v>569</v>
      </c>
      <c r="C819" s="883">
        <v>1.0317133941712822</v>
      </c>
      <c r="D819" s="883">
        <v>1.011364129266473</v>
      </c>
      <c r="E819" s="883">
        <v>0.98291833716016974</v>
      </c>
      <c r="F819" s="883">
        <v>0.98322078001699686</v>
      </c>
      <c r="G819" s="883">
        <v>0.99928056229528806</v>
      </c>
      <c r="H819" s="883">
        <v>0.99992211084659843</v>
      </c>
      <c r="I819" s="883">
        <v>1.0183376689260091</v>
      </c>
      <c r="K819">
        <v>6.7228044377800877</v>
      </c>
      <c r="L819">
        <v>0</v>
      </c>
      <c r="M819">
        <v>1.0203514502235354E-2</v>
      </c>
      <c r="N819">
        <v>0.18547594796745992</v>
      </c>
      <c r="O819">
        <v>0.11800773428750964</v>
      </c>
      <c r="P819">
        <v>8.204008959900401E-2</v>
      </c>
      <c r="Q819">
        <v>0</v>
      </c>
      <c r="R819">
        <v>1.0203514502235354E-2</v>
      </c>
      <c r="S819">
        <v>0.26634142095304564</v>
      </c>
      <c r="T819">
        <v>5.9121777245350735</v>
      </c>
      <c r="U819">
        <v>0</v>
      </c>
      <c r="V819">
        <v>1.8987518469373108E-2</v>
      </c>
      <c r="W819">
        <v>9.8456265303007426E-2</v>
      </c>
      <c r="X819">
        <v>-6.98519896709148E-4</v>
      </c>
      <c r="Y819">
        <v>4.2016256562327298E-2</v>
      </c>
    </row>
    <row r="820" spans="1:25" x14ac:dyDescent="0.25">
      <c r="A820" s="879"/>
      <c r="B820" s="1133">
        <v>570</v>
      </c>
      <c r="C820" s="883">
        <v>1.019461890028079</v>
      </c>
      <c r="D820" s="883">
        <v>1.0199859176733577</v>
      </c>
      <c r="E820" s="883">
        <v>0.9989216334265768</v>
      </c>
      <c r="F820" s="883">
        <v>1.0333425706675206</v>
      </c>
      <c r="G820" s="883">
        <v>0.96236158851599629</v>
      </c>
      <c r="H820" s="883">
        <v>0.99215502738626649</v>
      </c>
      <c r="I820" s="883">
        <v>0.99740366886716592</v>
      </c>
      <c r="K820">
        <v>6.7250748192586238</v>
      </c>
      <c r="L820">
        <v>0</v>
      </c>
      <c r="M820">
        <v>1.0067177487147361E-2</v>
      </c>
      <c r="N820">
        <v>0.18739110776259651</v>
      </c>
      <c r="O820">
        <v>0.11873051947918252</v>
      </c>
      <c r="P820">
        <v>8.3029853360690825E-2</v>
      </c>
      <c r="Q820">
        <v>0</v>
      </c>
      <c r="R820">
        <v>1.0067177487147361E-2</v>
      </c>
      <c r="S820">
        <v>0.26323815307071174</v>
      </c>
      <c r="T820">
        <v>5.9139954389115399</v>
      </c>
      <c r="U820">
        <v>0</v>
      </c>
      <c r="V820">
        <v>1.9051020174650064E-2</v>
      </c>
      <c r="W820">
        <v>9.868251822328615E-2</v>
      </c>
      <c r="X820">
        <v>-4.9863672531266171E-4</v>
      </c>
      <c r="Y820">
        <v>4.1454845001278967E-2</v>
      </c>
    </row>
    <row r="821" spans="1:25" x14ac:dyDescent="0.25">
      <c r="A821" s="879"/>
      <c r="B821" s="1133">
        <v>571</v>
      </c>
      <c r="C821" s="883">
        <v>0.99739893902743371</v>
      </c>
      <c r="D821" s="883">
        <v>1.0333075066641364</v>
      </c>
      <c r="E821" s="883">
        <v>1.0009820911279648</v>
      </c>
      <c r="F821" s="883">
        <v>1.0066424389964792</v>
      </c>
      <c r="G821" s="883">
        <v>1.00771296498895</v>
      </c>
      <c r="H821" s="883">
        <v>0.99296458783724384</v>
      </c>
      <c r="I821" s="883">
        <v>0.99677403125994501</v>
      </c>
      <c r="K821">
        <v>6.7367729999308095</v>
      </c>
      <c r="L821">
        <v>0</v>
      </c>
      <c r="M821">
        <v>1.0222826342688196E-2</v>
      </c>
      <c r="N821">
        <v>0.19087011631778794</v>
      </c>
      <c r="O821">
        <v>0.1206904290018794</v>
      </c>
      <c r="P821">
        <v>8.3215226137018261E-2</v>
      </c>
      <c r="Q821">
        <v>0</v>
      </c>
      <c r="R821">
        <v>1.0222826342688196E-2</v>
      </c>
      <c r="S821">
        <v>0.26885332750657936</v>
      </c>
      <c r="T821">
        <v>5.9124366647802074</v>
      </c>
      <c r="U821">
        <v>0</v>
      </c>
      <c r="V821">
        <v>1.9169310641044025E-2</v>
      </c>
      <c r="W821">
        <v>0.10041180265688861</v>
      </c>
      <c r="X821">
        <v>-9.696563945267516E-4</v>
      </c>
      <c r="Y821">
        <v>4.2095779283932641E-2</v>
      </c>
    </row>
    <row r="822" spans="1:25" x14ac:dyDescent="0.25">
      <c r="A822" s="879"/>
      <c r="B822" s="1133">
        <v>572</v>
      </c>
      <c r="C822" s="883">
        <v>0.95957139378423373</v>
      </c>
      <c r="D822" s="883">
        <v>0.97502906205245721</v>
      </c>
      <c r="E822" s="883">
        <v>0.98766650600472894</v>
      </c>
      <c r="F822" s="883">
        <v>1.0205645087844961</v>
      </c>
      <c r="G822" s="883">
        <v>1.0053184548001652</v>
      </c>
      <c r="H822" s="883">
        <v>0.95898609869898888</v>
      </c>
      <c r="I822" s="883">
        <v>0.97949865420509163</v>
      </c>
      <c r="K822">
        <v>6.7564778844354274</v>
      </c>
      <c r="L822">
        <v>0</v>
      </c>
      <c r="M822">
        <v>1.0643561293005505E-2</v>
      </c>
      <c r="N822">
        <v>0.19484222435592322</v>
      </c>
      <c r="O822">
        <v>0.12865730067043873</v>
      </c>
      <c r="P822">
        <v>8.2440496144741068E-2</v>
      </c>
      <c r="Q822">
        <v>0</v>
      </c>
      <c r="R822">
        <v>1.0643561293005505E-2</v>
      </c>
      <c r="S822">
        <v>0.27185093846326946</v>
      </c>
      <c r="T822">
        <v>5.9139333943066861</v>
      </c>
      <c r="U822">
        <v>0</v>
      </c>
      <c r="V822">
        <v>1.9384781233564314E-2</v>
      </c>
      <c r="W822">
        <v>0.10318309557730054</v>
      </c>
      <c r="X822">
        <v>-1.6426372378071641E-3</v>
      </c>
      <c r="Y822">
        <v>4.3828290921309854E-2</v>
      </c>
    </row>
    <row r="823" spans="1:25" x14ac:dyDescent="0.25">
      <c r="A823" s="879"/>
      <c r="B823" s="1133">
        <v>573</v>
      </c>
      <c r="C823" s="883">
        <v>0.99578805558009331</v>
      </c>
      <c r="D823" s="883">
        <v>1.0129028583122468</v>
      </c>
      <c r="E823" s="883">
        <v>1.0114481489861358</v>
      </c>
      <c r="F823" s="883">
        <v>1.001919179918112</v>
      </c>
      <c r="G823" s="883">
        <v>0.96693781283271818</v>
      </c>
      <c r="H823" s="883">
        <v>1.0000984894374532</v>
      </c>
      <c r="I823" s="883">
        <v>0.99165835798555146</v>
      </c>
      <c r="K823">
        <v>6.7437583952935869</v>
      </c>
      <c r="L823">
        <v>0</v>
      </c>
      <c r="M823">
        <v>1.0306600612992841E-2</v>
      </c>
      <c r="N823">
        <v>0.19543986644603398</v>
      </c>
      <c r="O823">
        <v>0.12165739742789217</v>
      </c>
      <c r="P823">
        <v>8.3859863425360032E-2</v>
      </c>
      <c r="Q823">
        <v>0</v>
      </c>
      <c r="R823">
        <v>1.0306600612992841E-2</v>
      </c>
      <c r="S823">
        <v>0.26877131906248264</v>
      </c>
      <c r="T823">
        <v>5.9115896048918906</v>
      </c>
      <c r="U823">
        <v>0</v>
      </c>
      <c r="V823">
        <v>1.9178152719119258E-2</v>
      </c>
      <c r="W823">
        <v>0.10228414768423864</v>
      </c>
      <c r="X823">
        <v>-1.4627031812163623E-3</v>
      </c>
      <c r="Y823">
        <v>4.2440746817782919E-2</v>
      </c>
    </row>
    <row r="824" spans="1:25" x14ac:dyDescent="0.25">
      <c r="A824" s="879"/>
      <c r="B824" s="1133">
        <v>574</v>
      </c>
      <c r="C824" s="883">
        <v>0.98373532015728016</v>
      </c>
      <c r="D824" s="883">
        <v>1.0191024607750154</v>
      </c>
      <c r="E824" s="883">
        <v>0.99582038574061982</v>
      </c>
      <c r="F824" s="883">
        <v>0.99326947833536994</v>
      </c>
      <c r="G824" s="883">
        <v>0.98077117626475474</v>
      </c>
      <c r="H824" s="883">
        <v>1.0028578436635738</v>
      </c>
      <c r="I824" s="883">
        <v>1.0170213763939833</v>
      </c>
      <c r="K824">
        <v>6.7575846642798441</v>
      </c>
      <c r="L824">
        <v>0</v>
      </c>
      <c r="M824">
        <v>1.0577854581755631E-2</v>
      </c>
      <c r="N824">
        <v>0.19599415342207904</v>
      </c>
      <c r="O824">
        <v>0.1231436978583855</v>
      </c>
      <c r="P824">
        <v>8.3024290878133192E-2</v>
      </c>
      <c r="Q824">
        <v>0</v>
      </c>
      <c r="R824">
        <v>1.0577854581755631E-2</v>
      </c>
      <c r="S824">
        <v>0.27920118348828288</v>
      </c>
      <c r="T824">
        <v>5.912003561511086</v>
      </c>
      <c r="U824">
        <v>0</v>
      </c>
      <c r="V824">
        <v>1.9245228615772852E-2</v>
      </c>
      <c r="W824">
        <v>0.10337225110128966</v>
      </c>
      <c r="X824">
        <v>-1.9574249749277121E-3</v>
      </c>
      <c r="Y824">
        <v>4.3557722379741495E-2</v>
      </c>
    </row>
    <row r="825" spans="1:25" x14ac:dyDescent="0.25">
      <c r="A825" s="879"/>
      <c r="B825" s="1133">
        <v>575</v>
      </c>
      <c r="C825" s="883">
        <v>0.99017759240817105</v>
      </c>
      <c r="D825" s="883">
        <v>1.0156657379433447</v>
      </c>
      <c r="E825" s="883">
        <v>0.98615820399129617</v>
      </c>
      <c r="F825" s="883">
        <v>1.0220598414839324</v>
      </c>
      <c r="G825" s="883">
        <v>0.95795589855291874</v>
      </c>
      <c r="H825" s="883">
        <v>0.96161263397391039</v>
      </c>
      <c r="I825" s="883">
        <v>0.95587299611857623</v>
      </c>
      <c r="K825">
        <v>6.7210637580674266</v>
      </c>
      <c r="L825">
        <v>0</v>
      </c>
      <c r="M825">
        <v>1.0176854754562823E-2</v>
      </c>
      <c r="N825">
        <v>0.18588241559686933</v>
      </c>
      <c r="O825">
        <v>0.12268885658689814</v>
      </c>
      <c r="P825">
        <v>8.2148391810083876E-2</v>
      </c>
      <c r="Q825">
        <v>0</v>
      </c>
      <c r="R825">
        <v>1.0176854754562823E-2</v>
      </c>
      <c r="S825">
        <v>0.25699431238969073</v>
      </c>
      <c r="T825">
        <v>5.9140979156050459</v>
      </c>
      <c r="U825">
        <v>0</v>
      </c>
      <c r="V825">
        <v>1.9209172930308046E-2</v>
      </c>
      <c r="W825">
        <v>9.8512387559378148E-2</v>
      </c>
      <c r="X825">
        <v>-3.7617087751485738E-4</v>
      </c>
      <c r="Y825">
        <v>4.1906476466669978E-2</v>
      </c>
    </row>
    <row r="826" spans="1:25" x14ac:dyDescent="0.25">
      <c r="A826" s="879"/>
      <c r="B826" s="1133">
        <v>576</v>
      </c>
      <c r="C826" s="883">
        <v>0.96461300042762532</v>
      </c>
      <c r="D826" s="883">
        <v>1.0083329170710591</v>
      </c>
      <c r="E826" s="883">
        <v>1.0025344157132914</v>
      </c>
      <c r="F826" s="883">
        <v>1.0074909430850176</v>
      </c>
      <c r="G826" s="883">
        <v>1.0027710878985725</v>
      </c>
      <c r="H826" s="883">
        <v>0.9933744569476245</v>
      </c>
      <c r="I826" s="883">
        <v>0.99937498678475145</v>
      </c>
      <c r="K826">
        <v>6.7665423193661303</v>
      </c>
      <c r="L826">
        <v>0</v>
      </c>
      <c r="M826">
        <v>1.0671478272630763E-2</v>
      </c>
      <c r="N826">
        <v>0.1997055680030087</v>
      </c>
      <c r="O826">
        <v>0.12598974602843768</v>
      </c>
      <c r="P826">
        <v>8.3450769530687863E-2</v>
      </c>
      <c r="Q826">
        <v>0</v>
      </c>
      <c r="R826">
        <v>1.0671478272630763E-2</v>
      </c>
      <c r="S826">
        <v>0.27899204499015678</v>
      </c>
      <c r="T826">
        <v>5.9123951184314656</v>
      </c>
      <c r="U826">
        <v>0</v>
      </c>
      <c r="V826">
        <v>1.9355087514466438E-2</v>
      </c>
      <c r="W826">
        <v>0.10497899871117228</v>
      </c>
      <c r="X826">
        <v>-2.2682619176401055E-3</v>
      </c>
      <c r="Y826">
        <v>4.3943248074369542E-2</v>
      </c>
    </row>
    <row r="827" spans="1:25" x14ac:dyDescent="0.25">
      <c r="A827" s="879"/>
      <c r="B827" s="1133">
        <v>577</v>
      </c>
      <c r="C827" s="883">
        <v>1.0109742393950756</v>
      </c>
      <c r="D827" s="883">
        <v>0.99844751120042974</v>
      </c>
      <c r="E827" s="883">
        <v>1.00514591060813</v>
      </c>
      <c r="F827" s="883">
        <v>0.99060606870239032</v>
      </c>
      <c r="G827" s="883">
        <v>1.0092964133536901</v>
      </c>
      <c r="H827" s="883">
        <v>1.0097920281082917</v>
      </c>
      <c r="I827" s="883">
        <v>1.0000103224958603</v>
      </c>
      <c r="K827">
        <v>6.7406907586566511</v>
      </c>
      <c r="L827">
        <v>0</v>
      </c>
      <c r="M827">
        <v>1.0370454376914529E-2</v>
      </c>
      <c r="N827">
        <v>0.19482430263401304</v>
      </c>
      <c r="O827">
        <v>0.12063825587661811</v>
      </c>
      <c r="P827">
        <v>8.3449447030667548E-2</v>
      </c>
      <c r="Q827">
        <v>0</v>
      </c>
      <c r="R827">
        <v>1.0370454376914529E-2</v>
      </c>
      <c r="S827">
        <v>0.26799766933906227</v>
      </c>
      <c r="T827">
        <v>5.9113353515251488</v>
      </c>
      <c r="U827">
        <v>0</v>
      </c>
      <c r="V827">
        <v>1.9095915637263709E-2</v>
      </c>
      <c r="W827">
        <v>0.10228053824223728</v>
      </c>
      <c r="X827">
        <v>-1.6344068804244509E-3</v>
      </c>
      <c r="Y827">
        <v>4.270368525206613E-2</v>
      </c>
    </row>
    <row r="828" spans="1:25" x14ac:dyDescent="0.25">
      <c r="A828" s="879"/>
      <c r="B828" s="1133">
        <v>578</v>
      </c>
      <c r="C828" s="883">
        <v>1.0233519402239455</v>
      </c>
      <c r="D828" s="883">
        <v>0.98572370723892577</v>
      </c>
      <c r="E828" s="883">
        <v>0.98404490344176954</v>
      </c>
      <c r="F828" s="883">
        <v>1.0021305271163636</v>
      </c>
      <c r="G828" s="883">
        <v>0.99774447240277997</v>
      </c>
      <c r="H828" s="883">
        <v>0.99347349451255229</v>
      </c>
      <c r="I828" s="883">
        <v>0.98579540817007938</v>
      </c>
      <c r="K828">
        <v>6.7231471608595745</v>
      </c>
      <c r="L828">
        <v>0</v>
      </c>
      <c r="M828">
        <v>1.0323437452922435E-2</v>
      </c>
      <c r="N828">
        <v>0.18796970682743608</v>
      </c>
      <c r="O828">
        <v>0.12017969493012362</v>
      </c>
      <c r="P828">
        <v>8.2034990423022272E-2</v>
      </c>
      <c r="Q828">
        <v>0</v>
      </c>
      <c r="R828">
        <v>1.0323437452922435E-2</v>
      </c>
      <c r="S828">
        <v>0.25959805659648294</v>
      </c>
      <c r="T828">
        <v>5.9131376592237261</v>
      </c>
      <c r="U828">
        <v>0</v>
      </c>
      <c r="V828">
        <v>1.9030692615493394E-2</v>
      </c>
      <c r="W828">
        <v>9.9723839902095601E-2</v>
      </c>
      <c r="X828">
        <v>-1.0375575865760316E-3</v>
      </c>
      <c r="Y828">
        <v>4.251007792776719E-2</v>
      </c>
    </row>
    <row r="829" spans="1:25" x14ac:dyDescent="0.25">
      <c r="A829" s="879"/>
      <c r="B829" s="1133">
        <v>579</v>
      </c>
      <c r="C829" s="883">
        <v>1.009931442770982</v>
      </c>
      <c r="D829" s="883">
        <v>0.96768677175212081</v>
      </c>
      <c r="E829" s="883">
        <v>0.97750011220872612</v>
      </c>
      <c r="F829" s="883">
        <v>1.0038651026293357</v>
      </c>
      <c r="G829" s="883">
        <v>1.029110417782692</v>
      </c>
      <c r="H829" s="883">
        <v>0.99909196628827412</v>
      </c>
      <c r="I829" s="883">
        <v>0.991718106344888</v>
      </c>
      <c r="K829">
        <v>6.7391760272932126</v>
      </c>
      <c r="L829">
        <v>0</v>
      </c>
      <c r="M829">
        <v>1.0664064197250843E-2</v>
      </c>
      <c r="N829">
        <v>0.19229560764932976</v>
      </c>
      <c r="O829">
        <v>0.12280150126661069</v>
      </c>
      <c r="P829">
        <v>8.1705791722627139E-2</v>
      </c>
      <c r="Q829">
        <v>0</v>
      </c>
      <c r="R829">
        <v>1.0664064197250843E-2</v>
      </c>
      <c r="S829">
        <v>0.26533271245708046</v>
      </c>
      <c r="T829">
        <v>5.9135922299713153</v>
      </c>
      <c r="U829">
        <v>0</v>
      </c>
      <c r="V829">
        <v>1.9101483566081667E-2</v>
      </c>
      <c r="W829">
        <v>0.10235362896718801</v>
      </c>
      <c r="X829">
        <v>-1.9196465386324634E-3</v>
      </c>
      <c r="Y829">
        <v>4.3912718231611234E-2</v>
      </c>
    </row>
    <row r="830" spans="1:25" x14ac:dyDescent="0.25">
      <c r="A830" s="879"/>
      <c r="B830" s="1133">
        <v>580</v>
      </c>
      <c r="C830" s="883">
        <v>0.97858961541085054</v>
      </c>
      <c r="D830" s="883">
        <v>1.0012929596616553</v>
      </c>
      <c r="E830" s="883">
        <v>0.98752588607625336</v>
      </c>
      <c r="F830" s="883">
        <v>1.0050340500263701</v>
      </c>
      <c r="G830" s="883">
        <v>1.0102236298658047</v>
      </c>
      <c r="H830" s="883">
        <v>0.99835733254648817</v>
      </c>
      <c r="I830" s="883">
        <v>0.99680555682861094</v>
      </c>
      <c r="K830">
        <v>6.7572201481280363</v>
      </c>
      <c r="L830">
        <v>0</v>
      </c>
      <c r="M830">
        <v>1.0743457477563698E-2</v>
      </c>
      <c r="N830">
        <v>0.19662993005384968</v>
      </c>
      <c r="O830">
        <v>0.12482540567767919</v>
      </c>
      <c r="P830">
        <v>8.2458568570575597E-2</v>
      </c>
      <c r="Q830">
        <v>0</v>
      </c>
      <c r="R830">
        <v>1.0743457477563698E-2</v>
      </c>
      <c r="S830">
        <v>0.27482088579024216</v>
      </c>
      <c r="T830">
        <v>5.9131017285507674</v>
      </c>
      <c r="U830">
        <v>0</v>
      </c>
      <c r="V830">
        <v>1.9274368782810841E-2</v>
      </c>
      <c r="W830">
        <v>0.10413712474483673</v>
      </c>
      <c r="X830">
        <v>-2.2675096711845142E-3</v>
      </c>
      <c r="Y830">
        <v>4.4239645628462498E-2</v>
      </c>
    </row>
    <row r="831" spans="1:25" x14ac:dyDescent="0.25">
      <c r="A831" s="879"/>
      <c r="B831" s="1133">
        <v>581</v>
      </c>
      <c r="C831" s="883">
        <v>0.98396757960373549</v>
      </c>
      <c r="D831" s="883">
        <v>0.99500691768000182</v>
      </c>
      <c r="E831" s="883">
        <v>1.0118996514380076</v>
      </c>
      <c r="F831" s="883">
        <v>0.99528182042203117</v>
      </c>
      <c r="G831" s="883">
        <v>0.99155481973355464</v>
      </c>
      <c r="H831" s="883">
        <v>1.0299421018894777</v>
      </c>
      <c r="I831" s="883">
        <v>1.028427333144045</v>
      </c>
      <c r="K831">
        <v>6.7778646924191364</v>
      </c>
      <c r="L831">
        <v>0</v>
      </c>
      <c r="M831">
        <v>1.0819707137754138E-2</v>
      </c>
      <c r="N831">
        <v>0.20530686006669668</v>
      </c>
      <c r="O831">
        <v>0.12399123384702071</v>
      </c>
      <c r="P831">
        <v>8.410621464777851E-2</v>
      </c>
      <c r="Q831">
        <v>0</v>
      </c>
      <c r="R831">
        <v>1.0819707137754138E-2</v>
      </c>
      <c r="S831">
        <v>0.28521771868554435</v>
      </c>
      <c r="T831">
        <v>5.911205305165681</v>
      </c>
      <c r="U831">
        <v>0</v>
      </c>
      <c r="V831">
        <v>1.9243920517495423E-2</v>
      </c>
      <c r="W831">
        <v>0.10742409788260324</v>
      </c>
      <c r="X831">
        <v>-3.1842865508736793E-3</v>
      </c>
      <c r="Y831">
        <v>4.4553628157193138E-2</v>
      </c>
    </row>
    <row r="832" spans="1:25" x14ac:dyDescent="0.25">
      <c r="A832" s="879"/>
      <c r="B832" s="1133">
        <v>582</v>
      </c>
      <c r="C832" s="883">
        <v>1.0175815520069145</v>
      </c>
      <c r="D832" s="883">
        <v>1.0283141198116756</v>
      </c>
      <c r="E832" s="883">
        <v>1.0125996551617154</v>
      </c>
      <c r="F832" s="883">
        <v>1.0026045582211467</v>
      </c>
      <c r="G832" s="883">
        <v>1.019201914253745</v>
      </c>
      <c r="H832" s="883">
        <v>0.95792471405121682</v>
      </c>
      <c r="I832" s="883">
        <v>1.0175115083835631</v>
      </c>
      <c r="K832">
        <v>6.7165082830464939</v>
      </c>
      <c r="L832">
        <v>0</v>
      </c>
      <c r="M832">
        <v>9.5886520563928691E-3</v>
      </c>
      <c r="N832">
        <v>0.18213587167788745</v>
      </c>
      <c r="O832">
        <v>0.11831385221851838</v>
      </c>
      <c r="P832">
        <v>8.3889968216055308E-2</v>
      </c>
      <c r="Q832">
        <v>0</v>
      </c>
      <c r="R832">
        <v>9.5886520563928691E-3</v>
      </c>
      <c r="S832">
        <v>0.26580264544799692</v>
      </c>
      <c r="T832">
        <v>5.9115611554690508</v>
      </c>
      <c r="U832">
        <v>0</v>
      </c>
      <c r="V832">
        <v>1.9060901649016106E-2</v>
      </c>
      <c r="W832">
        <v>9.5267225203617328E-2</v>
      </c>
      <c r="X832">
        <v>9.923007125665895E-4</v>
      </c>
      <c r="Y832">
        <v>3.9484362451783495E-2</v>
      </c>
    </row>
    <row r="833" spans="1:25" x14ac:dyDescent="0.25">
      <c r="A833" s="879"/>
      <c r="B833" s="1133">
        <v>583</v>
      </c>
      <c r="C833" s="883">
        <v>0.95734074381826562</v>
      </c>
      <c r="D833" s="883">
        <v>0.96296076458593893</v>
      </c>
      <c r="E833" s="883">
        <v>1.0051318365414077</v>
      </c>
      <c r="F833" s="883">
        <v>0.96244936643861723</v>
      </c>
      <c r="G833" s="883">
        <v>1.0117471312618365</v>
      </c>
      <c r="H833" s="883">
        <v>1.0068473641867</v>
      </c>
      <c r="I833" s="883">
        <v>1.0269420414404145</v>
      </c>
      <c r="K833">
        <v>6.7927148423194028</v>
      </c>
      <c r="L833">
        <v>0</v>
      </c>
      <c r="M833">
        <v>1.1090346117828725E-2</v>
      </c>
      <c r="N833">
        <v>0.20834418980096883</v>
      </c>
      <c r="O833">
        <v>0.1292546586813727</v>
      </c>
      <c r="P833">
        <v>8.3738292388519223E-2</v>
      </c>
      <c r="Q833">
        <v>0</v>
      </c>
      <c r="R833">
        <v>1.1090346117828725E-2</v>
      </c>
      <c r="S833">
        <v>0.2907557074524002</v>
      </c>
      <c r="T833">
        <v>5.9098146061344998</v>
      </c>
      <c r="U833">
        <v>0</v>
      </c>
      <c r="V833">
        <v>1.9398018967009809E-2</v>
      </c>
      <c r="W833">
        <v>0.1093790878191455</v>
      </c>
      <c r="X833">
        <v>-3.6377902297148349E-3</v>
      </c>
      <c r="Y833">
        <v>4.5668071305197608E-2</v>
      </c>
    </row>
    <row r="834" spans="1:25" x14ac:dyDescent="0.25">
      <c r="A834" s="879"/>
      <c r="B834" s="1133">
        <v>584</v>
      </c>
      <c r="C834" s="883">
        <v>1.0397810022149152</v>
      </c>
      <c r="D834" s="883">
        <v>0.97018656372541145</v>
      </c>
      <c r="E834" s="883">
        <v>0.98886183158617036</v>
      </c>
      <c r="F834" s="883">
        <v>0.9747430585594743</v>
      </c>
      <c r="G834" s="883">
        <v>0.99657101144099602</v>
      </c>
      <c r="H834" s="883">
        <v>0.99323565490831822</v>
      </c>
      <c r="I834" s="883">
        <v>1.0065125004220976</v>
      </c>
      <c r="K834">
        <v>6.7194599547113372</v>
      </c>
      <c r="L834">
        <v>0</v>
      </c>
      <c r="M834">
        <v>1.0184426836782041E-2</v>
      </c>
      <c r="N834">
        <v>0.18676799080004303</v>
      </c>
      <c r="O834">
        <v>0.11894758250709744</v>
      </c>
      <c r="P834">
        <v>8.2332198043404553E-2</v>
      </c>
      <c r="Q834">
        <v>0</v>
      </c>
      <c r="R834">
        <v>1.0184426836782041E-2</v>
      </c>
      <c r="S834">
        <v>0.26101077155774727</v>
      </c>
      <c r="T834">
        <v>5.9113902267191332</v>
      </c>
      <c r="U834">
        <v>0</v>
      </c>
      <c r="V834">
        <v>1.8946519788430486E-2</v>
      </c>
      <c r="W834">
        <v>9.8848223188196568E-2</v>
      </c>
      <c r="X834">
        <v>-7.2121484618136757E-4</v>
      </c>
      <c r="Y834">
        <v>4.1937656953468343E-2</v>
      </c>
    </row>
    <row r="835" spans="1:25" x14ac:dyDescent="0.25">
      <c r="A835" s="879"/>
      <c r="B835" s="1133">
        <v>585</v>
      </c>
      <c r="C835" s="883">
        <v>1.0039598037001431</v>
      </c>
      <c r="D835" s="883">
        <v>1.0339853073640366</v>
      </c>
      <c r="E835" s="883">
        <v>0.9996503229652185</v>
      </c>
      <c r="F835" s="883">
        <v>0.97849399817528637</v>
      </c>
      <c r="G835" s="883">
        <v>0.9840108564746527</v>
      </c>
      <c r="H835" s="883">
        <v>1.012064567626493</v>
      </c>
      <c r="I835" s="883">
        <v>0.99965843739915361</v>
      </c>
      <c r="K835">
        <v>6.7386076389906577</v>
      </c>
      <c r="L835">
        <v>0</v>
      </c>
      <c r="M835">
        <v>1.03605178718627E-2</v>
      </c>
      <c r="N835">
        <v>0.19305967930342327</v>
      </c>
      <c r="O835">
        <v>0.11989480468322097</v>
      </c>
      <c r="P835">
        <v>8.3122114182190426E-2</v>
      </c>
      <c r="Q835">
        <v>0</v>
      </c>
      <c r="R835">
        <v>1.03605178718627E-2</v>
      </c>
      <c r="S835">
        <v>0.26962852660757336</v>
      </c>
      <c r="T835">
        <v>5.9109903144576155</v>
      </c>
      <c r="U835">
        <v>0</v>
      </c>
      <c r="V835">
        <v>1.913359142701767E-2</v>
      </c>
      <c r="W835">
        <v>0.1016308626411026</v>
      </c>
      <c r="X835">
        <v>-1.5150228043762622E-3</v>
      </c>
      <c r="Y835">
        <v>4.266276849289468E-2</v>
      </c>
    </row>
    <row r="836" spans="1:25" x14ac:dyDescent="0.25">
      <c r="A836" s="879"/>
      <c r="B836" s="1133">
        <v>586</v>
      </c>
      <c r="C836" s="883">
        <v>0.98021997012862905</v>
      </c>
      <c r="D836" s="883">
        <v>0.99066664022734441</v>
      </c>
      <c r="E836" s="883">
        <v>1.0013051021818331</v>
      </c>
      <c r="F836" s="883">
        <v>0.99251001796719274</v>
      </c>
      <c r="G836" s="883">
        <v>1.0005016675563796</v>
      </c>
      <c r="H836" s="883">
        <v>1.0163243716299861</v>
      </c>
      <c r="I836" s="883">
        <v>0.99667525094812948</v>
      </c>
      <c r="K836">
        <v>6.7659180967137038</v>
      </c>
      <c r="L836">
        <v>0</v>
      </c>
      <c r="M836">
        <v>1.0837471719340932E-2</v>
      </c>
      <c r="N836">
        <v>0.20244298830810792</v>
      </c>
      <c r="O836">
        <v>0.12488706173366831</v>
      </c>
      <c r="P836">
        <v>8.3324724021731508E-2</v>
      </c>
      <c r="Q836">
        <v>0</v>
      </c>
      <c r="R836">
        <v>1.0837471719340932E-2</v>
      </c>
      <c r="S836">
        <v>0.276190083237563</v>
      </c>
      <c r="T836">
        <v>5.9116547512001469</v>
      </c>
      <c r="U836">
        <v>0</v>
      </c>
      <c r="V836">
        <v>1.9265102959881826E-2</v>
      </c>
      <c r="W836">
        <v>0.1064829143523478</v>
      </c>
      <c r="X836">
        <v>-2.956308641932648E-3</v>
      </c>
      <c r="Y836">
        <v>4.4626779542189916E-2</v>
      </c>
    </row>
    <row r="837" spans="1:25" x14ac:dyDescent="0.25">
      <c r="A837" s="879"/>
      <c r="B837" s="1133">
        <v>587</v>
      </c>
      <c r="C837" s="883">
        <v>1.0026072353855049</v>
      </c>
      <c r="D837" s="883">
        <v>0.99172546827762875</v>
      </c>
      <c r="E837" s="883">
        <v>1.0306253045816918</v>
      </c>
      <c r="F837" s="883">
        <v>0.98747331553332385</v>
      </c>
      <c r="G837" s="883">
        <v>1.0116720734540956</v>
      </c>
      <c r="H837" s="883">
        <v>0.99438607212864849</v>
      </c>
      <c r="I837" s="883">
        <v>1.0302987170809388</v>
      </c>
      <c r="K837">
        <v>6.7521923347079893</v>
      </c>
      <c r="L837">
        <v>0</v>
      </c>
      <c r="M837">
        <v>1.009954357506607E-2</v>
      </c>
      <c r="N837">
        <v>0.197023862845046</v>
      </c>
      <c r="O837">
        <v>0.12149228599500556</v>
      </c>
      <c r="P837">
        <v>8.5148442781486283E-2</v>
      </c>
      <c r="Q837">
        <v>0</v>
      </c>
      <c r="R837">
        <v>1.009954357506607E-2</v>
      </c>
      <c r="S837">
        <v>0.27703954566954825</v>
      </c>
      <c r="T837">
        <v>5.9097092693420201</v>
      </c>
      <c r="U837">
        <v>0</v>
      </c>
      <c r="V837">
        <v>1.9140916940820731E-2</v>
      </c>
      <c r="W837">
        <v>0.1021440677568167</v>
      </c>
      <c r="X837">
        <v>-1.0941794131408607E-3</v>
      </c>
      <c r="Y837">
        <v>4.158812279037933E-2</v>
      </c>
    </row>
    <row r="838" spans="1:25" x14ac:dyDescent="0.25">
      <c r="A838" s="879"/>
      <c r="B838" s="1133">
        <v>588</v>
      </c>
      <c r="C838" s="883">
        <v>0.98847124218443883</v>
      </c>
      <c r="D838" s="883">
        <v>0.99924424862578576</v>
      </c>
      <c r="E838" s="883">
        <v>1.0080943702187646</v>
      </c>
      <c r="F838" s="883">
        <v>1.0099132054983706</v>
      </c>
      <c r="G838" s="883">
        <v>1.0063385436405634</v>
      </c>
      <c r="H838" s="883">
        <v>1.0215342745417255</v>
      </c>
      <c r="I838" s="883">
        <v>1.0053570212854515</v>
      </c>
      <c r="K838">
        <v>6.7642064849029957</v>
      </c>
      <c r="L838">
        <v>0</v>
      </c>
      <c r="M838">
        <v>1.0698602505440417E-2</v>
      </c>
      <c r="N838">
        <v>0.20186847588042708</v>
      </c>
      <c r="O838">
        <v>0.12328918846974336</v>
      </c>
      <c r="P838">
        <v>8.3765067791322173E-2</v>
      </c>
      <c r="Q838">
        <v>0</v>
      </c>
      <c r="R838">
        <v>1.0698602505440417E-2</v>
      </c>
      <c r="S838">
        <v>0.27668720248735923</v>
      </c>
      <c r="T838">
        <v>5.9122118679768834</v>
      </c>
      <c r="U838">
        <v>0</v>
      </c>
      <c r="V838">
        <v>1.9218677163465186E-2</v>
      </c>
      <c r="W838">
        <v>0.10582399596259326</v>
      </c>
      <c r="X838">
        <v>-2.7129316659418997E-3</v>
      </c>
      <c r="Y838">
        <v>4.4054940837146235E-2</v>
      </c>
    </row>
    <row r="839" spans="1:25" x14ac:dyDescent="0.25">
      <c r="A839" s="879"/>
      <c r="B839" s="1133">
        <v>589</v>
      </c>
      <c r="C839" s="883">
        <v>0.99815862538154609</v>
      </c>
      <c r="D839" s="883">
        <v>1.0054631575449648</v>
      </c>
      <c r="E839" s="883">
        <v>0.99507774316393149</v>
      </c>
      <c r="F839" s="883">
        <v>0.9893346494669486</v>
      </c>
      <c r="G839" s="883">
        <v>0.99302032416302244</v>
      </c>
      <c r="H839" s="883">
        <v>0.97366653705011175</v>
      </c>
      <c r="I839" s="883">
        <v>1.0105280753799022</v>
      </c>
      <c r="K839">
        <v>6.736017981081468</v>
      </c>
      <c r="L839">
        <v>0</v>
      </c>
      <c r="M839">
        <v>1.0186711147368337E-2</v>
      </c>
      <c r="N839">
        <v>0.18853914741780187</v>
      </c>
      <c r="O839">
        <v>0.12203403566386076</v>
      </c>
      <c r="P839">
        <v>8.2861547527975005E-2</v>
      </c>
      <c r="Q839">
        <v>0</v>
      </c>
      <c r="R839">
        <v>1.0186711147368337E-2</v>
      </c>
      <c r="S839">
        <v>0.27076302278800357</v>
      </c>
      <c r="T839">
        <v>5.911832440039487</v>
      </c>
      <c r="U839">
        <v>0</v>
      </c>
      <c r="V839">
        <v>1.9165150654742381E-2</v>
      </c>
      <c r="W839">
        <v>9.9477043999391265E-2</v>
      </c>
      <c r="X839">
        <v>-6.0147034766394364E-4</v>
      </c>
      <c r="Y839">
        <v>4.1947063337870599E-2</v>
      </c>
    </row>
    <row r="840" spans="1:25" x14ac:dyDescent="0.25">
      <c r="A840" s="879"/>
      <c r="B840" s="1133">
        <v>590</v>
      </c>
      <c r="C840" s="883">
        <v>1.0063848115038094</v>
      </c>
      <c r="D840" s="883">
        <v>1.0310277413379072</v>
      </c>
      <c r="E840" s="883">
        <v>1.045597548872842</v>
      </c>
      <c r="F840" s="883">
        <v>0.98382429641786284</v>
      </c>
      <c r="G840" s="883">
        <v>1.0232460627873954</v>
      </c>
      <c r="H840" s="883">
        <v>0.96746324418733487</v>
      </c>
      <c r="I840" s="883">
        <v>0.98671268965664904</v>
      </c>
      <c r="K840">
        <v>6.7208697059617313</v>
      </c>
      <c r="L840">
        <v>0</v>
      </c>
      <c r="M840">
        <v>9.5020635790217609E-3</v>
      </c>
      <c r="N840">
        <v>0.1895138817829996</v>
      </c>
      <c r="O840">
        <v>0.11888883783027093</v>
      </c>
      <c r="P840">
        <v>8.5855382955682166E-2</v>
      </c>
      <c r="Q840">
        <v>0</v>
      </c>
      <c r="R840">
        <v>9.5020635790217609E-3</v>
      </c>
      <c r="S840">
        <v>0.26153072353954193</v>
      </c>
      <c r="T840">
        <v>5.9086396327417745</v>
      </c>
      <c r="U840">
        <v>0</v>
      </c>
      <c r="V840">
        <v>1.9120506877268115E-2</v>
      </c>
      <c r="W840">
        <v>9.7533972894664478E-2</v>
      </c>
      <c r="X840">
        <v>6.5896082538040854E-4</v>
      </c>
      <c r="Y840">
        <v>3.9127806514143694E-2</v>
      </c>
    </row>
    <row r="841" spans="1:25" x14ac:dyDescent="0.25">
      <c r="A841" s="879"/>
      <c r="B841" s="1133">
        <v>591</v>
      </c>
      <c r="C841" s="883">
        <v>0.98664095925583795</v>
      </c>
      <c r="D841" s="883">
        <v>1.0260164444102371</v>
      </c>
      <c r="E841" s="883">
        <v>0.9819409874571754</v>
      </c>
      <c r="F841" s="883">
        <v>0.97483994489364834</v>
      </c>
      <c r="G841" s="883">
        <v>0.97033378569114892</v>
      </c>
      <c r="H841" s="883">
        <v>0.97053050013432474</v>
      </c>
      <c r="I841" s="883">
        <v>1.0007379879117306</v>
      </c>
      <c r="K841">
        <v>6.7345441302496116</v>
      </c>
      <c r="L841">
        <v>0</v>
      </c>
      <c r="M841">
        <v>1.0301229768018314E-2</v>
      </c>
      <c r="N841">
        <v>0.18698089834266651</v>
      </c>
      <c r="O841">
        <v>0.12270892804885328</v>
      </c>
      <c r="P841">
        <v>8.2035093499542105E-2</v>
      </c>
      <c r="Q841">
        <v>0</v>
      </c>
      <c r="R841">
        <v>1.0301229768018314E-2</v>
      </c>
      <c r="S841">
        <v>0.2707755901616607</v>
      </c>
      <c r="T841">
        <v>5.9117786255750868</v>
      </c>
      <c r="U841">
        <v>0</v>
      </c>
      <c r="V841">
        <v>1.9228908234274672E-2</v>
      </c>
      <c r="W841">
        <v>9.9303674658156954E-2</v>
      </c>
      <c r="X841">
        <v>-6.8621890478452242E-4</v>
      </c>
      <c r="Y841">
        <v>4.2418630634152597E-2</v>
      </c>
    </row>
    <row r="842" spans="1:25" x14ac:dyDescent="0.25">
      <c r="A842" s="879"/>
      <c r="B842" s="1133">
        <v>592</v>
      </c>
      <c r="C842" s="883">
        <v>1.0058866674182989</v>
      </c>
      <c r="D842" s="883">
        <v>0.99354449404569078</v>
      </c>
      <c r="E842" s="883">
        <v>1.0053664810995031</v>
      </c>
      <c r="F842" s="883">
        <v>0.99317197749737796</v>
      </c>
      <c r="G842" s="883">
        <v>1.0026353110608337</v>
      </c>
      <c r="H842" s="883">
        <v>0.99812962826256624</v>
      </c>
      <c r="I842" s="883">
        <v>1.0157907414336811</v>
      </c>
      <c r="K842">
        <v>6.7450773389463619</v>
      </c>
      <c r="L842">
        <v>0</v>
      </c>
      <c r="M842">
        <v>1.0322287409749244E-2</v>
      </c>
      <c r="N842">
        <v>0.1939827679574842</v>
      </c>
      <c r="O842">
        <v>0.12148327483242637</v>
      </c>
      <c r="P842">
        <v>8.3526497811197142E-2</v>
      </c>
      <c r="Q842">
        <v>0</v>
      </c>
      <c r="R842">
        <v>1.0322287409749244E-2</v>
      </c>
      <c r="S842">
        <v>0.27254294998399353</v>
      </c>
      <c r="T842">
        <v>5.9114615499315137</v>
      </c>
      <c r="U842">
        <v>0</v>
      </c>
      <c r="V842">
        <v>1.9123189551228402E-2</v>
      </c>
      <c r="W842">
        <v>0.10182761097080337</v>
      </c>
      <c r="X842">
        <v>-1.3758443469626506E-3</v>
      </c>
      <c r="Y842">
        <v>4.2505342254680029E-2</v>
      </c>
    </row>
    <row r="843" spans="1:25" x14ac:dyDescent="0.25">
      <c r="A843" s="879"/>
      <c r="B843" s="1133">
        <v>593</v>
      </c>
      <c r="C843" s="883">
        <v>1.0418434839376691</v>
      </c>
      <c r="D843" s="883">
        <v>1.0198071997275695</v>
      </c>
      <c r="E843" s="883">
        <v>1.0021281989678212</v>
      </c>
      <c r="F843" s="883">
        <v>1.021979504657762</v>
      </c>
      <c r="G843" s="883">
        <v>0.97326565020254774</v>
      </c>
      <c r="H843" s="883">
        <v>0.96951167021410378</v>
      </c>
      <c r="I843" s="883">
        <v>0.97503535908075412</v>
      </c>
      <c r="K843">
        <v>6.6955492345552647</v>
      </c>
      <c r="L843">
        <v>0</v>
      </c>
      <c r="M843">
        <v>9.599878241831037E-3</v>
      </c>
      <c r="N843">
        <v>0.17954362919235806</v>
      </c>
      <c r="O843">
        <v>0.11613077366349883</v>
      </c>
      <c r="P843">
        <v>8.3039081872181356E-2</v>
      </c>
      <c r="Q843">
        <v>0</v>
      </c>
      <c r="R843">
        <v>9.599878241831037E-3</v>
      </c>
      <c r="S843">
        <v>0.24983209845465212</v>
      </c>
      <c r="T843">
        <v>5.9132009771186587</v>
      </c>
      <c r="U843">
        <v>0</v>
      </c>
      <c r="V843">
        <v>1.8936140399364105E-2</v>
      </c>
      <c r="W843">
        <v>9.4399519478131133E-2</v>
      </c>
      <c r="X843">
        <v>9.3642449118341755E-4</v>
      </c>
      <c r="Y843">
        <v>3.9530589885231344E-2</v>
      </c>
    </row>
    <row r="844" spans="1:25" x14ac:dyDescent="0.25">
      <c r="A844" s="879"/>
      <c r="B844" s="1133">
        <v>594</v>
      </c>
      <c r="C844" s="883">
        <v>1.0091806873545972</v>
      </c>
      <c r="D844" s="883">
        <v>1.0035473070307408</v>
      </c>
      <c r="E844" s="883">
        <v>0.99974826642652703</v>
      </c>
      <c r="F844" s="883">
        <v>0.99982043581332447</v>
      </c>
      <c r="G844" s="883">
        <v>1.0057235042434409</v>
      </c>
      <c r="H844" s="883">
        <v>0.96853060992821893</v>
      </c>
      <c r="I844" s="883">
        <v>1.0066943591196909</v>
      </c>
      <c r="K844">
        <v>6.7266150548596659</v>
      </c>
      <c r="L844">
        <v>0</v>
      </c>
      <c r="M844">
        <v>9.9896673055215844E-3</v>
      </c>
      <c r="N844">
        <v>0.18617619887713494</v>
      </c>
      <c r="O844">
        <v>0.12070682838931873</v>
      </c>
      <c r="P844">
        <v>8.3099081355861429E-2</v>
      </c>
      <c r="Q844">
        <v>0</v>
      </c>
      <c r="R844">
        <v>9.9896673055215844E-3</v>
      </c>
      <c r="S844">
        <v>0.26633232256378531</v>
      </c>
      <c r="T844">
        <v>5.9121373561262809</v>
      </c>
      <c r="U844">
        <v>0</v>
      </c>
      <c r="V844">
        <v>1.9105499288551833E-2</v>
      </c>
      <c r="W844">
        <v>9.80024793615831E-2</v>
      </c>
      <c r="X844">
        <v>-8.0382972495837376E-5</v>
      </c>
      <c r="Y844">
        <v>4.1135671869642065E-2</v>
      </c>
    </row>
    <row r="845" spans="1:25" x14ac:dyDescent="0.25">
      <c r="A845" s="879"/>
      <c r="B845" s="1133">
        <v>595</v>
      </c>
      <c r="C845" s="883">
        <v>1.0159841506204179</v>
      </c>
      <c r="D845" s="883">
        <v>0.99384646248743924</v>
      </c>
      <c r="E845" s="883">
        <v>1.0032646946486055</v>
      </c>
      <c r="F845" s="883">
        <v>0.97808342982997976</v>
      </c>
      <c r="G845" s="883">
        <v>0.98460465345174009</v>
      </c>
      <c r="H845" s="883">
        <v>1.0262405262981165</v>
      </c>
      <c r="I845" s="883">
        <v>1.0269556417081007</v>
      </c>
      <c r="K845">
        <v>6.7510170315116067</v>
      </c>
      <c r="L845">
        <v>0</v>
      </c>
      <c r="M845">
        <v>1.0525470033502821E-2</v>
      </c>
      <c r="N845">
        <v>0.1971863500824404</v>
      </c>
      <c r="O845">
        <v>0.12030022203584023</v>
      </c>
      <c r="P845">
        <v>8.3423824415721187E-2</v>
      </c>
      <c r="Q845">
        <v>0</v>
      </c>
      <c r="R845">
        <v>1.0525470033502821E-2</v>
      </c>
      <c r="S845">
        <v>0.27547899137144466</v>
      </c>
      <c r="T845">
        <v>5.9107647761767472</v>
      </c>
      <c r="U845">
        <v>0</v>
      </c>
      <c r="V845">
        <v>1.906932498143606E-2</v>
      </c>
      <c r="W845">
        <v>0.10361718198308655</v>
      </c>
      <c r="X845">
        <v>-2.165651669247223E-3</v>
      </c>
      <c r="Y845">
        <v>4.3342012134138443E-2</v>
      </c>
    </row>
    <row r="846" spans="1:25" x14ac:dyDescent="0.25">
      <c r="A846" s="879"/>
      <c r="B846" s="1133">
        <v>596</v>
      </c>
      <c r="C846" s="883">
        <v>1.0031081373420307</v>
      </c>
      <c r="D846" s="883">
        <v>0.97166858780681897</v>
      </c>
      <c r="E846" s="883">
        <v>0.99083340770408623</v>
      </c>
      <c r="F846" s="883">
        <v>0.99434296012972956</v>
      </c>
      <c r="G846" s="883">
        <v>0.95568963490521652</v>
      </c>
      <c r="H846" s="883">
        <v>1.034350416662515</v>
      </c>
      <c r="I846" s="883">
        <v>1.0017037622692926</v>
      </c>
      <c r="K846">
        <v>6.7606952685617125</v>
      </c>
      <c r="L846">
        <v>0</v>
      </c>
      <c r="M846">
        <v>1.0967678228130944E-2</v>
      </c>
      <c r="N846">
        <v>0.20172049256148525</v>
      </c>
      <c r="O846">
        <v>0.12318388394050196</v>
      </c>
      <c r="P846">
        <v>8.263293817289552E-2</v>
      </c>
      <c r="Q846">
        <v>0</v>
      </c>
      <c r="R846">
        <v>1.0967678228130944E-2</v>
      </c>
      <c r="S846">
        <v>0.27316587975510487</v>
      </c>
      <c r="T846">
        <v>5.9123399682697375</v>
      </c>
      <c r="U846">
        <v>0</v>
      </c>
      <c r="V846">
        <v>1.9138201751097771E-2</v>
      </c>
      <c r="W846">
        <v>0.1066570168526035</v>
      </c>
      <c r="X846">
        <v>-3.3060595112065611E-3</v>
      </c>
      <c r="Y846">
        <v>4.5162946769492569E-2</v>
      </c>
    </row>
    <row r="847" spans="1:25" x14ac:dyDescent="0.25">
      <c r="A847" s="879"/>
      <c r="B847" s="1133">
        <v>597</v>
      </c>
      <c r="C847" s="883">
        <v>1.0331381463059826</v>
      </c>
      <c r="D847" s="883">
        <v>1.041207344592225</v>
      </c>
      <c r="E847" s="883">
        <v>1.0043068592902593</v>
      </c>
      <c r="F847" s="883">
        <v>1.0143590641581028</v>
      </c>
      <c r="G847" s="883">
        <v>0.99487650741730294</v>
      </c>
      <c r="H847" s="883">
        <v>1.0277067692582995</v>
      </c>
      <c r="I847" s="883">
        <v>1.0028869561367308</v>
      </c>
      <c r="K847">
        <v>6.7265183412490055</v>
      </c>
      <c r="L847">
        <v>0</v>
      </c>
      <c r="M847">
        <v>1.0151738902248809E-2</v>
      </c>
      <c r="N847">
        <v>0.19047857285586217</v>
      </c>
      <c r="O847">
        <v>0.11610156839324824</v>
      </c>
      <c r="P847">
        <v>8.3362180279240028E-2</v>
      </c>
      <c r="Q847">
        <v>0</v>
      </c>
      <c r="R847">
        <v>1.0151738902248809E-2</v>
      </c>
      <c r="S847">
        <v>0.26421019312166893</v>
      </c>
      <c r="T847">
        <v>5.9126663069937822</v>
      </c>
      <c r="U847">
        <v>0</v>
      </c>
      <c r="V847">
        <v>1.8980231484107688E-2</v>
      </c>
      <c r="W847">
        <v>0.10004067764634636</v>
      </c>
      <c r="X847">
        <v>-1.1244433825503891E-3</v>
      </c>
      <c r="Y847">
        <v>4.1803053857295956E-2</v>
      </c>
    </row>
    <row r="848" spans="1:25" x14ac:dyDescent="0.25">
      <c r="A848" s="879"/>
      <c r="B848" s="1133">
        <v>598</v>
      </c>
      <c r="C848" s="883">
        <v>1.0219892852283241</v>
      </c>
      <c r="D848" s="883">
        <v>0.9614396437593784</v>
      </c>
      <c r="E848" s="883">
        <v>0.97429921239576001</v>
      </c>
      <c r="F848" s="883">
        <v>0.97306107832209465</v>
      </c>
      <c r="G848" s="883">
        <v>1.0044031383464593</v>
      </c>
      <c r="H848" s="883">
        <v>1.0104656002841235</v>
      </c>
      <c r="I848" s="883">
        <v>1.0321998390610612</v>
      </c>
      <c r="K848">
        <v>6.7454829491179575</v>
      </c>
      <c r="L848">
        <v>0</v>
      </c>
      <c r="M848">
        <v>1.071770864184678E-2</v>
      </c>
      <c r="N848">
        <v>0.19234700153393874</v>
      </c>
      <c r="O848">
        <v>0.12172635173547593</v>
      </c>
      <c r="P848">
        <v>8.1598576132219575E-2</v>
      </c>
      <c r="Q848">
        <v>0</v>
      </c>
      <c r="R848">
        <v>1.071770864184678E-2</v>
      </c>
      <c r="S848">
        <v>0.27407238483791346</v>
      </c>
      <c r="T848">
        <v>5.9121024022277258</v>
      </c>
      <c r="U848">
        <v>0</v>
      </c>
      <c r="V848">
        <v>1.9037795595526302E-2</v>
      </c>
      <c r="W848">
        <v>0.10254548010075765</v>
      </c>
      <c r="X848">
        <v>-2.0806595517027051E-3</v>
      </c>
      <c r="Y848">
        <v>4.4133616506102133E-2</v>
      </c>
    </row>
    <row r="849" spans="1:25" x14ac:dyDescent="0.25">
      <c r="A849" s="879"/>
      <c r="B849" s="1133">
        <v>599</v>
      </c>
      <c r="C849" s="883">
        <v>1.0111166205052626</v>
      </c>
      <c r="D849" s="883">
        <v>1.001501559578388</v>
      </c>
      <c r="E849" s="883">
        <v>1.0287898340524706</v>
      </c>
      <c r="F849" s="883">
        <v>1.0083978975636561</v>
      </c>
      <c r="G849" s="883">
        <v>1.0227368054043227</v>
      </c>
      <c r="H849" s="883">
        <v>0.99077759519823816</v>
      </c>
      <c r="I849" s="883">
        <v>1.0319336719236036</v>
      </c>
      <c r="K849">
        <v>6.7442777908631317</v>
      </c>
      <c r="L849">
        <v>0</v>
      </c>
      <c r="M849">
        <v>9.9523611509462918E-3</v>
      </c>
      <c r="N849">
        <v>0.19362652989495469</v>
      </c>
      <c r="O849">
        <v>0.12003253271829255</v>
      </c>
      <c r="P849">
        <v>8.501763537368498E-2</v>
      </c>
      <c r="Q849">
        <v>0</v>
      </c>
      <c r="R849">
        <v>9.9523611509462918E-3</v>
      </c>
      <c r="S849">
        <v>0.2746948497747369</v>
      </c>
      <c r="T849">
        <v>5.9109457085050341</v>
      </c>
      <c r="U849">
        <v>0</v>
      </c>
      <c r="V849">
        <v>1.9095156295866351E-2</v>
      </c>
      <c r="W849">
        <v>0.10047321326462461</v>
      </c>
      <c r="X849">
        <v>-5.8988672941500341E-4</v>
      </c>
      <c r="Y849">
        <v>4.0982051765348977E-2</v>
      </c>
    </row>
    <row r="850" spans="1:25" x14ac:dyDescent="0.25">
      <c r="A850" s="879"/>
      <c r="B850" s="1133">
        <v>600</v>
      </c>
      <c r="C850" s="883">
        <v>0.99269766179049179</v>
      </c>
      <c r="D850" s="883">
        <v>1.0033660152909309</v>
      </c>
      <c r="E850" s="883">
        <v>1.0200789011885665</v>
      </c>
      <c r="F850" s="883">
        <v>0.98296622122285238</v>
      </c>
      <c r="G850" s="883">
        <v>0.98519825074359091</v>
      </c>
      <c r="H850" s="883">
        <v>0.9742773423850023</v>
      </c>
      <c r="I850" s="883">
        <v>0.98065471149723737</v>
      </c>
      <c r="K850">
        <v>6.7341869542571757</v>
      </c>
      <c r="L850">
        <v>0</v>
      </c>
      <c r="M850">
        <v>1.0036548405880179E-2</v>
      </c>
      <c r="N850">
        <v>0.19276520145866438</v>
      </c>
      <c r="O850">
        <v>0.12233486363813177</v>
      </c>
      <c r="P850">
        <v>8.4320070566650362E-2</v>
      </c>
      <c r="Q850">
        <v>0</v>
      </c>
      <c r="R850">
        <v>1.0036548405880179E-2</v>
      </c>
      <c r="S850">
        <v>0.26432130096530654</v>
      </c>
      <c r="T850">
        <v>5.9100730876186054</v>
      </c>
      <c r="U850">
        <v>0</v>
      </c>
      <c r="V850">
        <v>1.9195196107935492E-2</v>
      </c>
      <c r="W850">
        <v>0.10045561818374255</v>
      </c>
      <c r="X850">
        <v>-6.0710417825150342E-4</v>
      </c>
      <c r="Y850">
        <v>4.1328719896393959E-2</v>
      </c>
    </row>
    <row r="851" spans="1:25" x14ac:dyDescent="0.25">
      <c r="A851" s="879"/>
      <c r="B851" s="1133">
        <v>601</v>
      </c>
      <c r="C851" s="883">
        <v>0.99599506286407635</v>
      </c>
      <c r="D851" s="883">
        <v>0.9672589174469175</v>
      </c>
      <c r="E851" s="883">
        <v>0.97557145751292651</v>
      </c>
      <c r="F851" s="883">
        <v>1.0031253911709841</v>
      </c>
      <c r="G851" s="883">
        <v>1.0426043623232801</v>
      </c>
      <c r="H851" s="883">
        <v>1.029472510726037</v>
      </c>
      <c r="I851" s="883">
        <v>0.96789645922608136</v>
      </c>
      <c r="K851">
        <v>6.7544692735980005</v>
      </c>
      <c r="L851">
        <v>0</v>
      </c>
      <c r="M851">
        <v>1.1162948774447999E-2</v>
      </c>
      <c r="N851">
        <v>0.20071622938616551</v>
      </c>
      <c r="O851">
        <v>0.12457817209420709</v>
      </c>
      <c r="P851">
        <v>8.1587134504007841E-2</v>
      </c>
      <c r="Q851">
        <v>0</v>
      </c>
      <c r="R851">
        <v>1.1162948774447999E-2</v>
      </c>
      <c r="S851">
        <v>0.26540679423436714</v>
      </c>
      <c r="T851">
        <v>5.9136581031710067</v>
      </c>
      <c r="U851">
        <v>0</v>
      </c>
      <c r="V851">
        <v>1.9177014862422098E-2</v>
      </c>
      <c r="W851">
        <v>0.1069390598722192</v>
      </c>
      <c r="X851">
        <v>-3.5602706487647862E-3</v>
      </c>
      <c r="Y851">
        <v>4.5967036122364642E-2</v>
      </c>
    </row>
    <row r="852" spans="1:25" x14ac:dyDescent="0.25">
      <c r="A852" s="879"/>
      <c r="B852" s="1133">
        <v>602</v>
      </c>
      <c r="C852" s="883">
        <v>1.0118204019978607</v>
      </c>
      <c r="D852" s="883">
        <v>1.0269385474773631</v>
      </c>
      <c r="E852" s="883">
        <v>0.99026867669456931</v>
      </c>
      <c r="F852" s="883">
        <v>1.0120001037981239</v>
      </c>
      <c r="G852" s="883">
        <v>0.95981162617769744</v>
      </c>
      <c r="H852" s="883">
        <v>0.99688337899732615</v>
      </c>
      <c r="I852" s="883">
        <v>0.9898434566281149</v>
      </c>
      <c r="K852">
        <v>6.7268748851951177</v>
      </c>
      <c r="L852">
        <v>0</v>
      </c>
      <c r="M852">
        <v>1.0239020616824489E-2</v>
      </c>
      <c r="N852">
        <v>0.18816122632368931</v>
      </c>
      <c r="O852">
        <v>0.11946072224300555</v>
      </c>
      <c r="P852">
        <v>8.2482270934258375E-2</v>
      </c>
      <c r="Q852">
        <v>0</v>
      </c>
      <c r="R852">
        <v>1.0239020616824489E-2</v>
      </c>
      <c r="S852">
        <v>0.26357206224808893</v>
      </c>
      <c r="T852">
        <v>5.9133257926285019</v>
      </c>
      <c r="U852">
        <v>0</v>
      </c>
      <c r="V852">
        <v>1.9091406054658502E-2</v>
      </c>
      <c r="W852">
        <v>9.9515750555235344E-2</v>
      </c>
      <c r="X852">
        <v>-8.9681021467107698E-4</v>
      </c>
      <c r="Y852">
        <v>4.2162464422352545E-2</v>
      </c>
    </row>
    <row r="853" spans="1:25" x14ac:dyDescent="0.25">
      <c r="A853" s="879"/>
      <c r="B853" s="1133">
        <v>603</v>
      </c>
      <c r="C853" s="883">
        <v>0.97183139298835486</v>
      </c>
      <c r="D853" s="883">
        <v>0.98551993157968443</v>
      </c>
      <c r="E853" s="883">
        <v>1.0034933290483279</v>
      </c>
      <c r="F853" s="883">
        <v>1.0105286774728099</v>
      </c>
      <c r="G853" s="883">
        <v>0.9793108614020638</v>
      </c>
      <c r="H853" s="883">
        <v>0.99531496130622465</v>
      </c>
      <c r="I853" s="883">
        <v>1.0236249649715579</v>
      </c>
      <c r="K853">
        <v>6.7734832503750555</v>
      </c>
      <c r="L853">
        <v>0</v>
      </c>
      <c r="M853">
        <v>1.0708477793485433E-2</v>
      </c>
      <c r="N853">
        <v>0.2006828019017525</v>
      </c>
      <c r="O853">
        <v>0.12618528323492226</v>
      </c>
      <c r="P853">
        <v>8.3580244993530436E-2</v>
      </c>
      <c r="Q853">
        <v>0</v>
      </c>
      <c r="R853">
        <v>1.0708477793485433E-2</v>
      </c>
      <c r="S853">
        <v>0.28407178373532221</v>
      </c>
      <c r="T853">
        <v>5.9125052198909414</v>
      </c>
      <c r="U853">
        <v>0</v>
      </c>
      <c r="V853">
        <v>1.9313109441019629E-2</v>
      </c>
      <c r="W853">
        <v>0.10544253523925295</v>
      </c>
      <c r="X853">
        <v>-2.3933335772654872E-3</v>
      </c>
      <c r="Y853">
        <v>4.4095605515579867E-2</v>
      </c>
    </row>
    <row r="854" spans="1:25" x14ac:dyDescent="0.25">
      <c r="A854" s="879"/>
      <c r="B854" s="1133">
        <v>604</v>
      </c>
      <c r="C854" s="883">
        <v>1.0069182563112749</v>
      </c>
      <c r="D854" s="883">
        <v>0.97705476934943225</v>
      </c>
      <c r="E854" s="883">
        <v>0.98550275308975699</v>
      </c>
      <c r="F854" s="883">
        <v>1.0172557162645182</v>
      </c>
      <c r="G854" s="883">
        <v>0.9850574347886526</v>
      </c>
      <c r="H854" s="883">
        <v>1.0095708522461555</v>
      </c>
      <c r="I854" s="883">
        <v>0.98065053313551764</v>
      </c>
      <c r="K854">
        <v>6.7420106876973689</v>
      </c>
      <c r="L854">
        <v>0</v>
      </c>
      <c r="M854">
        <v>1.0688771835883189E-2</v>
      </c>
      <c r="N854">
        <v>0.19504300450057993</v>
      </c>
      <c r="O854">
        <v>0.12254627051783704</v>
      </c>
      <c r="P854">
        <v>8.2196409545015642E-2</v>
      </c>
      <c r="Q854">
        <v>0</v>
      </c>
      <c r="R854">
        <v>1.0688771835883189E-2</v>
      </c>
      <c r="S854">
        <v>0.2640410229915342</v>
      </c>
      <c r="T854">
        <v>5.9138745584690886</v>
      </c>
      <c r="U854">
        <v>0</v>
      </c>
      <c r="V854">
        <v>1.9117637040177209E-2</v>
      </c>
      <c r="W854">
        <v>0.10340108779933672</v>
      </c>
      <c r="X854">
        <v>-2.2237630559069038E-3</v>
      </c>
      <c r="Y854">
        <v>4.4014459889703497E-2</v>
      </c>
    </row>
    <row r="855" spans="1:25" x14ac:dyDescent="0.25">
      <c r="A855" s="879"/>
      <c r="B855" s="1133">
        <v>605</v>
      </c>
      <c r="C855" s="883">
        <v>0.98328735358471042</v>
      </c>
      <c r="D855" s="883">
        <v>0.97921473412033921</v>
      </c>
      <c r="E855" s="883">
        <v>1.0362825871204138</v>
      </c>
      <c r="F855" s="883">
        <v>1.0091549466384298</v>
      </c>
      <c r="G855" s="883">
        <v>1.0005962152119103</v>
      </c>
      <c r="H855" s="883">
        <v>1.0048712056843583</v>
      </c>
      <c r="I855" s="883">
        <v>0.9683339512075464</v>
      </c>
      <c r="K855">
        <v>6.7574776510671066</v>
      </c>
      <c r="L855">
        <v>0</v>
      </c>
      <c r="M855">
        <v>1.0411572230685532E-2</v>
      </c>
      <c r="N855">
        <v>0.20481619436020138</v>
      </c>
      <c r="O855">
        <v>0.12439963804105671</v>
      </c>
      <c r="P855">
        <v>8.5372219489117829E-2</v>
      </c>
      <c r="Q855">
        <v>0</v>
      </c>
      <c r="R855">
        <v>1.0411572230685532E-2</v>
      </c>
      <c r="S855">
        <v>0.26661290649261032</v>
      </c>
      <c r="T855">
        <v>5.9105520574864805</v>
      </c>
      <c r="U855">
        <v>0</v>
      </c>
      <c r="V855">
        <v>1.9247753334089179E-2</v>
      </c>
      <c r="W855">
        <v>0.10589000657641659</v>
      </c>
      <c r="X855">
        <v>-2.2861259680600704E-3</v>
      </c>
      <c r="Y855">
        <v>4.2873001255189988E-2</v>
      </c>
    </row>
    <row r="856" spans="1:25" x14ac:dyDescent="0.25">
      <c r="A856" s="879"/>
      <c r="B856" s="1133">
        <v>606</v>
      </c>
      <c r="C856" s="883">
        <v>0.98241713384861173</v>
      </c>
      <c r="D856" s="883">
        <v>0.97695312007608814</v>
      </c>
      <c r="E856" s="883">
        <v>1.0285411790022441</v>
      </c>
      <c r="F856" s="883">
        <v>0.99284552982881669</v>
      </c>
      <c r="G856" s="883">
        <v>0.97902648729447084</v>
      </c>
      <c r="H856" s="883">
        <v>1.0046737749835777</v>
      </c>
      <c r="I856" s="883">
        <v>1.0187701736926928</v>
      </c>
      <c r="K856">
        <v>6.7710405826691513</v>
      </c>
      <c r="L856">
        <v>0</v>
      </c>
      <c r="M856">
        <v>1.050009496471385E-2</v>
      </c>
      <c r="N856">
        <v>0.20420779523008456</v>
      </c>
      <c r="O856">
        <v>0.12477637025548645</v>
      </c>
      <c r="P856">
        <v>8.5075673481310773E-2</v>
      </c>
      <c r="Q856">
        <v>0</v>
      </c>
      <c r="R856">
        <v>1.050009496471385E-2</v>
      </c>
      <c r="S856">
        <v>0.28074056473605596</v>
      </c>
      <c r="T856">
        <v>5.9101199637787563</v>
      </c>
      <c r="U856">
        <v>0</v>
      </c>
      <c r="V856">
        <v>1.9252664431946512E-2</v>
      </c>
      <c r="W856">
        <v>0.10597678810211812</v>
      </c>
      <c r="X856">
        <v>-2.346759464071715E-3</v>
      </c>
      <c r="Y856">
        <v>4.3237522117459314E-2</v>
      </c>
    </row>
    <row r="857" spans="1:25" x14ac:dyDescent="0.25">
      <c r="A857" s="879"/>
      <c r="B857" s="1133">
        <v>607</v>
      </c>
      <c r="C857" s="883">
        <v>1.0197314877601515</v>
      </c>
      <c r="D857" s="883">
        <v>1.010042776357609</v>
      </c>
      <c r="E857" s="883">
        <v>1.0032126547249345</v>
      </c>
      <c r="F857" s="883">
        <v>1.0049967292407649</v>
      </c>
      <c r="G857" s="883">
        <v>0.97306564374955118</v>
      </c>
      <c r="H857" s="883">
        <v>0.99593936500424818</v>
      </c>
      <c r="I857" s="883">
        <v>1.0417515463319089</v>
      </c>
      <c r="K857">
        <v>6.7389149112089273</v>
      </c>
      <c r="L857">
        <v>0</v>
      </c>
      <c r="M857">
        <v>1.0107397025770213E-2</v>
      </c>
      <c r="N857">
        <v>0.18933948877748907</v>
      </c>
      <c r="O857">
        <v>0.11908657896920495</v>
      </c>
      <c r="P857">
        <v>8.343787828481404E-2</v>
      </c>
      <c r="Q857">
        <v>0</v>
      </c>
      <c r="R857">
        <v>1.0107397025770213E-2</v>
      </c>
      <c r="S857">
        <v>0.27533335489820376</v>
      </c>
      <c r="T857">
        <v>5.9122221021986654</v>
      </c>
      <c r="U857">
        <v>0</v>
      </c>
      <c r="V857">
        <v>1.9049606382876897E-2</v>
      </c>
      <c r="W857">
        <v>9.9496393322270463E-2</v>
      </c>
      <c r="X857">
        <v>-6.7095352711295947E-4</v>
      </c>
      <c r="Y857">
        <v>4.1620461902516878E-2</v>
      </c>
    </row>
    <row r="858" spans="1:25" x14ac:dyDescent="0.25">
      <c r="A858" s="879"/>
      <c r="B858" s="1133">
        <v>608</v>
      </c>
      <c r="C858" s="883">
        <v>0.95721963782427411</v>
      </c>
      <c r="D858" s="883">
        <v>0.98337804558853659</v>
      </c>
      <c r="E858" s="883">
        <v>1.0243136095153398</v>
      </c>
      <c r="F858" s="883">
        <v>1.0036263846162372</v>
      </c>
      <c r="G858" s="883">
        <v>1.0203507789797253</v>
      </c>
      <c r="H858" s="883">
        <v>1.0195273274786931</v>
      </c>
      <c r="I858" s="883">
        <v>1.0113240512631509</v>
      </c>
      <c r="K858">
        <v>6.7934230174832653</v>
      </c>
      <c r="L858">
        <v>0</v>
      </c>
      <c r="M858">
        <v>1.0945599747454897E-2</v>
      </c>
      <c r="N858">
        <v>0.21154557811468161</v>
      </c>
      <c r="O858">
        <v>0.12780996369321959</v>
      </c>
      <c r="P858">
        <v>8.4915095182320849E-2</v>
      </c>
      <c r="Q858">
        <v>0</v>
      </c>
      <c r="R858">
        <v>1.0945599747454897E-2</v>
      </c>
      <c r="S858">
        <v>0.28743284556667636</v>
      </c>
      <c r="T858">
        <v>5.9109460799745861</v>
      </c>
      <c r="U858">
        <v>0</v>
      </c>
      <c r="V858">
        <v>1.9398739433087106E-2</v>
      </c>
      <c r="W858">
        <v>0.11001310552072797</v>
      </c>
      <c r="X858">
        <v>-3.7104215179310481E-3</v>
      </c>
      <c r="Y858">
        <v>4.5072031515891675E-2</v>
      </c>
    </row>
    <row r="859" spans="1:25" x14ac:dyDescent="0.25">
      <c r="A859" s="879"/>
      <c r="B859" s="1133">
        <v>609</v>
      </c>
      <c r="C859" s="883">
        <v>1.0008853864022922</v>
      </c>
      <c r="D859" s="883">
        <v>1.0050153774686945</v>
      </c>
      <c r="E859" s="883">
        <v>0.99729605204800154</v>
      </c>
      <c r="F859" s="883">
        <v>1.0377113433230107</v>
      </c>
      <c r="G859" s="883">
        <v>0.99882952134020853</v>
      </c>
      <c r="H859" s="883">
        <v>0.99839430211427216</v>
      </c>
      <c r="I859" s="883">
        <v>1.0060640062073927</v>
      </c>
      <c r="K859">
        <v>6.7456069791040525</v>
      </c>
      <c r="L859">
        <v>0</v>
      </c>
      <c r="M859">
        <v>1.0398786399559183E-2</v>
      </c>
      <c r="N859">
        <v>0.1930980403064374</v>
      </c>
      <c r="O859">
        <v>0.12168188536846482</v>
      </c>
      <c r="P859">
        <v>8.3039622923825385E-2</v>
      </c>
      <c r="Q859">
        <v>0</v>
      </c>
      <c r="R859">
        <v>1.0398786399559183E-2</v>
      </c>
      <c r="S859">
        <v>0.2711782452763809</v>
      </c>
      <c r="T859">
        <v>5.9143227815010402</v>
      </c>
      <c r="U859">
        <v>0</v>
      </c>
      <c r="V859">
        <v>1.9150271125001315E-2</v>
      </c>
      <c r="W859">
        <v>0.10177005196576185</v>
      </c>
      <c r="X859">
        <v>-1.4542708412650458E-3</v>
      </c>
      <c r="Y859">
        <v>4.2820351478404788E-2</v>
      </c>
    </row>
    <row r="860" spans="1:25" x14ac:dyDescent="0.25">
      <c r="A860" s="879"/>
      <c r="B860" s="1133">
        <v>610</v>
      </c>
      <c r="C860" s="883">
        <v>1.0154636990038506</v>
      </c>
      <c r="D860" s="883">
        <v>0.97278643737790382</v>
      </c>
      <c r="E860" s="883">
        <v>1.0073862299395462</v>
      </c>
      <c r="F860" s="883">
        <v>0.96431433793369126</v>
      </c>
      <c r="G860" s="883">
        <v>0.96487143541865494</v>
      </c>
      <c r="H860" s="883">
        <v>1.0160754076013669</v>
      </c>
      <c r="I860" s="883">
        <v>0.9993315581800426</v>
      </c>
      <c r="K860">
        <v>6.7436040711243619</v>
      </c>
      <c r="L860">
        <v>0</v>
      </c>
      <c r="M860">
        <v>1.0484866779100295E-2</v>
      </c>
      <c r="N860">
        <v>0.19762824447633734</v>
      </c>
      <c r="O860">
        <v>0.1213203830574838</v>
      </c>
      <c r="P860">
        <v>8.3562231138356063E-2</v>
      </c>
      <c r="Q860">
        <v>0</v>
      </c>
      <c r="R860">
        <v>1.0484866779100295E-2</v>
      </c>
      <c r="S860">
        <v>0.26750213978493559</v>
      </c>
      <c r="T860">
        <v>5.9097879773457249</v>
      </c>
      <c r="U860">
        <v>0</v>
      </c>
      <c r="V860">
        <v>1.9072075123109433E-2</v>
      </c>
      <c r="W860">
        <v>0.10363749773624227</v>
      </c>
      <c r="X860">
        <v>-2.0812926974500138E-3</v>
      </c>
      <c r="Y860">
        <v>4.3174815159618692E-2</v>
      </c>
    </row>
    <row r="861" spans="1:25" x14ac:dyDescent="0.25">
      <c r="A861" s="879"/>
      <c r="B861" s="1133">
        <v>611</v>
      </c>
      <c r="C861" s="883">
        <v>0.9948551284578705</v>
      </c>
      <c r="D861" s="883">
        <v>1.0085289316430481</v>
      </c>
      <c r="E861" s="883">
        <v>1.0337131307229164</v>
      </c>
      <c r="F861" s="883">
        <v>1.0192433778178493</v>
      </c>
      <c r="G861" s="883">
        <v>0.98943544169886155</v>
      </c>
      <c r="H861" s="883">
        <v>0.96909366371265793</v>
      </c>
      <c r="I861" s="883">
        <v>0.98749524248844367</v>
      </c>
      <c r="K861">
        <v>6.734707461498699</v>
      </c>
      <c r="L861">
        <v>0</v>
      </c>
      <c r="M861">
        <v>9.8216070411496787E-3</v>
      </c>
      <c r="N861">
        <v>0.1924782309944171</v>
      </c>
      <c r="O861">
        <v>0.12156001688732122</v>
      </c>
      <c r="P861">
        <v>8.5199222050336268E-2</v>
      </c>
      <c r="Q861">
        <v>0</v>
      </c>
      <c r="R861">
        <v>9.8216070411496787E-3</v>
      </c>
      <c r="S861">
        <v>0.26508271710548476</v>
      </c>
      <c r="T861">
        <v>5.9112463341158401</v>
      </c>
      <c r="U861">
        <v>0</v>
      </c>
      <c r="V861">
        <v>1.9183286614383333E-2</v>
      </c>
      <c r="W861">
        <v>9.9636538556098844E-2</v>
      </c>
      <c r="X861">
        <v>-1.2251443975823428E-4</v>
      </c>
      <c r="Y861">
        <v>4.0443629614570473E-2</v>
      </c>
    </row>
    <row r="862" spans="1:25" x14ac:dyDescent="0.25">
      <c r="A862" s="879"/>
      <c r="B862" s="1133">
        <v>612</v>
      </c>
      <c r="C862" s="883">
        <v>0.97111184354423075</v>
      </c>
      <c r="D862" s="883">
        <v>1.0021372667356174</v>
      </c>
      <c r="E862" s="883">
        <v>0.99490066142197175</v>
      </c>
      <c r="F862" s="883">
        <v>1.0028626111536785</v>
      </c>
      <c r="G862" s="883">
        <v>1.0192709064669219</v>
      </c>
      <c r="H862" s="883">
        <v>1.0183200243477248</v>
      </c>
      <c r="I862" s="883">
        <v>1.0186402295158652</v>
      </c>
      <c r="K862">
        <v>6.7775347991400752</v>
      </c>
      <c r="L862">
        <v>0</v>
      </c>
      <c r="M862">
        <v>1.0967855660858505E-2</v>
      </c>
      <c r="N862">
        <v>0.20294357062275448</v>
      </c>
      <c r="O862">
        <v>0.12560260419542046</v>
      </c>
      <c r="P862">
        <v>8.3052057193951132E-2</v>
      </c>
      <c r="Q862">
        <v>0</v>
      </c>
      <c r="R862">
        <v>1.0967855660858505E-2</v>
      </c>
      <c r="S862">
        <v>0.28497982841115765</v>
      </c>
      <c r="T862">
        <v>5.9125734874385367</v>
      </c>
      <c r="U862">
        <v>0</v>
      </c>
      <c r="V862">
        <v>1.9317265928802573E-2</v>
      </c>
      <c r="W862">
        <v>0.10708654381385717</v>
      </c>
      <c r="X862">
        <v>-3.1842358702879898E-3</v>
      </c>
      <c r="Y862">
        <v>4.5163677405882827E-2</v>
      </c>
    </row>
    <row r="863" spans="1:25" x14ac:dyDescent="0.25">
      <c r="A863" s="879"/>
      <c r="B863" s="1133">
        <v>613</v>
      </c>
      <c r="C863" s="883">
        <v>0.99384193461137771</v>
      </c>
      <c r="D863" s="883">
        <v>0.99834292298469385</v>
      </c>
      <c r="E863" s="883">
        <v>1.0055806766612803</v>
      </c>
      <c r="F863" s="883">
        <v>0.99738472024960712</v>
      </c>
      <c r="G863" s="883">
        <v>1.0008597256063512</v>
      </c>
      <c r="H863" s="883">
        <v>1.0324612732781093</v>
      </c>
      <c r="I863" s="883">
        <v>0.96158479186242629</v>
      </c>
      <c r="K863">
        <v>6.7516413182874722</v>
      </c>
      <c r="L863">
        <v>0</v>
      </c>
      <c r="M863">
        <v>1.0782434722549934E-2</v>
      </c>
      <c r="N863">
        <v>0.20269442311616359</v>
      </c>
      <c r="O863">
        <v>0.12271479172046904</v>
      </c>
      <c r="P863">
        <v>8.3431658138346299E-2</v>
      </c>
      <c r="Q863">
        <v>0</v>
      </c>
      <c r="R863">
        <v>1.0782434722549934E-2</v>
      </c>
      <c r="S863">
        <v>0.26421307627350482</v>
      </c>
      <c r="T863">
        <v>5.9116770963652563</v>
      </c>
      <c r="U863">
        <v>0</v>
      </c>
      <c r="V863">
        <v>1.9188873135231151E-2</v>
      </c>
      <c r="W863">
        <v>0.10638933806634843</v>
      </c>
      <c r="X863">
        <v>-3.0680855134743532E-3</v>
      </c>
      <c r="Y863">
        <v>4.4400146985624826E-2</v>
      </c>
    </row>
    <row r="864" spans="1:25" x14ac:dyDescent="0.25">
      <c r="A864" s="879"/>
      <c r="B864" s="1133">
        <v>614</v>
      </c>
      <c r="C864" s="883">
        <v>1.0043531547190025</v>
      </c>
      <c r="D864" s="883">
        <v>1.0106601802235968</v>
      </c>
      <c r="E864" s="883">
        <v>0.98932337275511373</v>
      </c>
      <c r="F864" s="883">
        <v>0.96725330749345118</v>
      </c>
      <c r="G864" s="883">
        <v>1.0195268472883268</v>
      </c>
      <c r="H864" s="883">
        <v>1.0130155417893507</v>
      </c>
      <c r="I864" s="883">
        <v>1.0327024522243389</v>
      </c>
      <c r="K864">
        <v>6.7505651903045143</v>
      </c>
      <c r="L864">
        <v>0</v>
      </c>
      <c r="M864">
        <v>1.0562714121910632E-2</v>
      </c>
      <c r="N864">
        <v>0.19383784610950217</v>
      </c>
      <c r="O864">
        <v>0.12113802882864702</v>
      </c>
      <c r="P864">
        <v>8.2593522854470344E-2</v>
      </c>
      <c r="Q864">
        <v>0</v>
      </c>
      <c r="R864">
        <v>1.0562714121910632E-2</v>
      </c>
      <c r="S864">
        <v>0.27873790436703255</v>
      </c>
      <c r="T864">
        <v>5.91095974406206</v>
      </c>
      <c r="U864">
        <v>0</v>
      </c>
      <c r="V864">
        <v>1.9131464740159417E-2</v>
      </c>
      <c r="W864">
        <v>0.10256637426709866</v>
      </c>
      <c r="X864">
        <v>-1.8950715854600172E-3</v>
      </c>
      <c r="Y864">
        <v>4.3495376661001194E-2</v>
      </c>
    </row>
    <row r="865" spans="1:25" x14ac:dyDescent="0.25">
      <c r="A865" s="879"/>
      <c r="B865" s="1133">
        <v>615</v>
      </c>
      <c r="C865" s="883">
        <v>0.99163723346863097</v>
      </c>
      <c r="D865" s="883">
        <v>0.99176012577374695</v>
      </c>
      <c r="E865" s="883">
        <v>0.99199671112167043</v>
      </c>
      <c r="F865" s="883">
        <v>0.98115435794989037</v>
      </c>
      <c r="G865" s="883">
        <v>0.98053625726209637</v>
      </c>
      <c r="H865" s="883">
        <v>0.9728020205482637</v>
      </c>
      <c r="I865" s="883">
        <v>0.98040645471051957</v>
      </c>
      <c r="K865">
        <v>6.7338901003655041</v>
      </c>
      <c r="L865">
        <v>0</v>
      </c>
      <c r="M865">
        <v>1.0332745115824176E-2</v>
      </c>
      <c r="N865">
        <v>0.19037064471667517</v>
      </c>
      <c r="O865">
        <v>0.12357090757919</v>
      </c>
      <c r="P865">
        <v>8.2580660639187828E-2</v>
      </c>
      <c r="Q865">
        <v>0</v>
      </c>
      <c r="R865">
        <v>1.0332745115824176E-2</v>
      </c>
      <c r="S865">
        <v>0.2644555830081104</v>
      </c>
      <c r="T865">
        <v>5.9115623150567869</v>
      </c>
      <c r="U865">
        <v>0</v>
      </c>
      <c r="V865">
        <v>1.920106880414027E-2</v>
      </c>
      <c r="W865">
        <v>0.10059759637489207</v>
      </c>
      <c r="X865">
        <v>-9.9708104037313987E-4</v>
      </c>
      <c r="Y865">
        <v>4.254840522689432E-2</v>
      </c>
    </row>
    <row r="866" spans="1:25" x14ac:dyDescent="0.25">
      <c r="A866" s="879"/>
      <c r="B866" s="1133">
        <v>616</v>
      </c>
      <c r="C866" s="883">
        <v>1.0123748162741788</v>
      </c>
      <c r="D866" s="883">
        <v>1.0066863255804446</v>
      </c>
      <c r="E866" s="883">
        <v>1.0043104590855589</v>
      </c>
      <c r="F866" s="883">
        <v>0.98307339207458555</v>
      </c>
      <c r="G866" s="883">
        <v>1.018616444605126</v>
      </c>
      <c r="H866" s="883">
        <v>0.98824874947158248</v>
      </c>
      <c r="I866" s="883">
        <v>0.98094961612716391</v>
      </c>
      <c r="K866">
        <v>6.7240862344432983</v>
      </c>
      <c r="L866">
        <v>0</v>
      </c>
      <c r="M866">
        <v>1.0106935980175541E-2</v>
      </c>
      <c r="N866">
        <v>0.18963894005220011</v>
      </c>
      <c r="O866">
        <v>0.12009146377035151</v>
      </c>
      <c r="P866">
        <v>8.3291023277645163E-2</v>
      </c>
      <c r="Q866">
        <v>0</v>
      </c>
      <c r="R866">
        <v>1.0106935980175541E-2</v>
      </c>
      <c r="S866">
        <v>0.26047989068376032</v>
      </c>
      <c r="T866">
        <v>5.91097545736966</v>
      </c>
      <c r="U866">
        <v>0</v>
      </c>
      <c r="V866">
        <v>1.908845541836076E-2</v>
      </c>
      <c r="W866">
        <v>9.9599518880974736E-2</v>
      </c>
      <c r="X866">
        <v>-6.97078408480112E-4</v>
      </c>
      <c r="Y866">
        <v>4.1618563398821078E-2</v>
      </c>
    </row>
    <row r="867" spans="1:25" x14ac:dyDescent="0.25">
      <c r="A867" s="879"/>
      <c r="B867" s="1133">
        <v>617</v>
      </c>
      <c r="C867" s="883">
        <v>1.0089639874585659</v>
      </c>
      <c r="D867" s="883">
        <v>1.007181771287929</v>
      </c>
      <c r="E867" s="883">
        <v>1.0222453501734918</v>
      </c>
      <c r="F867" s="883">
        <v>0.98735591824932201</v>
      </c>
      <c r="G867" s="883">
        <v>1.0156183599039181</v>
      </c>
      <c r="H867" s="883">
        <v>1.0286412199934012</v>
      </c>
      <c r="I867" s="883">
        <v>0.96996106343032185</v>
      </c>
      <c r="K867">
        <v>6.7409454847317285</v>
      </c>
      <c r="L867">
        <v>0</v>
      </c>
      <c r="M867">
        <v>1.0389085291472333E-2</v>
      </c>
      <c r="N867">
        <v>0.20017658444673669</v>
      </c>
      <c r="O867">
        <v>0.1201394713075514</v>
      </c>
      <c r="P867">
        <v>8.4425843716227716E-2</v>
      </c>
      <c r="Q867">
        <v>0</v>
      </c>
      <c r="R867">
        <v>1.0389085291472333E-2</v>
      </c>
      <c r="S867">
        <v>0.26210761330603927</v>
      </c>
      <c r="T867">
        <v>5.9101859846833049</v>
      </c>
      <c r="U867">
        <v>0</v>
      </c>
      <c r="V867">
        <v>1.9106659508017716E-2</v>
      </c>
      <c r="W867">
        <v>0.10420669426891351</v>
      </c>
      <c r="X867">
        <v>-2.1837705471010748E-3</v>
      </c>
      <c r="Y867">
        <v>4.2780404042036001E-2</v>
      </c>
    </row>
    <row r="868" spans="1:25" x14ac:dyDescent="0.25">
      <c r="A868" s="879"/>
      <c r="B868" s="1133">
        <v>618</v>
      </c>
      <c r="C868" s="883">
        <v>1.0410051948290975</v>
      </c>
      <c r="D868" s="883">
        <v>1.0072259950973019</v>
      </c>
      <c r="E868" s="883">
        <v>1.0004015939153326</v>
      </c>
      <c r="F868" s="883">
        <v>0.97441486744713091</v>
      </c>
      <c r="G868" s="883">
        <v>0.98382394064807477</v>
      </c>
      <c r="H868" s="883">
        <v>0.9864664291344738</v>
      </c>
      <c r="I868" s="883">
        <v>1.002166039081841</v>
      </c>
      <c r="K868">
        <v>6.7090430044312175</v>
      </c>
      <c r="L868">
        <v>0</v>
      </c>
      <c r="M868">
        <v>9.8425507953742129E-3</v>
      </c>
      <c r="N868">
        <v>0.18361203636566706</v>
      </c>
      <c r="O868">
        <v>0.11683384011635545</v>
      </c>
      <c r="P868">
        <v>8.3015702311904763E-2</v>
      </c>
      <c r="Q868">
        <v>0</v>
      </c>
      <c r="R868">
        <v>9.8425507953742129E-3</v>
      </c>
      <c r="S868">
        <v>0.2586223273950376</v>
      </c>
      <c r="T868">
        <v>5.9107276604659544</v>
      </c>
      <c r="U868">
        <v>0</v>
      </c>
      <c r="V868">
        <v>1.8940354107862163E-2</v>
      </c>
      <c r="W868">
        <v>9.6621359138963706E-2</v>
      </c>
      <c r="X868">
        <v>1.3985226285026536E-4</v>
      </c>
      <c r="Y868">
        <v>4.052987226661782E-2</v>
      </c>
    </row>
    <row r="869" spans="1:25" x14ac:dyDescent="0.25">
      <c r="A869" s="879"/>
      <c r="B869" s="1133">
        <v>619</v>
      </c>
      <c r="C869" s="883">
        <v>1.0259615081801168</v>
      </c>
      <c r="D869" s="883">
        <v>1.0216436155946085</v>
      </c>
      <c r="E869" s="883">
        <v>0.99025254720754241</v>
      </c>
      <c r="F869" s="883">
        <v>0.99185711863977211</v>
      </c>
      <c r="G869" s="883">
        <v>0.96924001037447494</v>
      </c>
      <c r="H869" s="883">
        <v>0.97664021086200159</v>
      </c>
      <c r="I869" s="883">
        <v>1.0242257173989884</v>
      </c>
      <c r="K869">
        <v>6.7185623038851494</v>
      </c>
      <c r="L869">
        <v>0</v>
      </c>
      <c r="M869">
        <v>9.9148890263101915E-3</v>
      </c>
      <c r="N869">
        <v>0.18220034286093936</v>
      </c>
      <c r="O869">
        <v>0.11805831589474249</v>
      </c>
      <c r="P869">
        <v>8.2513117328442992E-2</v>
      </c>
      <c r="Q869">
        <v>0</v>
      </c>
      <c r="R869">
        <v>9.9148890263101915E-3</v>
      </c>
      <c r="S869">
        <v>0.26712834850424227</v>
      </c>
      <c r="T869">
        <v>5.9122379412304413</v>
      </c>
      <c r="U869">
        <v>0</v>
      </c>
      <c r="V869">
        <v>1.90171426382056E-2</v>
      </c>
      <c r="W869">
        <v>9.6363900518506601E-2</v>
      </c>
      <c r="X869">
        <v>2.154466837405913E-4</v>
      </c>
      <c r="Y869">
        <v>4.082774822588707E-2</v>
      </c>
    </row>
    <row r="870" spans="1:25" x14ac:dyDescent="0.25">
      <c r="A870" s="879"/>
      <c r="B870" s="1133">
        <v>620</v>
      </c>
      <c r="C870" s="883">
        <v>1.001171242277076</v>
      </c>
      <c r="D870" s="883">
        <v>0.96983215470708928</v>
      </c>
      <c r="E870" s="883">
        <v>0.97861098379165479</v>
      </c>
      <c r="F870" s="883">
        <v>1.005224442654437</v>
      </c>
      <c r="G870" s="883">
        <v>0.99640588335905023</v>
      </c>
      <c r="H870" s="883">
        <v>1.0191899371817228</v>
      </c>
      <c r="I870" s="883">
        <v>0.98110762347517211</v>
      </c>
      <c r="K870">
        <v>6.7501845057537997</v>
      </c>
      <c r="L870">
        <v>0</v>
      </c>
      <c r="M870">
        <v>1.0952747171571766E-2</v>
      </c>
      <c r="N870">
        <v>0.19782700399599301</v>
      </c>
      <c r="O870">
        <v>0.12374550074022034</v>
      </c>
      <c r="P870">
        <v>8.1793901699267924E-2</v>
      </c>
      <c r="Q870">
        <v>0</v>
      </c>
      <c r="R870">
        <v>1.0952747171571766E-2</v>
      </c>
      <c r="S870">
        <v>0.26664993562167888</v>
      </c>
      <c r="T870">
        <v>5.9136046460244804</v>
      </c>
      <c r="U870">
        <v>0</v>
      </c>
      <c r="V870">
        <v>1.914871594576812E-2</v>
      </c>
      <c r="W870">
        <v>0.10523923863628691</v>
      </c>
      <c r="X870">
        <v>-2.925900246107691E-3</v>
      </c>
      <c r="Y870">
        <v>4.5101463336210873E-2</v>
      </c>
    </row>
    <row r="871" spans="1:25" x14ac:dyDescent="0.25">
      <c r="A871" s="879"/>
      <c r="B871" s="1133">
        <v>621</v>
      </c>
      <c r="C871" s="883">
        <v>0.98813160606189376</v>
      </c>
      <c r="D871" s="883">
        <v>1.044196024636026</v>
      </c>
      <c r="E871" s="883">
        <v>0.96064187809151858</v>
      </c>
      <c r="F871" s="883">
        <v>1.0195348901453403</v>
      </c>
      <c r="G871" s="883">
        <v>1.0186913738562133</v>
      </c>
      <c r="H871" s="883">
        <v>0.983689831668913</v>
      </c>
      <c r="I871" s="883">
        <v>1.0181094631569534</v>
      </c>
      <c r="K871">
        <v>6.7407849001736526</v>
      </c>
      <c r="L871">
        <v>0</v>
      </c>
      <c r="M871">
        <v>1.054082526034939E-2</v>
      </c>
      <c r="N871">
        <v>0.18537439392349059</v>
      </c>
      <c r="O871">
        <v>0.12205745928975013</v>
      </c>
      <c r="P871">
        <v>8.0807720169562031E-2</v>
      </c>
      <c r="Q871">
        <v>0</v>
      </c>
      <c r="R871">
        <v>1.054082526034939E-2</v>
      </c>
      <c r="S871">
        <v>0.27613423618709693</v>
      </c>
      <c r="T871">
        <v>5.9153578428255553</v>
      </c>
      <c r="U871">
        <v>0</v>
      </c>
      <c r="V871">
        <v>1.9220572826256031E-2</v>
      </c>
      <c r="W871">
        <v>9.9509826053006969E-2</v>
      </c>
      <c r="X871">
        <v>-1.0823933262331185E-3</v>
      </c>
      <c r="Y871">
        <v>4.3405242225164113E-2</v>
      </c>
    </row>
    <row r="872" spans="1:25" x14ac:dyDescent="0.25">
      <c r="A872" s="879"/>
      <c r="B872" s="1133">
        <v>622</v>
      </c>
      <c r="C872" s="883">
        <v>0.97802828603790071</v>
      </c>
      <c r="D872" s="883">
        <v>1.004544389509435</v>
      </c>
      <c r="E872" s="883">
        <v>1.0270734655388145</v>
      </c>
      <c r="F872" s="883">
        <v>0.99166270219633668</v>
      </c>
      <c r="G872" s="883">
        <v>0.99110449995308914</v>
      </c>
      <c r="H872" s="883">
        <v>1.0133410563777756</v>
      </c>
      <c r="I872" s="883">
        <v>1.004136601557756</v>
      </c>
      <c r="K872">
        <v>6.7680374190859025</v>
      </c>
      <c r="L872">
        <v>0</v>
      </c>
      <c r="M872">
        <v>1.0525538101245372E-2</v>
      </c>
      <c r="N872">
        <v>0.20425891119818165</v>
      </c>
      <c r="O872">
        <v>0.12397620233272247</v>
      </c>
      <c r="P872">
        <v>8.4953435064327468E-2</v>
      </c>
      <c r="Q872">
        <v>0</v>
      </c>
      <c r="R872">
        <v>1.0525538101245372E-2</v>
      </c>
      <c r="S872">
        <v>0.27848555639821498</v>
      </c>
      <c r="T872">
        <v>5.9101407901919494</v>
      </c>
      <c r="U872">
        <v>0</v>
      </c>
      <c r="V872">
        <v>1.9277566144678095E-2</v>
      </c>
      <c r="W872">
        <v>0.10607973804011191</v>
      </c>
      <c r="X872">
        <v>-2.4770727092691498E-3</v>
      </c>
      <c r="Y872">
        <v>4.3342292424986648E-2</v>
      </c>
    </row>
    <row r="873" spans="1:25" x14ac:dyDescent="0.25">
      <c r="A873" s="879"/>
      <c r="B873" s="1133">
        <v>623</v>
      </c>
      <c r="C873" s="883">
        <v>1.0237189235553121</v>
      </c>
      <c r="D873" s="883">
        <v>1.0313211388881705</v>
      </c>
      <c r="E873" s="883">
        <v>1.020502319700437</v>
      </c>
      <c r="F873" s="883">
        <v>0.97282291488708028</v>
      </c>
      <c r="G873" s="883">
        <v>0.99909326844872826</v>
      </c>
      <c r="H873" s="883">
        <v>1.0194308667420746</v>
      </c>
      <c r="I873" s="883">
        <v>0.99890589425966159</v>
      </c>
      <c r="K873">
        <v>6.72959830486292</v>
      </c>
      <c r="L873">
        <v>0</v>
      </c>
      <c r="M873">
        <v>1.0060657605600317E-2</v>
      </c>
      <c r="N873">
        <v>0.19334931607569197</v>
      </c>
      <c r="O873">
        <v>0.11732324857326527</v>
      </c>
      <c r="P873">
        <v>8.4345137596756881E-2</v>
      </c>
      <c r="Q873">
        <v>0</v>
      </c>
      <c r="R873">
        <v>1.0060657605600317E-2</v>
      </c>
      <c r="S873">
        <v>0.2649534416624989</v>
      </c>
      <c r="T873">
        <v>5.9095008299317033</v>
      </c>
      <c r="U873">
        <v>0</v>
      </c>
      <c r="V873">
        <v>1.9028782908972249E-2</v>
      </c>
      <c r="W873">
        <v>0.10073900635284884</v>
      </c>
      <c r="X873">
        <v>-1.0694555283828132E-3</v>
      </c>
      <c r="Y873">
        <v>4.1427997289563902E-2</v>
      </c>
    </row>
    <row r="874" spans="1:25" x14ac:dyDescent="0.25">
      <c r="A874" s="879"/>
      <c r="B874" s="1133">
        <v>624</v>
      </c>
      <c r="C874" s="883">
        <v>0.99667413477708344</v>
      </c>
      <c r="D874" s="883">
        <v>0.99947840720865633</v>
      </c>
      <c r="E874" s="883">
        <v>0.97581549793980094</v>
      </c>
      <c r="F874" s="883">
        <v>0.96012839740045119</v>
      </c>
      <c r="G874" s="883">
        <v>0.9522744152725573</v>
      </c>
      <c r="H874" s="883">
        <v>0.97024194720376966</v>
      </c>
      <c r="I874" s="883">
        <v>1.0151273726440375</v>
      </c>
      <c r="K874">
        <v>6.7347723254713259</v>
      </c>
      <c r="L874">
        <v>0</v>
      </c>
      <c r="M874">
        <v>1.0364700070229915E-2</v>
      </c>
      <c r="N874">
        <v>0.18643077106889339</v>
      </c>
      <c r="O874">
        <v>0.12286767681765615</v>
      </c>
      <c r="P874">
        <v>8.1659683765388152E-2</v>
      </c>
      <c r="Q874">
        <v>0</v>
      </c>
      <c r="R874">
        <v>1.0364700070229915E-2</v>
      </c>
      <c r="S874">
        <v>0.2720923317581822</v>
      </c>
      <c r="T874">
        <v>5.9113201539087035</v>
      </c>
      <c r="U874">
        <v>0</v>
      </c>
      <c r="V874">
        <v>1.9173285527091178E-2</v>
      </c>
      <c r="W874">
        <v>9.9315791098068235E-2</v>
      </c>
      <c r="X874">
        <v>-7.6735851402525324E-4</v>
      </c>
      <c r="Y874">
        <v>4.2679990041367306E-2</v>
      </c>
    </row>
    <row r="875" spans="1:25" x14ac:dyDescent="0.25">
      <c r="A875" s="879"/>
      <c r="B875" s="1133">
        <v>625</v>
      </c>
      <c r="C875" s="883">
        <v>0.96917663181740932</v>
      </c>
      <c r="D875" s="883">
        <v>0.98488670973218351</v>
      </c>
      <c r="E875" s="883">
        <v>0.98465633700288779</v>
      </c>
      <c r="F875" s="883">
        <v>1.0072568946863814</v>
      </c>
      <c r="G875" s="883">
        <v>0.99680788853544289</v>
      </c>
      <c r="H875" s="883">
        <v>0.98245527059237558</v>
      </c>
      <c r="I875" s="883">
        <v>1.0028694735932853</v>
      </c>
      <c r="K875">
        <v>6.7625603833289674</v>
      </c>
      <c r="L875">
        <v>0</v>
      </c>
      <c r="M875">
        <v>1.0777783365320048E-2</v>
      </c>
      <c r="N875">
        <v>0.19642051058800566</v>
      </c>
      <c r="O875">
        <v>0.12692885555256889</v>
      </c>
      <c r="P875">
        <v>8.2321422108488362E-2</v>
      </c>
      <c r="Q875">
        <v>0</v>
      </c>
      <c r="R875">
        <v>1.0777783365320048E-2</v>
      </c>
      <c r="S875">
        <v>0.27778505530550401</v>
      </c>
      <c r="T875">
        <v>5.9133809398956867</v>
      </c>
      <c r="U875">
        <v>0</v>
      </c>
      <c r="V875">
        <v>1.9328475328188249E-2</v>
      </c>
      <c r="W875">
        <v>0.10417541543659181</v>
      </c>
      <c r="X875">
        <v>-2.1612844105273784E-3</v>
      </c>
      <c r="Y875">
        <v>4.4380993524462869E-2</v>
      </c>
    </row>
    <row r="876" spans="1:25" x14ac:dyDescent="0.25">
      <c r="A876" s="879"/>
      <c r="B876" s="1133">
        <v>626</v>
      </c>
      <c r="C876" s="883">
        <v>0.99851012445265985</v>
      </c>
      <c r="D876" s="883">
        <v>1.0008569346498188</v>
      </c>
      <c r="E876" s="883">
        <v>0.96705776586627545</v>
      </c>
      <c r="F876" s="883">
        <v>1.0103554130279278</v>
      </c>
      <c r="G876" s="883">
        <v>0.99355073610322053</v>
      </c>
      <c r="H876" s="883">
        <v>0.99810546118275756</v>
      </c>
      <c r="I876" s="883">
        <v>1.0265366784947336</v>
      </c>
      <c r="K876">
        <v>6.7493802765770265</v>
      </c>
      <c r="L876">
        <v>0</v>
      </c>
      <c r="M876">
        <v>1.0717896943219132E-2</v>
      </c>
      <c r="N876">
        <v>0.19029341845903544</v>
      </c>
      <c r="O876">
        <v>0.12273616196431283</v>
      </c>
      <c r="P876">
        <v>8.1217018043906741E-2</v>
      </c>
      <c r="Q876">
        <v>0</v>
      </c>
      <c r="R876">
        <v>1.0717896943219132E-2</v>
      </c>
      <c r="S876">
        <v>0.27731555250576956</v>
      </c>
      <c r="T876">
        <v>5.9145138439704512</v>
      </c>
      <c r="U876">
        <v>0</v>
      </c>
      <c r="V876">
        <v>1.9163228013801856E-2</v>
      </c>
      <c r="W876">
        <v>0.10182058227143767</v>
      </c>
      <c r="X876">
        <v>-1.813920549322887E-3</v>
      </c>
      <c r="Y876">
        <v>4.4134391897637078E-2</v>
      </c>
    </row>
    <row r="877" spans="1:25" x14ac:dyDescent="0.25">
      <c r="A877" s="879"/>
      <c r="B877" s="1133">
        <v>627</v>
      </c>
      <c r="C877" s="883">
        <v>1.0014631597588466</v>
      </c>
      <c r="D877" s="883">
        <v>1.0403299788474363</v>
      </c>
      <c r="E877" s="883">
        <v>1.0066006697012091</v>
      </c>
      <c r="F877" s="883">
        <v>1.0118763602567513</v>
      </c>
      <c r="G877" s="883">
        <v>0.99620190113486806</v>
      </c>
      <c r="H877" s="883">
        <v>1.0180826575268087</v>
      </c>
      <c r="I877" s="883">
        <v>1.0277883756182413</v>
      </c>
      <c r="K877">
        <v>6.7517782849221302</v>
      </c>
      <c r="L877">
        <v>0</v>
      </c>
      <c r="M877">
        <v>1.0357704214014826E-2</v>
      </c>
      <c r="N877">
        <v>0.19500441030388571</v>
      </c>
      <c r="O877">
        <v>0.11977174682805149</v>
      </c>
      <c r="P877">
        <v>8.3696282977762812E-2</v>
      </c>
      <c r="Q877">
        <v>0</v>
      </c>
      <c r="R877">
        <v>1.0357704214014826E-2</v>
      </c>
      <c r="S877">
        <v>0.27843186894784278</v>
      </c>
      <c r="T877">
        <v>5.9124025167340939</v>
      </c>
      <c r="U877">
        <v>0</v>
      </c>
      <c r="V877">
        <v>1.9147128705033021E-2</v>
      </c>
      <c r="W877">
        <v>0.102301332349192</v>
      </c>
      <c r="X877">
        <v>-1.6281842744228041E-3</v>
      </c>
      <c r="Y877">
        <v>4.265118235068955E-2</v>
      </c>
    </row>
    <row r="878" spans="1:25" x14ac:dyDescent="0.25">
      <c r="A878" s="879"/>
      <c r="B878" s="1133">
        <v>628</v>
      </c>
      <c r="C878" s="883">
        <v>0.99098997906406339</v>
      </c>
      <c r="D878" s="883">
        <v>1.0092578382106965</v>
      </c>
      <c r="E878" s="883">
        <v>1.0196092054831207</v>
      </c>
      <c r="F878" s="883">
        <v>0.98071711748246015</v>
      </c>
      <c r="G878" s="883">
        <v>1.0048024904089632</v>
      </c>
      <c r="H878" s="883">
        <v>1.0006517016900114</v>
      </c>
      <c r="I878" s="883">
        <v>0.97296816671612574</v>
      </c>
      <c r="K878">
        <v>6.7424969423720125</v>
      </c>
      <c r="L878">
        <v>0</v>
      </c>
      <c r="M878">
        <v>1.0304387768552073E-2</v>
      </c>
      <c r="N878">
        <v>0.19777194658766309</v>
      </c>
      <c r="O878">
        <v>0.12226794388841555</v>
      </c>
      <c r="P878">
        <v>8.4299849353316345E-2</v>
      </c>
      <c r="Q878">
        <v>0</v>
      </c>
      <c r="R878">
        <v>1.0304387768552073E-2</v>
      </c>
      <c r="S878">
        <v>0.26508167585369785</v>
      </c>
      <c r="T878">
        <v>5.9099784818136403</v>
      </c>
      <c r="U878">
        <v>0</v>
      </c>
      <c r="V878">
        <v>1.9204659502865578E-2</v>
      </c>
      <c r="W878">
        <v>0.10308863064878195</v>
      </c>
      <c r="X878">
        <v>-1.6278799946220811E-3</v>
      </c>
      <c r="Y878">
        <v>4.2431634718247457E-2</v>
      </c>
    </row>
    <row r="879" spans="1:25" x14ac:dyDescent="0.25">
      <c r="A879" s="879"/>
      <c r="B879" s="1133">
        <v>629</v>
      </c>
      <c r="C879" s="883">
        <v>1.0060275061479762</v>
      </c>
      <c r="D879" s="883">
        <v>0.9817767158891394</v>
      </c>
      <c r="E879" s="883">
        <v>1.028474931160404</v>
      </c>
      <c r="F879" s="883">
        <v>0.99782555159895969</v>
      </c>
      <c r="G879" s="883">
        <v>1.0301223492249789</v>
      </c>
      <c r="H879" s="883">
        <v>0.98027428006099826</v>
      </c>
      <c r="I879" s="883">
        <v>0.98588096888189103</v>
      </c>
      <c r="K879">
        <v>6.7343110138871083</v>
      </c>
      <c r="L879">
        <v>0</v>
      </c>
      <c r="M879">
        <v>9.9841283820501954E-3</v>
      </c>
      <c r="N879">
        <v>0.19415416536183602</v>
      </c>
      <c r="O879">
        <v>0.12160944812354617</v>
      </c>
      <c r="P879">
        <v>8.4830355280082051E-2</v>
      </c>
      <c r="Q879">
        <v>0</v>
      </c>
      <c r="R879">
        <v>9.9841283820501954E-3</v>
      </c>
      <c r="S879">
        <v>0.26297708909922174</v>
      </c>
      <c r="T879">
        <v>5.9103928031681114</v>
      </c>
      <c r="U879">
        <v>0</v>
      </c>
      <c r="V879">
        <v>1.912243081777449E-2</v>
      </c>
      <c r="W879">
        <v>0.10076257841764247</v>
      </c>
      <c r="X879">
        <v>-6.5071994978878496E-4</v>
      </c>
      <c r="Y879">
        <v>4.1112863568678507E-2</v>
      </c>
    </row>
    <row r="880" spans="1:25" x14ac:dyDescent="0.25">
      <c r="A880" s="879"/>
      <c r="B880" s="1133">
        <v>630</v>
      </c>
      <c r="C880" s="883">
        <v>1.0125755625477662</v>
      </c>
      <c r="D880" s="883">
        <v>0.98596210543379126</v>
      </c>
      <c r="E880" s="883">
        <v>0.99015257597393769</v>
      </c>
      <c r="F880" s="883">
        <v>0.98602181310566717</v>
      </c>
      <c r="G880" s="883">
        <v>0.99773839004363518</v>
      </c>
      <c r="H880" s="883">
        <v>0.98302598094968086</v>
      </c>
      <c r="I880" s="883">
        <v>0.99035650005382858</v>
      </c>
      <c r="K880">
        <v>6.7272457150299285</v>
      </c>
      <c r="L880">
        <v>0</v>
      </c>
      <c r="M880">
        <v>1.0267665752375803E-2</v>
      </c>
      <c r="N880">
        <v>0.18865515923647455</v>
      </c>
      <c r="O880">
        <v>0.12133400294357656</v>
      </c>
      <c r="P880">
        <v>8.244361234283451E-2</v>
      </c>
      <c r="Q880">
        <v>0</v>
      </c>
      <c r="R880">
        <v>1.0267665752375803E-2</v>
      </c>
      <c r="S880">
        <v>0.26261354646281637</v>
      </c>
      <c r="T880">
        <v>5.9119280994746832</v>
      </c>
      <c r="U880">
        <v>0</v>
      </c>
      <c r="V880">
        <v>1.9087387827719012E-2</v>
      </c>
      <c r="W880">
        <v>9.9782760849869104E-2</v>
      </c>
      <c r="X880">
        <v>-8.7927409995941595E-4</v>
      </c>
      <c r="Y880">
        <v>4.2280419991908784E-2</v>
      </c>
    </row>
    <row r="881" spans="1:25" x14ac:dyDescent="0.25">
      <c r="A881" s="879"/>
      <c r="B881" s="1133">
        <v>631</v>
      </c>
      <c r="C881" s="883">
        <v>1.0054055619533604</v>
      </c>
      <c r="D881" s="883">
        <v>0.97944956532940941</v>
      </c>
      <c r="E881" s="883">
        <v>1.011219856832329</v>
      </c>
      <c r="F881" s="883">
        <v>1.0116470525154644</v>
      </c>
      <c r="G881" s="883">
        <v>0.99130987432682649</v>
      </c>
      <c r="H881" s="883">
        <v>0.98047312814779741</v>
      </c>
      <c r="I881" s="883">
        <v>0.9678734528593308</v>
      </c>
      <c r="K881">
        <v>6.7296103933803915</v>
      </c>
      <c r="L881">
        <v>0</v>
      </c>
      <c r="M881">
        <v>1.0154743565808595E-2</v>
      </c>
      <c r="N881">
        <v>0.19249520285993516</v>
      </c>
      <c r="O881">
        <v>0.12212758966263072</v>
      </c>
      <c r="P881">
        <v>8.3711232468779817E-2</v>
      </c>
      <c r="Q881">
        <v>0</v>
      </c>
      <c r="R881">
        <v>1.0154743565808595E-2</v>
      </c>
      <c r="S881">
        <v>0.25834538593452144</v>
      </c>
      <c r="T881">
        <v>5.9121282053767121</v>
      </c>
      <c r="U881">
        <v>0</v>
      </c>
      <c r="V881">
        <v>1.9125782989980189E-2</v>
      </c>
      <c r="W881">
        <v>0.10075441743015728</v>
      </c>
      <c r="X881">
        <v>-8.9284986935552943E-4</v>
      </c>
      <c r="Y881">
        <v>4.1815426527024961E-2</v>
      </c>
    </row>
    <row r="882" spans="1:25" x14ac:dyDescent="0.25">
      <c r="A882" s="879"/>
      <c r="B882" s="1133">
        <v>632</v>
      </c>
      <c r="C882" s="883">
        <v>0.99699496446633695</v>
      </c>
      <c r="D882" s="883">
        <v>1.0117474896371279</v>
      </c>
      <c r="E882" s="883">
        <v>1.0032876368273467</v>
      </c>
      <c r="F882" s="883">
        <v>1.0030309360574772</v>
      </c>
      <c r="G882" s="883">
        <v>0.97232292392935393</v>
      </c>
      <c r="H882" s="883">
        <v>0.9975920733676481</v>
      </c>
      <c r="I882" s="883">
        <v>0.99358524564473083</v>
      </c>
      <c r="K882">
        <v>6.741984142694001</v>
      </c>
      <c r="L882">
        <v>0</v>
      </c>
      <c r="M882">
        <v>1.0346900374329506E-2</v>
      </c>
      <c r="N882">
        <v>0.19384757571818831</v>
      </c>
      <c r="O882">
        <v>0.1217188172689737</v>
      </c>
      <c r="P882">
        <v>8.3354061036998134E-2</v>
      </c>
      <c r="Q882">
        <v>0</v>
      </c>
      <c r="R882">
        <v>1.0346900374329506E-2</v>
      </c>
      <c r="S882">
        <v>0.26873030804118747</v>
      </c>
      <c r="T882">
        <v>5.9121116431970551</v>
      </c>
      <c r="U882">
        <v>0</v>
      </c>
      <c r="V882">
        <v>1.9171525357803153E-2</v>
      </c>
      <c r="W882">
        <v>0.10186156888035532</v>
      </c>
      <c r="X882">
        <v>-1.4180508684393117E-3</v>
      </c>
      <c r="Y882">
        <v>4.2606694061877184E-2</v>
      </c>
    </row>
    <row r="883" spans="1:25" x14ac:dyDescent="0.25">
      <c r="A883" s="879"/>
      <c r="B883" s="1133">
        <v>633</v>
      </c>
      <c r="C883" s="883">
        <v>0.98907798578547057</v>
      </c>
      <c r="D883" s="883">
        <v>0.97856109672475444</v>
      </c>
      <c r="E883" s="883">
        <v>0.97964744564637773</v>
      </c>
      <c r="F883" s="883">
        <v>1.0159350648542536</v>
      </c>
      <c r="G883" s="883">
        <v>1.0017151391574781</v>
      </c>
      <c r="H883" s="883">
        <v>1.0232518340688839</v>
      </c>
      <c r="I883" s="883">
        <v>0.96919430565644371</v>
      </c>
      <c r="K883">
        <v>6.7561534016966682</v>
      </c>
      <c r="L883">
        <v>0</v>
      </c>
      <c r="M883">
        <v>1.107815878038999E-2</v>
      </c>
      <c r="N883">
        <v>0.20040012492266518</v>
      </c>
      <c r="O883">
        <v>0.12479077183210753</v>
      </c>
      <c r="P883">
        <v>8.1870397087958041E-2</v>
      </c>
      <c r="Q883">
        <v>0</v>
      </c>
      <c r="R883">
        <v>1.107815878038999E-2</v>
      </c>
      <c r="S883">
        <v>0.26691222529200548</v>
      </c>
      <c r="T883">
        <v>5.9141266194897728</v>
      </c>
      <c r="U883">
        <v>0</v>
      </c>
      <c r="V883">
        <v>1.9215293893360651E-2</v>
      </c>
      <c r="W883">
        <v>0.10655274610254738</v>
      </c>
      <c r="X883">
        <v>-3.3326629426394111E-3</v>
      </c>
      <c r="Y883">
        <v>4.5617886018890101E-2</v>
      </c>
    </row>
    <row r="884" spans="1:25" x14ac:dyDescent="0.25">
      <c r="A884" s="879"/>
      <c r="B884" s="1133">
        <v>634</v>
      </c>
      <c r="C884" s="883">
        <v>0.99150470338171925</v>
      </c>
      <c r="D884" s="883">
        <v>0.98752651432092597</v>
      </c>
      <c r="E884" s="883">
        <v>0.9724398886320571</v>
      </c>
      <c r="F884" s="883">
        <v>1.0019251938929097</v>
      </c>
      <c r="G884" s="883">
        <v>1.0117738186743201</v>
      </c>
      <c r="H884" s="883">
        <v>0.9778649627472582</v>
      </c>
      <c r="I884" s="883">
        <v>1.0402423748167089</v>
      </c>
      <c r="K884">
        <v>6.7526742947626186</v>
      </c>
      <c r="L884">
        <v>0</v>
      </c>
      <c r="M884">
        <v>1.0585938334090784E-2</v>
      </c>
      <c r="N884">
        <v>0.18945853800920082</v>
      </c>
      <c r="O884">
        <v>0.1241673477406541</v>
      </c>
      <c r="P884">
        <v>8.159794818271103E-2</v>
      </c>
      <c r="Q884">
        <v>0</v>
      </c>
      <c r="R884">
        <v>1.0585938334090784E-2</v>
      </c>
      <c r="S884">
        <v>0.28114298074536986</v>
      </c>
      <c r="T884">
        <v>5.9137646574465963</v>
      </c>
      <c r="U884">
        <v>0</v>
      </c>
      <c r="V884">
        <v>1.9201803644362796E-2</v>
      </c>
      <c r="W884">
        <v>0.10109989432218346</v>
      </c>
      <c r="X884">
        <v>-1.3498851614632396E-3</v>
      </c>
      <c r="Y884">
        <v>4.3591009833003388E-2</v>
      </c>
    </row>
    <row r="885" spans="1:25" x14ac:dyDescent="0.25">
      <c r="A885" s="879"/>
      <c r="B885" s="1133">
        <v>635</v>
      </c>
      <c r="C885" s="883">
        <v>0.97974785473614268</v>
      </c>
      <c r="D885" s="883">
        <v>1.0121507145464128</v>
      </c>
      <c r="E885" s="883">
        <v>0.97946905041151766</v>
      </c>
      <c r="F885" s="883">
        <v>1.0195140539232102</v>
      </c>
      <c r="G885" s="883">
        <v>0.96683072526891178</v>
      </c>
      <c r="H885" s="883">
        <v>1.0097594038031952</v>
      </c>
      <c r="I885" s="883">
        <v>0.97046960683837291</v>
      </c>
      <c r="K885">
        <v>6.7515009453331816</v>
      </c>
      <c r="L885">
        <v>0</v>
      </c>
      <c r="M885">
        <v>1.0879467163430636E-2</v>
      </c>
      <c r="N885">
        <v>0.19675377548609269</v>
      </c>
      <c r="O885">
        <v>0.12429324564342192</v>
      </c>
      <c r="P885">
        <v>8.187931356523484E-2</v>
      </c>
      <c r="Q885">
        <v>0</v>
      </c>
      <c r="R885">
        <v>1.0879467163430636E-2</v>
      </c>
      <c r="S885">
        <v>0.26818474934202108</v>
      </c>
      <c r="T885">
        <v>5.9143299251001213</v>
      </c>
      <c r="U885">
        <v>0</v>
      </c>
      <c r="V885">
        <v>1.9267782969382724E-2</v>
      </c>
      <c r="W885">
        <v>0.10462332878432826</v>
      </c>
      <c r="X885">
        <v>-2.630884863466383E-3</v>
      </c>
      <c r="Y885">
        <v>4.4799709306040922E-2</v>
      </c>
    </row>
    <row r="886" spans="1:25" x14ac:dyDescent="0.25">
      <c r="A886" s="879"/>
      <c r="B886" s="1133">
        <v>636</v>
      </c>
      <c r="C886" s="883">
        <v>1.0038465126264651</v>
      </c>
      <c r="D886" s="883">
        <v>1.0442003304839156</v>
      </c>
      <c r="E886" s="883">
        <v>1.0126291928888569</v>
      </c>
      <c r="F886" s="883">
        <v>1.0055936801963727</v>
      </c>
      <c r="G886" s="883">
        <v>0.9952709100355086</v>
      </c>
      <c r="H886" s="883">
        <v>1.0142109469527276</v>
      </c>
      <c r="I886" s="883">
        <v>0.99159897189689161</v>
      </c>
      <c r="K886">
        <v>6.7381083506245592</v>
      </c>
      <c r="L886">
        <v>0</v>
      </c>
      <c r="M886">
        <v>1.0223443991544024E-2</v>
      </c>
      <c r="N886">
        <v>0.19420219656777113</v>
      </c>
      <c r="O886">
        <v>0.11919891567864102</v>
      </c>
      <c r="P886">
        <v>8.391943335952394E-2</v>
      </c>
      <c r="Q886">
        <v>0</v>
      </c>
      <c r="R886">
        <v>1.0223443991544024E-2</v>
      </c>
      <c r="S886">
        <v>0.26761129924723209</v>
      </c>
      <c r="T886">
        <v>5.9117209827107837</v>
      </c>
      <c r="U886">
        <v>0</v>
      </c>
      <c r="V886">
        <v>1.9134204254303979E-2</v>
      </c>
      <c r="W886">
        <v>0.10157710406642073</v>
      </c>
      <c r="X886">
        <v>-1.3541079121013242E-3</v>
      </c>
      <c r="Y886">
        <v>4.2098322651983523E-2</v>
      </c>
    </row>
    <row r="887" spans="1:25" x14ac:dyDescent="0.25">
      <c r="A887" s="879"/>
      <c r="B887" s="1133">
        <v>637</v>
      </c>
      <c r="C887" s="883">
        <v>0.97801631678899303</v>
      </c>
      <c r="D887" s="883">
        <v>1.0126341571248789</v>
      </c>
      <c r="E887" s="883">
        <v>1.0234074910340267</v>
      </c>
      <c r="F887" s="883">
        <v>0.99047215264688582</v>
      </c>
      <c r="G887" s="883">
        <v>0.97892035984090842</v>
      </c>
      <c r="H887" s="883">
        <v>0.98951853776150833</v>
      </c>
      <c r="I887" s="883">
        <v>1.0110213477149463</v>
      </c>
      <c r="K887">
        <v>6.7583274063603236</v>
      </c>
      <c r="L887">
        <v>0</v>
      </c>
      <c r="M887">
        <v>1.0275926625801257E-2</v>
      </c>
      <c r="N887">
        <v>0.19833685206723839</v>
      </c>
      <c r="O887">
        <v>0.12365131589157567</v>
      </c>
      <c r="P887">
        <v>8.4718903915394952E-2</v>
      </c>
      <c r="Q887">
        <v>0</v>
      </c>
      <c r="R887">
        <v>1.0275926625801257E-2</v>
      </c>
      <c r="S887">
        <v>0.2779969240844879</v>
      </c>
      <c r="T887">
        <v>5.9102875704890456</v>
      </c>
      <c r="U887">
        <v>0</v>
      </c>
      <c r="V887">
        <v>1.9277634362119059E-2</v>
      </c>
      <c r="W887">
        <v>0.10318995656666541</v>
      </c>
      <c r="X887">
        <v>-1.4461878144981688E-3</v>
      </c>
      <c r="Y887">
        <v>4.231443679829415E-2</v>
      </c>
    </row>
    <row r="888" spans="1:25" x14ac:dyDescent="0.25">
      <c r="A888" s="879"/>
      <c r="B888" s="1133">
        <v>638</v>
      </c>
      <c r="C888" s="883">
        <v>0.9632663543369292</v>
      </c>
      <c r="D888" s="883">
        <v>1.0117352229829191</v>
      </c>
      <c r="E888" s="883">
        <v>0.99808572384029881</v>
      </c>
      <c r="F888" s="883">
        <v>1.0150293820994771</v>
      </c>
      <c r="G888" s="883">
        <v>0.95881207371439925</v>
      </c>
      <c r="H888" s="883">
        <v>0.98019029238350452</v>
      </c>
      <c r="I888" s="883">
        <v>0.98310709774124416</v>
      </c>
      <c r="K888">
        <v>6.7569100098350479</v>
      </c>
      <c r="L888">
        <v>0</v>
      </c>
      <c r="M888">
        <v>1.0570369690416635E-2</v>
      </c>
      <c r="N888">
        <v>0.19651402303071744</v>
      </c>
      <c r="O888">
        <v>0.12608215204107001</v>
      </c>
      <c r="P888">
        <v>8.3106649121798382E-2</v>
      </c>
      <c r="Q888">
        <v>0</v>
      </c>
      <c r="R888">
        <v>1.0570369690416635E-2</v>
      </c>
      <c r="S888">
        <v>0.27353183215629762</v>
      </c>
      <c r="T888">
        <v>5.9130526469542897</v>
      </c>
      <c r="U888">
        <v>0</v>
      </c>
      <c r="V888">
        <v>1.9362988477206126E-2</v>
      </c>
      <c r="W888">
        <v>0.10352975713523198</v>
      </c>
      <c r="X888">
        <v>-1.7969400110298046E-3</v>
      </c>
      <c r="Y888">
        <v>4.3526900929468502E-2</v>
      </c>
    </row>
    <row r="889" spans="1:25" x14ac:dyDescent="0.25">
      <c r="A889" s="879"/>
      <c r="B889" s="1133">
        <v>639</v>
      </c>
      <c r="C889" s="883">
        <v>0.99097254406576418</v>
      </c>
      <c r="D889" s="883">
        <v>0.99400696026491553</v>
      </c>
      <c r="E889" s="883">
        <v>0.97357882797332829</v>
      </c>
      <c r="F889" s="883">
        <v>0.98315056577985394</v>
      </c>
      <c r="G889" s="883">
        <v>0.96828474666791586</v>
      </c>
      <c r="H889" s="883">
        <v>1.0454820003054108</v>
      </c>
      <c r="I889" s="883">
        <v>1.0153429492817239</v>
      </c>
      <c r="K889">
        <v>6.7711189512535555</v>
      </c>
      <c r="L889">
        <v>0</v>
      </c>
      <c r="M889">
        <v>1.1281120735645352E-2</v>
      </c>
      <c r="N889">
        <v>0.20224198996063666</v>
      </c>
      <c r="O889">
        <v>0.12388810797786874</v>
      </c>
      <c r="P889">
        <v>8.1654558135152808E-2</v>
      </c>
      <c r="Q889">
        <v>0</v>
      </c>
      <c r="R889">
        <v>1.1281120735645352E-2</v>
      </c>
      <c r="S889">
        <v>0.28104657474347655</v>
      </c>
      <c r="T889">
        <v>5.9126873117497833</v>
      </c>
      <c r="U889">
        <v>0</v>
      </c>
      <c r="V889">
        <v>1.9204756289873743E-2</v>
      </c>
      <c r="W889">
        <v>0.10785976563273658</v>
      </c>
      <c r="X889">
        <v>-3.9177604607256453E-3</v>
      </c>
      <c r="Y889">
        <v>4.6453647224750365E-2</v>
      </c>
    </row>
    <row r="890" spans="1:25" x14ac:dyDescent="0.25">
      <c r="A890" s="879"/>
      <c r="B890" s="1133">
        <v>640</v>
      </c>
      <c r="C890" s="883">
        <v>1.0170497753097256</v>
      </c>
      <c r="D890" s="883">
        <v>0.98825979234227523</v>
      </c>
      <c r="E890" s="883">
        <v>0.97421849658737891</v>
      </c>
      <c r="F890" s="883">
        <v>0.98952652962618315</v>
      </c>
      <c r="G890" s="883">
        <v>0.98853880452710952</v>
      </c>
      <c r="H890" s="883">
        <v>1.0225101601140987</v>
      </c>
      <c r="I890" s="883">
        <v>1.0007493168781132</v>
      </c>
      <c r="K890">
        <v>6.7407330676846424</v>
      </c>
      <c r="L890">
        <v>0</v>
      </c>
      <c r="M890">
        <v>1.0771092122104649E-2</v>
      </c>
      <c r="N890">
        <v>0.19328189835542972</v>
      </c>
      <c r="O890">
        <v>0.12098022575468301</v>
      </c>
      <c r="P890">
        <v>8.1523605255809442E-2</v>
      </c>
      <c r="Q890">
        <v>0</v>
      </c>
      <c r="R890">
        <v>1.0771092122104649E-2</v>
      </c>
      <c r="S890">
        <v>0.26783345510705187</v>
      </c>
      <c r="T890">
        <v>5.9129970218701766</v>
      </c>
      <c r="U890">
        <v>0</v>
      </c>
      <c r="V890">
        <v>1.9063702847677836E-2</v>
      </c>
      <c r="W890">
        <v>0.10304807373678625</v>
      </c>
      <c r="X890">
        <v>-2.3483554188703055E-3</v>
      </c>
      <c r="Y890">
        <v>4.4353440175898755E-2</v>
      </c>
    </row>
    <row r="891" spans="1:25" x14ac:dyDescent="0.25">
      <c r="A891" s="879"/>
      <c r="B891" s="1133">
        <v>641</v>
      </c>
      <c r="C891" s="883">
        <v>1.0098187960825289</v>
      </c>
      <c r="D891" s="883">
        <v>0.9812209654106181</v>
      </c>
      <c r="E891" s="883">
        <v>0.98910384964382714</v>
      </c>
      <c r="F891" s="883">
        <v>0.97253500694596484</v>
      </c>
      <c r="G891" s="883">
        <v>0.96967259504608605</v>
      </c>
      <c r="H891" s="883">
        <v>1.0185529271916309</v>
      </c>
      <c r="I891" s="883">
        <v>1.0302083344624444</v>
      </c>
      <c r="K891">
        <v>6.754135590743501</v>
      </c>
      <c r="L891">
        <v>0</v>
      </c>
      <c r="M891">
        <v>1.069963447251287E-2</v>
      </c>
      <c r="N891">
        <v>0.19628659298220183</v>
      </c>
      <c r="O891">
        <v>0.12191955998708003</v>
      </c>
      <c r="P891">
        <v>8.256570484879909E-2</v>
      </c>
      <c r="Q891">
        <v>0</v>
      </c>
      <c r="R891">
        <v>1.069963447251287E-2</v>
      </c>
      <c r="S891">
        <v>0.2774172708861849</v>
      </c>
      <c r="T891">
        <v>5.9112574295923741</v>
      </c>
      <c r="U891">
        <v>0</v>
      </c>
      <c r="V891">
        <v>1.9102085722231776E-2</v>
      </c>
      <c r="W891">
        <v>0.10387346571968964</v>
      </c>
      <c r="X891">
        <v>-2.3457092889290058E-3</v>
      </c>
      <c r="Y891">
        <v>4.4059190293867297E-2</v>
      </c>
    </row>
    <row r="892" spans="1:25" x14ac:dyDescent="0.25">
      <c r="A892" s="879"/>
      <c r="B892" s="1133">
        <v>642</v>
      </c>
      <c r="C892" s="883">
        <v>0.96729973856972418</v>
      </c>
      <c r="D892" s="883">
        <v>1.0103172747846378</v>
      </c>
      <c r="E892" s="883">
        <v>1.0151316553900627</v>
      </c>
      <c r="F892" s="883">
        <v>1.0291950854730723</v>
      </c>
      <c r="G892" s="883">
        <v>0.99326075165575178</v>
      </c>
      <c r="H892" s="883">
        <v>0.98052016599015945</v>
      </c>
      <c r="I892" s="883">
        <v>0.97513824078815936</v>
      </c>
      <c r="K892">
        <v>6.7543683325051607</v>
      </c>
      <c r="L892">
        <v>0</v>
      </c>
      <c r="M892">
        <v>1.0380321366749129E-2</v>
      </c>
      <c r="N892">
        <v>0.19791383012270991</v>
      </c>
      <c r="O892">
        <v>0.12529696498874995</v>
      </c>
      <c r="P892">
        <v>8.4130286408942254E-2</v>
      </c>
      <c r="Q892">
        <v>0</v>
      </c>
      <c r="R892">
        <v>1.0380321366749129E-2</v>
      </c>
      <c r="S892">
        <v>0.27025651888119612</v>
      </c>
      <c r="T892">
        <v>5.9128535917678349</v>
      </c>
      <c r="U892">
        <v>0</v>
      </c>
      <c r="V892">
        <v>1.9339389771972547E-2</v>
      </c>
      <c r="W892">
        <v>0.10339062011427284</v>
      </c>
      <c r="X892">
        <v>-1.5571853104677635E-3</v>
      </c>
      <c r="Y892">
        <v>4.2744315759946291E-2</v>
      </c>
    </row>
    <row r="893" spans="1:25" x14ac:dyDescent="0.25">
      <c r="A893" s="879"/>
      <c r="B893" s="1133">
        <v>643</v>
      </c>
      <c r="C893" s="883">
        <v>1.0085383575910847</v>
      </c>
      <c r="D893" s="883">
        <v>1.0264041506432953</v>
      </c>
      <c r="E893" s="883">
        <v>1.0284831257937601</v>
      </c>
      <c r="F893" s="883">
        <v>0.98078961626122629</v>
      </c>
      <c r="G893" s="883">
        <v>0.96573935968177427</v>
      </c>
      <c r="H893" s="883">
        <v>1.0015996943848195</v>
      </c>
      <c r="I893" s="883">
        <v>1.0006685604660195</v>
      </c>
      <c r="K893">
        <v>6.7356817438554044</v>
      </c>
      <c r="L893">
        <v>0</v>
      </c>
      <c r="M893">
        <v>9.9839707912039305E-3</v>
      </c>
      <c r="N893">
        <v>0.19415345289110764</v>
      </c>
      <c r="O893">
        <v>0.11916862205255631</v>
      </c>
      <c r="P893">
        <v>8.4884487097309946E-2</v>
      </c>
      <c r="Q893">
        <v>0</v>
      </c>
      <c r="R893">
        <v>9.9839707912039305E-3</v>
      </c>
      <c r="S893">
        <v>0.26782784770683349</v>
      </c>
      <c r="T893">
        <v>5.9094720760952271</v>
      </c>
      <c r="U893">
        <v>0</v>
      </c>
      <c r="V893">
        <v>1.9108939797851856E-2</v>
      </c>
      <c r="W893">
        <v>0.10076180332550998</v>
      </c>
      <c r="X893">
        <v>-8.0769974861870267E-4</v>
      </c>
      <c r="Y893">
        <v>4.1112214637623719E-2</v>
      </c>
    </row>
    <row r="894" spans="1:25" x14ac:dyDescent="0.25">
      <c r="A894" s="879"/>
      <c r="B894" s="1133">
        <v>644</v>
      </c>
      <c r="C894" s="883">
        <v>0.97209560183996424</v>
      </c>
      <c r="D894" s="883">
        <v>1.0202355995228034</v>
      </c>
      <c r="E894" s="883">
        <v>1.0336553153372565</v>
      </c>
      <c r="F894" s="883">
        <v>1.0058387417282915</v>
      </c>
      <c r="G894" s="883">
        <v>1.0016457720604013</v>
      </c>
      <c r="H894" s="883">
        <v>1.0198931730692877</v>
      </c>
      <c r="I894" s="883">
        <v>0.98033098993378709</v>
      </c>
      <c r="K894">
        <v>6.7667304961847519</v>
      </c>
      <c r="L894">
        <v>0</v>
      </c>
      <c r="M894">
        <v>1.0526857593319826E-2</v>
      </c>
      <c r="N894">
        <v>0.20628170218818759</v>
      </c>
      <c r="O894">
        <v>0.12383423006294006</v>
      </c>
      <c r="P894">
        <v>8.5310157865557693E-2</v>
      </c>
      <c r="Q894">
        <v>0</v>
      </c>
      <c r="R894">
        <v>1.0526857593319826E-2</v>
      </c>
      <c r="S894">
        <v>0.27401211392691827</v>
      </c>
      <c r="T894">
        <v>5.9105256533922628</v>
      </c>
      <c r="U894">
        <v>0</v>
      </c>
      <c r="V894">
        <v>1.9311584779279519E-2</v>
      </c>
      <c r="W894">
        <v>0.1067849426852715</v>
      </c>
      <c r="X894">
        <v>-2.677614574158159E-3</v>
      </c>
      <c r="Y894">
        <v>4.3347725858488423E-2</v>
      </c>
    </row>
    <row r="895" spans="1:25" x14ac:dyDescent="0.25">
      <c r="A895" s="879"/>
      <c r="B895" s="1133">
        <v>645</v>
      </c>
      <c r="C895" s="883">
        <v>0.99014498286559827</v>
      </c>
      <c r="D895" s="883">
        <v>1.0217303380754275</v>
      </c>
      <c r="E895" s="883">
        <v>1.0150607986218854</v>
      </c>
      <c r="F895" s="883">
        <v>0.97333769146316185</v>
      </c>
      <c r="G895" s="883">
        <v>1.0006748914286026</v>
      </c>
      <c r="H895" s="883">
        <v>1.0058458791901232</v>
      </c>
      <c r="I895" s="883">
        <v>1.0085088724933964</v>
      </c>
      <c r="K895">
        <v>6.7518669298048586</v>
      </c>
      <c r="L895">
        <v>0</v>
      </c>
      <c r="M895">
        <v>1.035348644650263E-2</v>
      </c>
      <c r="N895">
        <v>0.19738149108586828</v>
      </c>
      <c r="O895">
        <v>0.12185860344347961</v>
      </c>
      <c r="P895">
        <v>8.4152516539671582E-2</v>
      </c>
      <c r="Q895">
        <v>0</v>
      </c>
      <c r="R895">
        <v>1.035348644650263E-2</v>
      </c>
      <c r="S895">
        <v>0.27536487355898875</v>
      </c>
      <c r="T895">
        <v>5.909839669945824</v>
      </c>
      <c r="U895">
        <v>0</v>
      </c>
      <c r="V895">
        <v>1.9209354255799234E-2</v>
      </c>
      <c r="W895">
        <v>0.10311613130273856</v>
      </c>
      <c r="X895">
        <v>-1.6895246623268695E-3</v>
      </c>
      <c r="Y895">
        <v>4.2633814334808964E-2</v>
      </c>
    </row>
    <row r="896" spans="1:25" x14ac:dyDescent="0.25">
      <c r="A896" s="879"/>
      <c r="B896" s="1133">
        <v>646</v>
      </c>
      <c r="C896" s="883">
        <v>1.0020625542116595</v>
      </c>
      <c r="D896" s="883">
        <v>0.99603223834317944</v>
      </c>
      <c r="E896" s="883">
        <v>0.97790298392705088</v>
      </c>
      <c r="F896" s="883">
        <v>1.0273411661778953</v>
      </c>
      <c r="G896" s="883">
        <v>0.99010992567445066</v>
      </c>
      <c r="H896" s="883">
        <v>0.99939108208699601</v>
      </c>
      <c r="I896" s="883">
        <v>1.0030837125132817</v>
      </c>
      <c r="K896">
        <v>6.7437466298386806</v>
      </c>
      <c r="L896">
        <v>0</v>
      </c>
      <c r="M896">
        <v>1.0615075912286089E-2</v>
      </c>
      <c r="N896">
        <v>0.19152671242118829</v>
      </c>
      <c r="O896">
        <v>0.12233727368319755</v>
      </c>
      <c r="P896">
        <v>8.1812345839123585E-2</v>
      </c>
      <c r="Q896">
        <v>0</v>
      </c>
      <c r="R896">
        <v>1.0615075912286089E-2</v>
      </c>
      <c r="S896">
        <v>0.27020747292279751</v>
      </c>
      <c r="T896">
        <v>5.9148392443780793</v>
      </c>
      <c r="U896">
        <v>0</v>
      </c>
      <c r="V896">
        <v>1.9143872520948905E-2</v>
      </c>
      <c r="W896">
        <v>0.10192378566019206</v>
      </c>
      <c r="X896">
        <v>-1.7550707805668231E-3</v>
      </c>
      <c r="Y896">
        <v>4.3710993193716068E-2</v>
      </c>
    </row>
    <row r="897" spans="1:25" x14ac:dyDescent="0.25">
      <c r="A897" s="879"/>
      <c r="B897" s="1133">
        <v>647</v>
      </c>
      <c r="C897" s="883">
        <v>1.0331621336739953</v>
      </c>
      <c r="D897" s="883">
        <v>1.0034840912270901</v>
      </c>
      <c r="E897" s="883">
        <v>1.003882994195852</v>
      </c>
      <c r="F897" s="883">
        <v>0.9947270983782931</v>
      </c>
      <c r="G897" s="883">
        <v>0.99653129798620665</v>
      </c>
      <c r="H897" s="883">
        <v>0.96291076558473432</v>
      </c>
      <c r="I897" s="883">
        <v>0.9550661067536288</v>
      </c>
      <c r="K897">
        <v>6.6948808964962101</v>
      </c>
      <c r="L897">
        <v>0</v>
      </c>
      <c r="M897">
        <v>9.6664480247071541E-3</v>
      </c>
      <c r="N897">
        <v>0.18125916602312547</v>
      </c>
      <c r="O897">
        <v>0.11783303292828347</v>
      </c>
      <c r="P897">
        <v>8.308135975375687E-2</v>
      </c>
      <c r="Q897">
        <v>0</v>
      </c>
      <c r="R897">
        <v>9.6664480247071541E-3</v>
      </c>
      <c r="S897">
        <v>0.24632651279037773</v>
      </c>
      <c r="T897">
        <v>5.9116293304403413</v>
      </c>
      <c r="U897">
        <v>0</v>
      </c>
      <c r="V897">
        <v>1.8980108971224249E-2</v>
      </c>
      <c r="W897">
        <v>9.5218589196986933E-2</v>
      </c>
      <c r="X897">
        <v>7.4808398997784588E-4</v>
      </c>
      <c r="Y897">
        <v>3.9804712402135574E-2</v>
      </c>
    </row>
    <row r="898" spans="1:25" x14ac:dyDescent="0.25">
      <c r="A898" s="879"/>
      <c r="B898" s="1133">
        <v>648</v>
      </c>
      <c r="C898" s="883">
        <v>1.0132774517361913</v>
      </c>
      <c r="D898" s="883">
        <v>0.99321474963180478</v>
      </c>
      <c r="E898" s="883">
        <v>0.99327810493558411</v>
      </c>
      <c r="F898" s="883">
        <v>1.0190085007429761</v>
      </c>
      <c r="G898" s="883">
        <v>0.97998379090786036</v>
      </c>
      <c r="H898" s="883">
        <v>0.9979113047402286</v>
      </c>
      <c r="I898" s="883">
        <v>1.0307324126850659</v>
      </c>
      <c r="K898">
        <v>6.7442511765028872</v>
      </c>
      <c r="L898">
        <v>0</v>
      </c>
      <c r="M898">
        <v>1.0354978052296793E-2</v>
      </c>
      <c r="N898">
        <v>0.19114297649655654</v>
      </c>
      <c r="O898">
        <v>0.12083729226078779</v>
      </c>
      <c r="P898">
        <v>8.2819730662518867E-2</v>
      </c>
      <c r="Q898">
        <v>0</v>
      </c>
      <c r="R898">
        <v>1.0354978052296793E-2</v>
      </c>
      <c r="S898">
        <v>0.27449602839400822</v>
      </c>
      <c r="T898">
        <v>5.9135368048196142</v>
      </c>
      <c r="U898">
        <v>0</v>
      </c>
      <c r="V898">
        <v>1.9083658429377398E-2</v>
      </c>
      <c r="W898">
        <v>0.10094126833222308</v>
      </c>
      <c r="X898">
        <v>-1.2465393941691557E-3</v>
      </c>
      <c r="Y898">
        <v>4.2639956501973407E-2</v>
      </c>
    </row>
    <row r="899" spans="1:25" x14ac:dyDescent="0.25">
      <c r="A899" s="879"/>
      <c r="B899" s="1133">
        <v>649</v>
      </c>
      <c r="C899" s="883">
        <v>1.0011633353833169</v>
      </c>
      <c r="D899" s="883">
        <v>0.96238608012107929</v>
      </c>
      <c r="E899" s="883">
        <v>1.0104714130974821</v>
      </c>
      <c r="F899" s="883">
        <v>0.96833339450761857</v>
      </c>
      <c r="G899" s="883">
        <v>1.0401888209390795</v>
      </c>
      <c r="H899" s="883">
        <v>0.98569357540449298</v>
      </c>
      <c r="I899" s="883">
        <v>1.0000910629734174</v>
      </c>
      <c r="K899">
        <v>6.7443656725267251</v>
      </c>
      <c r="L899">
        <v>0</v>
      </c>
      <c r="M899">
        <v>1.0336386257836437E-2</v>
      </c>
      <c r="N899">
        <v>0.19572149239428424</v>
      </c>
      <c r="O899">
        <v>0.12352461579319379</v>
      </c>
      <c r="P899">
        <v>8.3774184168506405E-2</v>
      </c>
      <c r="Q899">
        <v>0</v>
      </c>
      <c r="R899">
        <v>1.0336386257836437E-2</v>
      </c>
      <c r="S899">
        <v>0.26875023664268205</v>
      </c>
      <c r="T899">
        <v>5.9098303253890148</v>
      </c>
      <c r="U899">
        <v>0</v>
      </c>
      <c r="V899">
        <v>1.9148758950737397E-2</v>
      </c>
      <c r="W899">
        <v>0.10248101509985584</v>
      </c>
      <c r="X899">
        <v>-1.4283547131580809E-3</v>
      </c>
      <c r="Y899">
        <v>4.2563398801601718E-2</v>
      </c>
    </row>
    <row r="900" spans="1:25" x14ac:dyDescent="0.25">
      <c r="A900" s="879"/>
      <c r="B900" s="1133">
        <v>650</v>
      </c>
      <c r="C900" s="883">
        <v>1.0234320871697666</v>
      </c>
      <c r="D900" s="883">
        <v>0.96840056449036227</v>
      </c>
      <c r="E900" s="883">
        <v>0.96864904727509749</v>
      </c>
      <c r="F900" s="883">
        <v>1.0184686132537928</v>
      </c>
      <c r="G900" s="883">
        <v>1.0340925642212444</v>
      </c>
      <c r="H900" s="883">
        <v>1.0287615560551102</v>
      </c>
      <c r="I900" s="883">
        <v>0.99768070890463112</v>
      </c>
      <c r="K900">
        <v>6.7429062590225248</v>
      </c>
      <c r="L900">
        <v>0</v>
      </c>
      <c r="M900">
        <v>1.091630279162178E-2</v>
      </c>
      <c r="N900">
        <v>0.19427460631611476</v>
      </c>
      <c r="O900">
        <v>0.12130781968593515</v>
      </c>
      <c r="P900">
        <v>8.1174370846335775E-2</v>
      </c>
      <c r="Q900">
        <v>0</v>
      </c>
      <c r="R900">
        <v>1.091630279162178E-2</v>
      </c>
      <c r="S900">
        <v>0.26614791047175113</v>
      </c>
      <c r="T900">
        <v>5.9148659467515312</v>
      </c>
      <c r="U900">
        <v>0</v>
      </c>
      <c r="V900">
        <v>1.9030275430217673E-2</v>
      </c>
      <c r="W900">
        <v>0.10386759840810496</v>
      </c>
      <c r="X900">
        <v>-2.7136607538996967E-3</v>
      </c>
      <c r="Y900">
        <v>4.4951391866434647E-2</v>
      </c>
    </row>
    <row r="901" spans="1:25" x14ac:dyDescent="0.25">
      <c r="A901" s="879"/>
      <c r="B901" s="1133">
        <v>651</v>
      </c>
      <c r="C901" s="883">
        <v>1.0050874201746682</v>
      </c>
      <c r="D901" s="883">
        <v>0.97234887449560969</v>
      </c>
      <c r="E901" s="883">
        <v>1.0256613930431073</v>
      </c>
      <c r="F901" s="883">
        <v>1.0223402297965047</v>
      </c>
      <c r="G901" s="883">
        <v>0.99545589994711725</v>
      </c>
      <c r="H901" s="883">
        <v>0.99941879290616842</v>
      </c>
      <c r="I901" s="883">
        <v>1.0007604600751212</v>
      </c>
      <c r="K901">
        <v>6.749626938794159</v>
      </c>
      <c r="L901">
        <v>0</v>
      </c>
      <c r="M901">
        <v>1.0256120249800283E-2</v>
      </c>
      <c r="N901">
        <v>0.19861546149145101</v>
      </c>
      <c r="O901">
        <v>0.12224764345265099</v>
      </c>
      <c r="P901">
        <v>8.4758445544097172E-2</v>
      </c>
      <c r="Q901">
        <v>0</v>
      </c>
      <c r="R901">
        <v>1.0256120249800283E-2</v>
      </c>
      <c r="S901">
        <v>0.26910435129127036</v>
      </c>
      <c r="T901">
        <v>5.9118794123574387</v>
      </c>
      <c r="U901">
        <v>0</v>
      </c>
      <c r="V901">
        <v>1.9127499323265917E-2</v>
      </c>
      <c r="W901">
        <v>0.10322045778052526</v>
      </c>
      <c r="X901">
        <v>-1.5592101138698123E-3</v>
      </c>
      <c r="Y901">
        <v>4.2232877667325641E-2</v>
      </c>
    </row>
    <row r="902" spans="1:25" x14ac:dyDescent="0.25">
      <c r="A902" s="879"/>
      <c r="B902" s="1133">
        <v>652</v>
      </c>
      <c r="C902" s="883">
        <v>1.0085271739456136</v>
      </c>
      <c r="D902" s="883">
        <v>0.99837698472799297</v>
      </c>
      <c r="E902" s="883">
        <v>0.99580381468281887</v>
      </c>
      <c r="F902" s="883">
        <v>1.0069191097291661</v>
      </c>
      <c r="G902" s="883">
        <v>1.0031633250191681</v>
      </c>
      <c r="H902" s="883">
        <v>0.97790908277642441</v>
      </c>
      <c r="I902" s="883">
        <v>1.0129128714100712</v>
      </c>
      <c r="K902">
        <v>6.7334364314039172</v>
      </c>
      <c r="L902">
        <v>0</v>
      </c>
      <c r="M902">
        <v>1.0150194964096793E-2</v>
      </c>
      <c r="N902">
        <v>0.18806554773859596</v>
      </c>
      <c r="O902">
        <v>0.12110812316625851</v>
      </c>
      <c r="P902">
        <v>8.289608351021456E-2</v>
      </c>
      <c r="Q902">
        <v>0</v>
      </c>
      <c r="R902">
        <v>1.0150194964096793E-2</v>
      </c>
      <c r="S902">
        <v>0.26907812900765526</v>
      </c>
      <c r="T902">
        <v>5.9127422006463064</v>
      </c>
      <c r="U902">
        <v>0</v>
      </c>
      <c r="V902">
        <v>1.910899973960041E-2</v>
      </c>
      <c r="W902">
        <v>9.9191322557849876E-2</v>
      </c>
      <c r="X902">
        <v>-5.5067115736335431E-4</v>
      </c>
      <c r="Y902">
        <v>4.1796696194796701E-2</v>
      </c>
    </row>
    <row r="903" spans="1:25" x14ac:dyDescent="0.25">
      <c r="A903" s="879"/>
      <c r="B903" s="1133">
        <v>653</v>
      </c>
      <c r="C903" s="883">
        <v>0.96781196911062584</v>
      </c>
      <c r="D903" s="883">
        <v>0.99936498626180081</v>
      </c>
      <c r="E903" s="883">
        <v>1.03698742816338</v>
      </c>
      <c r="F903" s="883">
        <v>0.98343261295860385</v>
      </c>
      <c r="G903" s="883">
        <v>1.0103819503071398</v>
      </c>
      <c r="H903" s="883">
        <v>1.0119088643353338</v>
      </c>
      <c r="I903" s="883">
        <v>0.96589985488228847</v>
      </c>
      <c r="K903">
        <v>6.765802778759725</v>
      </c>
      <c r="L903">
        <v>0</v>
      </c>
      <c r="M903">
        <v>1.0553045191046296E-2</v>
      </c>
      <c r="N903">
        <v>0.20781554990066073</v>
      </c>
      <c r="O903">
        <v>0.12534932317134015</v>
      </c>
      <c r="P903">
        <v>8.5453352913599123E-2</v>
      </c>
      <c r="Q903">
        <v>0</v>
      </c>
      <c r="R903">
        <v>1.0553045191046296E-2</v>
      </c>
      <c r="S903">
        <v>0.27064534856682304</v>
      </c>
      <c r="T903">
        <v>5.9091217298578602</v>
      </c>
      <c r="U903">
        <v>0</v>
      </c>
      <c r="V903">
        <v>1.9336406866775565E-2</v>
      </c>
      <c r="W903">
        <v>0.1074036293435086</v>
      </c>
      <c r="X903">
        <v>-2.7781235855511219E-3</v>
      </c>
      <c r="Y903">
        <v>4.3455561724707381E-2</v>
      </c>
    </row>
    <row r="904" spans="1:25" x14ac:dyDescent="0.25">
      <c r="A904" s="879"/>
      <c r="B904" s="1133">
        <v>654</v>
      </c>
      <c r="C904" s="883">
        <v>1.0223066836540766</v>
      </c>
      <c r="D904" s="883">
        <v>0.99817591209681478</v>
      </c>
      <c r="E904" s="883">
        <v>0.9977824683891412</v>
      </c>
      <c r="F904" s="883">
        <v>1.0077072705690882</v>
      </c>
      <c r="G904" s="883">
        <v>0.97347728434524183</v>
      </c>
      <c r="H904" s="883">
        <v>1.0392006545226236</v>
      </c>
      <c r="I904" s="883">
        <v>0.9934292464346276</v>
      </c>
      <c r="K904">
        <v>6.7427883066658652</v>
      </c>
      <c r="L904">
        <v>0</v>
      </c>
      <c r="M904">
        <v>1.0623528352334155E-2</v>
      </c>
      <c r="N904">
        <v>0.1974135721469735</v>
      </c>
      <c r="O904">
        <v>0.11944911233003652</v>
      </c>
      <c r="P904">
        <v>8.2976991273368439E-2</v>
      </c>
      <c r="Q904">
        <v>0</v>
      </c>
      <c r="R904">
        <v>1.0623528352334155E-2</v>
      </c>
      <c r="S904">
        <v>0.26596913014650236</v>
      </c>
      <c r="T904">
        <v>5.9126739383310634</v>
      </c>
      <c r="U904">
        <v>0</v>
      </c>
      <c r="V904">
        <v>1.9036139431806567E-2</v>
      </c>
      <c r="W904">
        <v>0.1040193459316071</v>
      </c>
      <c r="X904">
        <v>-2.495721762849735E-3</v>
      </c>
      <c r="Y904">
        <v>4.3745798837355764E-2</v>
      </c>
    </row>
    <row r="905" spans="1:25" x14ac:dyDescent="0.25">
      <c r="A905" s="879"/>
      <c r="B905" s="1133">
        <v>655</v>
      </c>
      <c r="C905" s="883">
        <v>0.97731962351151569</v>
      </c>
      <c r="D905" s="883">
        <v>1.012576702031404</v>
      </c>
      <c r="E905" s="883">
        <v>0.96434431445982494</v>
      </c>
      <c r="F905" s="883">
        <v>1.0024204721186951</v>
      </c>
      <c r="G905" s="883">
        <v>0.99239069233142951</v>
      </c>
      <c r="H905" s="883">
        <v>0.98926750094464599</v>
      </c>
      <c r="I905" s="883">
        <v>1.0132242934940854</v>
      </c>
      <c r="K905">
        <v>6.7546909875133663</v>
      </c>
      <c r="L905">
        <v>0</v>
      </c>
      <c r="M905">
        <v>1.0824885361710383E-2</v>
      </c>
      <c r="N905">
        <v>0.19141995836528333</v>
      </c>
      <c r="O905">
        <v>0.12486567603982719</v>
      </c>
      <c r="P905">
        <v>8.1061066225187384E-2</v>
      </c>
      <c r="Q905">
        <v>0</v>
      </c>
      <c r="R905">
        <v>1.0824885361710383E-2</v>
      </c>
      <c r="S905">
        <v>0.27867266893454923</v>
      </c>
      <c r="T905">
        <v>5.9142320717329619</v>
      </c>
      <c r="U905">
        <v>0</v>
      </c>
      <c r="V905">
        <v>1.9281607969388683E-2</v>
      </c>
      <c r="W905">
        <v>0.10256343103833598</v>
      </c>
      <c r="X905">
        <v>-1.980443953925493E-3</v>
      </c>
      <c r="Y905">
        <v>4.4574951161755465E-2</v>
      </c>
    </row>
    <row r="906" spans="1:25" x14ac:dyDescent="0.25">
      <c r="A906" s="879"/>
      <c r="B906" s="1133">
        <v>656</v>
      </c>
      <c r="C906" s="883">
        <v>0.95364183175935191</v>
      </c>
      <c r="D906" s="883">
        <v>1.0060483470836052</v>
      </c>
      <c r="E906" s="883">
        <v>0.98487868470166562</v>
      </c>
      <c r="F906" s="883">
        <v>0.97422056664549395</v>
      </c>
      <c r="G906" s="883">
        <v>0.99296446281507278</v>
      </c>
      <c r="H906" s="883">
        <v>1.0093666838764188</v>
      </c>
      <c r="I906" s="883">
        <v>1.0396385847590781</v>
      </c>
      <c r="K906">
        <v>6.7902120376840678</v>
      </c>
      <c r="L906">
        <v>0</v>
      </c>
      <c r="M906">
        <v>1.1149205104727045E-2</v>
      </c>
      <c r="N906">
        <v>0.20325653166042845</v>
      </c>
      <c r="O906">
        <v>0.12789992218323562</v>
      </c>
      <c r="P906">
        <v>8.2543536274691243E-2</v>
      </c>
      <c r="Q906">
        <v>0</v>
      </c>
      <c r="R906">
        <v>1.1149205104727045E-2</v>
      </c>
      <c r="S906">
        <v>0.29520098172727749</v>
      </c>
      <c r="T906">
        <v>5.9115828314094125</v>
      </c>
      <c r="U906">
        <v>0</v>
      </c>
      <c r="V906">
        <v>1.9420106550863393E-2</v>
      </c>
      <c r="W906">
        <v>0.10778905374336294</v>
      </c>
      <c r="X906">
        <v>-3.391368001941356E-3</v>
      </c>
      <c r="Y906">
        <v>4.5910442136735778E-2</v>
      </c>
    </row>
    <row r="907" spans="1:25" x14ac:dyDescent="0.25">
      <c r="A907" s="879"/>
      <c r="B907" s="1133">
        <v>657</v>
      </c>
      <c r="C907" s="883">
        <v>0.99212527302364628</v>
      </c>
      <c r="D907" s="883">
        <v>1.0184908684022678</v>
      </c>
      <c r="E907" s="883">
        <v>0.99671077997461033</v>
      </c>
      <c r="F907" s="883">
        <v>1.0305113604501894</v>
      </c>
      <c r="G907" s="883">
        <v>1.016006376356791</v>
      </c>
      <c r="H907" s="883">
        <v>1.0103285127475869</v>
      </c>
      <c r="I907" s="883">
        <v>0.98001666090992279</v>
      </c>
      <c r="K907">
        <v>6.7463869862005597</v>
      </c>
      <c r="L907">
        <v>0</v>
      </c>
      <c r="M907">
        <v>1.0561035487848522E-2</v>
      </c>
      <c r="N907">
        <v>0.1959408842149864</v>
      </c>
      <c r="O907">
        <v>0.1221149857705857</v>
      </c>
      <c r="P907">
        <v>8.2949067729991888E-2</v>
      </c>
      <c r="Q907">
        <v>0</v>
      </c>
      <c r="R907">
        <v>1.0561035487848522E-2</v>
      </c>
      <c r="S907">
        <v>0.26746457569311338</v>
      </c>
      <c r="T907">
        <v>5.9139664681577235</v>
      </c>
      <c r="U907">
        <v>0</v>
      </c>
      <c r="V907">
        <v>1.9198364461439618E-2</v>
      </c>
      <c r="W907">
        <v>0.1032983971574411</v>
      </c>
      <c r="X907">
        <v>-2.0342213294463518E-3</v>
      </c>
      <c r="Y907">
        <v>4.3488464344719133E-2</v>
      </c>
    </row>
    <row r="908" spans="1:25" x14ac:dyDescent="0.25">
      <c r="A908" s="879"/>
      <c r="B908" s="1133">
        <v>658</v>
      </c>
      <c r="C908" s="883">
        <v>0.99742397824652318</v>
      </c>
      <c r="D908" s="883">
        <v>0.99792267375581811</v>
      </c>
      <c r="E908" s="883">
        <v>1.0031608391469578</v>
      </c>
      <c r="F908" s="883">
        <v>1.0116056983226831</v>
      </c>
      <c r="G908" s="883">
        <v>1.01827373874944</v>
      </c>
      <c r="H908" s="883">
        <v>1.0281969378148346</v>
      </c>
      <c r="I908" s="883">
        <v>1.002546215274756</v>
      </c>
      <c r="K908">
        <v>6.7594202948966071</v>
      </c>
      <c r="L908">
        <v>0</v>
      </c>
      <c r="M908">
        <v>1.0723923238717344E-2</v>
      </c>
      <c r="N908">
        <v>0.20087331241328227</v>
      </c>
      <c r="O908">
        <v>0.12234027769530312</v>
      </c>
      <c r="P908">
        <v>8.3424153738100429E-2</v>
      </c>
      <c r="Q908">
        <v>0</v>
      </c>
      <c r="R908">
        <v>1.0723923238717344E-2</v>
      </c>
      <c r="S908">
        <v>0.27407485913723745</v>
      </c>
      <c r="T908">
        <v>5.912582172156303</v>
      </c>
      <c r="U908">
        <v>0</v>
      </c>
      <c r="V908">
        <v>1.916917342714201E-2</v>
      </c>
      <c r="W908">
        <v>0.10556003862546307</v>
      </c>
      <c r="X908">
        <v>-2.7628994060826281E-3</v>
      </c>
      <c r="Y908">
        <v>4.4159207109858101E-2</v>
      </c>
    </row>
    <row r="909" spans="1:25" x14ac:dyDescent="0.25">
      <c r="A909" s="879"/>
      <c r="B909" s="1133">
        <v>659</v>
      </c>
      <c r="C909" s="883">
        <v>0.97319480768017574</v>
      </c>
      <c r="D909" s="883">
        <v>1.0048696630553096</v>
      </c>
      <c r="E909" s="883">
        <v>1.0177882631746269</v>
      </c>
      <c r="F909" s="883">
        <v>0.99648115210874677</v>
      </c>
      <c r="G909" s="883">
        <v>0.98183793375136819</v>
      </c>
      <c r="H909" s="883">
        <v>0.97856918368254997</v>
      </c>
      <c r="I909" s="883">
        <v>1.0001728061928965</v>
      </c>
      <c r="K909">
        <v>6.7557169264338759</v>
      </c>
      <c r="L909">
        <v>0</v>
      </c>
      <c r="M909">
        <v>1.0296813229641049E-2</v>
      </c>
      <c r="N909">
        <v>0.19709488681758916</v>
      </c>
      <c r="O909">
        <v>0.12475615216659455</v>
      </c>
      <c r="P909">
        <v>8.4340008890222654E-2</v>
      </c>
      <c r="Q909">
        <v>0</v>
      </c>
      <c r="R909">
        <v>1.0296813229641049E-2</v>
      </c>
      <c r="S909">
        <v>0.2753818621771546</v>
      </c>
      <c r="T909">
        <v>5.9109343585879079</v>
      </c>
      <c r="U909">
        <v>0</v>
      </c>
      <c r="V909">
        <v>1.9305250513137973E-2</v>
      </c>
      <c r="W909">
        <v>0.10282795587630571</v>
      </c>
      <c r="X909">
        <v>-1.3239927102719239E-3</v>
      </c>
      <c r="Y909">
        <v>4.2400444115229537E-2</v>
      </c>
    </row>
    <row r="910" spans="1:25" x14ac:dyDescent="0.25">
      <c r="A910" s="879"/>
      <c r="B910" s="1133">
        <v>660</v>
      </c>
      <c r="C910" s="883">
        <v>0.96148250413655867</v>
      </c>
      <c r="D910" s="883">
        <v>1.0161907217166124</v>
      </c>
      <c r="E910" s="883">
        <v>0.96295692273920619</v>
      </c>
      <c r="F910" s="883">
        <v>0.99610292741453133</v>
      </c>
      <c r="G910" s="883">
        <v>1.0077110210220619</v>
      </c>
      <c r="H910" s="883">
        <v>1.0019811884435383</v>
      </c>
      <c r="I910" s="883">
        <v>1.014138597277896</v>
      </c>
      <c r="K910">
        <v>6.7708730023029338</v>
      </c>
      <c r="L910">
        <v>0</v>
      </c>
      <c r="M910">
        <v>1.1141052933645642E-2</v>
      </c>
      <c r="N910">
        <v>0.19660524178773098</v>
      </c>
      <c r="O910">
        <v>0.12676804495489527</v>
      </c>
      <c r="P910">
        <v>8.1050020600680228E-2</v>
      </c>
      <c r="Q910">
        <v>0</v>
      </c>
      <c r="R910">
        <v>1.1141052933645642E-2</v>
      </c>
      <c r="S910">
        <v>0.28473654626788558</v>
      </c>
      <c r="T910">
        <v>5.9139655955357258</v>
      </c>
      <c r="U910">
        <v>0</v>
      </c>
      <c r="V910">
        <v>1.9373488654820758E-2</v>
      </c>
      <c r="W910">
        <v>0.10541541810823996</v>
      </c>
      <c r="X910">
        <v>-2.918226554301647E-3</v>
      </c>
      <c r="Y910">
        <v>4.5876872947254933E-2</v>
      </c>
    </row>
    <row r="911" spans="1:25" x14ac:dyDescent="0.25">
      <c r="A911" s="879"/>
      <c r="B911" s="1133">
        <v>661</v>
      </c>
      <c r="C911" s="883">
        <v>1.0081487456341509</v>
      </c>
      <c r="D911" s="883">
        <v>0.96072043177631739</v>
      </c>
      <c r="E911" s="883">
        <v>1.0259350697200444</v>
      </c>
      <c r="F911" s="883">
        <v>1.0202492791023356</v>
      </c>
      <c r="G911" s="883">
        <v>1.0183029846900289</v>
      </c>
      <c r="H911" s="883">
        <v>1.000978371578412</v>
      </c>
      <c r="I911" s="883">
        <v>0.9705906275082592</v>
      </c>
      <c r="K911">
        <v>6.7420799654050896</v>
      </c>
      <c r="L911">
        <v>0</v>
      </c>
      <c r="M911">
        <v>1.0291443369625626E-2</v>
      </c>
      <c r="N911">
        <v>0.1993801808872018</v>
      </c>
      <c r="O911">
        <v>0.12245913897621682</v>
      </c>
      <c r="P911">
        <v>8.4655653199595324E-2</v>
      </c>
      <c r="Q911">
        <v>0</v>
      </c>
      <c r="R911">
        <v>1.0291443369625626E-2</v>
      </c>
      <c r="S911">
        <v>0.26046996423451102</v>
      </c>
      <c r="T911">
        <v>5.9117506834901858</v>
      </c>
      <c r="U911">
        <v>0</v>
      </c>
      <c r="V911">
        <v>1.9111028811528066E-2</v>
      </c>
      <c r="W911">
        <v>0.10360394756804463</v>
      </c>
      <c r="X911">
        <v>-1.7289637496834165E-3</v>
      </c>
      <c r="Y911">
        <v>4.2378331987485481E-2</v>
      </c>
    </row>
    <row r="912" spans="1:25" x14ac:dyDescent="0.25">
      <c r="A912" s="879"/>
      <c r="B912" s="1133">
        <v>662</v>
      </c>
      <c r="C912" s="883">
        <v>1.0134908458774337</v>
      </c>
      <c r="D912" s="883">
        <v>0.99702272315012541</v>
      </c>
      <c r="E912" s="883">
        <v>0.99263136043132061</v>
      </c>
      <c r="F912" s="883">
        <v>1.0050302521729415</v>
      </c>
      <c r="G912" s="883">
        <v>0.98145269581321259</v>
      </c>
      <c r="H912" s="883">
        <v>0.96668707383387187</v>
      </c>
      <c r="I912" s="883">
        <v>0.97155873878186172</v>
      </c>
      <c r="K912">
        <v>6.71438974418498</v>
      </c>
      <c r="L912">
        <v>0</v>
      </c>
      <c r="M912">
        <v>1.0018089961984653E-2</v>
      </c>
      <c r="N912">
        <v>0.18474715404856676</v>
      </c>
      <c r="O912">
        <v>0.1206390002735807</v>
      </c>
      <c r="P912">
        <v>8.2520605756948653E-2</v>
      </c>
      <c r="Q912">
        <v>0</v>
      </c>
      <c r="R912">
        <v>1.0018089961984653E-2</v>
      </c>
      <c r="S912">
        <v>0.25581988537116968</v>
      </c>
      <c r="T912">
        <v>5.9128173980969514</v>
      </c>
      <c r="U912">
        <v>0</v>
      </c>
      <c r="V912">
        <v>1.9082525610901069E-2</v>
      </c>
      <c r="W912">
        <v>9.7595111643067139E-2</v>
      </c>
      <c r="X912">
        <v>-8.4647926119714234E-5</v>
      </c>
      <c r="Y912">
        <v>4.1252711309912704E-2</v>
      </c>
    </row>
    <row r="913" spans="1:25" x14ac:dyDescent="0.25">
      <c r="A913" s="879"/>
      <c r="B913" s="1133">
        <v>663</v>
      </c>
      <c r="C913" s="883">
        <v>1.0227596502917378</v>
      </c>
      <c r="D913" s="883">
        <v>0.995604135639923</v>
      </c>
      <c r="E913" s="883">
        <v>0.99330440643121864</v>
      </c>
      <c r="F913" s="883">
        <v>0.96984783754692039</v>
      </c>
      <c r="G913" s="883">
        <v>0.97549653975783412</v>
      </c>
      <c r="H913" s="883">
        <v>1.0030281707521214</v>
      </c>
      <c r="I913" s="883">
        <v>1.0348485970832584</v>
      </c>
      <c r="K913">
        <v>6.737618212630256</v>
      </c>
      <c r="L913">
        <v>0</v>
      </c>
      <c r="M913">
        <v>1.0300733138816985E-2</v>
      </c>
      <c r="N913">
        <v>0.19014908008351658</v>
      </c>
      <c r="O913">
        <v>0.11960149740724708</v>
      </c>
      <c r="P913">
        <v>8.2772077895064022E-2</v>
      </c>
      <c r="Q913">
        <v>0</v>
      </c>
      <c r="R913">
        <v>1.0300733138816985E-2</v>
      </c>
      <c r="S913">
        <v>0.27350164610923955</v>
      </c>
      <c r="T913">
        <v>5.9108782797939048</v>
      </c>
      <c r="U913">
        <v>0</v>
      </c>
      <c r="V913">
        <v>1.9033777662517758E-2</v>
      </c>
      <c r="W913">
        <v>0.10041508333921639</v>
      </c>
      <c r="X913">
        <v>-1.1498152639499665E-3</v>
      </c>
      <c r="Y913">
        <v>4.2416585603498216E-2</v>
      </c>
    </row>
    <row r="914" spans="1:25" x14ac:dyDescent="0.25">
      <c r="A914" s="879"/>
      <c r="B914" s="1133">
        <v>664</v>
      </c>
      <c r="C914" s="883">
        <v>1.0439608351471341</v>
      </c>
      <c r="D914" s="883">
        <v>1.0141088242857104</v>
      </c>
      <c r="E914" s="883">
        <v>1.0311321448183695</v>
      </c>
      <c r="F914" s="883">
        <v>0.99391319119439669</v>
      </c>
      <c r="G914" s="883">
        <v>0.96511989621572425</v>
      </c>
      <c r="H914" s="883">
        <v>0.99630727145309395</v>
      </c>
      <c r="I914" s="883">
        <v>1.0062995606221641</v>
      </c>
      <c r="K914">
        <v>6.7144367689448741</v>
      </c>
      <c r="L914">
        <v>0</v>
      </c>
      <c r="M914">
        <v>9.6214926217180474E-3</v>
      </c>
      <c r="N914">
        <v>0.18783862039560326</v>
      </c>
      <c r="O914">
        <v>0.11563348554304577</v>
      </c>
      <c r="P914">
        <v>8.4945652527037105E-2</v>
      </c>
      <c r="Q914">
        <v>0</v>
      </c>
      <c r="R914">
        <v>9.6214926217180474E-3</v>
      </c>
      <c r="S914">
        <v>0.25983334108860445</v>
      </c>
      <c r="T914">
        <v>5.9100277871305282</v>
      </c>
      <c r="U914">
        <v>0</v>
      </c>
      <c r="V914">
        <v>1.8925527543736137E-2</v>
      </c>
      <c r="W914">
        <v>9.7357914261555711E-2</v>
      </c>
      <c r="X914">
        <v>2.5484640037087131E-4</v>
      </c>
      <c r="Y914">
        <v>3.9619594054389862E-2</v>
      </c>
    </row>
    <row r="915" spans="1:25" x14ac:dyDescent="0.25">
      <c r="A915" s="879"/>
      <c r="B915" s="1133">
        <v>665</v>
      </c>
      <c r="C915" s="883">
        <v>1.028642810119051</v>
      </c>
      <c r="D915" s="883">
        <v>0.99176824139169262</v>
      </c>
      <c r="E915" s="883">
        <v>1.0229077169270488</v>
      </c>
      <c r="F915" s="883">
        <v>0.98244170838692069</v>
      </c>
      <c r="G915" s="883">
        <v>0.99518552056461551</v>
      </c>
      <c r="H915" s="883">
        <v>0.97160011755256881</v>
      </c>
      <c r="I915" s="883">
        <v>0.99613261889370897</v>
      </c>
      <c r="K915">
        <v>6.7150584344020166</v>
      </c>
      <c r="L915">
        <v>0</v>
      </c>
      <c r="M915">
        <v>9.6834226602060414E-3</v>
      </c>
      <c r="N915">
        <v>0.18676276975862882</v>
      </c>
      <c r="O915">
        <v>0.11855804613189315</v>
      </c>
      <c r="P915">
        <v>8.4419002231370818E-2</v>
      </c>
      <c r="Q915">
        <v>0</v>
      </c>
      <c r="R915">
        <v>9.6834226602060414E-3</v>
      </c>
      <c r="S915">
        <v>0.25897199341278454</v>
      </c>
      <c r="T915">
        <v>5.9098824617095849</v>
      </c>
      <c r="U915">
        <v>0</v>
      </c>
      <c r="V915">
        <v>1.9003291798569678E-2</v>
      </c>
      <c r="W915">
        <v>9.7192129766113661E-2</v>
      </c>
      <c r="X915">
        <v>3.9412866331941799E-4</v>
      </c>
      <c r="Y915">
        <v>3.9874610929747492E-2</v>
      </c>
    </row>
    <row r="916" spans="1:25" x14ac:dyDescent="0.25">
      <c r="A916" s="879"/>
      <c r="B916" s="1133">
        <v>666</v>
      </c>
      <c r="C916" s="883">
        <v>0.97707785478152676</v>
      </c>
      <c r="D916" s="883">
        <v>0.99986805781383625</v>
      </c>
      <c r="E916" s="883">
        <v>1.0060884320629795</v>
      </c>
      <c r="F916" s="883">
        <v>1.0148387936526444</v>
      </c>
      <c r="G916" s="883">
        <v>0.98206135623590207</v>
      </c>
      <c r="H916" s="883">
        <v>0.9829379655513435</v>
      </c>
      <c r="I916" s="883">
        <v>0.97905893993701643</v>
      </c>
      <c r="K916">
        <v>6.7496318066680825</v>
      </c>
      <c r="L916">
        <v>0</v>
      </c>
      <c r="M916">
        <v>1.0429911063850541E-2</v>
      </c>
      <c r="N916">
        <v>0.19621495978650993</v>
      </c>
      <c r="O916">
        <v>0.12473429591146508</v>
      </c>
      <c r="P916">
        <v>8.354062509828325E-2</v>
      </c>
      <c r="Q916">
        <v>0</v>
      </c>
      <c r="R916">
        <v>1.0429911063850541E-2</v>
      </c>
      <c r="S916">
        <v>0.26893526131152873</v>
      </c>
      <c r="T916">
        <v>5.9125915718982291</v>
      </c>
      <c r="U916">
        <v>0</v>
      </c>
      <c r="V916">
        <v>1.9282988227731612E-2</v>
      </c>
      <c r="W916">
        <v>0.10296252112134313</v>
      </c>
      <c r="X916">
        <v>-1.5789339929808213E-3</v>
      </c>
      <c r="Y916">
        <v>4.2948517305972884E-2</v>
      </c>
    </row>
    <row r="917" spans="1:25" x14ac:dyDescent="0.25">
      <c r="A917" s="879"/>
      <c r="B917" s="1133">
        <v>667</v>
      </c>
      <c r="C917" s="883">
        <v>1.0199460369369031</v>
      </c>
      <c r="D917" s="883">
        <v>1.0243417079497916</v>
      </c>
      <c r="E917" s="883">
        <v>1.0268413271958174</v>
      </c>
      <c r="F917" s="883">
        <v>1.0317418886553815</v>
      </c>
      <c r="G917" s="883">
        <v>1.0056022031498375</v>
      </c>
      <c r="H917" s="883">
        <v>1.0162496538887877</v>
      </c>
      <c r="I917" s="883">
        <v>0.98142292203916526</v>
      </c>
      <c r="K917">
        <v>6.7313006162020539</v>
      </c>
      <c r="L917">
        <v>0</v>
      </c>
      <c r="M917">
        <v>1.0039759038537151E-2</v>
      </c>
      <c r="N917">
        <v>0.19476500863283761</v>
      </c>
      <c r="O917">
        <v>0.11796088073809849</v>
      </c>
      <c r="P917">
        <v>8.4727423966709403E-2</v>
      </c>
      <c r="Q917">
        <v>0</v>
      </c>
      <c r="R917">
        <v>1.0039759038537151E-2</v>
      </c>
      <c r="S917">
        <v>0.26106976508634228</v>
      </c>
      <c r="T917">
        <v>5.912319248031098</v>
      </c>
      <c r="U917">
        <v>0</v>
      </c>
      <c r="V917">
        <v>1.9048481804137509E-2</v>
      </c>
      <c r="W917">
        <v>0.10116071286282548</v>
      </c>
      <c r="X917">
        <v>-1.0928456301992201E-3</v>
      </c>
      <c r="Y917">
        <v>4.1341940710204063E-2</v>
      </c>
    </row>
    <row r="918" spans="1:25" x14ac:dyDescent="0.25">
      <c r="A918" s="879"/>
      <c r="B918" s="1133">
        <v>668</v>
      </c>
      <c r="C918" s="883">
        <v>0.98882097779091038</v>
      </c>
      <c r="D918" s="883">
        <v>0.99502730846258114</v>
      </c>
      <c r="E918" s="883">
        <v>0.97447531225188022</v>
      </c>
      <c r="F918" s="883">
        <v>0.96825083998108996</v>
      </c>
      <c r="G918" s="883">
        <v>0.99740767652435269</v>
      </c>
      <c r="H918" s="883">
        <v>1.0101600917865372</v>
      </c>
      <c r="I918" s="883">
        <v>1.0242638817696246</v>
      </c>
      <c r="K918">
        <v>6.7601012362830124</v>
      </c>
      <c r="L918">
        <v>0</v>
      </c>
      <c r="M918">
        <v>1.0910378461326241E-2</v>
      </c>
      <c r="N918">
        <v>0.1958559670327473</v>
      </c>
      <c r="O918">
        <v>0.12408992537986156</v>
      </c>
      <c r="P918">
        <v>8.1695125407465138E-2</v>
      </c>
      <c r="Q918">
        <v>0</v>
      </c>
      <c r="R918">
        <v>1.0910378461326241E-2</v>
      </c>
      <c r="S918">
        <v>0.28066584322897864</v>
      </c>
      <c r="T918">
        <v>5.9118326984287739</v>
      </c>
      <c r="U918">
        <v>0</v>
      </c>
      <c r="V918">
        <v>1.9216726491776855E-2</v>
      </c>
      <c r="W918">
        <v>0.10440697854226541</v>
      </c>
      <c r="X918">
        <v>-2.5890247576233296E-3</v>
      </c>
      <c r="Y918">
        <v>4.4926996528769109E-2</v>
      </c>
    </row>
    <row r="919" spans="1:25" x14ac:dyDescent="0.25">
      <c r="A919" s="879"/>
      <c r="B919" s="1133">
        <v>669</v>
      </c>
      <c r="C919" s="883">
        <v>1.0313623750980034</v>
      </c>
      <c r="D919" s="883">
        <v>1.007581773912738</v>
      </c>
      <c r="E919" s="883">
        <v>1.0025890930079882</v>
      </c>
      <c r="F919" s="883">
        <v>0.96609061960624143</v>
      </c>
      <c r="G919" s="883">
        <v>0.99387763604569312</v>
      </c>
      <c r="H919" s="883">
        <v>0.96217380683922538</v>
      </c>
      <c r="I919" s="883">
        <v>1.00712182664858</v>
      </c>
      <c r="K919">
        <v>6.7070322082741454</v>
      </c>
      <c r="L919">
        <v>0</v>
      </c>
      <c r="M919">
        <v>9.6699623417145913E-3</v>
      </c>
      <c r="N919">
        <v>0.18097790003136155</v>
      </c>
      <c r="O919">
        <v>0.11786987701517311</v>
      </c>
      <c r="P919">
        <v>8.3165695276305865E-2</v>
      </c>
      <c r="Q919">
        <v>0</v>
      </c>
      <c r="R919">
        <v>9.6699623417145913E-3</v>
      </c>
      <c r="S919">
        <v>0.26010270704646382</v>
      </c>
      <c r="T919">
        <v>5.9101547444745837</v>
      </c>
      <c r="U919">
        <v>0</v>
      </c>
      <c r="V919">
        <v>1.8989316869827279E-2</v>
      </c>
      <c r="W919">
        <v>9.5131866196810369E-2</v>
      </c>
      <c r="X919">
        <v>8.2091762956759467E-4</v>
      </c>
      <c r="Y919">
        <v>3.9819183734047074E-2</v>
      </c>
    </row>
    <row r="920" spans="1:25" x14ac:dyDescent="0.25">
      <c r="A920" s="879"/>
      <c r="B920" s="1133">
        <v>670</v>
      </c>
      <c r="C920" s="883">
        <v>1.0225075151986269</v>
      </c>
      <c r="D920" s="883">
        <v>0.97591202296569912</v>
      </c>
      <c r="E920" s="883">
        <v>0.97264559085846636</v>
      </c>
      <c r="F920" s="883">
        <v>0.97661139936237384</v>
      </c>
      <c r="G920" s="883">
        <v>1.0247741300639348</v>
      </c>
      <c r="H920" s="883">
        <v>1.0354205303279362</v>
      </c>
      <c r="I920" s="883">
        <v>1.0379663621479656</v>
      </c>
      <c r="K920">
        <v>6.7536733603826464</v>
      </c>
      <c r="L920">
        <v>0</v>
      </c>
      <c r="M920">
        <v>1.092244797672149E-2</v>
      </c>
      <c r="N920">
        <v>0.19554081687634528</v>
      </c>
      <c r="O920">
        <v>0.12096993099792444</v>
      </c>
      <c r="P920">
        <v>8.1545538665155459E-2</v>
      </c>
      <c r="Q920">
        <v>0</v>
      </c>
      <c r="R920">
        <v>1.092244797672149E-2</v>
      </c>
      <c r="S920">
        <v>0.27770226265301834</v>
      </c>
      <c r="T920">
        <v>5.9123847930698927</v>
      </c>
      <c r="U920">
        <v>0</v>
      </c>
      <c r="V920">
        <v>1.9035092037375301E-2</v>
      </c>
      <c r="W920">
        <v>0.10433477346054823</v>
      </c>
      <c r="X920">
        <v>-2.8165440224828153E-3</v>
      </c>
      <c r="Y920">
        <v>4.4976696644873089E-2</v>
      </c>
    </row>
    <row r="921" spans="1:25" x14ac:dyDescent="0.25">
      <c r="A921" s="879"/>
      <c r="B921" s="1133">
        <v>671</v>
      </c>
      <c r="C921" s="883">
        <v>0.96749099504439573</v>
      </c>
      <c r="D921" s="883">
        <v>1.0156945910385162</v>
      </c>
      <c r="E921" s="883">
        <v>0.95544535364214123</v>
      </c>
      <c r="F921" s="883">
        <v>0.97942990588163359</v>
      </c>
      <c r="G921" s="883">
        <v>1.0114310882367268</v>
      </c>
      <c r="H921" s="883">
        <v>1.026826481968103</v>
      </c>
      <c r="I921" s="883">
        <v>0.98195591144246497</v>
      </c>
      <c r="K921">
        <v>6.7656179997305026</v>
      </c>
      <c r="L921">
        <v>0</v>
      </c>
      <c r="M921">
        <v>1.1423151059305463E-2</v>
      </c>
      <c r="N921">
        <v>0.19934584446415649</v>
      </c>
      <c r="O921">
        <v>0.12614705139513882</v>
      </c>
      <c r="P921">
        <v>8.0458724815973798E-2</v>
      </c>
      <c r="Q921">
        <v>0</v>
      </c>
      <c r="R921">
        <v>1.1423151059305463E-2</v>
      </c>
      <c r="S921">
        <v>0.27634088727539663</v>
      </c>
      <c r="T921">
        <v>5.9134687919173849</v>
      </c>
      <c r="U921">
        <v>0</v>
      </c>
      <c r="V921">
        <v>1.9338275646290263E-2</v>
      </c>
      <c r="W921">
        <v>0.10729107942165172</v>
      </c>
      <c r="X921">
        <v>-3.811158022622203E-3</v>
      </c>
      <c r="Y921">
        <v>4.70385028171275E-2</v>
      </c>
    </row>
    <row r="922" spans="1:25" x14ac:dyDescent="0.25">
      <c r="A922" s="879"/>
      <c r="B922" s="1133">
        <v>672</v>
      </c>
      <c r="C922" s="883">
        <v>1.0108757615390629</v>
      </c>
      <c r="D922" s="883">
        <v>1.0193981637516571</v>
      </c>
      <c r="E922" s="883">
        <v>0.96016106699295078</v>
      </c>
      <c r="F922" s="883">
        <v>0.97854916387126456</v>
      </c>
      <c r="G922" s="883">
        <v>1.0028059205426649</v>
      </c>
      <c r="H922" s="883">
        <v>1.0289538534134102</v>
      </c>
      <c r="I922" s="883">
        <v>1.0357736432143367</v>
      </c>
      <c r="K922">
        <v>6.7493336349550885</v>
      </c>
      <c r="L922">
        <v>0</v>
      </c>
      <c r="M922">
        <v>1.0893728994746161E-2</v>
      </c>
      <c r="N922">
        <v>0.19144385625871599</v>
      </c>
      <c r="O922">
        <v>0.12047248718282294</v>
      </c>
      <c r="P922">
        <v>8.0786443280286668E-2</v>
      </c>
      <c r="Q922">
        <v>0</v>
      </c>
      <c r="R922">
        <v>1.0893728994746161E-2</v>
      </c>
      <c r="S922">
        <v>0.2791486753805133</v>
      </c>
      <c r="T922">
        <v>5.9131674197100619</v>
      </c>
      <c r="U922">
        <v>0</v>
      </c>
      <c r="V922">
        <v>1.9096440960671771E-2</v>
      </c>
      <c r="W922">
        <v>0.10279288447167061</v>
      </c>
      <c r="X922">
        <v>-2.4330092785445376E-3</v>
      </c>
      <c r="Y922">
        <v>4.4858436988886911E-2</v>
      </c>
    </row>
    <row r="923" spans="1:25" x14ac:dyDescent="0.25">
      <c r="A923" s="879"/>
      <c r="B923" s="1133">
        <v>673</v>
      </c>
      <c r="C923" s="883">
        <v>0.98834199219979235</v>
      </c>
      <c r="D923" s="883">
        <v>1.0268666382069194</v>
      </c>
      <c r="E923" s="883">
        <v>1.014761132278537</v>
      </c>
      <c r="F923" s="883">
        <v>0.97025917702471942</v>
      </c>
      <c r="G923" s="883">
        <v>0.96113659158224496</v>
      </c>
      <c r="H923" s="883">
        <v>1.0027853584604742</v>
      </c>
      <c r="I923" s="883">
        <v>1.013883385508888</v>
      </c>
      <c r="K923">
        <v>6.7522955036173915</v>
      </c>
      <c r="L923">
        <v>0</v>
      </c>
      <c r="M923">
        <v>1.0321353476124345E-2</v>
      </c>
      <c r="N923">
        <v>0.19668166013414826</v>
      </c>
      <c r="O923">
        <v>0.12184194361676931</v>
      </c>
      <c r="P923">
        <v>8.4153910054334535E-2</v>
      </c>
      <c r="Q923">
        <v>0</v>
      </c>
      <c r="R923">
        <v>1.0321353476124345E-2</v>
      </c>
      <c r="S923">
        <v>0.27699477451011445</v>
      </c>
      <c r="T923">
        <v>5.9096904187885011</v>
      </c>
      <c r="U923">
        <v>0</v>
      </c>
      <c r="V923">
        <v>1.9219398412515843E-2</v>
      </c>
      <c r="W923">
        <v>0.10276572534207665</v>
      </c>
      <c r="X923">
        <v>-1.5538237233241035E-3</v>
      </c>
      <c r="Y923">
        <v>4.2501496482246694E-2</v>
      </c>
    </row>
    <row r="924" spans="1:25" x14ac:dyDescent="0.25">
      <c r="A924" s="879"/>
      <c r="B924" s="1133">
        <v>674</v>
      </c>
      <c r="C924" s="883">
        <v>1.0113343387274696</v>
      </c>
      <c r="D924" s="883">
        <v>0.98941715561579313</v>
      </c>
      <c r="E924" s="883">
        <v>1.0197928430385736</v>
      </c>
      <c r="F924" s="883">
        <v>0.98503207472366794</v>
      </c>
      <c r="G924" s="883">
        <v>1.0405559300336129</v>
      </c>
      <c r="H924" s="883">
        <v>1.0193563128888516</v>
      </c>
      <c r="I924" s="883">
        <v>0.96776699073034034</v>
      </c>
      <c r="K924">
        <v>6.7381451592093304</v>
      </c>
      <c r="L924">
        <v>0</v>
      </c>
      <c r="M924">
        <v>1.0372018987735153E-2</v>
      </c>
      <c r="N924">
        <v>0.19912407801579324</v>
      </c>
      <c r="O924">
        <v>0.12076019240186588</v>
      </c>
      <c r="P924">
        <v>8.4247124867931317E-2</v>
      </c>
      <c r="Q924">
        <v>0</v>
      </c>
      <c r="R924">
        <v>1.0372018987735153E-2</v>
      </c>
      <c r="S924">
        <v>0.26024721097246323</v>
      </c>
      <c r="T924">
        <v>5.9102010838032086</v>
      </c>
      <c r="U924">
        <v>0</v>
      </c>
      <c r="V924">
        <v>1.9093995582949046E-2</v>
      </c>
      <c r="W924">
        <v>0.10378403944782603</v>
      </c>
      <c r="X924">
        <v>-2.02269392364988E-3</v>
      </c>
      <c r="Y924">
        <v>4.2710128040935116E-2</v>
      </c>
    </row>
    <row r="925" spans="1:25" x14ac:dyDescent="0.25">
      <c r="A925" s="879"/>
      <c r="B925" s="1133">
        <v>675</v>
      </c>
      <c r="C925" s="883">
        <v>1.035894184971843</v>
      </c>
      <c r="D925" s="883">
        <v>0.96116611287337761</v>
      </c>
      <c r="E925" s="883">
        <v>1.0071311838932993</v>
      </c>
      <c r="F925" s="883">
        <v>0.98832812362114897</v>
      </c>
      <c r="G925" s="883">
        <v>0.99678665810633238</v>
      </c>
      <c r="H925" s="883">
        <v>0.99657661742936599</v>
      </c>
      <c r="I925" s="883">
        <v>1.0043462283981701</v>
      </c>
      <c r="K925">
        <v>6.7268758026400173</v>
      </c>
      <c r="L925">
        <v>0</v>
      </c>
      <c r="M925">
        <v>1.0135187442726777E-2</v>
      </c>
      <c r="N925">
        <v>0.19096504211150236</v>
      </c>
      <c r="O925">
        <v>0.11950539176254951</v>
      </c>
      <c r="P925">
        <v>8.3486508054455857E-2</v>
      </c>
      <c r="Q925">
        <v>0</v>
      </c>
      <c r="R925">
        <v>1.0135187442726777E-2</v>
      </c>
      <c r="S925">
        <v>0.26186392999531771</v>
      </c>
      <c r="T925">
        <v>5.9111000286036059</v>
      </c>
      <c r="U925">
        <v>0</v>
      </c>
      <c r="V925">
        <v>1.8966192439470789E-2</v>
      </c>
      <c r="W925">
        <v>0.10015592022975144</v>
      </c>
      <c r="X925">
        <v>-9.0210844967779792E-4</v>
      </c>
      <c r="Y925">
        <v>4.1734897893034195E-2</v>
      </c>
    </row>
    <row r="926" spans="1:25" x14ac:dyDescent="0.25">
      <c r="A926" s="879"/>
      <c r="B926" s="1133">
        <v>676</v>
      </c>
      <c r="C926" s="883">
        <v>0.99039868731773917</v>
      </c>
      <c r="D926" s="883">
        <v>0.99275867507662829</v>
      </c>
      <c r="E926" s="883">
        <v>1.004550151641485</v>
      </c>
      <c r="F926" s="883">
        <v>1.0014698351653555</v>
      </c>
      <c r="G926" s="883">
        <v>1.0009296757184578</v>
      </c>
      <c r="H926" s="883">
        <v>1.0259631088397021</v>
      </c>
      <c r="I926" s="883">
        <v>1.0171402495617095</v>
      </c>
      <c r="K926">
        <v>6.7683605255901673</v>
      </c>
      <c r="L926">
        <v>0</v>
      </c>
      <c r="M926">
        <v>1.0787401201451571E-2</v>
      </c>
      <c r="N926">
        <v>0.20247854113560573</v>
      </c>
      <c r="O926">
        <v>0.12343762961381843</v>
      </c>
      <c r="P926">
        <v>8.3581670544138967E-2</v>
      </c>
      <c r="Q926">
        <v>0</v>
      </c>
      <c r="R926">
        <v>1.0787401201451571E-2</v>
      </c>
      <c r="S926">
        <v>0.2798826056678177</v>
      </c>
      <c r="T926">
        <v>5.9119560529918633</v>
      </c>
      <c r="U926">
        <v>0</v>
      </c>
      <c r="V926">
        <v>1.9207943846111873E-2</v>
      </c>
      <c r="W926">
        <v>0.10633031970557966</v>
      </c>
      <c r="X926">
        <v>-2.9348359765156364E-3</v>
      </c>
      <c r="Y926">
        <v>4.4420598061741486E-2</v>
      </c>
    </row>
    <row r="927" spans="1:25" x14ac:dyDescent="0.25">
      <c r="A927" s="879"/>
      <c r="B927" s="1133">
        <v>677</v>
      </c>
      <c r="C927" s="883">
        <v>0.99196438682092614</v>
      </c>
      <c r="D927" s="883">
        <v>1.0040049271555451</v>
      </c>
      <c r="E927" s="883">
        <v>1.0030732771747088</v>
      </c>
      <c r="F927" s="883">
        <v>0.98241918465026945</v>
      </c>
      <c r="G927" s="883">
        <v>1.0030932095480807</v>
      </c>
      <c r="H927" s="883">
        <v>0.97005502588916248</v>
      </c>
      <c r="I927" s="883">
        <v>0.96340048443572945</v>
      </c>
      <c r="K927">
        <v>6.7266456487629958</v>
      </c>
      <c r="L927">
        <v>0</v>
      </c>
      <c r="M927">
        <v>1.0147532480552925E-2</v>
      </c>
      <c r="N927">
        <v>0.19005209892955344</v>
      </c>
      <c r="O927">
        <v>0.12271664024059285</v>
      </c>
      <c r="P927">
        <v>8.3201477794033585E-2</v>
      </c>
      <c r="Q927">
        <v>0</v>
      </c>
      <c r="R927">
        <v>1.0147532480552925E-2</v>
      </c>
      <c r="S927">
        <v>0.25944304334273111</v>
      </c>
      <c r="T927">
        <v>5.9110098682181427</v>
      </c>
      <c r="U927">
        <v>0</v>
      </c>
      <c r="V927">
        <v>1.9199255675950412E-2</v>
      </c>
      <c r="W927">
        <v>9.9877768670188202E-2</v>
      </c>
      <c r="X927">
        <v>-6.4023666966737112E-4</v>
      </c>
      <c r="Y927">
        <v>4.1785732561467441E-2</v>
      </c>
    </row>
    <row r="928" spans="1:25" x14ac:dyDescent="0.25">
      <c r="A928" s="879"/>
      <c r="B928" s="1133">
        <v>678</v>
      </c>
      <c r="C928" s="883">
        <v>0.99983093479829466</v>
      </c>
      <c r="D928" s="883">
        <v>0.99490072235808824</v>
      </c>
      <c r="E928" s="883">
        <v>0.98216014708973021</v>
      </c>
      <c r="F928" s="883">
        <v>0.99603046639313431</v>
      </c>
      <c r="G928" s="883">
        <v>0.99062616125469405</v>
      </c>
      <c r="H928" s="883">
        <v>0.99327666912081092</v>
      </c>
      <c r="I928" s="883">
        <v>0.9735870986748616</v>
      </c>
      <c r="K928">
        <v>6.733697291437962</v>
      </c>
      <c r="L928">
        <v>0</v>
      </c>
      <c r="M928">
        <v>1.0539646358926423E-2</v>
      </c>
      <c r="N928">
        <v>0.19137068074699287</v>
      </c>
      <c r="O928">
        <v>0.1225869149682</v>
      </c>
      <c r="P928">
        <v>8.1950913706165307E-2</v>
      </c>
      <c r="Q928">
        <v>0</v>
      </c>
      <c r="R928">
        <v>1.0539646358926423E-2</v>
      </c>
      <c r="S928">
        <v>0.26230300909089205</v>
      </c>
      <c r="T928">
        <v>5.9129120502458763</v>
      </c>
      <c r="U928">
        <v>0</v>
      </c>
      <c r="V928">
        <v>1.915601548665961E-2</v>
      </c>
      <c r="W928">
        <v>0.10162390094006608</v>
      </c>
      <c r="X928">
        <v>-1.6065814658324466E-3</v>
      </c>
      <c r="Y928">
        <v>4.3400387718940961E-2</v>
      </c>
    </row>
    <row r="929" spans="1:25" x14ac:dyDescent="0.25">
      <c r="A929" s="879"/>
      <c r="B929" s="1133">
        <v>679</v>
      </c>
      <c r="C929" s="883">
        <v>0.99699320765570931</v>
      </c>
      <c r="D929" s="883">
        <v>0.98928784538548042</v>
      </c>
      <c r="E929" s="883">
        <v>1.018707420401552</v>
      </c>
      <c r="F929" s="883">
        <v>0.95508893841206932</v>
      </c>
      <c r="G929" s="883">
        <v>1.0025970784992666</v>
      </c>
      <c r="H929" s="883">
        <v>0.99792097418044046</v>
      </c>
      <c r="I929" s="883">
        <v>1.0141300098859516</v>
      </c>
      <c r="K929">
        <v>6.750829636609387</v>
      </c>
      <c r="L929">
        <v>0</v>
      </c>
      <c r="M929">
        <v>1.031033946258716E-2</v>
      </c>
      <c r="N929">
        <v>0.19762235646074483</v>
      </c>
      <c r="O929">
        <v>0.12252433454622236</v>
      </c>
      <c r="P929">
        <v>8.4353799071458721E-2</v>
      </c>
      <c r="Q929">
        <v>0</v>
      </c>
      <c r="R929">
        <v>1.031033946258716E-2</v>
      </c>
      <c r="S929">
        <v>0.2745722181223153</v>
      </c>
      <c r="T929">
        <v>5.9086454941996447</v>
      </c>
      <c r="U929">
        <v>0</v>
      </c>
      <c r="V929">
        <v>1.9171534993116159E-2</v>
      </c>
      <c r="W929">
        <v>0.10305644139113766</v>
      </c>
      <c r="X929">
        <v>-1.5726849101770058E-3</v>
      </c>
      <c r="Y929">
        <v>4.2456142734921896E-2</v>
      </c>
    </row>
    <row r="930" spans="1:25" x14ac:dyDescent="0.25">
      <c r="A930" s="879"/>
      <c r="B930" s="1133">
        <v>680</v>
      </c>
      <c r="C930" s="883">
        <v>1.0070219740630053</v>
      </c>
      <c r="D930" s="883">
        <v>1.0237423498502156</v>
      </c>
      <c r="E930" s="883">
        <v>1.0123239102860451</v>
      </c>
      <c r="F930" s="883">
        <v>1.0154542524916343</v>
      </c>
      <c r="G930" s="883">
        <v>1.0228312382200559</v>
      </c>
      <c r="H930" s="883">
        <v>0.9941676512063099</v>
      </c>
      <c r="I930" s="883">
        <v>0.96977090953164991</v>
      </c>
      <c r="K930">
        <v>6.7263817880696335</v>
      </c>
      <c r="L930">
        <v>0</v>
      </c>
      <c r="M930">
        <v>1.0077409109151222E-2</v>
      </c>
      <c r="N930">
        <v>0.19134167361453944</v>
      </c>
      <c r="O930">
        <v>0.11977287308201906</v>
      </c>
      <c r="P930">
        <v>8.3794794310525569E-2</v>
      </c>
      <c r="Q930">
        <v>0</v>
      </c>
      <c r="R930">
        <v>1.0077409109151222E-2</v>
      </c>
      <c r="S930">
        <v>0.25927769834459025</v>
      </c>
      <c r="T930">
        <v>5.9122711394819705</v>
      </c>
      <c r="U930">
        <v>0</v>
      </c>
      <c r="V930">
        <v>1.911707941037967E-2</v>
      </c>
      <c r="W930">
        <v>0.10009601039507948</v>
      </c>
      <c r="X930">
        <v>-7.8645756899810315E-4</v>
      </c>
      <c r="Y930">
        <v>4.149697699953004E-2</v>
      </c>
    </row>
    <row r="931" spans="1:25" x14ac:dyDescent="0.25">
      <c r="A931" s="879"/>
      <c r="B931" s="1133">
        <v>681</v>
      </c>
      <c r="C931" s="883">
        <v>0.99344843272618732</v>
      </c>
      <c r="D931" s="883">
        <v>0.99093238217514523</v>
      </c>
      <c r="E931" s="883">
        <v>1.0029428159649385</v>
      </c>
      <c r="F931" s="883">
        <v>0.97033805185285149</v>
      </c>
      <c r="G931" s="883">
        <v>0.99840550400562722</v>
      </c>
      <c r="H931" s="883">
        <v>0.99303847369319675</v>
      </c>
      <c r="I931" s="883">
        <v>1.0359396281882478</v>
      </c>
      <c r="K931">
        <v>6.7565453256662771</v>
      </c>
      <c r="L931">
        <v>0</v>
      </c>
      <c r="M931">
        <v>1.0432023417312591E-2</v>
      </c>
      <c r="N931">
        <v>0.1953425503769721</v>
      </c>
      <c r="O931">
        <v>0.12317984718823713</v>
      </c>
      <c r="P931">
        <v>8.3473321981842957E-2</v>
      </c>
      <c r="Q931">
        <v>0</v>
      </c>
      <c r="R931">
        <v>1.0432023417312591E-2</v>
      </c>
      <c r="S931">
        <v>0.28095010029017536</v>
      </c>
      <c r="T931">
        <v>5.9103643534053907</v>
      </c>
      <c r="U931">
        <v>0</v>
      </c>
      <c r="V931">
        <v>1.9191045887498249E-2</v>
      </c>
      <c r="W931">
        <v>0.10266469437448671</v>
      </c>
      <c r="X931">
        <v>-1.5778034398747627E-3</v>
      </c>
      <c r="Y931">
        <v>4.2957215601544696E-2</v>
      </c>
    </row>
    <row r="932" spans="1:25" x14ac:dyDescent="0.25">
      <c r="A932" s="879"/>
      <c r="B932" s="1133">
        <v>682</v>
      </c>
      <c r="C932" s="883">
        <v>1.0107708566467719</v>
      </c>
      <c r="D932" s="883">
        <v>0.98060769579884355</v>
      </c>
      <c r="E932" s="883">
        <v>0.98707230578631344</v>
      </c>
      <c r="F932" s="883">
        <v>1.0221179509567546</v>
      </c>
      <c r="G932" s="883">
        <v>1.0202549146857962</v>
      </c>
      <c r="H932" s="883">
        <v>0.99641282274139897</v>
      </c>
      <c r="I932" s="883">
        <v>1.0038658618289769</v>
      </c>
      <c r="K932">
        <v>6.7401624894719117</v>
      </c>
      <c r="L932">
        <v>0</v>
      </c>
      <c r="M932">
        <v>1.0478557521769153E-2</v>
      </c>
      <c r="N932">
        <v>0.19165270321113023</v>
      </c>
      <c r="O932">
        <v>0.12187292792721517</v>
      </c>
      <c r="P932">
        <v>8.2349486082535048E-2</v>
      </c>
      <c r="Q932">
        <v>0</v>
      </c>
      <c r="R932">
        <v>1.0478557521769153E-2</v>
      </c>
      <c r="S932">
        <v>0.26798250415580704</v>
      </c>
      <c r="T932">
        <v>5.9140503495346382</v>
      </c>
      <c r="U932">
        <v>0</v>
      </c>
      <c r="V932">
        <v>1.9097000681268395E-2</v>
      </c>
      <c r="W932">
        <v>0.10152412303087682</v>
      </c>
      <c r="X932">
        <v>-1.5154399124946256E-3</v>
      </c>
      <c r="Y932">
        <v>4.3148834760934993E-2</v>
      </c>
    </row>
    <row r="933" spans="1:25" x14ac:dyDescent="0.25">
      <c r="A933" s="879"/>
      <c r="B933" s="1133">
        <v>683</v>
      </c>
      <c r="C933" s="883">
        <v>1.0003494645343463</v>
      </c>
      <c r="D933" s="883">
        <v>0.96703030834337211</v>
      </c>
      <c r="E933" s="883">
        <v>0.98207167662112771</v>
      </c>
      <c r="F933" s="883">
        <v>0.9888892417153734</v>
      </c>
      <c r="G933" s="883">
        <v>0.99715073027883772</v>
      </c>
      <c r="H933" s="883">
        <v>0.98009058227780399</v>
      </c>
      <c r="I933" s="883">
        <v>1.003500729077877</v>
      </c>
      <c r="K933">
        <v>6.7412873674320455</v>
      </c>
      <c r="L933">
        <v>0</v>
      </c>
      <c r="M933">
        <v>1.0522513779179102E-2</v>
      </c>
      <c r="N933">
        <v>0.19103452747215582</v>
      </c>
      <c r="O933">
        <v>0.12392549061160386</v>
      </c>
      <c r="P933">
        <v>8.2032084104221983E-2</v>
      </c>
      <c r="Q933">
        <v>0</v>
      </c>
      <c r="R933">
        <v>1.0522513779179102E-2</v>
      </c>
      <c r="S933">
        <v>0.26924949924110475</v>
      </c>
      <c r="T933">
        <v>5.9125308928191886</v>
      </c>
      <c r="U933">
        <v>0</v>
      </c>
      <c r="V933">
        <v>1.9153189166253491E-2</v>
      </c>
      <c r="W933">
        <v>0.10144988293557135</v>
      </c>
      <c r="X933">
        <v>-1.4180377230825513E-3</v>
      </c>
      <c r="Y933">
        <v>4.3329838805027013E-2</v>
      </c>
    </row>
    <row r="934" spans="1:25" x14ac:dyDescent="0.25">
      <c r="A934" s="879"/>
      <c r="B934" s="1133">
        <v>684</v>
      </c>
      <c r="C934" s="883">
        <v>0.99242899754958069</v>
      </c>
      <c r="D934" s="883">
        <v>1.0025641790490265</v>
      </c>
      <c r="E934" s="883">
        <v>1.0018202084021908</v>
      </c>
      <c r="F934" s="883">
        <v>0.99314897732705365</v>
      </c>
      <c r="G934" s="883">
        <v>0.99753464326187669</v>
      </c>
      <c r="H934" s="883">
        <v>0.98660307754015786</v>
      </c>
      <c r="I934" s="883">
        <v>0.98887863952609767</v>
      </c>
      <c r="K934">
        <v>6.7406382999331704</v>
      </c>
      <c r="L934">
        <v>0</v>
      </c>
      <c r="M934">
        <v>1.0333460736212888E-2</v>
      </c>
      <c r="N934">
        <v>0.19317545170924538</v>
      </c>
      <c r="O934">
        <v>0.12275333150961713</v>
      </c>
      <c r="P934">
        <v>8.3242939044602046E-2</v>
      </c>
      <c r="Q934">
        <v>0</v>
      </c>
      <c r="R934">
        <v>1.0333460736212888E-2</v>
      </c>
      <c r="S934">
        <v>0.26774261531100441</v>
      </c>
      <c r="T934">
        <v>5.9116602912687819</v>
      </c>
      <c r="U934">
        <v>0</v>
      </c>
      <c r="V934">
        <v>1.919668279465734E-2</v>
      </c>
      <c r="W934">
        <v>0.10158231268641366</v>
      </c>
      <c r="X934">
        <v>-1.2666764154252367E-3</v>
      </c>
      <c r="Y934">
        <v>4.2551352024279371E-2</v>
      </c>
    </row>
    <row r="935" spans="1:25" x14ac:dyDescent="0.25">
      <c r="A935" s="879"/>
      <c r="B935" s="1133">
        <v>685</v>
      </c>
      <c r="C935" s="883">
        <v>1.008248488849651</v>
      </c>
      <c r="D935" s="883">
        <v>0.95993559744442369</v>
      </c>
      <c r="E935" s="883">
        <v>1.0001604852224295</v>
      </c>
      <c r="F935" s="883">
        <v>0.98356659017093262</v>
      </c>
      <c r="G935" s="883">
        <v>0.98182297272165853</v>
      </c>
      <c r="H935" s="883">
        <v>0.9766722799126254</v>
      </c>
      <c r="I935" s="883">
        <v>1.01680541204209</v>
      </c>
      <c r="K935">
        <v>6.7406762216899843</v>
      </c>
      <c r="L935">
        <v>0</v>
      </c>
      <c r="M935">
        <v>1.0273112788166658E-2</v>
      </c>
      <c r="N935">
        <v>0.19157569632261828</v>
      </c>
      <c r="O935">
        <v>0.12297702975877393</v>
      </c>
      <c r="P935">
        <v>8.3168254619268439E-2</v>
      </c>
      <c r="Q935">
        <v>0</v>
      </c>
      <c r="R935">
        <v>1.0273112788166658E-2</v>
      </c>
      <c r="S935">
        <v>0.27045805296823461</v>
      </c>
      <c r="T935">
        <v>5.9112357915355513</v>
      </c>
      <c r="U935">
        <v>0</v>
      </c>
      <c r="V935">
        <v>1.911049385657624E-2</v>
      </c>
      <c r="W935">
        <v>0.10082411194565621</v>
      </c>
      <c r="X935">
        <v>-9.7605923245557555E-4</v>
      </c>
      <c r="Y935">
        <v>4.2302849915759298E-2</v>
      </c>
    </row>
    <row r="936" spans="1:25" x14ac:dyDescent="0.25">
      <c r="A936" s="879"/>
      <c r="B936" s="1133">
        <v>686</v>
      </c>
      <c r="C936" s="883">
        <v>0.99305017382285865</v>
      </c>
      <c r="D936" s="883">
        <v>0.9787838441123351</v>
      </c>
      <c r="E936" s="883">
        <v>0.99498791358228611</v>
      </c>
      <c r="F936" s="883">
        <v>0.96946852029602471</v>
      </c>
      <c r="G936" s="883">
        <v>1.0207346188871707</v>
      </c>
      <c r="H936" s="883">
        <v>0.98049856149321479</v>
      </c>
      <c r="I936" s="883">
        <v>1.0122662058001377</v>
      </c>
      <c r="K936">
        <v>6.7468496706416463</v>
      </c>
      <c r="L936">
        <v>0</v>
      </c>
      <c r="M936">
        <v>1.0431268451428152E-2</v>
      </c>
      <c r="N936">
        <v>0.19303979689851955</v>
      </c>
      <c r="O936">
        <v>0.12399011811942305</v>
      </c>
      <c r="P936">
        <v>8.2879059539084518E-2</v>
      </c>
      <c r="Q936">
        <v>0</v>
      </c>
      <c r="R936">
        <v>1.0431268451428152E-2</v>
      </c>
      <c r="S936">
        <v>0.27353740782883335</v>
      </c>
      <c r="T936">
        <v>5.9107637584953849</v>
      </c>
      <c r="U936">
        <v>0</v>
      </c>
      <c r="V936">
        <v>1.9193246659304716E-2</v>
      </c>
      <c r="W936">
        <v>0.1018562303146965</v>
      </c>
      <c r="X936">
        <v>-1.3640540000160375E-3</v>
      </c>
      <c r="Y936">
        <v>4.295410678641149E-2</v>
      </c>
    </row>
    <row r="937" spans="1:25" x14ac:dyDescent="0.25">
      <c r="A937" s="879"/>
      <c r="B937" s="1133">
        <v>687</v>
      </c>
      <c r="C937" s="883">
        <v>1.0364190374124964</v>
      </c>
      <c r="D937" s="883">
        <v>0.99384619132433949</v>
      </c>
      <c r="E937" s="883">
        <v>1.0336884559036723</v>
      </c>
      <c r="F937" s="883">
        <v>0.98260279378476045</v>
      </c>
      <c r="G937" s="883">
        <v>1.0340719610812528</v>
      </c>
      <c r="H937" s="883">
        <v>0.98749678184215872</v>
      </c>
      <c r="I937" s="883">
        <v>0.98973533072634412</v>
      </c>
      <c r="K937">
        <v>6.7149305958563641</v>
      </c>
      <c r="L937">
        <v>0</v>
      </c>
      <c r="M937">
        <v>9.6675015550568028E-3</v>
      </c>
      <c r="N937">
        <v>0.18945125159226733</v>
      </c>
      <c r="O937">
        <v>0.11737201780583827</v>
      </c>
      <c r="P937">
        <v>8.5053910830759527E-2</v>
      </c>
      <c r="Q937">
        <v>0</v>
      </c>
      <c r="R937">
        <v>9.6675015550568028E-3</v>
      </c>
      <c r="S937">
        <v>0.25681288220438131</v>
      </c>
      <c r="T937">
        <v>5.9092686638617611</v>
      </c>
      <c r="U937">
        <v>0</v>
      </c>
      <c r="V937">
        <v>1.896352734575503E-2</v>
      </c>
      <c r="W937">
        <v>9.8070805162404392E-2</v>
      </c>
      <c r="X937">
        <v>1.2848640060031131E-4</v>
      </c>
      <c r="Y937">
        <v>3.9809050652594005E-2</v>
      </c>
    </row>
    <row r="938" spans="1:25" x14ac:dyDescent="0.25">
      <c r="A938" s="879"/>
      <c r="B938" s="1133">
        <v>688</v>
      </c>
      <c r="C938" s="883">
        <v>0.99785937175900619</v>
      </c>
      <c r="D938" s="883">
        <v>1.015656091417539</v>
      </c>
      <c r="E938" s="883">
        <v>1.0213714935712741</v>
      </c>
      <c r="F938" s="883">
        <v>0.9682166066829383</v>
      </c>
      <c r="G938" s="883">
        <v>0.99119617742572053</v>
      </c>
      <c r="H938" s="883">
        <v>1.0430241178331785</v>
      </c>
      <c r="I938" s="883">
        <v>1.0077635122266151</v>
      </c>
      <c r="K938">
        <v>6.7622817659578205</v>
      </c>
      <c r="L938">
        <v>0</v>
      </c>
      <c r="M938">
        <v>1.0621564107569247E-2</v>
      </c>
      <c r="N938">
        <v>0.20439162939238087</v>
      </c>
      <c r="O938">
        <v>0.1210864690641594</v>
      </c>
      <c r="P938">
        <v>8.4556193142953345E-2</v>
      </c>
      <c r="Q938">
        <v>0</v>
      </c>
      <c r="R938">
        <v>1.0621564107569247E-2</v>
      </c>
      <c r="S938">
        <v>0.27662026265252532</v>
      </c>
      <c r="T938">
        <v>5.9092021459333228</v>
      </c>
      <c r="U938">
        <v>0</v>
      </c>
      <c r="V938">
        <v>1.9166788589326283E-2</v>
      </c>
      <c r="W938">
        <v>0.10644671336677478</v>
      </c>
      <c r="X938">
        <v>-2.9261466106591401E-3</v>
      </c>
      <c r="Y938">
        <v>4.3737710427036405E-2</v>
      </c>
    </row>
    <row r="939" spans="1:25" x14ac:dyDescent="0.25">
      <c r="A939" s="879"/>
      <c r="B939" s="1133">
        <v>689</v>
      </c>
      <c r="C939" s="883">
        <v>0.98529716899509878</v>
      </c>
      <c r="D939" s="883">
        <v>1.0095487292820398</v>
      </c>
      <c r="E939" s="883">
        <v>1.0139755051036974</v>
      </c>
      <c r="F939" s="883">
        <v>1.0223711204577342</v>
      </c>
      <c r="G939" s="883">
        <v>1.002175352770623</v>
      </c>
      <c r="H939" s="883">
        <v>0.9812868382792177</v>
      </c>
      <c r="I939" s="883">
        <v>0.98782816144970143</v>
      </c>
      <c r="K939">
        <v>6.7447137947227338</v>
      </c>
      <c r="L939">
        <v>0</v>
      </c>
      <c r="M939">
        <v>1.0212331379933215E-2</v>
      </c>
      <c r="N939">
        <v>0.19437803078696325</v>
      </c>
      <c r="O939">
        <v>0.12306779776292068</v>
      </c>
      <c r="P939">
        <v>8.4033223463610154E-2</v>
      </c>
      <c r="Q939">
        <v>0</v>
      </c>
      <c r="R939">
        <v>1.0212331379933215E-2</v>
      </c>
      <c r="S939">
        <v>0.26884977054752013</v>
      </c>
      <c r="T939">
        <v>5.9125508216450324</v>
      </c>
      <c r="U939">
        <v>0</v>
      </c>
      <c r="V939">
        <v>1.9236444065346737E-2</v>
      </c>
      <c r="W939">
        <v>0.10160148630423334</v>
      </c>
      <c r="X939">
        <v>-1.0563427482330066E-3</v>
      </c>
      <c r="Y939">
        <v>4.2052562895341351E-2</v>
      </c>
    </row>
    <row r="940" spans="1:25" x14ac:dyDescent="0.25">
      <c r="A940" s="879"/>
      <c r="B940" s="1133">
        <v>690</v>
      </c>
      <c r="C940" s="883">
        <v>1.0068577818842526</v>
      </c>
      <c r="D940" s="883">
        <v>1.0024925248619021</v>
      </c>
      <c r="E940" s="883">
        <v>0.99165629097712216</v>
      </c>
      <c r="F940" s="883">
        <v>0.99236366472053072</v>
      </c>
      <c r="G940" s="883">
        <v>1.0226556194208456</v>
      </c>
      <c r="H940" s="883">
        <v>0.98338292197375132</v>
      </c>
      <c r="I940" s="883">
        <v>1.0096220576428747</v>
      </c>
      <c r="K940">
        <v>6.7339302725841694</v>
      </c>
      <c r="L940">
        <v>0</v>
      </c>
      <c r="M940">
        <v>1.024295490181984E-2</v>
      </c>
      <c r="N940">
        <v>0.18862114030076391</v>
      </c>
      <c r="O940">
        <v>0.1211863547065293</v>
      </c>
      <c r="P940">
        <v>8.2628577893697513E-2</v>
      </c>
      <c r="Q940">
        <v>0</v>
      </c>
      <c r="R940">
        <v>1.024295490181984E-2</v>
      </c>
      <c r="S940">
        <v>0.26912080038420871</v>
      </c>
      <c r="T940">
        <v>5.9121871472561995</v>
      </c>
      <c r="U940">
        <v>0</v>
      </c>
      <c r="V940">
        <v>1.9117962228885642E-2</v>
      </c>
      <c r="W940">
        <v>9.9690014378426103E-2</v>
      </c>
      <c r="X940">
        <v>-8.0038967222715142E-4</v>
      </c>
      <c r="Y940">
        <v>4.2178665107686766E-2</v>
      </c>
    </row>
    <row r="941" spans="1:25" x14ac:dyDescent="0.25">
      <c r="A941" s="879"/>
      <c r="B941" s="1133">
        <v>691</v>
      </c>
      <c r="C941" s="883">
        <v>1.0304258769365755</v>
      </c>
      <c r="D941" s="883">
        <v>0.96476176619863641</v>
      </c>
      <c r="E941" s="883">
        <v>1.0222473957070122</v>
      </c>
      <c r="F941" s="883">
        <v>0.99932116004049287</v>
      </c>
      <c r="G941" s="883">
        <v>1.0050209645373751</v>
      </c>
      <c r="H941" s="883">
        <v>0.97419636882151683</v>
      </c>
      <c r="I941" s="883">
        <v>0.99379045639969832</v>
      </c>
      <c r="K941">
        <v>6.7202157870052313</v>
      </c>
      <c r="L941">
        <v>0</v>
      </c>
      <c r="M941">
        <v>9.8135620620997035E-3</v>
      </c>
      <c r="N941">
        <v>0.18908799216128441</v>
      </c>
      <c r="O941">
        <v>0.11967945574916439</v>
      </c>
      <c r="P941">
        <v>8.4382806593896631E-2</v>
      </c>
      <c r="Q941">
        <v>0</v>
      </c>
      <c r="R941">
        <v>9.8135620620997035E-3</v>
      </c>
      <c r="S941">
        <v>0.25840619323053704</v>
      </c>
      <c r="T941">
        <v>5.9108322737746075</v>
      </c>
      <c r="U941">
        <v>0</v>
      </c>
      <c r="V941">
        <v>1.8994120891185781E-2</v>
      </c>
      <c r="W941">
        <v>9.8434164052926695E-2</v>
      </c>
      <c r="X941">
        <v>-1.1721271164907042E-5</v>
      </c>
      <c r="Y941">
        <v>4.0410501822795562E-2</v>
      </c>
    </row>
    <row r="942" spans="1:25" x14ac:dyDescent="0.25">
      <c r="A942" s="879"/>
      <c r="B942" s="1133">
        <v>692</v>
      </c>
      <c r="C942" s="883">
        <v>0.99143518968350375</v>
      </c>
      <c r="D942" s="883">
        <v>0.98817300238048522</v>
      </c>
      <c r="E942" s="883">
        <v>1.0008441145298026</v>
      </c>
      <c r="F942" s="883">
        <v>1.0068751450632354</v>
      </c>
      <c r="G942" s="883">
        <v>1.0083663674507146</v>
      </c>
      <c r="H942" s="883">
        <v>1.0310399508132004</v>
      </c>
      <c r="I942" s="883">
        <v>1.0008840228117462</v>
      </c>
      <c r="K942">
        <v>6.7659551381111243</v>
      </c>
      <c r="L942">
        <v>0</v>
      </c>
      <c r="M942">
        <v>1.0886148736939603E-2</v>
      </c>
      <c r="N942">
        <v>0.20321345068924715</v>
      </c>
      <c r="O942">
        <v>0.12360762550099019</v>
      </c>
      <c r="P942">
        <v>8.329843731588181E-2</v>
      </c>
      <c r="Q942">
        <v>0</v>
      </c>
      <c r="R942">
        <v>1.0886148736939603E-2</v>
      </c>
      <c r="S942">
        <v>0.275653533941009</v>
      </c>
      <c r="T942">
        <v>5.9124570026490861</v>
      </c>
      <c r="U942">
        <v>0</v>
      </c>
      <c r="V942">
        <v>1.9202189155853089E-2</v>
      </c>
      <c r="W942">
        <v>0.10691263283529198</v>
      </c>
      <c r="X942">
        <v>-3.2169568127086733E-3</v>
      </c>
      <c r="Y942">
        <v>4.4827222836475111E-2</v>
      </c>
    </row>
    <row r="943" spans="1:25" x14ac:dyDescent="0.25">
      <c r="A943" s="879"/>
      <c r="B943" s="1133">
        <v>693</v>
      </c>
      <c r="C943" s="883">
        <v>1.0104165246827777</v>
      </c>
      <c r="D943" s="883">
        <v>1.0104762144096928</v>
      </c>
      <c r="E943" s="883">
        <v>0.99946203805596523</v>
      </c>
      <c r="F943" s="883">
        <v>0.98896800733864643</v>
      </c>
      <c r="G943" s="883">
        <v>0.98640534082933595</v>
      </c>
      <c r="H943" s="883">
        <v>1.0299746472193778</v>
      </c>
      <c r="I943" s="883">
        <v>1.020522611274721</v>
      </c>
      <c r="K943">
        <v>6.751718356225199</v>
      </c>
      <c r="L943">
        <v>0</v>
      </c>
      <c r="M943">
        <v>1.0581852622961331E-2</v>
      </c>
      <c r="N943">
        <v>0.19712907249917247</v>
      </c>
      <c r="O943">
        <v>0.12023312125555999</v>
      </c>
      <c r="P943">
        <v>8.3195153907205263E-2</v>
      </c>
      <c r="Q943">
        <v>0</v>
      </c>
      <c r="R943">
        <v>1.0581852622961331E-2</v>
      </c>
      <c r="S943">
        <v>0.27542449599143509</v>
      </c>
      <c r="T943">
        <v>5.9115669362672296</v>
      </c>
      <c r="U943">
        <v>0</v>
      </c>
      <c r="V943">
        <v>1.9098892080554337E-2</v>
      </c>
      <c r="W943">
        <v>0.10378278664313194</v>
      </c>
      <c r="X943">
        <v>-2.2862880208932386E-3</v>
      </c>
      <c r="Y943">
        <v>4.3574185601801763E-2</v>
      </c>
    </row>
    <row r="944" spans="1:25" x14ac:dyDescent="0.25">
      <c r="A944" s="879"/>
      <c r="B944" s="1133">
        <v>694</v>
      </c>
      <c r="C944" s="883">
        <v>1.0150568309194967</v>
      </c>
      <c r="D944" s="883">
        <v>1.0014244064059854</v>
      </c>
      <c r="E944" s="883">
        <v>0.98708446442791919</v>
      </c>
      <c r="F944" s="883">
        <v>0.99944115950029888</v>
      </c>
      <c r="G944" s="883">
        <v>0.98202461598700563</v>
      </c>
      <c r="H944" s="883">
        <v>0.9790416676263155</v>
      </c>
      <c r="I944" s="883">
        <v>0.99273568020451153</v>
      </c>
      <c r="K944">
        <v>6.722216473320354</v>
      </c>
      <c r="L944">
        <v>0</v>
      </c>
      <c r="M944">
        <v>1.0160434885058564E-2</v>
      </c>
      <c r="N944">
        <v>0.1858375942752396</v>
      </c>
      <c r="O944">
        <v>0.12034266906295883</v>
      </c>
      <c r="P944">
        <v>8.2255450758567092E-2</v>
      </c>
      <c r="Q944">
        <v>0</v>
      </c>
      <c r="R944">
        <v>1.0160434885058564E-2</v>
      </c>
      <c r="S944">
        <v>0.26208428592359601</v>
      </c>
      <c r="T944">
        <v>5.9128239089614629</v>
      </c>
      <c r="U944">
        <v>0</v>
      </c>
      <c r="V944">
        <v>1.9074227037075661E-2</v>
      </c>
      <c r="W944">
        <v>9.8443089712156984E-2</v>
      </c>
      <c r="X944">
        <v>-4.8361477737873587E-4</v>
      </c>
      <c r="Y944">
        <v>4.1838862366679282E-2</v>
      </c>
    </row>
    <row r="945" spans="1:25" x14ac:dyDescent="0.25">
      <c r="A945" s="879"/>
      <c r="B945" s="1133">
        <v>695</v>
      </c>
      <c r="C945" s="883">
        <v>0.97161185838267183</v>
      </c>
      <c r="D945" s="883">
        <v>1.0477932394005429</v>
      </c>
      <c r="E945" s="883">
        <v>0.99544236692303345</v>
      </c>
      <c r="F945" s="883">
        <v>0.97831886448567562</v>
      </c>
      <c r="G945" s="883">
        <v>1.0070260606407968</v>
      </c>
      <c r="H945" s="883">
        <v>1.005386562314581</v>
      </c>
      <c r="I945" s="883">
        <v>1.0012975919545195</v>
      </c>
      <c r="K945">
        <v>6.7569665168833613</v>
      </c>
      <c r="L945">
        <v>0</v>
      </c>
      <c r="M945">
        <v>1.0613580425760039E-2</v>
      </c>
      <c r="N945">
        <v>0.196545970042936</v>
      </c>
      <c r="O945">
        <v>0.12331039718124431</v>
      </c>
      <c r="P945">
        <v>8.2978753707835348E-2</v>
      </c>
      <c r="Q945">
        <v>0</v>
      </c>
      <c r="R945">
        <v>1.0613580425760039E-2</v>
      </c>
      <c r="S945">
        <v>0.27828994981884936</v>
      </c>
      <c r="T945">
        <v>5.9112166822339001</v>
      </c>
      <c r="U945">
        <v>0</v>
      </c>
      <c r="V945">
        <v>1.9314376933230373E-2</v>
      </c>
      <c r="W945">
        <v>0.10368279111152397</v>
      </c>
      <c r="X945">
        <v>-2.0772391925512686E-3</v>
      </c>
      <c r="Y945">
        <v>4.3704835046388481E-2</v>
      </c>
    </row>
    <row r="946" spans="1:25" x14ac:dyDescent="0.25">
      <c r="A946" s="879"/>
      <c r="B946" s="1133">
        <v>696</v>
      </c>
      <c r="C946" s="883">
        <v>1.0185783154301884</v>
      </c>
      <c r="D946" s="883">
        <v>0.99419307532937196</v>
      </c>
      <c r="E946" s="883">
        <v>0.99174216373545887</v>
      </c>
      <c r="F946" s="883">
        <v>0.97433735487870765</v>
      </c>
      <c r="G946" s="883">
        <v>1.0094932960871825</v>
      </c>
      <c r="H946" s="883">
        <v>1.002974802689556</v>
      </c>
      <c r="I946" s="883">
        <v>0.97922238891915114</v>
      </c>
      <c r="K946">
        <v>6.7258462459381567</v>
      </c>
      <c r="L946">
        <v>0</v>
      </c>
      <c r="M946">
        <v>1.0362875266948391E-2</v>
      </c>
      <c r="N946">
        <v>0.19085373376887202</v>
      </c>
      <c r="O946">
        <v>0.12018932423150741</v>
      </c>
      <c r="P946">
        <v>8.2496953920793689E-2</v>
      </c>
      <c r="Q946">
        <v>0</v>
      </c>
      <c r="R946">
        <v>1.0362875266948391E-2</v>
      </c>
      <c r="S946">
        <v>0.2598690785867851</v>
      </c>
      <c r="T946">
        <v>5.9112080437514454</v>
      </c>
      <c r="U946">
        <v>0</v>
      </c>
      <c r="V946">
        <v>1.9055658955344751E-2</v>
      </c>
      <c r="W946">
        <v>0.10086566795707803</v>
      </c>
      <c r="X946">
        <v>-1.3646910599296822E-3</v>
      </c>
      <c r="Y946">
        <v>4.2672475826256863E-2</v>
      </c>
    </row>
    <row r="947" spans="1:25" x14ac:dyDescent="0.25">
      <c r="A947" s="879"/>
      <c r="B947" s="1133">
        <v>697</v>
      </c>
      <c r="C947" s="883">
        <v>1.0357068113710961</v>
      </c>
      <c r="D947" s="883">
        <v>1.0237345343035262</v>
      </c>
      <c r="E947" s="883">
        <v>0.97230723904815441</v>
      </c>
      <c r="F947" s="883">
        <v>1.0256964329000391</v>
      </c>
      <c r="G947" s="883">
        <v>0.98374227177516216</v>
      </c>
      <c r="H947" s="883">
        <v>1.0382480279389594</v>
      </c>
      <c r="I947" s="883">
        <v>1.0260140403730462</v>
      </c>
      <c r="K947">
        <v>6.7359041825515256</v>
      </c>
      <c r="L947">
        <v>0</v>
      </c>
      <c r="M947">
        <v>1.0596509197408474E-2</v>
      </c>
      <c r="N947">
        <v>0.1896103848260913</v>
      </c>
      <c r="O947">
        <v>0.11717058577116432</v>
      </c>
      <c r="P947">
        <v>8.146675944446051E-2</v>
      </c>
      <c r="Q947">
        <v>0</v>
      </c>
      <c r="R947">
        <v>1.0596509197408474E-2</v>
      </c>
      <c r="S947">
        <v>0.27072417579837149</v>
      </c>
      <c r="T947">
        <v>5.9150571340906462</v>
      </c>
      <c r="U947">
        <v>0</v>
      </c>
      <c r="V947">
        <v>1.8967144538705554E-2</v>
      </c>
      <c r="W947">
        <v>0.10118766518879418</v>
      </c>
      <c r="X947">
        <v>-1.9142058733080418E-3</v>
      </c>
      <c r="Y947">
        <v>4.3634538766602088E-2</v>
      </c>
    </row>
    <row r="948" spans="1:25" x14ac:dyDescent="0.25">
      <c r="A948" s="879"/>
      <c r="B948" s="1133">
        <v>698</v>
      </c>
      <c r="C948" s="883">
        <v>0.96225274630012447</v>
      </c>
      <c r="D948" s="883">
        <v>0.99673850254679641</v>
      </c>
      <c r="E948" s="883">
        <v>0.99672133269368202</v>
      </c>
      <c r="F948" s="883">
        <v>1.0017196918000726</v>
      </c>
      <c r="G948" s="883">
        <v>0.98622707847053381</v>
      </c>
      <c r="H948" s="883">
        <v>1.0107065740343395</v>
      </c>
      <c r="I948" s="883">
        <v>1.0094575823153906</v>
      </c>
      <c r="K948">
        <v>6.7798042390364834</v>
      </c>
      <c r="L948">
        <v>0</v>
      </c>
      <c r="M948">
        <v>1.0994033269889326E-2</v>
      </c>
      <c r="N948">
        <v>0.20397756343588588</v>
      </c>
      <c r="O948">
        <v>0.12699773656304633</v>
      </c>
      <c r="P948">
        <v>8.3156517678815489E-2</v>
      </c>
      <c r="Q948">
        <v>0</v>
      </c>
      <c r="R948">
        <v>1.0994033269889326E-2</v>
      </c>
      <c r="S948">
        <v>0.28432126696069548</v>
      </c>
      <c r="T948">
        <v>5.9124098167840184</v>
      </c>
      <c r="U948">
        <v>0</v>
      </c>
      <c r="V948">
        <v>1.9368950045670845E-2</v>
      </c>
      <c r="W948">
        <v>0.10753470296971254</v>
      </c>
      <c r="X948">
        <v>-3.2337875417969E-3</v>
      </c>
      <c r="Y948">
        <v>4.5271472140431042E-2</v>
      </c>
    </row>
    <row r="949" spans="1:25" x14ac:dyDescent="0.25">
      <c r="A949" s="879"/>
      <c r="B949" s="1133">
        <v>699</v>
      </c>
      <c r="C949" s="883">
        <v>0.96064206954861864</v>
      </c>
      <c r="D949" s="883">
        <v>1.0310419984315651</v>
      </c>
      <c r="E949" s="883">
        <v>0.97786748591917572</v>
      </c>
      <c r="F949" s="883">
        <v>0.96742404232365331</v>
      </c>
      <c r="G949" s="883">
        <v>0.99257514341284847</v>
      </c>
      <c r="H949" s="883">
        <v>0.97331393105643726</v>
      </c>
      <c r="I949" s="883">
        <v>0.97473194693408693</v>
      </c>
      <c r="K949">
        <v>6.7456502042402553</v>
      </c>
      <c r="L949">
        <v>0</v>
      </c>
      <c r="M949">
        <v>1.0625868619491665E-2</v>
      </c>
      <c r="N949">
        <v>0.19171134527694406</v>
      </c>
      <c r="O949">
        <v>0.12586157804900241</v>
      </c>
      <c r="P949">
        <v>8.1782270263360962E-2</v>
      </c>
      <c r="Q949">
        <v>0</v>
      </c>
      <c r="R949">
        <v>1.0625868619491665E-2</v>
      </c>
      <c r="S949">
        <v>0.27109248046487083</v>
      </c>
      <c r="T949">
        <v>5.9116019760714531</v>
      </c>
      <c r="U949">
        <v>0</v>
      </c>
      <c r="V949">
        <v>1.9378449172144502E-2</v>
      </c>
      <c r="W949">
        <v>0.10202385572267147</v>
      </c>
      <c r="X949">
        <v>-1.5571864211517384E-3</v>
      </c>
      <c r="Y949">
        <v>4.3755435640958358E-2</v>
      </c>
    </row>
    <row r="950" spans="1:25" x14ac:dyDescent="0.25">
      <c r="A950" s="879"/>
      <c r="B950" s="1133">
        <v>700</v>
      </c>
      <c r="C950" s="883">
        <v>1.004917201687302</v>
      </c>
      <c r="D950" s="883">
        <v>1.0085996768579928</v>
      </c>
      <c r="E950" s="883">
        <v>0.99873435779169828</v>
      </c>
      <c r="F950" s="883">
        <v>1.0239427175751774</v>
      </c>
      <c r="G950" s="883">
        <v>1.0057979728011179</v>
      </c>
      <c r="H950" s="883">
        <v>1.030617410340664</v>
      </c>
      <c r="I950" s="883">
        <v>1.003799729257681</v>
      </c>
      <c r="K950">
        <v>6.7535071288098445</v>
      </c>
      <c r="L950">
        <v>0</v>
      </c>
      <c r="M950">
        <v>1.0661651818151067E-2</v>
      </c>
      <c r="N950">
        <v>0.19840163425357044</v>
      </c>
      <c r="O950">
        <v>0.12099452282911499</v>
      </c>
      <c r="P950">
        <v>8.313608970092988E-2</v>
      </c>
      <c r="Q950">
        <v>0</v>
      </c>
      <c r="R950">
        <v>1.0661651818151067E-2</v>
      </c>
      <c r="S950">
        <v>0.27247315786055459</v>
      </c>
      <c r="T950">
        <v>5.9134979533354652</v>
      </c>
      <c r="U950">
        <v>0</v>
      </c>
      <c r="V950">
        <v>1.912841807601208E-2</v>
      </c>
      <c r="W950">
        <v>0.10449052278649017</v>
      </c>
      <c r="X950">
        <v>-2.5179545161614901E-3</v>
      </c>
      <c r="Y950">
        <v>4.3902784483865843E-2</v>
      </c>
    </row>
    <row r="951" spans="1:25" x14ac:dyDescent="0.25">
      <c r="A951" s="879"/>
      <c r="B951" s="1133">
        <v>701</v>
      </c>
      <c r="C951" s="883">
        <v>1.0040567435082157</v>
      </c>
      <c r="D951" s="883">
        <v>1.0310287887216421</v>
      </c>
      <c r="E951" s="883">
        <v>0.98494467495268223</v>
      </c>
      <c r="F951" s="883">
        <v>1.0101172044614852</v>
      </c>
      <c r="G951" s="883">
        <v>1.0066885921639326</v>
      </c>
      <c r="H951" s="883">
        <v>1.0242645868502733</v>
      </c>
      <c r="I951" s="883">
        <v>0.9785264580806361</v>
      </c>
      <c r="K951">
        <v>6.7384147050418051</v>
      </c>
      <c r="L951">
        <v>0</v>
      </c>
      <c r="M951">
        <v>1.0632854651542602E-2</v>
      </c>
      <c r="N951">
        <v>0.19386213370557207</v>
      </c>
      <c r="O951">
        <v>0.12029073390192747</v>
      </c>
      <c r="P951">
        <v>8.2169664865316933E-2</v>
      </c>
      <c r="Q951">
        <v>0</v>
      </c>
      <c r="R951">
        <v>1.0632854651542602E-2</v>
      </c>
      <c r="S951">
        <v>0.26501165309974389</v>
      </c>
      <c r="T951">
        <v>5.913519593916023</v>
      </c>
      <c r="U951">
        <v>0</v>
      </c>
      <c r="V951">
        <v>1.9133067158699071E-2</v>
      </c>
      <c r="W951">
        <v>0.1028037166737486</v>
      </c>
      <c r="X951">
        <v>-2.1600611567053046E-3</v>
      </c>
      <c r="Y951">
        <v>4.3784202877476745E-2</v>
      </c>
    </row>
    <row r="952" spans="1:25" x14ac:dyDescent="0.25">
      <c r="A952" s="879"/>
      <c r="B952" s="1133">
        <v>702</v>
      </c>
      <c r="C952" s="883">
        <v>0.99519710543485151</v>
      </c>
      <c r="D952" s="883">
        <v>1.0037744531412367</v>
      </c>
      <c r="E952" s="883">
        <v>1.0132469788007761</v>
      </c>
      <c r="F952" s="883">
        <v>1.0086263260481421</v>
      </c>
      <c r="G952" s="883">
        <v>1.0183896601744433</v>
      </c>
      <c r="H952" s="883">
        <v>1.0313694453887219</v>
      </c>
      <c r="I952" s="883">
        <v>1.0146887479991289</v>
      </c>
      <c r="K952">
        <v>6.7653181818858554</v>
      </c>
      <c r="L952">
        <v>0</v>
      </c>
      <c r="M952">
        <v>1.0659696715274072E-2</v>
      </c>
      <c r="N952">
        <v>0.20267438629767867</v>
      </c>
      <c r="O952">
        <v>0.12213722383274843</v>
      </c>
      <c r="P952">
        <v>8.4104798362054978E-2</v>
      </c>
      <c r="Q952">
        <v>0</v>
      </c>
      <c r="R952">
        <v>1.0659696715274072E-2</v>
      </c>
      <c r="S952">
        <v>0.27827107466071704</v>
      </c>
      <c r="T952">
        <v>5.9118496765431345</v>
      </c>
      <c r="U952">
        <v>0</v>
      </c>
      <c r="V952">
        <v>1.9181403598589677E-2</v>
      </c>
      <c r="W952">
        <v>0.10597611899443536</v>
      </c>
      <c r="X952">
        <v>-2.7712341217210148E-3</v>
      </c>
      <c r="Y952">
        <v>4.3894733718213716E-2</v>
      </c>
    </row>
    <row r="953" spans="1:25" x14ac:dyDescent="0.25">
      <c r="A953" s="879"/>
      <c r="B953" s="1133">
        <v>703</v>
      </c>
      <c r="C953" s="883">
        <v>1.0008436475474347</v>
      </c>
      <c r="D953" s="883">
        <v>1.0283662917055787</v>
      </c>
      <c r="E953" s="883">
        <v>0.99874672592060632</v>
      </c>
      <c r="F953" s="883">
        <v>0.99923973488064632</v>
      </c>
      <c r="G953" s="883">
        <v>0.98745399358041774</v>
      </c>
      <c r="H953" s="883">
        <v>0.98818783915886921</v>
      </c>
      <c r="I953" s="883">
        <v>1.0365726232665748</v>
      </c>
      <c r="K953">
        <v>6.743646872790932</v>
      </c>
      <c r="L953">
        <v>0</v>
      </c>
      <c r="M953">
        <v>1.0179303814654343E-2</v>
      </c>
      <c r="N953">
        <v>0.18942913873929862</v>
      </c>
      <c r="O953">
        <v>0.12054725421653938</v>
      </c>
      <c r="P953">
        <v>8.319603238066281E-2</v>
      </c>
      <c r="Q953">
        <v>0</v>
      </c>
      <c r="R953">
        <v>1.0179303814654343E-2</v>
      </c>
      <c r="S953">
        <v>0.27820516863242672</v>
      </c>
      <c r="T953">
        <v>5.9121622167992109</v>
      </c>
      <c r="U953">
        <v>0</v>
      </c>
      <c r="V953">
        <v>1.9150498276698149E-2</v>
      </c>
      <c r="W953">
        <v>9.9764440800175547E-2</v>
      </c>
      <c r="X953">
        <v>-7.2443831429147836E-4</v>
      </c>
      <c r="Y953">
        <v>4.1916561260210428E-2</v>
      </c>
    </row>
    <row r="954" spans="1:25" x14ac:dyDescent="0.25">
      <c r="A954" s="879"/>
      <c r="B954" s="1133">
        <v>704</v>
      </c>
      <c r="C954" s="883">
        <v>1.0378605741353233</v>
      </c>
      <c r="D954" s="883">
        <v>0.99991570356229853</v>
      </c>
      <c r="E954" s="883">
        <v>1.0320126194694064</v>
      </c>
      <c r="F954" s="883">
        <v>0.99179895555327313</v>
      </c>
      <c r="G954" s="883">
        <v>1.0090314394139983</v>
      </c>
      <c r="H954" s="883">
        <v>1.0212945641348843</v>
      </c>
      <c r="I954" s="883">
        <v>1.0129349561255461</v>
      </c>
      <c r="K954">
        <v>6.7323811661224333</v>
      </c>
      <c r="L954">
        <v>0</v>
      </c>
      <c r="M954">
        <v>9.9731257641018697E-3</v>
      </c>
      <c r="N954">
        <v>0.1949570341149445</v>
      </c>
      <c r="O954">
        <v>0.11695461682922056</v>
      </c>
      <c r="P954">
        <v>8.5076807000862259E-2</v>
      </c>
      <c r="Q954">
        <v>0</v>
      </c>
      <c r="R954">
        <v>9.9731257641018697E-3</v>
      </c>
      <c r="S954">
        <v>0.26551797825659401</v>
      </c>
      <c r="T954">
        <v>5.909862579894547</v>
      </c>
      <c r="U954">
        <v>0</v>
      </c>
      <c r="V954">
        <v>1.8956221384659265E-2</v>
      </c>
      <c r="W954">
        <v>0.10100382205580341</v>
      </c>
      <c r="X954">
        <v>-1.0154501605580614E-3</v>
      </c>
      <c r="Y954">
        <v>4.1067556746360291E-2</v>
      </c>
    </row>
    <row r="955" spans="1:25" x14ac:dyDescent="0.25">
      <c r="A955" s="879"/>
      <c r="B955" s="1133">
        <v>705</v>
      </c>
      <c r="C955" s="883">
        <v>0.98848710677371299</v>
      </c>
      <c r="D955" s="883">
        <v>0.98981209936718351</v>
      </c>
      <c r="E955" s="883">
        <v>1.0054241715546617</v>
      </c>
      <c r="F955" s="883">
        <v>1.0041970243870662</v>
      </c>
      <c r="G955" s="883">
        <v>0.98670400339386377</v>
      </c>
      <c r="H955" s="883">
        <v>1.0250663041132191</v>
      </c>
      <c r="I955" s="883">
        <v>1.0198391016595947</v>
      </c>
      <c r="K955">
        <v>6.7710001616486952</v>
      </c>
      <c r="L955">
        <v>0</v>
      </c>
      <c r="M955">
        <v>1.0804319833854152E-2</v>
      </c>
      <c r="N955">
        <v>0.20305876469436301</v>
      </c>
      <c r="O955">
        <v>0.1238067996035105</v>
      </c>
      <c r="P955">
        <v>8.3654703349835213E-2</v>
      </c>
      <c r="Q955">
        <v>0</v>
      </c>
      <c r="R955">
        <v>1.0804319833854152E-2</v>
      </c>
      <c r="S955">
        <v>0.28111653309702728</v>
      </c>
      <c r="T955">
        <v>5.9120540628504257</v>
      </c>
      <c r="U955">
        <v>0</v>
      </c>
      <c r="V955">
        <v>1.9218588647863438E-2</v>
      </c>
      <c r="W955">
        <v>0.10658883780786441</v>
      </c>
      <c r="X955">
        <v>-2.9883943807629521E-3</v>
      </c>
      <c r="Y955">
        <v>4.4490265978571003E-2</v>
      </c>
    </row>
    <row r="956" spans="1:25" x14ac:dyDescent="0.25">
      <c r="A956" s="879"/>
      <c r="B956" s="1133">
        <v>706</v>
      </c>
      <c r="C956" s="883">
        <v>0.97945950206787646</v>
      </c>
      <c r="D956" s="883">
        <v>0.99379857208726718</v>
      </c>
      <c r="E956" s="883">
        <v>0.9861714038625311</v>
      </c>
      <c r="F956" s="883">
        <v>1.0065317853488742</v>
      </c>
      <c r="G956" s="883">
        <v>1.0005492818305206</v>
      </c>
      <c r="H956" s="883">
        <v>1.0042653258715855</v>
      </c>
      <c r="I956" s="883">
        <v>0.96830235974650991</v>
      </c>
      <c r="K956">
        <v>6.7523776079635871</v>
      </c>
      <c r="L956">
        <v>0</v>
      </c>
      <c r="M956">
        <v>1.0845046355381655E-2</v>
      </c>
      <c r="N956">
        <v>0.19809095491407952</v>
      </c>
      <c r="O956">
        <v>0.12511570708567865</v>
      </c>
      <c r="P956">
        <v>8.2276180968501159E-2</v>
      </c>
      <c r="Q956">
        <v>0</v>
      </c>
      <c r="R956">
        <v>1.0845046355381655E-2</v>
      </c>
      <c r="S956">
        <v>0.2673494536376258</v>
      </c>
      <c r="T956">
        <v>5.9132578217574823</v>
      </c>
      <c r="U956">
        <v>0</v>
      </c>
      <c r="V956">
        <v>1.9269421102575939E-2</v>
      </c>
      <c r="W956">
        <v>0.10498187366544001</v>
      </c>
      <c r="X956">
        <v>-2.6217757129697108E-3</v>
      </c>
      <c r="Y956">
        <v>4.4657970545170657E-2</v>
      </c>
    </row>
    <row r="957" spans="1:25" x14ac:dyDescent="0.25">
      <c r="A957" s="879"/>
      <c r="B957" s="1133">
        <v>707</v>
      </c>
      <c r="C957" s="883">
        <v>0.98009261683584903</v>
      </c>
      <c r="D957" s="883">
        <v>0.97422733062636535</v>
      </c>
      <c r="E957" s="883">
        <v>0.98664165935396164</v>
      </c>
      <c r="F957" s="883">
        <v>0.98149615199286733</v>
      </c>
      <c r="G957" s="883">
        <v>0.99906467141900313</v>
      </c>
      <c r="H957" s="883">
        <v>0.98014062001235225</v>
      </c>
      <c r="I957" s="883">
        <v>0.9952222888194131</v>
      </c>
      <c r="K957">
        <v>6.7522293665567927</v>
      </c>
      <c r="L957">
        <v>0</v>
      </c>
      <c r="M957">
        <v>1.066386523387957E-2</v>
      </c>
      <c r="N957">
        <v>0.19491746200042195</v>
      </c>
      <c r="O957">
        <v>0.12602459967952664</v>
      </c>
      <c r="P957">
        <v>8.235556598752973E-2</v>
      </c>
      <c r="Q957">
        <v>0</v>
      </c>
      <c r="R957">
        <v>1.066386523387957E-2</v>
      </c>
      <c r="S957">
        <v>0.27248481068295866</v>
      </c>
      <c r="T957">
        <v>5.9118784679040681</v>
      </c>
      <c r="U957">
        <v>0</v>
      </c>
      <c r="V957">
        <v>1.9265825639082489E-2</v>
      </c>
      <c r="W957">
        <v>0.10327576714672852</v>
      </c>
      <c r="X957">
        <v>-1.8850314193887686E-3</v>
      </c>
      <c r="Y957">
        <v>4.391189893586251E-2</v>
      </c>
    </row>
    <row r="958" spans="1:25" x14ac:dyDescent="0.25">
      <c r="A958" s="879"/>
      <c r="B958" s="1133">
        <v>708</v>
      </c>
      <c r="C958" s="883">
        <v>0.98719950018211888</v>
      </c>
      <c r="D958" s="883">
        <v>0.97425111625491456</v>
      </c>
      <c r="E958" s="883">
        <v>0.98748604854037414</v>
      </c>
      <c r="F958" s="883">
        <v>1.0030349059143997</v>
      </c>
      <c r="G958" s="883">
        <v>1.0455238242499978</v>
      </c>
      <c r="H958" s="883">
        <v>1.0017887706954833</v>
      </c>
      <c r="I958" s="883">
        <v>1.0140261486258881</v>
      </c>
      <c r="K958">
        <v>6.7622988590176654</v>
      </c>
      <c r="L958">
        <v>0</v>
      </c>
      <c r="M958">
        <v>1.0812849763399005E-2</v>
      </c>
      <c r="N958">
        <v>0.19788827790510066</v>
      </c>
      <c r="O958">
        <v>0.12510002745889054</v>
      </c>
      <c r="P958">
        <v>8.2492952965056446E-2</v>
      </c>
      <c r="Q958">
        <v>0</v>
      </c>
      <c r="R958">
        <v>1.0812849763399005E-2</v>
      </c>
      <c r="S958">
        <v>0.27775524454831574</v>
      </c>
      <c r="T958">
        <v>5.9129958792619917</v>
      </c>
      <c r="U958">
        <v>0</v>
      </c>
      <c r="V958">
        <v>1.9225782032722519E-2</v>
      </c>
      <c r="W958">
        <v>0.10480564215227714</v>
      </c>
      <c r="X958">
        <v>-2.4903380168543468E-3</v>
      </c>
      <c r="Y958">
        <v>4.4525390710165848E-2</v>
      </c>
    </row>
    <row r="959" spans="1:25" x14ac:dyDescent="0.25">
      <c r="A959" s="879"/>
      <c r="B959" s="1133">
        <v>709</v>
      </c>
      <c r="C959" s="883">
        <v>0.99776774118629574</v>
      </c>
      <c r="D959" s="883">
        <v>0.99870145230419438</v>
      </c>
      <c r="E959" s="883">
        <v>1.0033998076887658</v>
      </c>
      <c r="F959" s="883">
        <v>0.97615985312614828</v>
      </c>
      <c r="G959" s="883">
        <v>0.9812235377938644</v>
      </c>
      <c r="H959" s="883">
        <v>1.0351607819893871</v>
      </c>
      <c r="I959" s="883">
        <v>1.0372568570311149</v>
      </c>
      <c r="K959">
        <v>6.7695410102610847</v>
      </c>
      <c r="L959">
        <v>0</v>
      </c>
      <c r="M959">
        <v>1.0786976536480549E-2</v>
      </c>
      <c r="N959">
        <v>0.20212591243188868</v>
      </c>
      <c r="O959">
        <v>0.12225547423978168</v>
      </c>
      <c r="P959">
        <v>8.3548479478718463E-2</v>
      </c>
      <c r="Q959">
        <v>0</v>
      </c>
      <c r="R959">
        <v>1.0786976536480549E-2</v>
      </c>
      <c r="S959">
        <v>0.28414049585207068</v>
      </c>
      <c r="T959">
        <v>5.9106532108099028</v>
      </c>
      <c r="U959">
        <v>0</v>
      </c>
      <c r="V959">
        <v>1.9167290316522683E-2</v>
      </c>
      <c r="W959">
        <v>0.10620569853411602</v>
      </c>
      <c r="X959">
        <v>-2.9744007688962066E-3</v>
      </c>
      <c r="Y959">
        <v>4.4418849366978361E-2</v>
      </c>
    </row>
    <row r="960" spans="1:25" x14ac:dyDescent="0.25">
      <c r="A960" s="879"/>
      <c r="B960" s="1133">
        <v>710</v>
      </c>
      <c r="C960" s="883">
        <v>1.0447116884874696</v>
      </c>
      <c r="D960" s="883">
        <v>1.0228011160040436</v>
      </c>
      <c r="E960" s="883">
        <v>0.99165220811690136</v>
      </c>
      <c r="F960" s="883">
        <v>0.97856596029461607</v>
      </c>
      <c r="G960" s="883">
        <v>0.96853763259722647</v>
      </c>
      <c r="H960" s="883">
        <v>1.0160728217041997</v>
      </c>
      <c r="I960" s="883">
        <v>0.96880859336702208</v>
      </c>
      <c r="K960">
        <v>6.7056654352257752</v>
      </c>
      <c r="L960">
        <v>0</v>
      </c>
      <c r="M960">
        <v>1.0112807987827556E-2</v>
      </c>
      <c r="N960">
        <v>0.18622339429311999</v>
      </c>
      <c r="O960">
        <v>0.1158621667206661</v>
      </c>
      <c r="P960">
        <v>8.2381837752476261E-2</v>
      </c>
      <c r="Q960">
        <v>0</v>
      </c>
      <c r="R960">
        <v>1.0112807987827556E-2</v>
      </c>
      <c r="S960">
        <v>0.25154714997651273</v>
      </c>
      <c r="T960">
        <v>5.9114416110856434</v>
      </c>
      <c r="U960">
        <v>0</v>
      </c>
      <c r="V960">
        <v>1.8921774354187508E-2</v>
      </c>
      <c r="W960">
        <v>9.8422958301086313E-2</v>
      </c>
      <c r="X960">
        <v>-7.7820053906840737E-4</v>
      </c>
      <c r="Y960">
        <v>4.164274328115368E-2</v>
      </c>
    </row>
    <row r="961" spans="1:25" x14ac:dyDescent="0.25">
      <c r="A961" s="879"/>
      <c r="B961" s="1133">
        <v>711</v>
      </c>
      <c r="C961" s="883">
        <v>1.0054002410831651</v>
      </c>
      <c r="D961" s="883">
        <v>0.96773271884442258</v>
      </c>
      <c r="E961" s="883">
        <v>1.0062321196880113</v>
      </c>
      <c r="F961" s="883">
        <v>1.022247940328578</v>
      </c>
      <c r="G961" s="883">
        <v>0.9787669720778106</v>
      </c>
      <c r="H961" s="883">
        <v>0.99873128732635963</v>
      </c>
      <c r="I961" s="883">
        <v>1.0053457748615937</v>
      </c>
      <c r="K961">
        <v>6.7495431930632881</v>
      </c>
      <c r="L961">
        <v>0</v>
      </c>
      <c r="M961">
        <v>1.0442854489149495E-2</v>
      </c>
      <c r="N961">
        <v>0.1965002663715156</v>
      </c>
      <c r="O961">
        <v>0.12281215618344453</v>
      </c>
      <c r="P961">
        <v>8.3569901359242069E-2</v>
      </c>
      <c r="Q961">
        <v>0</v>
      </c>
      <c r="R961">
        <v>1.0442854489149495E-2</v>
      </c>
      <c r="S961">
        <v>0.27020540908214602</v>
      </c>
      <c r="T961">
        <v>5.9129838165668147</v>
      </c>
      <c r="U961">
        <v>0</v>
      </c>
      <c r="V961">
        <v>1.9125811686447555E-2</v>
      </c>
      <c r="W961">
        <v>0.10310489454603966</v>
      </c>
      <c r="X961">
        <v>-1.7608787598752439E-3</v>
      </c>
      <c r="Y961">
        <v>4.3001816027510138E-2</v>
      </c>
    </row>
    <row r="962" spans="1:25" x14ac:dyDescent="0.25">
      <c r="A962" s="879"/>
      <c r="B962" s="1133">
        <v>712</v>
      </c>
      <c r="C962" s="883">
        <v>0.98018545301768767</v>
      </c>
      <c r="D962" s="883">
        <v>1.0139909473470372</v>
      </c>
      <c r="E962" s="883">
        <v>1.0048247137587096</v>
      </c>
      <c r="F962" s="883">
        <v>1.0226062735704313</v>
      </c>
      <c r="G962" s="883">
        <v>0.98081396387612774</v>
      </c>
      <c r="H962" s="883">
        <v>0.96654797355364075</v>
      </c>
      <c r="I962" s="883">
        <v>0.9748430134605145</v>
      </c>
      <c r="K962">
        <v>6.7372642704674943</v>
      </c>
      <c r="L962">
        <v>0</v>
      </c>
      <c r="M962">
        <v>1.0173495248692755E-2</v>
      </c>
      <c r="N962">
        <v>0.19103324381150719</v>
      </c>
      <c r="O962">
        <v>0.12366729021465346</v>
      </c>
      <c r="P962">
        <v>8.3418363030114143E-2</v>
      </c>
      <c r="Q962">
        <v>0</v>
      </c>
      <c r="R962">
        <v>1.0173495248692755E-2</v>
      </c>
      <c r="S962">
        <v>0.26527106286929991</v>
      </c>
      <c r="T962">
        <v>5.9130827337588689</v>
      </c>
      <c r="U962">
        <v>0</v>
      </c>
      <c r="V962">
        <v>1.9265298812183751E-2</v>
      </c>
      <c r="W962">
        <v>0.10030624231635241</v>
      </c>
      <c r="X962">
        <v>-6.7260696495001515E-4</v>
      </c>
      <c r="Y962">
        <v>4.1892642619466812E-2</v>
      </c>
    </row>
    <row r="963" spans="1:25" x14ac:dyDescent="0.25">
      <c r="A963" s="879"/>
      <c r="B963" s="1133">
        <v>713</v>
      </c>
      <c r="C963" s="883">
        <v>0.9794599709688957</v>
      </c>
      <c r="D963" s="883">
        <v>0.98565327714744089</v>
      </c>
      <c r="E963" s="883">
        <v>0.96762021028317857</v>
      </c>
      <c r="F963" s="883">
        <v>0.99964480591433935</v>
      </c>
      <c r="G963" s="883">
        <v>1.0028935189939836</v>
      </c>
      <c r="H963" s="883">
        <v>0.97290111218371544</v>
      </c>
      <c r="I963" s="883">
        <v>1.015235490036843</v>
      </c>
      <c r="K963">
        <v>6.7523602334218733</v>
      </c>
      <c r="L963">
        <v>0</v>
      </c>
      <c r="M963">
        <v>1.0715269954716708E-2</v>
      </c>
      <c r="N963">
        <v>0.19040575112466701</v>
      </c>
      <c r="O963">
        <v>0.12588115418589613</v>
      </c>
      <c r="P963">
        <v>8.1245540004778183E-2</v>
      </c>
      <c r="Q963">
        <v>0</v>
      </c>
      <c r="R963">
        <v>1.0715269954716708E-2</v>
      </c>
      <c r="S963">
        <v>0.27728087434528809</v>
      </c>
      <c r="T963">
        <v>5.9139041322614352</v>
      </c>
      <c r="U963">
        <v>0</v>
      </c>
      <c r="V963">
        <v>1.9269418437963551E-2</v>
      </c>
      <c r="W963">
        <v>0.10185185165253088</v>
      </c>
      <c r="X963">
        <v>-1.6020630172581959E-3</v>
      </c>
      <c r="Y963">
        <v>4.4123574426570611E-2</v>
      </c>
    </row>
    <row r="964" spans="1:25" x14ac:dyDescent="0.25">
      <c r="A964" s="879"/>
      <c r="B964" s="1133">
        <v>714</v>
      </c>
      <c r="C964" s="883">
        <v>1.024376761329594</v>
      </c>
      <c r="D964" s="883">
        <v>0.97254668155506629</v>
      </c>
      <c r="E964" s="883">
        <v>1.0057237299394897</v>
      </c>
      <c r="F964" s="883">
        <v>1.001126237972735</v>
      </c>
      <c r="G964" s="883">
        <v>1.0186705591011351</v>
      </c>
      <c r="H964" s="883">
        <v>0.9936621335025152</v>
      </c>
      <c r="I964" s="883">
        <v>0.98268854058540689</v>
      </c>
      <c r="K964">
        <v>6.7260799692432043</v>
      </c>
      <c r="L964">
        <v>0</v>
      </c>
      <c r="M964">
        <v>1.0180227379044672E-2</v>
      </c>
      <c r="N964">
        <v>0.19141432766523309</v>
      </c>
      <c r="O964">
        <v>0.12030748743790526</v>
      </c>
      <c r="P964">
        <v>8.3366952475216985E-2</v>
      </c>
      <c r="Q964">
        <v>0</v>
      </c>
      <c r="R964">
        <v>1.0180227379044672E-2</v>
      </c>
      <c r="S964">
        <v>0.25870707063440357</v>
      </c>
      <c r="T964">
        <v>5.9118711957163779</v>
      </c>
      <c r="U964">
        <v>0</v>
      </c>
      <c r="V964">
        <v>1.9025363079900708E-2</v>
      </c>
      <c r="W964">
        <v>0.10046157115782141</v>
      </c>
      <c r="X964">
        <v>-9.9436325763250198E-4</v>
      </c>
      <c r="Y964">
        <v>4.1920364333981476E-2</v>
      </c>
    </row>
    <row r="965" spans="1:25" x14ac:dyDescent="0.25">
      <c r="A965" s="879"/>
      <c r="B965" s="1133">
        <v>715</v>
      </c>
      <c r="C965" s="883">
        <v>1.0099324451466607</v>
      </c>
      <c r="D965" s="883">
        <v>1.0131450064410557</v>
      </c>
      <c r="E965" s="883">
        <v>1.0031164092278455</v>
      </c>
      <c r="F965" s="883">
        <v>1.014947217314955</v>
      </c>
      <c r="G965" s="883">
        <v>1.0089787061627415</v>
      </c>
      <c r="H965" s="883">
        <v>0.98094098228911364</v>
      </c>
      <c r="I965" s="883">
        <v>0.99377732838623756</v>
      </c>
      <c r="K965">
        <v>6.7268434991498971</v>
      </c>
      <c r="L965">
        <v>0</v>
      </c>
      <c r="M965">
        <v>1.0039431866885251E-2</v>
      </c>
      <c r="N965">
        <v>0.18803950604446945</v>
      </c>
      <c r="O965">
        <v>0.12009640895647779</v>
      </c>
      <c r="P965">
        <v>8.3284785583599322E-2</v>
      </c>
      <c r="Q965">
        <v>0</v>
      </c>
      <c r="R965">
        <v>1.0039431866885251E-2</v>
      </c>
      <c r="S965">
        <v>0.2637898498101508</v>
      </c>
      <c r="T965">
        <v>5.9127652530212709</v>
      </c>
      <c r="U965">
        <v>0</v>
      </c>
      <c r="V965">
        <v>1.9101478208456292E-2</v>
      </c>
      <c r="W965">
        <v>9.8817979911982004E-2</v>
      </c>
      <c r="X965">
        <v>-3.9235586208658354E-4</v>
      </c>
      <c r="Y965">
        <v>4.1340593475575914E-2</v>
      </c>
    </row>
    <row r="966" spans="1:25" x14ac:dyDescent="0.25">
      <c r="A966" s="879"/>
      <c r="B966" s="1133">
        <v>716</v>
      </c>
      <c r="C966" s="883">
        <v>1.0065169765928703</v>
      </c>
      <c r="D966" s="883">
        <v>1.0255356435859166</v>
      </c>
      <c r="E966" s="883">
        <v>1.0348234328669483</v>
      </c>
      <c r="F966" s="883">
        <v>1.0269773204292254</v>
      </c>
      <c r="G966" s="883">
        <v>1.0011857175127754</v>
      </c>
      <c r="H966" s="883">
        <v>0.98990756594549212</v>
      </c>
      <c r="I966" s="883">
        <v>0.99732809712237103</v>
      </c>
      <c r="K966">
        <v>6.7348627798144323</v>
      </c>
      <c r="L966">
        <v>0</v>
      </c>
      <c r="M966">
        <v>9.8360055398796099E-3</v>
      </c>
      <c r="N966">
        <v>0.19307693137418983</v>
      </c>
      <c r="O966">
        <v>0.11932978408408085</v>
      </c>
      <c r="P966">
        <v>8.5290822353752335E-2</v>
      </c>
      <c r="Q966">
        <v>0</v>
      </c>
      <c r="R966">
        <v>9.8360055398796099E-3</v>
      </c>
      <c r="S966">
        <v>0.26640796623798596</v>
      </c>
      <c r="T966">
        <v>5.9115995609234044</v>
      </c>
      <c r="U966">
        <v>0</v>
      </c>
      <c r="V966">
        <v>1.9119795569394776E-2</v>
      </c>
      <c r="W966">
        <v>9.989212517897883E-2</v>
      </c>
      <c r="X966">
        <v>-3.5712597685511207E-4</v>
      </c>
      <c r="Y966">
        <v>4.0502920069503082E-2</v>
      </c>
    </row>
    <row r="967" spans="1:25" x14ac:dyDescent="0.25">
      <c r="A967" s="879"/>
      <c r="B967" s="1133">
        <v>717</v>
      </c>
      <c r="C967" s="883">
        <v>1.0154307171245556</v>
      </c>
      <c r="D967" s="883">
        <v>0.98561073331952376</v>
      </c>
      <c r="E967" s="883">
        <v>0.99928362297589346</v>
      </c>
      <c r="F967" s="883">
        <v>1.0230451535270637</v>
      </c>
      <c r="G967" s="883">
        <v>0.96114909878991184</v>
      </c>
      <c r="H967" s="883">
        <v>0.99126136704285983</v>
      </c>
      <c r="I967" s="883">
        <v>0.98903889860631233</v>
      </c>
      <c r="K967">
        <v>6.7310683537933835</v>
      </c>
      <c r="L967">
        <v>0</v>
      </c>
      <c r="M967">
        <v>1.0244156582028163E-2</v>
      </c>
      <c r="N967">
        <v>0.19078770349590543</v>
      </c>
      <c r="O967">
        <v>0.12084103526542062</v>
      </c>
      <c r="P967">
        <v>8.3032674692932379E-2</v>
      </c>
      <c r="Q967">
        <v>0</v>
      </c>
      <c r="R967">
        <v>1.0244156582028163E-2</v>
      </c>
      <c r="S967">
        <v>0.26230614118198736</v>
      </c>
      <c r="T967">
        <v>5.9134185966283166</v>
      </c>
      <c r="U967">
        <v>0</v>
      </c>
      <c r="V967">
        <v>1.9072249499120741E-2</v>
      </c>
      <c r="W967">
        <v>0.10045314099362218</v>
      </c>
      <c r="X967">
        <v>-1.0268013768172438E-3</v>
      </c>
      <c r="Y967">
        <v>4.2183613412893547E-2</v>
      </c>
    </row>
    <row r="968" spans="1:25" x14ac:dyDescent="0.25">
      <c r="A968" s="879"/>
      <c r="B968" s="1133">
        <v>718</v>
      </c>
      <c r="C968" s="883">
        <v>1.0116097304027771</v>
      </c>
      <c r="D968" s="883">
        <v>0.98427426831587383</v>
      </c>
      <c r="E968" s="883">
        <v>1.0088233032098652</v>
      </c>
      <c r="F968" s="883">
        <v>0.99333937829343422</v>
      </c>
      <c r="G968" s="883">
        <v>0.99310955391760447</v>
      </c>
      <c r="H968" s="883">
        <v>1.0142339055374474</v>
      </c>
      <c r="I968" s="883">
        <v>0.97810067642962883</v>
      </c>
      <c r="K968">
        <v>6.7392368601786252</v>
      </c>
      <c r="L968">
        <v>0</v>
      </c>
      <c r="M968">
        <v>1.0439872521763233E-2</v>
      </c>
      <c r="N968">
        <v>0.19719929087476765</v>
      </c>
      <c r="O968">
        <v>0.1211851361479325</v>
      </c>
      <c r="P968">
        <v>8.3605507194337403E-2</v>
      </c>
      <c r="Q968">
        <v>0</v>
      </c>
      <c r="R968">
        <v>1.0439872521763233E-2</v>
      </c>
      <c r="S968">
        <v>0.26252220016539679</v>
      </c>
      <c r="T968">
        <v>5.9112749856487712</v>
      </c>
      <c r="U968">
        <v>0</v>
      </c>
      <c r="V968">
        <v>1.9092528113402108E-2</v>
      </c>
      <c r="W968">
        <v>0.10333901643872616</v>
      </c>
      <c r="X968">
        <v>-1.9713412212935626E-3</v>
      </c>
      <c r="Y968">
        <v>4.298953681658392E-2</v>
      </c>
    </row>
    <row r="969" spans="1:25" x14ac:dyDescent="0.25">
      <c r="A969" s="879"/>
      <c r="B969" s="1133">
        <v>719</v>
      </c>
      <c r="C969" s="883">
        <v>1.0212329568212304</v>
      </c>
      <c r="D969" s="883">
        <v>1.010932312452393</v>
      </c>
      <c r="E969" s="883">
        <v>1.0098070168693511</v>
      </c>
      <c r="F969" s="883">
        <v>1.0074429891050276</v>
      </c>
      <c r="G969" s="883">
        <v>0.99502858384961212</v>
      </c>
      <c r="H969" s="883">
        <v>1.0283990840798594</v>
      </c>
      <c r="I969" s="883">
        <v>0.99815589584359077</v>
      </c>
      <c r="K969">
        <v>6.7392752966316616</v>
      </c>
      <c r="L969">
        <v>0</v>
      </c>
      <c r="M969">
        <v>1.0357664991156937E-2</v>
      </c>
      <c r="N969">
        <v>0.19593160564021553</v>
      </c>
      <c r="O969">
        <v>0.11874877249175045</v>
      </c>
      <c r="P969">
        <v>8.3728380164684063E-2</v>
      </c>
      <c r="Q969">
        <v>0</v>
      </c>
      <c r="R969">
        <v>1.0357664991156937E-2</v>
      </c>
      <c r="S969">
        <v>0.26640305460749875</v>
      </c>
      <c r="T969">
        <v>5.9119812785877839</v>
      </c>
      <c r="U969">
        <v>0</v>
      </c>
      <c r="V969">
        <v>1.9041746215809379E-2</v>
      </c>
      <c r="W969">
        <v>0.10262474844706326</v>
      </c>
      <c r="X969">
        <v>-1.835310361088796E-3</v>
      </c>
      <c r="Y969">
        <v>4.2651020837942186E-2</v>
      </c>
    </row>
    <row r="970" spans="1:25" x14ac:dyDescent="0.25">
      <c r="A970" s="879"/>
      <c r="B970" s="1133">
        <v>720</v>
      </c>
      <c r="C970" s="883">
        <v>0.98891708809489876</v>
      </c>
      <c r="D970" s="883">
        <v>1.0194345709487176</v>
      </c>
      <c r="E970" s="883">
        <v>1.0130131734868977</v>
      </c>
      <c r="F970" s="883">
        <v>0.98942356235646911</v>
      </c>
      <c r="G970" s="883">
        <v>0.99676385867774897</v>
      </c>
      <c r="H970" s="883">
        <v>0.96240509287887932</v>
      </c>
      <c r="I970" s="883">
        <v>0.97674901277603654</v>
      </c>
      <c r="K970">
        <v>6.7278347753576639</v>
      </c>
      <c r="L970">
        <v>0</v>
      </c>
      <c r="M970">
        <v>9.9459927026119312E-3</v>
      </c>
      <c r="N970">
        <v>0.18903919984804091</v>
      </c>
      <c r="O970">
        <v>0.12215850375486915</v>
      </c>
      <c r="P970">
        <v>8.3870545110290753E-2</v>
      </c>
      <c r="Q970">
        <v>0</v>
      </c>
      <c r="R970">
        <v>9.9459927026119312E-3</v>
      </c>
      <c r="S970">
        <v>0.26303058259502032</v>
      </c>
      <c r="T970">
        <v>5.9108254323698342</v>
      </c>
      <c r="U970">
        <v>0</v>
      </c>
      <c r="V970">
        <v>1.9216190672370227E-2</v>
      </c>
      <c r="W970">
        <v>9.8857852796889467E-2</v>
      </c>
      <c r="X970">
        <v>-1.1935941830407934E-4</v>
      </c>
      <c r="Y970">
        <v>4.0955827628649626E-2</v>
      </c>
    </row>
    <row r="971" spans="1:25" x14ac:dyDescent="0.25">
      <c r="A971" s="879"/>
      <c r="B971" s="1133">
        <v>721</v>
      </c>
      <c r="C971" s="883">
        <v>0.9996869242512656</v>
      </c>
      <c r="D971" s="883">
        <v>1.0041236867382628</v>
      </c>
      <c r="E971" s="883">
        <v>1.0099507708510922</v>
      </c>
      <c r="F971" s="883">
        <v>1.018640867619546</v>
      </c>
      <c r="G971" s="883">
        <v>1.0350103693926236</v>
      </c>
      <c r="H971" s="883">
        <v>0.98727076023718663</v>
      </c>
      <c r="I971" s="883">
        <v>0.98711583827062122</v>
      </c>
      <c r="K971">
        <v>6.7371102746182956</v>
      </c>
      <c r="L971">
        <v>0</v>
      </c>
      <c r="M971">
        <v>1.0185898925907431E-2</v>
      </c>
      <c r="N971">
        <v>0.19272338870990183</v>
      </c>
      <c r="O971">
        <v>0.12163378914626065</v>
      </c>
      <c r="P971">
        <v>8.3733270971705451E-2</v>
      </c>
      <c r="Q971">
        <v>0</v>
      </c>
      <c r="R971">
        <v>1.0185898925907431E-2</v>
      </c>
      <c r="S971">
        <v>0.2653863257978315</v>
      </c>
      <c r="T971">
        <v>5.9125781883535025</v>
      </c>
      <c r="U971">
        <v>0</v>
      </c>
      <c r="V971">
        <v>1.9156800956944147E-2</v>
      </c>
      <c r="W971">
        <v>0.10093717617803123</v>
      </c>
      <c r="X971">
        <v>-9.8238425034560687E-4</v>
      </c>
      <c r="Y971">
        <v>4.19437187544646E-2</v>
      </c>
    </row>
    <row r="972" spans="1:25" x14ac:dyDescent="0.25">
      <c r="A972" s="879"/>
      <c r="B972" s="1133">
        <v>722</v>
      </c>
      <c r="C972" s="883">
        <v>0.96909095713057902</v>
      </c>
      <c r="D972" s="883">
        <v>1.0001937099159095</v>
      </c>
      <c r="E972" s="883">
        <v>0.97339160768736099</v>
      </c>
      <c r="F972" s="883">
        <v>1.0322327641273428</v>
      </c>
      <c r="G972" s="883">
        <v>1.0163906139183585</v>
      </c>
      <c r="H972" s="883">
        <v>0.99015197743467043</v>
      </c>
      <c r="I972" s="883">
        <v>1.0004335000693749</v>
      </c>
      <c r="K972">
        <v>6.7624236926737042</v>
      </c>
      <c r="L972">
        <v>0</v>
      </c>
      <c r="M972">
        <v>1.0898108850212859E-2</v>
      </c>
      <c r="N972">
        <v>0.19532126551563647</v>
      </c>
      <c r="O972">
        <v>0.12637498053222745</v>
      </c>
      <c r="P972">
        <v>8.1635516075390296E-2</v>
      </c>
      <c r="Q972">
        <v>0</v>
      </c>
      <c r="R972">
        <v>1.0898108850212859E-2</v>
      </c>
      <c r="S972">
        <v>0.27771256757212631</v>
      </c>
      <c r="T972">
        <v>5.9153512078373822</v>
      </c>
      <c r="U972">
        <v>0</v>
      </c>
      <c r="V972">
        <v>1.932897261975159E-2</v>
      </c>
      <c r="W972">
        <v>0.10417859416577185</v>
      </c>
      <c r="X972">
        <v>-2.3558840986957433E-3</v>
      </c>
      <c r="Y972">
        <v>4.487647245411356E-2</v>
      </c>
    </row>
    <row r="973" spans="1:25" x14ac:dyDescent="0.25">
      <c r="A973" s="879"/>
      <c r="B973" s="1133">
        <v>723</v>
      </c>
      <c r="C973" s="883">
        <v>0.99543285267182524</v>
      </c>
      <c r="D973" s="883">
        <v>1.0052665506485454</v>
      </c>
      <c r="E973" s="883">
        <v>0.97306583884213771</v>
      </c>
      <c r="F973" s="883">
        <v>1.0118740145998999</v>
      </c>
      <c r="G973" s="883">
        <v>1.0213419852178711</v>
      </c>
      <c r="H973" s="883">
        <v>1.0109929304221501</v>
      </c>
      <c r="I973" s="883">
        <v>1.0034658008218489</v>
      </c>
      <c r="K973">
        <v>6.750118644696733</v>
      </c>
      <c r="L973">
        <v>0</v>
      </c>
      <c r="M973">
        <v>1.0812652315251262E-2</v>
      </c>
      <c r="N973">
        <v>0.19369598142333977</v>
      </c>
      <c r="O973">
        <v>0.1227880744556475</v>
      </c>
      <c r="P973">
        <v>8.1538381198392546E-2</v>
      </c>
      <c r="Q973">
        <v>0</v>
      </c>
      <c r="R973">
        <v>1.0812652315251262E-2</v>
      </c>
      <c r="S973">
        <v>0.27310944646527247</v>
      </c>
      <c r="T973">
        <v>5.9142683243759606</v>
      </c>
      <c r="U973">
        <v>0</v>
      </c>
      <c r="V973">
        <v>1.9180106265251941E-2</v>
      </c>
      <c r="W973">
        <v>0.10332861549418015</v>
      </c>
      <c r="X973">
        <v>-2.3148626351497479E-3</v>
      </c>
      <c r="Y973">
        <v>4.452457765383791E-2</v>
      </c>
    </row>
    <row r="974" spans="1:25" x14ac:dyDescent="0.25">
      <c r="A974" s="879"/>
      <c r="B974" s="1133">
        <v>724</v>
      </c>
      <c r="C974" s="883">
        <v>0.99526788837733426</v>
      </c>
      <c r="D974" s="883">
        <v>1.0018859182359998</v>
      </c>
      <c r="E974" s="883">
        <v>0.98097510727507531</v>
      </c>
      <c r="F974" s="883">
        <v>0.9802410952178171</v>
      </c>
      <c r="G974" s="883">
        <v>1.008129513526707</v>
      </c>
      <c r="H974" s="883">
        <v>1.0110820150573945</v>
      </c>
      <c r="I974" s="883">
        <v>1.008209155431508</v>
      </c>
      <c r="K974">
        <v>6.7512159317957376</v>
      </c>
      <c r="L974">
        <v>0</v>
      </c>
      <c r="M974">
        <v>1.0756622226266728E-2</v>
      </c>
      <c r="N974">
        <v>0.19496730249111296</v>
      </c>
      <c r="O974">
        <v>0.12282687825317286</v>
      </c>
      <c r="P974">
        <v>8.2027398399731402E-2</v>
      </c>
      <c r="Q974">
        <v>0</v>
      </c>
      <c r="R974">
        <v>1.0756622226266728E-2</v>
      </c>
      <c r="S974">
        <v>0.27450352186594013</v>
      </c>
      <c r="T974">
        <v>5.9121238672732463</v>
      </c>
      <c r="U974">
        <v>0</v>
      </c>
      <c r="V974">
        <v>1.9181014010602359E-2</v>
      </c>
      <c r="W974">
        <v>0.10359523295237692</v>
      </c>
      <c r="X974">
        <v>-2.3031391708324645E-3</v>
      </c>
      <c r="Y974">
        <v>4.4293855720383649E-2</v>
      </c>
    </row>
    <row r="975" spans="1:25" x14ac:dyDescent="0.25">
      <c r="A975" s="879"/>
      <c r="B975" s="1133">
        <v>725</v>
      </c>
      <c r="C975" s="883">
        <v>0.98094247850914695</v>
      </c>
      <c r="D975" s="883">
        <v>0.99029883474247393</v>
      </c>
      <c r="E975" s="883">
        <v>0.96820142966660605</v>
      </c>
      <c r="F975" s="883">
        <v>0.95424193843953009</v>
      </c>
      <c r="G975" s="883">
        <v>1.0043061953914199</v>
      </c>
      <c r="H975" s="883">
        <v>1.0094911082445812</v>
      </c>
      <c r="I975" s="883">
        <v>1.0282357176153383</v>
      </c>
      <c r="K975">
        <v>6.7663948675237311</v>
      </c>
      <c r="L975">
        <v>0</v>
      </c>
      <c r="M975">
        <v>1.1073509260056916E-2</v>
      </c>
      <c r="N975">
        <v>0.1969414201477446</v>
      </c>
      <c r="O975">
        <v>0.12544375511268915</v>
      </c>
      <c r="P975">
        <v>8.1337442716691438E-2</v>
      </c>
      <c r="Q975">
        <v>0</v>
      </c>
      <c r="R975">
        <v>1.1073509260056916E-2</v>
      </c>
      <c r="S975">
        <v>0.2839924714316896</v>
      </c>
      <c r="T975">
        <v>5.9114175810282372</v>
      </c>
      <c r="U975">
        <v>0</v>
      </c>
      <c r="V975">
        <v>1.926100656474207E-2</v>
      </c>
      <c r="W975">
        <v>0.10531710597068857</v>
      </c>
      <c r="X975">
        <v>-2.9146555704988048E-3</v>
      </c>
      <c r="Y975">
        <v>4.5598740121742268E-2</v>
      </c>
    </row>
    <row r="976" spans="1:25" x14ac:dyDescent="0.25">
      <c r="A976" s="879"/>
      <c r="B976" s="1133">
        <v>726</v>
      </c>
      <c r="C976" s="883">
        <v>0.98798242020233806</v>
      </c>
      <c r="D976" s="883">
        <v>0.98536899130473066</v>
      </c>
      <c r="E976" s="883">
        <v>1.017041661779031</v>
      </c>
      <c r="F976" s="883">
        <v>1.0451275223711864</v>
      </c>
      <c r="G976" s="883">
        <v>1.0051378846263248</v>
      </c>
      <c r="H976" s="883">
        <v>1.0004410245071247</v>
      </c>
      <c r="I976" s="883">
        <v>0.95040129542230134</v>
      </c>
      <c r="K976">
        <v>6.7462488320089227</v>
      </c>
      <c r="L976">
        <v>0</v>
      </c>
      <c r="M976">
        <v>1.0463648842943003E-2</v>
      </c>
      <c r="N976">
        <v>0.20006721878117831</v>
      </c>
      <c r="O976">
        <v>0.12387031408604549</v>
      </c>
      <c r="P976">
        <v>8.4118551096728694E-2</v>
      </c>
      <c r="Q976">
        <v>0</v>
      </c>
      <c r="R976">
        <v>1.0463648842943003E-2</v>
      </c>
      <c r="S976">
        <v>0.25993116737793093</v>
      </c>
      <c r="T976">
        <v>5.9136053052519362</v>
      </c>
      <c r="U976">
        <v>0</v>
      </c>
      <c r="V976">
        <v>1.9221405911983538E-2</v>
      </c>
      <c r="W976">
        <v>0.10441711009644924</v>
      </c>
      <c r="X976">
        <v>-2.0696840685054873E-3</v>
      </c>
      <c r="Y976">
        <v>4.3087443475174819E-2</v>
      </c>
    </row>
    <row r="977" spans="1:25" x14ac:dyDescent="0.25">
      <c r="A977" s="879"/>
      <c r="B977" s="1133">
        <v>727</v>
      </c>
      <c r="C977" s="883">
        <v>0.98630569692094017</v>
      </c>
      <c r="D977" s="883">
        <v>0.97958989097757454</v>
      </c>
      <c r="E977" s="883">
        <v>0.98821469921521266</v>
      </c>
      <c r="F977" s="883">
        <v>1.0401891244608628</v>
      </c>
      <c r="G977" s="883">
        <v>0.95476760005527173</v>
      </c>
      <c r="H977" s="883">
        <v>1.0026946165610346</v>
      </c>
      <c r="I977" s="883">
        <v>1.0015987453278841</v>
      </c>
      <c r="K977">
        <v>6.7608964585286611</v>
      </c>
      <c r="L977">
        <v>0</v>
      </c>
      <c r="M977">
        <v>1.0800218585391609E-2</v>
      </c>
      <c r="N977">
        <v>0.19787078701259264</v>
      </c>
      <c r="O977">
        <v>0.12492610470005122</v>
      </c>
      <c r="P977">
        <v>8.2523524931177317E-2</v>
      </c>
      <c r="Q977">
        <v>0</v>
      </c>
      <c r="R977">
        <v>1.0800218585391609E-2</v>
      </c>
      <c r="S977">
        <v>0.27462914149438422</v>
      </c>
      <c r="T977">
        <v>5.9149637101360328</v>
      </c>
      <c r="U977">
        <v>0</v>
      </c>
      <c r="V977">
        <v>1.9230786426869529E-2</v>
      </c>
      <c r="W977">
        <v>0.10475827386363135</v>
      </c>
      <c r="X977">
        <v>-2.479247803481507E-3</v>
      </c>
      <c r="Y977">
        <v>4.4473377767397272E-2</v>
      </c>
    </row>
    <row r="978" spans="1:25" x14ac:dyDescent="0.25">
      <c r="A978" s="879"/>
      <c r="B978" s="1133">
        <v>728</v>
      </c>
      <c r="C978" s="883">
        <v>0.97983461674644923</v>
      </c>
      <c r="D978" s="883">
        <v>1.0185941395303395</v>
      </c>
      <c r="E978" s="883">
        <v>0.98255779125571263</v>
      </c>
      <c r="F978" s="883">
        <v>0.99637968782367969</v>
      </c>
      <c r="G978" s="883">
        <v>1.0180198540527508</v>
      </c>
      <c r="H978" s="883">
        <v>1.01241939029558</v>
      </c>
      <c r="I978" s="883">
        <v>0.99906866127117189</v>
      </c>
      <c r="K978">
        <v>6.7583195268306202</v>
      </c>
      <c r="L978">
        <v>0</v>
      </c>
      <c r="M978">
        <v>1.0848322231665999E-2</v>
      </c>
      <c r="N978">
        <v>0.19709160135461254</v>
      </c>
      <c r="O978">
        <v>0.12390907066477266</v>
      </c>
      <c r="P978">
        <v>8.216185355511986E-2</v>
      </c>
      <c r="Q978">
        <v>0</v>
      </c>
      <c r="R978">
        <v>1.0848322231665999E-2</v>
      </c>
      <c r="S978">
        <v>0.27625790587144222</v>
      </c>
      <c r="T978">
        <v>5.9129089739529643</v>
      </c>
      <c r="U978">
        <v>0</v>
      </c>
      <c r="V978">
        <v>1.9267290262592718E-2</v>
      </c>
      <c r="W978">
        <v>0.10464107474307345</v>
      </c>
      <c r="X978">
        <v>-2.5897035945847188E-3</v>
      </c>
      <c r="Y978">
        <v>4.4671460020625359E-2</v>
      </c>
    </row>
    <row r="979" spans="1:25" x14ac:dyDescent="0.25">
      <c r="A979" s="879"/>
      <c r="B979" s="1133">
        <v>729</v>
      </c>
      <c r="C979" s="883">
        <v>1.0028550449474989</v>
      </c>
      <c r="D979" s="883">
        <v>0.96786568777744186</v>
      </c>
      <c r="E979" s="883">
        <v>1.0229667789313051</v>
      </c>
      <c r="F979" s="883">
        <v>1.0015409219120366</v>
      </c>
      <c r="G979" s="883">
        <v>1.0432457869918086</v>
      </c>
      <c r="H979" s="883">
        <v>1.007642933153436</v>
      </c>
      <c r="I979" s="883">
        <v>1.0235170846858643</v>
      </c>
      <c r="K979">
        <v>6.7603053371671376</v>
      </c>
      <c r="L979">
        <v>0</v>
      </c>
      <c r="M979">
        <v>1.0408629419515496E-2</v>
      </c>
      <c r="N979">
        <v>0.20076726387146154</v>
      </c>
      <c r="O979">
        <v>0.12279806228992296</v>
      </c>
      <c r="P979">
        <v>8.4679984604491484E-2</v>
      </c>
      <c r="Q979">
        <v>0</v>
      </c>
      <c r="R979">
        <v>1.0408629419515496E-2</v>
      </c>
      <c r="S979">
        <v>0.27668497283989874</v>
      </c>
      <c r="T979">
        <v>5.9109108669850112</v>
      </c>
      <c r="U979">
        <v>0</v>
      </c>
      <c r="V979">
        <v>1.9139573325018058E-2</v>
      </c>
      <c r="W979">
        <v>0.1044770913101155</v>
      </c>
      <c r="X979">
        <v>-2.0133613413768456E-3</v>
      </c>
      <c r="Y979">
        <v>4.2860883282592639E-2</v>
      </c>
    </row>
    <row r="980" spans="1:25" x14ac:dyDescent="0.25">
      <c r="A980" s="879"/>
      <c r="B980" s="1133">
        <v>730</v>
      </c>
      <c r="C980" s="883">
        <v>0.99065762136016122</v>
      </c>
      <c r="D980" s="883">
        <v>1.028458995180938</v>
      </c>
      <c r="E980" s="883">
        <v>1.0255245550884737</v>
      </c>
      <c r="F980" s="883">
        <v>1.0070777736060159</v>
      </c>
      <c r="G980" s="883">
        <v>1.0163811134676604</v>
      </c>
      <c r="H980" s="883">
        <v>0.99335043816461521</v>
      </c>
      <c r="I980" s="883">
        <v>1.0082548864282879</v>
      </c>
      <c r="K980">
        <v>6.7479927295444559</v>
      </c>
      <c r="L980">
        <v>0</v>
      </c>
      <c r="M980">
        <v>1.0097979910612429E-2</v>
      </c>
      <c r="N980">
        <v>0.19551342199166091</v>
      </c>
      <c r="O980">
        <v>0.12127856983864382</v>
      </c>
      <c r="P980">
        <v>8.4805619634993556E-2</v>
      </c>
      <c r="Q980">
        <v>0</v>
      </c>
      <c r="R980">
        <v>1.0097979910612429E-2</v>
      </c>
      <c r="S980">
        <v>0.2739227402190913</v>
      </c>
      <c r="T980">
        <v>5.9110628064304205</v>
      </c>
      <c r="U980">
        <v>0</v>
      </c>
      <c r="V980">
        <v>1.9206505108651642E-2</v>
      </c>
      <c r="W980">
        <v>0.10161516137698084</v>
      </c>
      <c r="X980">
        <v>-9.9377895446429066E-4</v>
      </c>
      <c r="Y980">
        <v>4.1581683898481145E-2</v>
      </c>
    </row>
    <row r="981" spans="1:25" x14ac:dyDescent="0.25">
      <c r="A981" s="879"/>
      <c r="B981" s="1133">
        <v>731</v>
      </c>
      <c r="C981" s="883">
        <v>0.97009095624841468</v>
      </c>
      <c r="D981" s="883">
        <v>0.98170808358262451</v>
      </c>
      <c r="E981" s="883">
        <v>1.0148479012200105</v>
      </c>
      <c r="F981" s="883">
        <v>0.97022307957723208</v>
      </c>
      <c r="G981" s="883">
        <v>0.99268249888103155</v>
      </c>
      <c r="H981" s="883">
        <v>0.9647051035846963</v>
      </c>
      <c r="I981" s="883">
        <v>0.973067166784366</v>
      </c>
      <c r="K981">
        <v>6.7475334411502956</v>
      </c>
      <c r="L981">
        <v>0</v>
      </c>
      <c r="M981">
        <v>1.0312157530298858E-2</v>
      </c>
      <c r="N981">
        <v>0.19653165819651208</v>
      </c>
      <c r="O981">
        <v>0.12638584825694385</v>
      </c>
      <c r="P981">
        <v>8.4034301770257461E-2</v>
      </c>
      <c r="Q981">
        <v>0</v>
      </c>
      <c r="R981">
        <v>1.0312157530298858E-2</v>
      </c>
      <c r="S981">
        <v>0.26766760502568748</v>
      </c>
      <c r="T981">
        <v>5.9096835232856559</v>
      </c>
      <c r="U981">
        <v>0</v>
      </c>
      <c r="V981">
        <v>1.9323173679141305E-2</v>
      </c>
      <c r="W981">
        <v>0.10268295139757411</v>
      </c>
      <c r="X981">
        <v>-1.2392496756318335E-3</v>
      </c>
      <c r="Y981">
        <v>4.2463629214154676E-2</v>
      </c>
    </row>
    <row r="982" spans="1:25" x14ac:dyDescent="0.25">
      <c r="A982" s="879"/>
      <c r="B982" s="1133">
        <v>732</v>
      </c>
      <c r="C982" s="883">
        <v>1.0177162887998423</v>
      </c>
      <c r="D982" s="883">
        <v>1.019229116821454</v>
      </c>
      <c r="E982" s="883">
        <v>0.97351363106452782</v>
      </c>
      <c r="F982" s="883">
        <v>0.98868460016479442</v>
      </c>
      <c r="G982" s="883">
        <v>1.0282567302168188</v>
      </c>
      <c r="H982" s="883">
        <v>1.0070069682194194</v>
      </c>
      <c r="I982" s="883">
        <v>1.0066662040456311</v>
      </c>
      <c r="K982">
        <v>6.7299209752539904</v>
      </c>
      <c r="L982">
        <v>0</v>
      </c>
      <c r="M982">
        <v>1.0468097531169772E-2</v>
      </c>
      <c r="N982">
        <v>0.18764837718110886</v>
      </c>
      <c r="O982">
        <v>0.11943065912955124</v>
      </c>
      <c r="P982">
        <v>8.1474340535126588E-2</v>
      </c>
      <c r="Q982">
        <v>0</v>
      </c>
      <c r="R982">
        <v>1.0468097531169772E-2</v>
      </c>
      <c r="S982">
        <v>0.26747557672552247</v>
      </c>
      <c r="T982">
        <v>5.912990078201684</v>
      </c>
      <c r="U982">
        <v>0</v>
      </c>
      <c r="V982">
        <v>1.9060192371331365E-2</v>
      </c>
      <c r="W982">
        <v>0.10007997085357043</v>
      </c>
      <c r="X982">
        <v>-1.3439821253689946E-3</v>
      </c>
      <c r="Y982">
        <v>4.3105762381455671E-2</v>
      </c>
    </row>
    <row r="983" spans="1:25" x14ac:dyDescent="0.25">
      <c r="A983" s="879"/>
      <c r="B983" s="1133">
        <v>733</v>
      </c>
      <c r="C983" s="883">
        <v>0.97861229212456402</v>
      </c>
      <c r="D983" s="883">
        <v>0.95853907948083616</v>
      </c>
      <c r="E983" s="883">
        <v>0.97582367396136327</v>
      </c>
      <c r="F983" s="883">
        <v>0.99498519552611886</v>
      </c>
      <c r="G983" s="883">
        <v>1.0003059584391321</v>
      </c>
      <c r="H983" s="883">
        <v>1.0264263296270839</v>
      </c>
      <c r="I983" s="883">
        <v>1.0018529103242013</v>
      </c>
      <c r="K983">
        <v>6.7771116292688074</v>
      </c>
      <c r="L983">
        <v>0</v>
      </c>
      <c r="M983">
        <v>1.136920280499047E-2</v>
      </c>
      <c r="N983">
        <v>0.20450133151763764</v>
      </c>
      <c r="O983">
        <v>0.12724627480296136</v>
      </c>
      <c r="P983">
        <v>8.1782546249665439E-2</v>
      </c>
      <c r="Q983">
        <v>0</v>
      </c>
      <c r="R983">
        <v>1.136920280499047E-2</v>
      </c>
      <c r="S983">
        <v>0.27941232909863939</v>
      </c>
      <c r="T983">
        <v>5.913204184025405</v>
      </c>
      <c r="U983">
        <v>0</v>
      </c>
      <c r="V983">
        <v>1.927423969213073E-2</v>
      </c>
      <c r="W983">
        <v>0.10894193118194011</v>
      </c>
      <c r="X983">
        <v>-4.0675608078619297E-3</v>
      </c>
      <c r="Y983">
        <v>4.6816353508289672E-2</v>
      </c>
    </row>
    <row r="984" spans="1:25" x14ac:dyDescent="0.25">
      <c r="A984" s="879"/>
      <c r="B984" s="1133">
        <v>734</v>
      </c>
      <c r="C984" s="883">
        <v>1.0150896658378863</v>
      </c>
      <c r="D984" s="883">
        <v>0.96681654131820693</v>
      </c>
      <c r="E984" s="883">
        <v>0.98375672355748867</v>
      </c>
      <c r="F984" s="883">
        <v>0.9603721940347133</v>
      </c>
      <c r="G984" s="883">
        <v>0.99968683330790753</v>
      </c>
      <c r="H984" s="883">
        <v>1.0063516486431812</v>
      </c>
      <c r="I984" s="883">
        <v>1.0118287605102296</v>
      </c>
      <c r="K984">
        <v>6.7422496617026733</v>
      </c>
      <c r="L984">
        <v>0</v>
      </c>
      <c r="M984">
        <v>1.0632942832913021E-2</v>
      </c>
      <c r="N984">
        <v>0.19352246002284904</v>
      </c>
      <c r="O984">
        <v>0.12210549073738791</v>
      </c>
      <c r="P984">
        <v>8.2126139192161787E-2</v>
      </c>
      <c r="Q984">
        <v>0</v>
      </c>
      <c r="R984">
        <v>1.0632942832913021E-2</v>
      </c>
      <c r="S984">
        <v>0.27005010169086291</v>
      </c>
      <c r="T984">
        <v>5.9108962822502704</v>
      </c>
      <c r="U984">
        <v>0</v>
      </c>
      <c r="V984">
        <v>1.9074053310116676E-2</v>
      </c>
      <c r="W984">
        <v>0.1026845422128978</v>
      </c>
      <c r="X984">
        <v>-1.993973706536934E-3</v>
      </c>
      <c r="Y984">
        <v>4.3784565992664462E-2</v>
      </c>
    </row>
    <row r="985" spans="1:25" x14ac:dyDescent="0.25">
      <c r="A985" s="879"/>
      <c r="B985" s="1133">
        <v>735</v>
      </c>
      <c r="C985" s="883">
        <v>0.98305666773928846</v>
      </c>
      <c r="D985" s="883">
        <v>1.0034247596083239</v>
      </c>
      <c r="E985" s="883">
        <v>0.97028752447636324</v>
      </c>
      <c r="F985" s="883">
        <v>0.9989649851960013</v>
      </c>
      <c r="G985" s="883">
        <v>0.97777802718651385</v>
      </c>
      <c r="H985" s="883">
        <v>0.98285111694941274</v>
      </c>
      <c r="I985" s="883">
        <v>1.0118022793705215</v>
      </c>
      <c r="K985">
        <v>6.7495804683321516</v>
      </c>
      <c r="L985">
        <v>0</v>
      </c>
      <c r="M985">
        <v>1.067817673582732E-2</v>
      </c>
      <c r="N985">
        <v>0.19049963738249673</v>
      </c>
      <c r="O985">
        <v>0.12447730461552374</v>
      </c>
      <c r="P985">
        <v>8.1396390158081061E-2</v>
      </c>
      <c r="Q985">
        <v>0</v>
      </c>
      <c r="R985">
        <v>1.067817673582732E-2</v>
      </c>
      <c r="S985">
        <v>0.27613395004349583</v>
      </c>
      <c r="T985">
        <v>5.9137221169086986</v>
      </c>
      <c r="U985">
        <v>0</v>
      </c>
      <c r="V985">
        <v>1.9249054366098986E-2</v>
      </c>
      <c r="W985">
        <v>0.10176545352356813</v>
      </c>
      <c r="X985">
        <v>-1.6342698193502242E-3</v>
      </c>
      <c r="Y985">
        <v>4.3970831153530961E-2</v>
      </c>
    </row>
    <row r="986" spans="1:25" x14ac:dyDescent="0.25">
      <c r="A986" s="879"/>
      <c r="B986" s="1133">
        <v>736</v>
      </c>
      <c r="C986" s="883">
        <v>1.006686314011878</v>
      </c>
      <c r="D986" s="883">
        <v>1.0111587004689868</v>
      </c>
      <c r="E986" s="883">
        <v>1.0088771719191401</v>
      </c>
      <c r="F986" s="883">
        <v>1.0337867928411573</v>
      </c>
      <c r="G986" s="883">
        <v>0.97439513742070383</v>
      </c>
      <c r="H986" s="883">
        <v>0.97077172643072118</v>
      </c>
      <c r="I986" s="883">
        <v>1.0150051086644667</v>
      </c>
      <c r="K986">
        <v>6.7327335667343755</v>
      </c>
      <c r="L986">
        <v>0</v>
      </c>
      <c r="M986">
        <v>9.9256612211061652E-3</v>
      </c>
      <c r="N986">
        <v>0.18750128031065916</v>
      </c>
      <c r="O986">
        <v>0.12047121550722154</v>
      </c>
      <c r="P986">
        <v>8.3730848599182006E-2</v>
      </c>
      <c r="Q986">
        <v>0</v>
      </c>
      <c r="R986">
        <v>9.9256612211061652E-3</v>
      </c>
      <c r="S986">
        <v>0.26935893700825364</v>
      </c>
      <c r="T986">
        <v>5.9134575121072164</v>
      </c>
      <c r="U986">
        <v>0</v>
      </c>
      <c r="V986">
        <v>1.9118884474300289E-2</v>
      </c>
      <c r="W986">
        <v>9.8254315764665603E-2</v>
      </c>
      <c r="X986">
        <v>-3.1533243800517715E-5</v>
      </c>
      <c r="Y986">
        <v>4.0872106206677687E-2</v>
      </c>
    </row>
    <row r="987" spans="1:25" x14ac:dyDescent="0.25">
      <c r="A987" s="879"/>
      <c r="B987" s="1133">
        <v>737</v>
      </c>
      <c r="C987" s="883">
        <v>1.0195223430727007</v>
      </c>
      <c r="D987" s="883">
        <v>1.0472959958518406</v>
      </c>
      <c r="E987" s="883">
        <v>1.0158423476260627</v>
      </c>
      <c r="F987" s="883">
        <v>0.9869525790474164</v>
      </c>
      <c r="G987" s="883">
        <v>0.97085277250552249</v>
      </c>
      <c r="H987" s="883">
        <v>1.0142986803763281</v>
      </c>
      <c r="I987" s="883">
        <v>1.0165139395755616</v>
      </c>
      <c r="K987">
        <v>6.7327589038524831</v>
      </c>
      <c r="L987">
        <v>0</v>
      </c>
      <c r="M987">
        <v>1.002616207697824E-2</v>
      </c>
      <c r="N987">
        <v>0.19136248418680438</v>
      </c>
      <c r="O987">
        <v>0.11716889138185482</v>
      </c>
      <c r="P987">
        <v>8.4137421621150718E-2</v>
      </c>
      <c r="Q987">
        <v>0</v>
      </c>
      <c r="R987">
        <v>1.002616207697824E-2</v>
      </c>
      <c r="S987">
        <v>0.27010315728183282</v>
      </c>
      <c r="T987">
        <v>5.9105306986496764</v>
      </c>
      <c r="U987">
        <v>0</v>
      </c>
      <c r="V987">
        <v>1.9050703089081907E-2</v>
      </c>
      <c r="W987">
        <v>9.9933127100193933E-2</v>
      </c>
      <c r="X987">
        <v>-8.1353030078179294E-4</v>
      </c>
      <c r="Y987">
        <v>4.1285950842673405E-2</v>
      </c>
    </row>
    <row r="988" spans="1:25" x14ac:dyDescent="0.25">
      <c r="A988" s="879"/>
      <c r="B988" s="1133">
        <v>738</v>
      </c>
      <c r="C988" s="883">
        <v>1.0210843814878592</v>
      </c>
      <c r="D988" s="883">
        <v>0.98046940958833617</v>
      </c>
      <c r="E988" s="883">
        <v>0.99009020813354742</v>
      </c>
      <c r="F988" s="883">
        <v>1.0248612382143416</v>
      </c>
      <c r="G988" s="883">
        <v>0.96916139855663497</v>
      </c>
      <c r="H988" s="883">
        <v>1.0018586532986242</v>
      </c>
      <c r="I988" s="883">
        <v>1.0062382684938795</v>
      </c>
      <c r="K988">
        <v>6.7362424141419792</v>
      </c>
      <c r="L988">
        <v>0</v>
      </c>
      <c r="M988">
        <v>1.0402613486274951E-2</v>
      </c>
      <c r="N988">
        <v>0.19111697802770447</v>
      </c>
      <c r="O988">
        <v>0.12059323359299209</v>
      </c>
      <c r="P988">
        <v>8.2517626111772907E-2</v>
      </c>
      <c r="Q988">
        <v>0</v>
      </c>
      <c r="R988">
        <v>1.0402613486274951E-2</v>
      </c>
      <c r="S988">
        <v>0.26641934765350089</v>
      </c>
      <c r="T988">
        <v>5.9140308861483595</v>
      </c>
      <c r="U988">
        <v>0</v>
      </c>
      <c r="V988">
        <v>1.9042522974819068E-2</v>
      </c>
      <c r="W988">
        <v>0.10108800028508028</v>
      </c>
      <c r="X988">
        <v>-1.4022913925549765E-3</v>
      </c>
      <c r="Y988">
        <v>4.2836110740304266E-2</v>
      </c>
    </row>
    <row r="989" spans="1:25" x14ac:dyDescent="0.25">
      <c r="A989" s="879"/>
      <c r="B989" s="1133">
        <v>739</v>
      </c>
      <c r="C989" s="883">
        <v>0.97960681518515014</v>
      </c>
      <c r="D989" s="883">
        <v>0.97179301621128211</v>
      </c>
      <c r="E989" s="883">
        <v>1.0392129394352188</v>
      </c>
      <c r="F989" s="883">
        <v>0.97552223956232031</v>
      </c>
      <c r="G989" s="883">
        <v>1.0229867954295999</v>
      </c>
      <c r="H989" s="883">
        <v>0.99934376680759951</v>
      </c>
      <c r="I989" s="883">
        <v>1.0227548079914419</v>
      </c>
      <c r="K989">
        <v>6.7731633495039016</v>
      </c>
      <c r="L989">
        <v>0</v>
      </c>
      <c r="M989">
        <v>1.0400394021841718E-2</v>
      </c>
      <c r="N989">
        <v>0.20548394656818517</v>
      </c>
      <c r="O989">
        <v>0.12518990175449918</v>
      </c>
      <c r="P989">
        <v>8.5743194467649206E-2</v>
      </c>
      <c r="Q989">
        <v>0</v>
      </c>
      <c r="R989">
        <v>1.0400394021841718E-2</v>
      </c>
      <c r="S989">
        <v>0.2821955666042647</v>
      </c>
      <c r="T989">
        <v>5.9085648028714122</v>
      </c>
      <c r="U989">
        <v>0</v>
      </c>
      <c r="V989">
        <v>1.926858409540463E-2</v>
      </c>
      <c r="W989">
        <v>0.10608310301335672</v>
      </c>
      <c r="X989">
        <v>-2.192721251687655E-3</v>
      </c>
      <c r="Y989">
        <v>4.2826971380818153E-2</v>
      </c>
    </row>
    <row r="990" spans="1:25" x14ac:dyDescent="0.25">
      <c r="A990" s="879"/>
      <c r="B990" s="1133">
        <v>740</v>
      </c>
      <c r="C990" s="883">
        <v>1.0090559009107791</v>
      </c>
      <c r="D990" s="883">
        <v>1.0050950352564567</v>
      </c>
      <c r="E990" s="883">
        <v>0.97268766590562861</v>
      </c>
      <c r="F990" s="883">
        <v>0.99285175687125793</v>
      </c>
      <c r="G990" s="883">
        <v>0.97137133552052357</v>
      </c>
      <c r="H990" s="883">
        <v>0.98635332053258629</v>
      </c>
      <c r="I990" s="883">
        <v>0.97822412802151637</v>
      </c>
      <c r="K990">
        <v>6.7229326579250595</v>
      </c>
      <c r="L990">
        <v>0</v>
      </c>
      <c r="M990">
        <v>1.0410897085733827E-2</v>
      </c>
      <c r="N990">
        <v>0.18639433960895549</v>
      </c>
      <c r="O990">
        <v>0.12114552236915252</v>
      </c>
      <c r="P990">
        <v>8.1333585017938359E-2</v>
      </c>
      <c r="Q990">
        <v>0</v>
      </c>
      <c r="R990">
        <v>1.0410897085733827E-2</v>
      </c>
      <c r="S990">
        <v>0.26039973172852227</v>
      </c>
      <c r="T990">
        <v>5.9132605470829303</v>
      </c>
      <c r="U990">
        <v>0</v>
      </c>
      <c r="V990">
        <v>1.9106167339049667E-2</v>
      </c>
      <c r="W990">
        <v>9.945238327194357E-2</v>
      </c>
      <c r="X990">
        <v>-1.0298396218877542E-3</v>
      </c>
      <c r="Y990">
        <v>4.2870221128450181E-2</v>
      </c>
    </row>
    <row r="991" spans="1:25" x14ac:dyDescent="0.25">
      <c r="A991" s="879"/>
      <c r="B991" s="1133">
        <v>741</v>
      </c>
      <c r="C991" s="883">
        <v>1.0327138052495639</v>
      </c>
      <c r="D991" s="883">
        <v>0.96792611254433691</v>
      </c>
      <c r="E991" s="883">
        <v>0.98346781370791903</v>
      </c>
      <c r="F991" s="883">
        <v>0.9605908205959337</v>
      </c>
      <c r="G991" s="883">
        <v>1.0287314824814968</v>
      </c>
      <c r="H991" s="883">
        <v>0.99103959322012625</v>
      </c>
      <c r="I991" s="883">
        <v>0.98089231497998353</v>
      </c>
      <c r="K991">
        <v>6.7156948085511221</v>
      </c>
      <c r="L991">
        <v>0</v>
      </c>
      <c r="M991">
        <v>1.0289989420341292E-2</v>
      </c>
      <c r="N991">
        <v>0.18720037529744565</v>
      </c>
      <c r="O991">
        <v>0.11997187243586005</v>
      </c>
      <c r="P991">
        <v>8.1920202189335253E-2</v>
      </c>
      <c r="Q991">
        <v>0</v>
      </c>
      <c r="R991">
        <v>1.0289989420341292E-2</v>
      </c>
      <c r="S991">
        <v>0.25592290031347331</v>
      </c>
      <c r="T991">
        <v>5.9109240630197659</v>
      </c>
      <c r="U991">
        <v>0</v>
      </c>
      <c r="V991">
        <v>1.8982399700953733E-2</v>
      </c>
      <c r="W991">
        <v>9.9344343152888245E-2</v>
      </c>
      <c r="X991">
        <v>-9.4369244172409837E-4</v>
      </c>
      <c r="Y991">
        <v>4.2372344883125905E-2</v>
      </c>
    </row>
    <row r="992" spans="1:25" x14ac:dyDescent="0.25">
      <c r="A992" s="879"/>
      <c r="B992" s="1133">
        <v>742</v>
      </c>
      <c r="C992" s="883">
        <v>1.0148982442047589</v>
      </c>
      <c r="D992" s="883">
        <v>0.96264645344807687</v>
      </c>
      <c r="E992" s="883">
        <v>1.0032224537681442</v>
      </c>
      <c r="F992" s="883">
        <v>0.9798773070436132</v>
      </c>
      <c r="G992" s="883">
        <v>0.98131774915018621</v>
      </c>
      <c r="H992" s="883">
        <v>1.0005343119033712</v>
      </c>
      <c r="I992" s="883">
        <v>0.97106748926301911</v>
      </c>
      <c r="K992">
        <v>6.7326772729298758</v>
      </c>
      <c r="L992">
        <v>0</v>
      </c>
      <c r="M992">
        <v>1.0414610306476467E-2</v>
      </c>
      <c r="N992">
        <v>0.19509727438546445</v>
      </c>
      <c r="O992">
        <v>0.12197608337484571</v>
      </c>
      <c r="P992">
        <v>8.3198105905844741E-2</v>
      </c>
      <c r="Q992">
        <v>0</v>
      </c>
      <c r="R992">
        <v>1.0414610306476467E-2</v>
      </c>
      <c r="S992">
        <v>0.25876533608573848</v>
      </c>
      <c r="T992">
        <v>5.9108640978945592</v>
      </c>
      <c r="U992">
        <v>0</v>
      </c>
      <c r="V992">
        <v>1.9075066265112083E-2</v>
      </c>
      <c r="W992">
        <v>0.10252156552962931</v>
      </c>
      <c r="X992">
        <v>-1.7057680218608999E-3</v>
      </c>
      <c r="Y992">
        <v>4.2885511510539709E-2</v>
      </c>
    </row>
    <row r="993" spans="1:25" x14ac:dyDescent="0.25">
      <c r="A993" s="879"/>
      <c r="B993" s="1133">
        <v>743</v>
      </c>
      <c r="C993" s="883">
        <v>1.023306836137778</v>
      </c>
      <c r="D993" s="883">
        <v>0.9867167989187281</v>
      </c>
      <c r="E993" s="883">
        <v>0.96968933652399159</v>
      </c>
      <c r="F993" s="883">
        <v>1.0057312568207328</v>
      </c>
      <c r="G993" s="883">
        <v>1.032806721034861</v>
      </c>
      <c r="H993" s="883">
        <v>0.97056095452751312</v>
      </c>
      <c r="I993" s="883">
        <v>1.0043418658640244</v>
      </c>
      <c r="K993">
        <v>6.7180074091344064</v>
      </c>
      <c r="L993">
        <v>0</v>
      </c>
      <c r="M993">
        <v>1.0208338251556797E-2</v>
      </c>
      <c r="N993">
        <v>0.18195599512922483</v>
      </c>
      <c r="O993">
        <v>0.12039790118139715</v>
      </c>
      <c r="P993">
        <v>8.1180246117893706E-2</v>
      </c>
      <c r="Q993">
        <v>0</v>
      </c>
      <c r="R993">
        <v>1.0208338251556797E-2</v>
      </c>
      <c r="S993">
        <v>0.26232801496780805</v>
      </c>
      <c r="T993">
        <v>5.9141205717846059</v>
      </c>
      <c r="U993">
        <v>0</v>
      </c>
      <c r="V993">
        <v>1.9030927422491566E-2</v>
      </c>
      <c r="W993">
        <v>9.7230652736317674E-2</v>
      </c>
      <c r="X993">
        <v>-2.7302010877107804E-4</v>
      </c>
      <c r="Y993">
        <v>4.203611990343762E-2</v>
      </c>
    </row>
    <row r="994" spans="1:25" x14ac:dyDescent="0.25">
      <c r="A994" s="879"/>
      <c r="B994" s="1133">
        <v>744</v>
      </c>
      <c r="C994" s="883">
        <v>1.0056331853224521</v>
      </c>
      <c r="D994" s="883">
        <v>1.0149768309619787</v>
      </c>
      <c r="E994" s="883">
        <v>0.9951325994657565</v>
      </c>
      <c r="F994" s="883">
        <v>0.96298309179321551</v>
      </c>
      <c r="G994" s="883">
        <v>0.99568562022256057</v>
      </c>
      <c r="H994" s="883">
        <v>1.0102486643598596</v>
      </c>
      <c r="I994" s="883">
        <v>0.96538030959547882</v>
      </c>
      <c r="K994">
        <v>6.7295797040148111</v>
      </c>
      <c r="L994">
        <v>0</v>
      </c>
      <c r="M994">
        <v>1.0448166165217272E-2</v>
      </c>
      <c r="N994">
        <v>0.19339396857379487</v>
      </c>
      <c r="O994">
        <v>0.12067055326220304</v>
      </c>
      <c r="P994">
        <v>8.2701150748827182E-2</v>
      </c>
      <c r="Q994">
        <v>0</v>
      </c>
      <c r="R994">
        <v>1.0448166165217272E-2</v>
      </c>
      <c r="S994">
        <v>0.25995437417726142</v>
      </c>
      <c r="T994">
        <v>5.9104051537523681</v>
      </c>
      <c r="U994">
        <v>0</v>
      </c>
      <c r="V994">
        <v>1.9124555658119661E-2</v>
      </c>
      <c r="W994">
        <v>0.10203575981404281</v>
      </c>
      <c r="X994">
        <v>-1.729500535919829E-3</v>
      </c>
      <c r="Y994">
        <v>4.3023688564114156E-2</v>
      </c>
    </row>
    <row r="995" spans="1:25" x14ac:dyDescent="0.25">
      <c r="A995" s="879"/>
      <c r="B995" s="1133">
        <v>745</v>
      </c>
      <c r="C995" s="883">
        <v>1.0006777651930328</v>
      </c>
      <c r="D995" s="883">
        <v>1.0034882464801043</v>
      </c>
      <c r="E995" s="883">
        <v>0.98444396497226139</v>
      </c>
      <c r="F995" s="883">
        <v>1.0322487368886091</v>
      </c>
      <c r="G995" s="883">
        <v>1.0027933018865913</v>
      </c>
      <c r="H995" s="883">
        <v>1.0032073420479231</v>
      </c>
      <c r="I995" s="883">
        <v>1.0085785777097218</v>
      </c>
      <c r="K995">
        <v>6.7471825398013285</v>
      </c>
      <c r="L995">
        <v>0</v>
      </c>
      <c r="M995">
        <v>1.0575848151637373E-2</v>
      </c>
      <c r="N995">
        <v>0.19267962645281211</v>
      </c>
      <c r="O995">
        <v>0.12202046297898797</v>
      </c>
      <c r="P995">
        <v>8.2251901319507187E-2</v>
      </c>
      <c r="Q995">
        <v>0</v>
      </c>
      <c r="R995">
        <v>1.0575848151637373E-2</v>
      </c>
      <c r="S995">
        <v>0.27236184303506522</v>
      </c>
      <c r="T995">
        <v>5.9147436529898485</v>
      </c>
      <c r="U995">
        <v>0</v>
      </c>
      <c r="V995">
        <v>1.9151401230944613E-2</v>
      </c>
      <c r="W995">
        <v>0.10220221229033492</v>
      </c>
      <c r="X995">
        <v>-1.7780207538179147E-3</v>
      </c>
      <c r="Y995">
        <v>4.3549460257645764E-2</v>
      </c>
    </row>
    <row r="996" spans="1:25" x14ac:dyDescent="0.25">
      <c r="A996" s="879"/>
      <c r="B996" s="1133">
        <v>746</v>
      </c>
      <c r="C996" s="883">
        <v>0.99840299890148931</v>
      </c>
      <c r="D996" s="883">
        <v>1.0045780537064786</v>
      </c>
      <c r="E996" s="883">
        <v>0.99784921263092374</v>
      </c>
      <c r="F996" s="883">
        <v>1.0035371595370242</v>
      </c>
      <c r="G996" s="883">
        <v>1.0108423192801983</v>
      </c>
      <c r="H996" s="883">
        <v>0.99381785885748963</v>
      </c>
      <c r="I996" s="883">
        <v>1.0077960557601697</v>
      </c>
      <c r="K996">
        <v>6.744286956495249</v>
      </c>
      <c r="L996">
        <v>0</v>
      </c>
      <c r="M996">
        <v>1.037377854657825E-2</v>
      </c>
      <c r="N996">
        <v>0.1927916181821378</v>
      </c>
      <c r="O996">
        <v>0.12199531744505512</v>
      </c>
      <c r="P996">
        <v>8.3059044471108331E-2</v>
      </c>
      <c r="Q996">
        <v>0</v>
      </c>
      <c r="R996">
        <v>1.037377854657825E-2</v>
      </c>
      <c r="S996">
        <v>0.27189118340297813</v>
      </c>
      <c r="T996">
        <v>5.9124448233216382</v>
      </c>
      <c r="U996">
        <v>0</v>
      </c>
      <c r="V996">
        <v>1.9163813829170189E-2</v>
      </c>
      <c r="W996">
        <v>0.10158061820698412</v>
      </c>
      <c r="X996">
        <v>-1.3568359548867274E-3</v>
      </c>
      <c r="Y996">
        <v>4.2717373591061196E-2</v>
      </c>
    </row>
    <row r="997" spans="1:25" x14ac:dyDescent="0.25">
      <c r="A997" s="879"/>
      <c r="B997" s="1133">
        <v>747</v>
      </c>
      <c r="C997" s="883">
        <v>1.0154700631489422</v>
      </c>
      <c r="D997" s="883">
        <v>0.97223636026659765</v>
      </c>
      <c r="E997" s="883">
        <v>0.99752395075113764</v>
      </c>
      <c r="F997" s="883">
        <v>0.99888569518582981</v>
      </c>
      <c r="G997" s="883">
        <v>1.0334953541938687</v>
      </c>
      <c r="H997" s="883">
        <v>1.0104382693804461</v>
      </c>
      <c r="I997" s="883">
        <v>1.0226699664624259</v>
      </c>
      <c r="K997">
        <v>6.7488354718341412</v>
      </c>
      <c r="L997">
        <v>0</v>
      </c>
      <c r="M997">
        <v>1.0519424112739881E-2</v>
      </c>
      <c r="N997">
        <v>0.19540417190551002</v>
      </c>
      <c r="O997">
        <v>0.12153134950393739</v>
      </c>
      <c r="P997">
        <v>8.3051692046532136E-2</v>
      </c>
      <c r="Q997">
        <v>0</v>
      </c>
      <c r="R997">
        <v>1.0519424112739881E-2</v>
      </c>
      <c r="S997">
        <v>0.27319533461829121</v>
      </c>
      <c r="T997">
        <v>5.9122116745163922</v>
      </c>
      <c r="U997">
        <v>0</v>
      </c>
      <c r="V997">
        <v>1.9072041477020692E-2</v>
      </c>
      <c r="W997">
        <v>0.10297380371014472</v>
      </c>
      <c r="X997">
        <v>-1.9217120522559369E-3</v>
      </c>
      <c r="Y997">
        <v>4.3317116108570419E-2</v>
      </c>
    </row>
    <row r="998" spans="1:25" x14ac:dyDescent="0.25">
      <c r="A998" s="879"/>
      <c r="B998" s="1133">
        <v>748</v>
      </c>
      <c r="C998" s="883">
        <v>0.97891563231115564</v>
      </c>
      <c r="D998" s="883">
        <v>1.0251319878181093</v>
      </c>
      <c r="E998" s="883">
        <v>0.99902011115065248</v>
      </c>
      <c r="F998" s="883">
        <v>1.0176480619180832</v>
      </c>
      <c r="G998" s="883">
        <v>1.0137200206211601</v>
      </c>
      <c r="H998" s="883">
        <v>1.00140260440743</v>
      </c>
      <c r="I998" s="883">
        <v>0.99520987701336761</v>
      </c>
      <c r="K998">
        <v>6.7549399022899177</v>
      </c>
      <c r="L998">
        <v>0</v>
      </c>
      <c r="M998">
        <v>1.0558201159215429E-2</v>
      </c>
      <c r="N998">
        <v>0.19655973164750898</v>
      </c>
      <c r="O998">
        <v>0.12339776359541607</v>
      </c>
      <c r="P998">
        <v>8.3176604927910708E-2</v>
      </c>
      <c r="Q998">
        <v>0</v>
      </c>
      <c r="R998">
        <v>1.0558201159215429E-2</v>
      </c>
      <c r="S998">
        <v>0.27436886268862859</v>
      </c>
      <c r="T998">
        <v>5.9131417207532362</v>
      </c>
      <c r="U998">
        <v>0</v>
      </c>
      <c r="V998">
        <v>1.9272513456564753E-2</v>
      </c>
      <c r="W998">
        <v>0.10350576662612798</v>
      </c>
      <c r="X998">
        <v>-1.9598544893781522E-3</v>
      </c>
      <c r="Y998">
        <v>4.3476793083899741E-2</v>
      </c>
    </row>
    <row r="999" spans="1:25" x14ac:dyDescent="0.25">
      <c r="A999" s="879"/>
      <c r="B999" s="1133">
        <v>749</v>
      </c>
      <c r="C999" s="883">
        <v>1.0071627383976027</v>
      </c>
      <c r="D999" s="883">
        <v>1.0319112406813129</v>
      </c>
      <c r="E999" s="883">
        <v>0.96849318090771508</v>
      </c>
      <c r="F999" s="883">
        <v>0.98836211537758845</v>
      </c>
      <c r="G999" s="883">
        <v>0.9853027982625866</v>
      </c>
      <c r="H999" s="883">
        <v>1.0398299191349158</v>
      </c>
      <c r="I999" s="883">
        <v>0.97088204838776837</v>
      </c>
      <c r="K999">
        <v>6.7372605455634282</v>
      </c>
      <c r="L999">
        <v>0</v>
      </c>
      <c r="M999">
        <v>1.0912523170273133E-2</v>
      </c>
      <c r="N999">
        <v>0.19416239690562567</v>
      </c>
      <c r="O999">
        <v>0.12017757278333706</v>
      </c>
      <c r="P999">
        <v>8.1109756854751691E-2</v>
      </c>
      <c r="Q999">
        <v>0</v>
      </c>
      <c r="R999">
        <v>1.0912523170273133E-2</v>
      </c>
      <c r="S999">
        <v>0.26348997439870359</v>
      </c>
      <c r="T999">
        <v>5.9132465834281325</v>
      </c>
      <c r="U999">
        <v>0</v>
      </c>
      <c r="V999">
        <v>1.9116322786445046E-2</v>
      </c>
      <c r="W999">
        <v>0.10381574621810813</v>
      </c>
      <c r="X999">
        <v>-2.793635870145608E-3</v>
      </c>
      <c r="Y999">
        <v>4.4935828058468442E-2</v>
      </c>
    </row>
    <row r="1000" spans="1:25" x14ac:dyDescent="0.25">
      <c r="A1000" s="879"/>
      <c r="B1000" s="1133">
        <v>750</v>
      </c>
      <c r="C1000" s="883">
        <v>0.97710682303557683</v>
      </c>
      <c r="D1000" s="883">
        <v>1.0146424644075063</v>
      </c>
      <c r="E1000" s="883">
        <v>1.0070743812229139</v>
      </c>
      <c r="F1000" s="883">
        <v>0.99361957898117659</v>
      </c>
      <c r="G1000" s="883">
        <v>1.0275222223039697</v>
      </c>
      <c r="H1000" s="883">
        <v>1.0067482187171655</v>
      </c>
      <c r="I1000" s="883">
        <v>1.0093749641955077</v>
      </c>
      <c r="K1000">
        <v>6.7638269475822224</v>
      </c>
      <c r="L1000">
        <v>0</v>
      </c>
      <c r="M1000">
        <v>1.0606214095375625E-2</v>
      </c>
      <c r="N1000">
        <v>0.19982321852211421</v>
      </c>
      <c r="O1000">
        <v>0.12398204936569178</v>
      </c>
      <c r="P1000">
        <v>8.3727601787624936E-2</v>
      </c>
      <c r="Q1000">
        <v>0</v>
      </c>
      <c r="R1000">
        <v>1.0606214095375625E-2</v>
      </c>
      <c r="S1000">
        <v>0.27942218670920421</v>
      </c>
      <c r="T1000">
        <v>5.9113891751145786</v>
      </c>
      <c r="U1000">
        <v>0</v>
      </c>
      <c r="V1000">
        <v>1.9282822811872286E-2</v>
      </c>
      <c r="W1000">
        <v>0.10480473843695694</v>
      </c>
      <c r="X1000">
        <v>-2.2793469748421166E-3</v>
      </c>
      <c r="Y1000">
        <v>4.3674501809023387E-2</v>
      </c>
    </row>
    <row r="1001" spans="1:25" x14ac:dyDescent="0.25">
      <c r="A1001" s="879"/>
      <c r="B1001" s="1133">
        <v>751</v>
      </c>
      <c r="C1001" s="883">
        <v>1.023461572997578</v>
      </c>
      <c r="D1001" s="883">
        <v>1.0249268375264273</v>
      </c>
      <c r="E1001" s="883">
        <v>1.012776402344904</v>
      </c>
      <c r="F1001" s="883">
        <v>0.99778665213186268</v>
      </c>
      <c r="G1001" s="883">
        <v>0.99342753663784278</v>
      </c>
      <c r="H1001" s="883">
        <v>1.0427137475947623</v>
      </c>
      <c r="I1001" s="883">
        <v>1.0180697322603476</v>
      </c>
      <c r="K1001">
        <v>6.745786181352881</v>
      </c>
      <c r="L1001">
        <v>0</v>
      </c>
      <c r="M1001">
        <v>1.0390464454739895E-2</v>
      </c>
      <c r="N1001">
        <v>0.19741788829745791</v>
      </c>
      <c r="O1001">
        <v>0.117786242109507</v>
      </c>
      <c r="P1001">
        <v>8.3985056928067903E-2</v>
      </c>
      <c r="Q1001">
        <v>0</v>
      </c>
      <c r="R1001">
        <v>1.0390464454739895E-2</v>
      </c>
      <c r="S1001">
        <v>0.27231375720288498</v>
      </c>
      <c r="T1001">
        <v>5.9112907779867649</v>
      </c>
      <c r="U1001">
        <v>0</v>
      </c>
      <c r="V1001">
        <v>1.9030121965411342E-2</v>
      </c>
      <c r="W1001">
        <v>0.10325155590861462</v>
      </c>
      <c r="X1001">
        <v>-2.0753022367226521E-3</v>
      </c>
      <c r="Y1001">
        <v>4.2786083190889911E-2</v>
      </c>
    </row>
    <row r="1002" spans="1:25" x14ac:dyDescent="0.25">
      <c r="A1002" s="879"/>
      <c r="B1002" s="1133">
        <v>752</v>
      </c>
      <c r="C1002" s="883">
        <v>0.99657032955212377</v>
      </c>
      <c r="D1002" s="883">
        <v>1.025746826934822</v>
      </c>
      <c r="E1002" s="883">
        <v>0.99798229868682797</v>
      </c>
      <c r="F1002" s="883">
        <v>1.0120135047338201</v>
      </c>
      <c r="G1002" s="883">
        <v>0.97883536291991147</v>
      </c>
      <c r="H1002" s="883">
        <v>0.97709230988710249</v>
      </c>
      <c r="I1002" s="883">
        <v>0.99832587766550462</v>
      </c>
      <c r="K1002">
        <v>6.7329496077635973</v>
      </c>
      <c r="L1002">
        <v>0</v>
      </c>
      <c r="M1002">
        <v>1.0125963568000069E-2</v>
      </c>
      <c r="N1002">
        <v>0.18822321059987823</v>
      </c>
      <c r="O1002">
        <v>0.12120195219236618</v>
      </c>
      <c r="P1002">
        <v>8.3022501597091403E-2</v>
      </c>
      <c r="Q1002">
        <v>0</v>
      </c>
      <c r="R1002">
        <v>1.0125963568000069E-2</v>
      </c>
      <c r="S1002">
        <v>0.26807390397500319</v>
      </c>
      <c r="T1002">
        <v>5.912895458090679</v>
      </c>
      <c r="U1002">
        <v>0</v>
      </c>
      <c r="V1002">
        <v>1.9173855276803004E-2</v>
      </c>
      <c r="W1002">
        <v>9.9166994464296665E-2</v>
      </c>
      <c r="X1002">
        <v>-5.0518405122469267E-4</v>
      </c>
      <c r="Y1002">
        <v>4.1696915618698108E-2</v>
      </c>
    </row>
    <row r="1003" spans="1:25" x14ac:dyDescent="0.25">
      <c r="A1003" s="879"/>
      <c r="B1003" s="1133">
        <v>753</v>
      </c>
      <c r="C1003" s="883">
        <v>0.98683081861386113</v>
      </c>
      <c r="D1003" s="883">
        <v>1.0235917332000339</v>
      </c>
      <c r="E1003" s="883">
        <v>1.0170541313423509</v>
      </c>
      <c r="F1003" s="883">
        <v>0.99090804229449059</v>
      </c>
      <c r="G1003" s="883">
        <v>0.98672311479245889</v>
      </c>
      <c r="H1003" s="883">
        <v>0.97443760599209472</v>
      </c>
      <c r="I1003" s="883">
        <v>0.99813018414151533</v>
      </c>
      <c r="K1003">
        <v>6.7396595892081299</v>
      </c>
      <c r="L1003">
        <v>0</v>
      </c>
      <c r="M1003">
        <v>1.0038514596042292E-2</v>
      </c>
      <c r="N1003">
        <v>0.19194210176947504</v>
      </c>
      <c r="O1003">
        <v>0.12214107873029308</v>
      </c>
      <c r="P1003">
        <v>8.4222685896941096E-2</v>
      </c>
      <c r="Q1003">
        <v>0</v>
      </c>
      <c r="R1003">
        <v>1.0038514596042292E-2</v>
      </c>
      <c r="S1003">
        <v>0.27046684268743332</v>
      </c>
      <c r="T1003">
        <v>5.9106752158077995</v>
      </c>
      <c r="U1003">
        <v>0</v>
      </c>
      <c r="V1003">
        <v>1.9227845178124644E-2</v>
      </c>
      <c r="W1003">
        <v>0.10017591307517866</v>
      </c>
      <c r="X1003">
        <v>-5.2891025463103756E-4</v>
      </c>
      <c r="Y1003">
        <v>4.1336816317512751E-2</v>
      </c>
    </row>
    <row r="1004" spans="1:25" x14ac:dyDescent="0.25">
      <c r="A1004" s="879"/>
      <c r="B1004" s="1133">
        <v>754</v>
      </c>
      <c r="C1004" s="883">
        <v>1.0057219971550262</v>
      </c>
      <c r="D1004" s="883">
        <v>1.0197634034773879</v>
      </c>
      <c r="E1004" s="883">
        <v>0.98088456476638763</v>
      </c>
      <c r="F1004" s="883">
        <v>0.97817652492601737</v>
      </c>
      <c r="G1004" s="883">
        <v>1.0272991730742991</v>
      </c>
      <c r="H1004" s="883">
        <v>1.0057807288782419</v>
      </c>
      <c r="I1004" s="883">
        <v>1.0245876422264639</v>
      </c>
      <c r="K1004">
        <v>6.7426564847305119</v>
      </c>
      <c r="L1004">
        <v>0</v>
      </c>
      <c r="M1004">
        <v>1.0509947143044644E-2</v>
      </c>
      <c r="N1004">
        <v>0.19047064874795966</v>
      </c>
      <c r="O1004">
        <v>0.12069491147817402</v>
      </c>
      <c r="P1004">
        <v>8.2031040414598771E-2</v>
      </c>
      <c r="Q1004">
        <v>0</v>
      </c>
      <c r="R1004">
        <v>1.0509947143044644E-2</v>
      </c>
      <c r="S1004">
        <v>0.27537500085684591</v>
      </c>
      <c r="T1004">
        <v>5.9120172489548324</v>
      </c>
      <c r="U1004">
        <v>0</v>
      </c>
      <c r="V1004">
        <v>1.9124076940594096E-2</v>
      </c>
      <c r="W1004">
        <v>0.10121053740653597</v>
      </c>
      <c r="X1004">
        <v>-1.5450717032276459E-3</v>
      </c>
      <c r="Y1004">
        <v>4.327809163420316E-2</v>
      </c>
    </row>
    <row r="1005" spans="1:25" x14ac:dyDescent="0.25">
      <c r="A1005" s="879"/>
      <c r="B1005" s="1133">
        <v>755</v>
      </c>
      <c r="C1005" s="883">
        <v>1.0142768015175856</v>
      </c>
      <c r="D1005" s="883">
        <v>0.95875090946388464</v>
      </c>
      <c r="E1005" s="883">
        <v>0.9832450123380726</v>
      </c>
      <c r="F1005" s="883">
        <v>0.99086039485723421</v>
      </c>
      <c r="G1005" s="883">
        <v>0.99532334364554176</v>
      </c>
      <c r="H1005" s="883">
        <v>0.96348810626402426</v>
      </c>
      <c r="I1005" s="883">
        <v>0.97271464285983389</v>
      </c>
      <c r="K1005">
        <v>6.7185434737848597</v>
      </c>
      <c r="L1005">
        <v>0</v>
      </c>
      <c r="M1005">
        <v>1.0229451932720627E-2</v>
      </c>
      <c r="N1005">
        <v>0.1860375560560372</v>
      </c>
      <c r="O1005">
        <v>0.12262307517920025</v>
      </c>
      <c r="P1005">
        <v>8.1929791060534565E-2</v>
      </c>
      <c r="Q1005">
        <v>0</v>
      </c>
      <c r="R1005">
        <v>1.0229451932720627E-2</v>
      </c>
      <c r="S1005">
        <v>0.25596358052242568</v>
      </c>
      <c r="T1005">
        <v>5.9125726538568628</v>
      </c>
      <c r="U1005">
        <v>0</v>
      </c>
      <c r="V1005">
        <v>1.9078357418542868E-2</v>
      </c>
      <c r="W1005">
        <v>9.873825238013928E-2</v>
      </c>
      <c r="X1005">
        <v>-5.2285497325968617E-4</v>
      </c>
      <c r="Y1005">
        <v>4.2123062284375117E-2</v>
      </c>
    </row>
    <row r="1006" spans="1:25" x14ac:dyDescent="0.25">
      <c r="A1006" s="879"/>
      <c r="B1006" s="1133">
        <v>756</v>
      </c>
      <c r="C1006" s="883">
        <v>1.0303154310818252</v>
      </c>
      <c r="D1006" s="883">
        <v>0.98914677771867254</v>
      </c>
      <c r="E1006" s="883">
        <v>1.030828759698621</v>
      </c>
      <c r="F1006" s="883">
        <v>0.99755371210346866</v>
      </c>
      <c r="G1006" s="883">
        <v>0.99110452922472081</v>
      </c>
      <c r="H1006" s="883">
        <v>0.9810996553802408</v>
      </c>
      <c r="I1006" s="883">
        <v>0.9708086858033097</v>
      </c>
      <c r="K1006">
        <v>6.7129198986288063</v>
      </c>
      <c r="L1006">
        <v>0</v>
      </c>
      <c r="M1006">
        <v>9.7057144222719386E-3</v>
      </c>
      <c r="N1006">
        <v>0.18939791620503985</v>
      </c>
      <c r="O1006">
        <v>0.11834442073556616</v>
      </c>
      <c r="P1006">
        <v>8.483500673394731E-2</v>
      </c>
      <c r="Q1006">
        <v>0</v>
      </c>
      <c r="R1006">
        <v>9.7057144222719386E-3</v>
      </c>
      <c r="S1006">
        <v>0.25286199747533333</v>
      </c>
      <c r="T1006">
        <v>5.9102420002824436</v>
      </c>
      <c r="U1006">
        <v>0</v>
      </c>
      <c r="V1006">
        <v>1.8994688028863775E-2</v>
      </c>
      <c r="W1006">
        <v>9.8180712833403364E-2</v>
      </c>
      <c r="X1006">
        <v>9.6751896053868565E-5</v>
      </c>
      <c r="Y1006">
        <v>3.9966404438149118E-2</v>
      </c>
    </row>
    <row r="1007" spans="1:25" x14ac:dyDescent="0.25">
      <c r="A1007" s="879"/>
      <c r="B1007" s="1133">
        <v>757</v>
      </c>
      <c r="C1007" s="883">
        <v>1.0117289738301136</v>
      </c>
      <c r="D1007" s="883">
        <v>0.9979359465203772</v>
      </c>
      <c r="E1007" s="883">
        <v>0.96310019887092724</v>
      </c>
      <c r="F1007" s="883">
        <v>0.99303905845476159</v>
      </c>
      <c r="G1007" s="883">
        <v>1.0198471356623102</v>
      </c>
      <c r="H1007" s="883">
        <v>0.97141541720717262</v>
      </c>
      <c r="I1007" s="883">
        <v>1.0289488745461248</v>
      </c>
      <c r="K1007">
        <v>6.7294475734956922</v>
      </c>
      <c r="L1007">
        <v>0</v>
      </c>
      <c r="M1007">
        <v>1.0343458566020045E-2</v>
      </c>
      <c r="N1007">
        <v>0.18256901435187917</v>
      </c>
      <c r="O1007">
        <v>0.12134634118604706</v>
      </c>
      <c r="P1007">
        <v>8.0884667898270382E-2</v>
      </c>
      <c r="Q1007">
        <v>0</v>
      </c>
      <c r="R1007">
        <v>1.0343458566020045E-2</v>
      </c>
      <c r="S1007">
        <v>0.27179763616708552</v>
      </c>
      <c r="T1007">
        <v>5.9137921645765186</v>
      </c>
      <c r="U1007">
        <v>0</v>
      </c>
      <c r="V1007">
        <v>1.9091892953159901E-2</v>
      </c>
      <c r="W1007">
        <v>9.7882429623050091E-2</v>
      </c>
      <c r="X1007">
        <v>-5.0909456820026318E-4</v>
      </c>
      <c r="Y1007">
        <v>4.259252130787787E-2</v>
      </c>
    </row>
    <row r="1008" spans="1:25" x14ac:dyDescent="0.25">
      <c r="A1008" s="879"/>
      <c r="B1008" s="1133">
        <v>758</v>
      </c>
      <c r="C1008" s="883">
        <v>1.0117266999368537</v>
      </c>
      <c r="D1008" s="883">
        <v>1.0053260722683015</v>
      </c>
      <c r="E1008" s="883">
        <v>1.0341661045080444</v>
      </c>
      <c r="F1008" s="883">
        <v>1.0302225883233438</v>
      </c>
      <c r="G1008" s="883">
        <v>1.013276352154405</v>
      </c>
      <c r="H1008" s="883">
        <v>1.0315612856678686</v>
      </c>
      <c r="I1008" s="883">
        <v>1.0153089742971524</v>
      </c>
      <c r="K1008">
        <v>6.7564161024267149</v>
      </c>
      <c r="L1008">
        <v>0</v>
      </c>
      <c r="M1008">
        <v>1.0290287652377203E-2</v>
      </c>
      <c r="N1008">
        <v>0.20179820162517434</v>
      </c>
      <c r="O1008">
        <v>0.11967655634697698</v>
      </c>
      <c r="P1008">
        <v>8.5355644305700529E-2</v>
      </c>
      <c r="Q1008">
        <v>0</v>
      </c>
      <c r="R1008">
        <v>1.0290287652377203E-2</v>
      </c>
      <c r="S1008">
        <v>0.27392943543297371</v>
      </c>
      <c r="T1008">
        <v>5.9118130514108147</v>
      </c>
      <c r="U1008">
        <v>0</v>
      </c>
      <c r="V1008">
        <v>1.9091905063845137E-2</v>
      </c>
      <c r="W1008">
        <v>0.10443785643546996</v>
      </c>
      <c r="X1008">
        <v>-2.0601211438109656E-3</v>
      </c>
      <c r="Y1008">
        <v>4.2373572949566458E-2</v>
      </c>
    </row>
    <row r="1009" spans="1:25" x14ac:dyDescent="0.25">
      <c r="A1009" s="879"/>
      <c r="B1009" s="1133">
        <v>759</v>
      </c>
      <c r="C1009" s="883">
        <v>1.0175418000378638</v>
      </c>
      <c r="D1009" s="883">
        <v>1.0444842002312766</v>
      </c>
      <c r="E1009" s="883">
        <v>1.0190121603545954</v>
      </c>
      <c r="F1009" s="883">
        <v>1.027727207099733</v>
      </c>
      <c r="G1009" s="883">
        <v>0.99964977859582871</v>
      </c>
      <c r="H1009" s="883">
        <v>1.0236301410174444</v>
      </c>
      <c r="I1009" s="883">
        <v>0.95557291732003835</v>
      </c>
      <c r="K1009">
        <v>6.7241668522105025</v>
      </c>
      <c r="L1009">
        <v>0</v>
      </c>
      <c r="M1009">
        <v>1.0121638359515338E-2</v>
      </c>
      <c r="N1009">
        <v>0.19409293225410656</v>
      </c>
      <c r="O1009">
        <v>0.1174654176797169</v>
      </c>
      <c r="P1009">
        <v>8.4161754373871772E-2</v>
      </c>
      <c r="Q1009">
        <v>0</v>
      </c>
      <c r="R1009">
        <v>1.0121638359515338E-2</v>
      </c>
      <c r="S1009">
        <v>0.2552441757739673</v>
      </c>
      <c r="T1009">
        <v>5.9125524500816251</v>
      </c>
      <c r="U1009">
        <v>0</v>
      </c>
      <c r="V1009">
        <v>1.9061110946112233E-2</v>
      </c>
      <c r="W1009">
        <v>0.10120071153164199</v>
      </c>
      <c r="X1009">
        <v>-1.2908056105542212E-3</v>
      </c>
      <c r="Y1009">
        <v>4.1679105180016413E-2</v>
      </c>
    </row>
    <row r="1010" spans="1:25" x14ac:dyDescent="0.25">
      <c r="A1010" s="879"/>
      <c r="B1010" s="1133">
        <v>760</v>
      </c>
      <c r="C1010" s="883">
        <v>0.99757668890109408</v>
      </c>
      <c r="D1010" s="883">
        <v>1.0257532885778751</v>
      </c>
      <c r="E1010" s="883">
        <v>1.0186471972331941</v>
      </c>
      <c r="F1010" s="883">
        <v>1.0119776724975011</v>
      </c>
      <c r="G1010" s="883">
        <v>1.005651726096898</v>
      </c>
      <c r="H1010" s="883">
        <v>0.97175544818982185</v>
      </c>
      <c r="I1010" s="883">
        <v>1.0353121685992825</v>
      </c>
      <c r="K1010">
        <v>6.7420343371309004</v>
      </c>
      <c r="L1010">
        <v>0</v>
      </c>
      <c r="M1010">
        <v>9.8803247456338145E-3</v>
      </c>
      <c r="N1010">
        <v>0.18936322191319552</v>
      </c>
      <c r="O1010">
        <v>0.12069359391458218</v>
      </c>
      <c r="P1010">
        <v>8.4428044389971063E-2</v>
      </c>
      <c r="Q1010">
        <v>0</v>
      </c>
      <c r="R1010">
        <v>9.8803247456338145E-3</v>
      </c>
      <c r="S1010">
        <v>0.27724515662939297</v>
      </c>
      <c r="T1010">
        <v>5.9117224524407659</v>
      </c>
      <c r="U1010">
        <v>0</v>
      </c>
      <c r="V1010">
        <v>1.91683367280782E-2</v>
      </c>
      <c r="W1010">
        <v>9.875238498972555E-2</v>
      </c>
      <c r="X1010">
        <v>-2.4272545083893672E-5</v>
      </c>
      <c r="Y1010">
        <v>4.0685418670274365E-2</v>
      </c>
    </row>
    <row r="1011" spans="1:25" x14ac:dyDescent="0.25">
      <c r="A1011" s="879"/>
      <c r="B1011" s="1133">
        <v>761</v>
      </c>
      <c r="C1011" s="883">
        <v>1.0001460060358145</v>
      </c>
      <c r="D1011" s="883">
        <v>0.98400101103555437</v>
      </c>
      <c r="E1011" s="883">
        <v>1.0029913159744273</v>
      </c>
      <c r="F1011" s="883">
        <v>0.99946906194660057</v>
      </c>
      <c r="G1011" s="883">
        <v>0.99629941656729992</v>
      </c>
      <c r="H1011" s="883">
        <v>0.96764083067140494</v>
      </c>
      <c r="I1011" s="883">
        <v>0.9944831746757854</v>
      </c>
      <c r="K1011">
        <v>6.7331401407257827</v>
      </c>
      <c r="L1011">
        <v>0</v>
      </c>
      <c r="M1011">
        <v>1.0127133106070416E-2</v>
      </c>
      <c r="N1011">
        <v>0.1896470172035391</v>
      </c>
      <c r="O1011">
        <v>0.12269807100383437</v>
      </c>
      <c r="P1011">
        <v>8.3290481374101638E-2</v>
      </c>
      <c r="Q1011">
        <v>0</v>
      </c>
      <c r="R1011">
        <v>1.0127133106070416E-2</v>
      </c>
      <c r="S1011">
        <v>0.26557407738865857</v>
      </c>
      <c r="T1011">
        <v>5.9119358644840521</v>
      </c>
      <c r="U1011">
        <v>0</v>
      </c>
      <c r="V1011">
        <v>1.9154297796510268E-2</v>
      </c>
      <c r="W1011">
        <v>9.9668938622330505E-2</v>
      </c>
      <c r="X1011">
        <v>-5.3033871554504497E-4</v>
      </c>
      <c r="Y1011">
        <v>4.1701731568301793E-2</v>
      </c>
    </row>
    <row r="1012" spans="1:25" x14ac:dyDescent="0.25">
      <c r="A1012" s="879"/>
      <c r="B1012" s="1133">
        <v>762</v>
      </c>
      <c r="C1012" s="883">
        <v>0.97744556500390289</v>
      </c>
      <c r="D1012" s="883">
        <v>1.0101484408339798</v>
      </c>
      <c r="E1012" s="883">
        <v>1.0042689936007085</v>
      </c>
      <c r="F1012" s="883">
        <v>0.98216780332327569</v>
      </c>
      <c r="G1012" s="883">
        <v>1.0167026294535895</v>
      </c>
      <c r="H1012" s="883">
        <v>0.97681122894553851</v>
      </c>
      <c r="I1012" s="883">
        <v>1.0159363050733652</v>
      </c>
      <c r="K1012">
        <v>6.7532577341646167</v>
      </c>
      <c r="L1012">
        <v>0</v>
      </c>
      <c r="M1012">
        <v>1.0332132013128666E-2</v>
      </c>
      <c r="N1012">
        <v>0.1938524439217148</v>
      </c>
      <c r="O1012">
        <v>0.12421305776950446</v>
      </c>
      <c r="P1012">
        <v>8.3529386833072025E-2</v>
      </c>
      <c r="Q1012">
        <v>0</v>
      </c>
      <c r="R1012">
        <v>1.0332132013128666E-2</v>
      </c>
      <c r="S1012">
        <v>0.27826137846892379</v>
      </c>
      <c r="T1012">
        <v>5.9109288598250531</v>
      </c>
      <c r="U1012">
        <v>0</v>
      </c>
      <c r="V1012">
        <v>1.928088923954745E-2</v>
      </c>
      <c r="W1012">
        <v>0.10181456960138578</v>
      </c>
      <c r="X1012">
        <v>-1.1687320737087776E-3</v>
      </c>
      <c r="Y1012">
        <v>4.2545880579122425E-2</v>
      </c>
    </row>
    <row r="1013" spans="1:25" x14ac:dyDescent="0.25">
      <c r="A1013" s="879"/>
      <c r="B1013" s="1133">
        <v>763</v>
      </c>
      <c r="C1013" s="883">
        <v>0.99415792703077588</v>
      </c>
      <c r="D1013" s="883">
        <v>0.97814995969377194</v>
      </c>
      <c r="E1013" s="883">
        <v>0.98526567652819674</v>
      </c>
      <c r="F1013" s="883">
        <v>0.98963480847348018</v>
      </c>
      <c r="G1013" s="883">
        <v>1.0287664434353803</v>
      </c>
      <c r="H1013" s="883">
        <v>1.0351159613627612</v>
      </c>
      <c r="I1013" s="883">
        <v>1.0156763754209615</v>
      </c>
      <c r="K1013">
        <v>6.7693586769714233</v>
      </c>
      <c r="L1013">
        <v>0</v>
      </c>
      <c r="M1013">
        <v>1.1096859164452836E-2</v>
      </c>
      <c r="N1013">
        <v>0.20241838043145574</v>
      </c>
      <c r="O1013">
        <v>0.12406805979331677</v>
      </c>
      <c r="P1013">
        <v>8.2367007329174111E-2</v>
      </c>
      <c r="Q1013">
        <v>0</v>
      </c>
      <c r="R1013">
        <v>1.1096859164452836E-2</v>
      </c>
      <c r="S1013">
        <v>0.27945215968515275</v>
      </c>
      <c r="T1013">
        <v>5.9123946352823848</v>
      </c>
      <c r="U1013">
        <v>0</v>
      </c>
      <c r="V1013">
        <v>1.9187129602889572E-2</v>
      </c>
      <c r="W1013">
        <v>0.10732381828908569</v>
      </c>
      <c r="X1013">
        <v>-3.5474043139609715E-3</v>
      </c>
      <c r="Y1013">
        <v>4.5694890871916624E-2</v>
      </c>
    </row>
    <row r="1014" spans="1:25" x14ac:dyDescent="0.25">
      <c r="A1014" s="879"/>
      <c r="B1014" s="1133">
        <v>764</v>
      </c>
      <c r="C1014" s="883">
        <v>1.0071761535018369</v>
      </c>
      <c r="D1014" s="883">
        <v>0.98058426163649448</v>
      </c>
      <c r="E1014" s="883">
        <v>0.98362272741844414</v>
      </c>
      <c r="F1014" s="883">
        <v>0.95899983486097229</v>
      </c>
      <c r="G1014" s="883">
        <v>0.96940473171043651</v>
      </c>
      <c r="H1014" s="883">
        <v>1.0158173187351773</v>
      </c>
      <c r="I1014" s="883">
        <v>0.99871365395422551</v>
      </c>
      <c r="K1014">
        <v>6.7451763195899428</v>
      </c>
      <c r="L1014">
        <v>0</v>
      </c>
      <c r="M1014">
        <v>1.0753161081916467E-2</v>
      </c>
      <c r="N1014">
        <v>0.19567157078576713</v>
      </c>
      <c r="O1014">
        <v>0.12237329965205694</v>
      </c>
      <c r="P1014">
        <v>8.210853880311425E-2</v>
      </c>
      <c r="Q1014">
        <v>0</v>
      </c>
      <c r="R1014">
        <v>1.0753161081916467E-2</v>
      </c>
      <c r="S1014">
        <v>0.26938197000552377</v>
      </c>
      <c r="T1014">
        <v>5.9108295009778642</v>
      </c>
      <c r="U1014">
        <v>0</v>
      </c>
      <c r="V1014">
        <v>1.9116250689807917E-2</v>
      </c>
      <c r="W1014">
        <v>0.10383183299463966</v>
      </c>
      <c r="X1014">
        <v>-2.4162476628409486E-3</v>
      </c>
      <c r="Y1014">
        <v>4.4279603344010002E-2</v>
      </c>
    </row>
    <row r="1015" spans="1:25" x14ac:dyDescent="0.25">
      <c r="A1015" s="879"/>
      <c r="B1015" s="1133">
        <v>765</v>
      </c>
      <c r="C1015" s="883">
        <v>0.97052196841885352</v>
      </c>
      <c r="D1015" s="883">
        <v>1.0133041336305209</v>
      </c>
      <c r="E1015" s="883">
        <v>0.98848829025748519</v>
      </c>
      <c r="F1015" s="883">
        <v>1.0204150674986947</v>
      </c>
      <c r="G1015" s="883">
        <v>0.96499664010615538</v>
      </c>
      <c r="H1015" s="883">
        <v>1.0203167309019983</v>
      </c>
      <c r="I1015" s="883">
        <v>1.0065269848091172</v>
      </c>
      <c r="K1015">
        <v>6.7735076857334038</v>
      </c>
      <c r="L1015">
        <v>0</v>
      </c>
      <c r="M1015">
        <v>1.1005408359436305E-2</v>
      </c>
      <c r="N1015">
        <v>0.20171188040922228</v>
      </c>
      <c r="O1015">
        <v>0.12524576124736644</v>
      </c>
      <c r="P1015">
        <v>8.2623128851434108E-2</v>
      </c>
      <c r="Q1015">
        <v>0</v>
      </c>
      <c r="R1015">
        <v>1.1005408359436305E-2</v>
      </c>
      <c r="S1015">
        <v>0.28182357013622966</v>
      </c>
      <c r="T1015">
        <v>5.913879664384007</v>
      </c>
      <c r="U1015">
        <v>0</v>
      </c>
      <c r="V1015">
        <v>1.9320677948286742E-2</v>
      </c>
      <c r="W1015">
        <v>0.10677727653455089</v>
      </c>
      <c r="X1015">
        <v>-3.1925865121910065E-3</v>
      </c>
      <c r="Y1015">
        <v>4.5318312734495041E-2</v>
      </c>
    </row>
    <row r="1016" spans="1:25" x14ac:dyDescent="0.25">
      <c r="A1016" s="879"/>
      <c r="B1016" s="1133">
        <v>766</v>
      </c>
      <c r="C1016" s="883">
        <v>0.9749565941358227</v>
      </c>
      <c r="D1016" s="883">
        <v>0.99531877920704448</v>
      </c>
      <c r="E1016" s="883">
        <v>0.99122111256703305</v>
      </c>
      <c r="F1016" s="883">
        <v>1.0106397700922336</v>
      </c>
      <c r="G1016" s="883">
        <v>1.0232684987905492</v>
      </c>
      <c r="H1016" s="883">
        <v>1.0151013259200694</v>
      </c>
      <c r="I1016" s="883">
        <v>0.98044870822565477</v>
      </c>
      <c r="K1016">
        <v>6.7639056599111376</v>
      </c>
      <c r="L1016">
        <v>0</v>
      </c>
      <c r="M1016">
        <v>1.0957102882435912E-2</v>
      </c>
      <c r="N1016">
        <v>0.20164185024150866</v>
      </c>
      <c r="O1016">
        <v>0.1255200279682003</v>
      </c>
      <c r="P1016">
        <v>8.2668314483519231E-2</v>
      </c>
      <c r="Q1016">
        <v>0</v>
      </c>
      <c r="R1016">
        <v>1.0957102882435912E-2</v>
      </c>
      <c r="S1016">
        <v>0.2729754186322752</v>
      </c>
      <c r="T1016">
        <v>5.9131992210517792</v>
      </c>
      <c r="U1016">
        <v>0</v>
      </c>
      <c r="V1016">
        <v>1.9295127862607724E-2</v>
      </c>
      <c r="W1016">
        <v>0.10659483384151004</v>
      </c>
      <c r="X1016">
        <v>-3.108533548523727E-3</v>
      </c>
      <c r="Y1016">
        <v>4.5119399378261794E-2</v>
      </c>
    </row>
    <row r="1017" spans="1:25" x14ac:dyDescent="0.25">
      <c r="A1017" s="879"/>
      <c r="B1017" s="1133">
        <v>767</v>
      </c>
      <c r="C1017" s="883">
        <v>1.0208582004523412</v>
      </c>
      <c r="D1017" s="883">
        <v>0.99687033682523785</v>
      </c>
      <c r="E1017" s="883">
        <v>1.0190370163479279</v>
      </c>
      <c r="F1017" s="883">
        <v>0.96590376786962828</v>
      </c>
      <c r="G1017" s="883">
        <v>0.99269624448014293</v>
      </c>
      <c r="H1017" s="883">
        <v>1.0232860983833854</v>
      </c>
      <c r="I1017" s="883">
        <v>0.99007293659046747</v>
      </c>
      <c r="K1017">
        <v>6.7365847890558515</v>
      </c>
      <c r="L1017">
        <v>0</v>
      </c>
      <c r="M1017">
        <v>1.0288562410241387E-2</v>
      </c>
      <c r="N1017">
        <v>0.19730112936512628</v>
      </c>
      <c r="O1017">
        <v>0.11928902164225613</v>
      </c>
      <c r="P1017">
        <v>8.423726670934463E-2</v>
      </c>
      <c r="Q1017">
        <v>0</v>
      </c>
      <c r="R1017">
        <v>1.0288562410241387E-2</v>
      </c>
      <c r="S1017">
        <v>0.2640403479373844</v>
      </c>
      <c r="T1017">
        <v>5.9092109269666491</v>
      </c>
      <c r="U1017">
        <v>0</v>
      </c>
      <c r="V1017">
        <v>1.9043705894272654E-2</v>
      </c>
      <c r="W1017">
        <v>0.10287221629325287</v>
      </c>
      <c r="X1017">
        <v>-1.7762944619656492E-3</v>
      </c>
      <c r="Y1017">
        <v>4.236646870953284E-2</v>
      </c>
    </row>
    <row r="1018" spans="1:25" x14ac:dyDescent="0.25">
      <c r="A1018" s="879"/>
      <c r="B1018" s="1133">
        <v>768</v>
      </c>
      <c r="C1018" s="883">
        <v>1.0112516675457617</v>
      </c>
      <c r="D1018" s="883">
        <v>0.99532842175448588</v>
      </c>
      <c r="E1018" s="883">
        <v>1.0025811154095914</v>
      </c>
      <c r="F1018" s="883">
        <v>1.0235456017288089</v>
      </c>
      <c r="G1018" s="883">
        <v>1.0429041784078403</v>
      </c>
      <c r="H1018" s="883">
        <v>0.99946587729242342</v>
      </c>
      <c r="I1018" s="883">
        <v>0.99063650049008078</v>
      </c>
      <c r="K1018">
        <v>6.7360695868176057</v>
      </c>
      <c r="L1018">
        <v>0</v>
      </c>
      <c r="M1018">
        <v>1.0298410276231648E-2</v>
      </c>
      <c r="N1018">
        <v>0.19273732166627952</v>
      </c>
      <c r="O1018">
        <v>0.12080390087199784</v>
      </c>
      <c r="P1018">
        <v>8.3267062605485234E-2</v>
      </c>
      <c r="Q1018">
        <v>0</v>
      </c>
      <c r="R1018">
        <v>1.0298410276231648E-2</v>
      </c>
      <c r="S1018">
        <v>0.26448502368163662</v>
      </c>
      <c r="T1018">
        <v>5.9132600884458233</v>
      </c>
      <c r="U1018">
        <v>0</v>
      </c>
      <c r="V1018">
        <v>1.9094436265832317E-2</v>
      </c>
      <c r="W1018">
        <v>0.10131366128271044</v>
      </c>
      <c r="X1018">
        <v>-1.2989284709903201E-3</v>
      </c>
      <c r="Y1018">
        <v>4.2407020468825912E-2</v>
      </c>
    </row>
    <row r="1019" spans="1:25" x14ac:dyDescent="0.25">
      <c r="A1019" s="879"/>
      <c r="B1019" s="1133">
        <v>769</v>
      </c>
      <c r="C1019" s="883">
        <v>1.0075564202022549</v>
      </c>
      <c r="D1019" s="883">
        <v>0.99248288838138765</v>
      </c>
      <c r="E1019" s="883">
        <v>1.0261877395885552</v>
      </c>
      <c r="F1019" s="883">
        <v>1.0152289260169847</v>
      </c>
      <c r="G1019" s="883">
        <v>0.98582812569559086</v>
      </c>
      <c r="H1019" s="883">
        <v>1.0154992136322814</v>
      </c>
      <c r="I1019" s="883">
        <v>1.0295392456186858</v>
      </c>
      <c r="K1019">
        <v>6.7578723566157155</v>
      </c>
      <c r="L1019">
        <v>0</v>
      </c>
      <c r="M1019">
        <v>1.0299933433900326E-2</v>
      </c>
      <c r="N1019">
        <v>0.19961922695344672</v>
      </c>
      <c r="O1019">
        <v>0.12094248815174306</v>
      </c>
      <c r="P1019">
        <v>8.4900283368005189E-2</v>
      </c>
      <c r="Q1019">
        <v>0</v>
      </c>
      <c r="R1019">
        <v>1.0299933433900326E-2</v>
      </c>
      <c r="S1019">
        <v>0.27750047499583963</v>
      </c>
      <c r="T1019">
        <v>5.9114649154032399</v>
      </c>
      <c r="U1019">
        <v>0</v>
      </c>
      <c r="V1019">
        <v>1.9114207825465537E-2</v>
      </c>
      <c r="W1019">
        <v>0.10371528544821522</v>
      </c>
      <c r="X1019">
        <v>-1.7978180912371919E-3</v>
      </c>
      <c r="Y1019">
        <v>4.2413292560993583E-2</v>
      </c>
    </row>
    <row r="1020" spans="1:25" x14ac:dyDescent="0.25">
      <c r="A1020" s="879"/>
      <c r="B1020" s="1133">
        <v>770</v>
      </c>
      <c r="C1020" s="883">
        <v>1.0287731734607906</v>
      </c>
      <c r="D1020" s="883">
        <v>0.99479819008244896</v>
      </c>
      <c r="E1020" s="883">
        <v>1.0348413134962451</v>
      </c>
      <c r="F1020" s="883">
        <v>0.96794992156311832</v>
      </c>
      <c r="G1020" s="883">
        <v>0.97106818701172515</v>
      </c>
      <c r="H1020" s="883">
        <v>1.0084260475115763</v>
      </c>
      <c r="I1020" s="883">
        <v>1.0303726349477436</v>
      </c>
      <c r="K1020">
        <v>6.7381357221935385</v>
      </c>
      <c r="L1020">
        <v>0</v>
      </c>
      <c r="M1020">
        <v>9.931646188901553E-3</v>
      </c>
      <c r="N1020">
        <v>0.19495947088981683</v>
      </c>
      <c r="O1020">
        <v>0.11817767046387832</v>
      </c>
      <c r="P1020">
        <v>8.5314048150356994E-2</v>
      </c>
      <c r="Q1020">
        <v>0</v>
      </c>
      <c r="R1020">
        <v>9.931646188901553E-3</v>
      </c>
      <c r="S1020">
        <v>0.27131787307088368</v>
      </c>
      <c r="T1020">
        <v>5.908410275635589</v>
      </c>
      <c r="U1020">
        <v>0</v>
      </c>
      <c r="V1020">
        <v>1.9002620219272189E-2</v>
      </c>
      <c r="W1020">
        <v>0.1008652107526803</v>
      </c>
      <c r="X1020">
        <v>-8.0819822771304448E-4</v>
      </c>
      <c r="Y1020">
        <v>4.0896751238774537E-2</v>
      </c>
    </row>
    <row r="1021" spans="1:25" x14ac:dyDescent="0.25">
      <c r="A1021" s="879"/>
      <c r="B1021" s="1133">
        <v>771</v>
      </c>
      <c r="C1021" s="883">
        <v>0.99666684575871289</v>
      </c>
      <c r="D1021" s="883">
        <v>1.0240001227004791</v>
      </c>
      <c r="E1021" s="883">
        <v>1.003345338037279</v>
      </c>
      <c r="F1021" s="883">
        <v>1.0283232212350615</v>
      </c>
      <c r="G1021" s="883">
        <v>1.004604406268663</v>
      </c>
      <c r="H1021" s="883">
        <v>1.0313184223075589</v>
      </c>
      <c r="I1021" s="883">
        <v>0.96692824362253016</v>
      </c>
      <c r="K1021">
        <v>6.7471748081428577</v>
      </c>
      <c r="L1021">
        <v>0</v>
      </c>
      <c r="M1021">
        <v>1.0644699742240211E-2</v>
      </c>
      <c r="N1021">
        <v>0.19944384494230311</v>
      </c>
      <c r="O1021">
        <v>0.12117294614444117</v>
      </c>
      <c r="P1021">
        <v>8.3319845767511919E-2</v>
      </c>
      <c r="Q1021">
        <v>0</v>
      </c>
      <c r="R1021">
        <v>1.0644699742240211E-2</v>
      </c>
      <c r="S1021">
        <v>0.2645497361857968</v>
      </c>
      <c r="T1021">
        <v>5.9134751803193213</v>
      </c>
      <c r="U1021">
        <v>0</v>
      </c>
      <c r="V1021">
        <v>1.9173325530028915E-2</v>
      </c>
      <c r="W1021">
        <v>0.10479925527850766</v>
      </c>
      <c r="X1021">
        <v>-2.592304877675792E-3</v>
      </c>
      <c r="Y1021">
        <v>4.3832978852621961E-2</v>
      </c>
    </row>
    <row r="1022" spans="1:25" x14ac:dyDescent="0.25">
      <c r="A1022" s="879"/>
      <c r="B1022" s="1133">
        <v>772</v>
      </c>
      <c r="C1022" s="883">
        <v>1.0067163683277482</v>
      </c>
      <c r="D1022" s="883">
        <v>0.99873618879179671</v>
      </c>
      <c r="E1022" s="883">
        <v>0.98912716723828376</v>
      </c>
      <c r="F1022" s="883">
        <v>0.98057084962743224</v>
      </c>
      <c r="G1022" s="883">
        <v>1.0190130299266604</v>
      </c>
      <c r="H1022" s="883">
        <v>1.037838213100329</v>
      </c>
      <c r="I1022" s="883">
        <v>1.0182274061146628</v>
      </c>
      <c r="K1022">
        <v>6.757697179187911</v>
      </c>
      <c r="L1022">
        <v>0</v>
      </c>
      <c r="M1022">
        <v>1.0853006239754605E-2</v>
      </c>
      <c r="N1022">
        <v>0.19910710733695219</v>
      </c>
      <c r="O1022">
        <v>0.12143239789519653</v>
      </c>
      <c r="P1022">
        <v>8.2563320303850898E-2</v>
      </c>
      <c r="Q1022">
        <v>0</v>
      </c>
      <c r="R1022">
        <v>1.0853006239754605E-2</v>
      </c>
      <c r="S1022">
        <v>0.27667818664829691</v>
      </c>
      <c r="T1022">
        <v>5.911690487254031</v>
      </c>
      <c r="U1022">
        <v>0</v>
      </c>
      <c r="V1022">
        <v>1.9118722803498134E-2</v>
      </c>
      <c r="W1022">
        <v>0.1053648362060529</v>
      </c>
      <c r="X1022">
        <v>-2.9486271921854053E-3</v>
      </c>
      <c r="Y1022">
        <v>4.4690747932211852E-2</v>
      </c>
    </row>
    <row r="1023" spans="1:25" x14ac:dyDescent="0.25">
      <c r="A1023" s="879"/>
      <c r="B1023" s="1133">
        <v>773</v>
      </c>
      <c r="C1023" s="883">
        <v>1.016453589703963</v>
      </c>
      <c r="D1023" s="883">
        <v>1.0023837762841958</v>
      </c>
      <c r="E1023" s="883">
        <v>1.0108407834041846</v>
      </c>
      <c r="F1023" s="883">
        <v>0.98102564997719344</v>
      </c>
      <c r="G1023" s="883">
        <v>1.0211235024821501</v>
      </c>
      <c r="H1023" s="883">
        <v>0.998453810937871</v>
      </c>
      <c r="I1023" s="883">
        <v>0.99924105824006337</v>
      </c>
      <c r="K1023">
        <v>6.7314749255374418</v>
      </c>
      <c r="L1023">
        <v>0</v>
      </c>
      <c r="M1023">
        <v>1.0130993734037738E-2</v>
      </c>
      <c r="N1023">
        <v>0.19193726432004601</v>
      </c>
      <c r="O1023">
        <v>0.11969394943711911</v>
      </c>
      <c r="P1023">
        <v>8.3758170742005117E-2</v>
      </c>
      <c r="Q1023">
        <v>0</v>
      </c>
      <c r="R1023">
        <v>1.0130993734037738E-2</v>
      </c>
      <c r="S1023">
        <v>0.26526769303807135</v>
      </c>
      <c r="T1023">
        <v>5.9104951651294337</v>
      </c>
      <c r="U1023">
        <v>0</v>
      </c>
      <c r="V1023">
        <v>1.9066846813130089E-2</v>
      </c>
      <c r="W1023">
        <v>0.10048121520947183</v>
      </c>
      <c r="X1023">
        <v>-9.4300809894408953E-4</v>
      </c>
      <c r="Y1023">
        <v>4.171762894710504E-2</v>
      </c>
    </row>
    <row r="1024" spans="1:25" x14ac:dyDescent="0.25">
      <c r="A1024" s="879"/>
      <c r="B1024" s="1133">
        <v>774</v>
      </c>
      <c r="C1024" s="883">
        <v>0.9619443694050076</v>
      </c>
      <c r="D1024" s="883">
        <v>0.98615030521768932</v>
      </c>
      <c r="E1024" s="883">
        <v>1.0087526249962686</v>
      </c>
      <c r="F1024" s="883">
        <v>0.9812299338707462</v>
      </c>
      <c r="G1024" s="883">
        <v>1.0080681617751392</v>
      </c>
      <c r="H1024" s="883">
        <v>0.98402694193924678</v>
      </c>
      <c r="I1024" s="883">
        <v>0.98708989270664893</v>
      </c>
      <c r="K1024">
        <v>6.7647346785044808</v>
      </c>
      <c r="L1024">
        <v>0</v>
      </c>
      <c r="M1024">
        <v>1.0643869254483324E-2</v>
      </c>
      <c r="N1024">
        <v>0.20103155857470204</v>
      </c>
      <c r="O1024">
        <v>0.12734630398291313</v>
      </c>
      <c r="P1024">
        <v>8.3773149886626846E-2</v>
      </c>
      <c r="Q1024">
        <v>0</v>
      </c>
      <c r="R1024">
        <v>1.0643869254483324E-2</v>
      </c>
      <c r="S1024">
        <v>0.27565234927825372</v>
      </c>
      <c r="T1024">
        <v>5.9106246554282169</v>
      </c>
      <c r="U1024">
        <v>0</v>
      </c>
      <c r="V1024">
        <v>1.9370766266935926E-2</v>
      </c>
      <c r="W1024">
        <v>0.1053509373680855</v>
      </c>
      <c r="X1024">
        <v>-2.2446013331177887E-3</v>
      </c>
      <c r="Y1024">
        <v>4.3829559051860423E-2</v>
      </c>
    </row>
    <row r="1025" spans="1:25" x14ac:dyDescent="0.25">
      <c r="A1025" s="879"/>
      <c r="B1025" s="1133">
        <v>775</v>
      </c>
      <c r="C1025" s="883">
        <v>0.96524044791158015</v>
      </c>
      <c r="D1025" s="883">
        <v>1.0174985755245609</v>
      </c>
      <c r="E1025" s="883">
        <v>0.97220231715491712</v>
      </c>
      <c r="F1025" s="883">
        <v>0.97567803302125955</v>
      </c>
      <c r="G1025" s="883">
        <v>0.98172523814323598</v>
      </c>
      <c r="H1025" s="883">
        <v>1.0340046276310157</v>
      </c>
      <c r="I1025" s="883">
        <v>1.0207498793332497</v>
      </c>
      <c r="K1025">
        <v>6.7824012324818046</v>
      </c>
      <c r="L1025">
        <v>0</v>
      </c>
      <c r="M1025">
        <v>1.1354313348280146E-2</v>
      </c>
      <c r="N1025">
        <v>0.20313863504150195</v>
      </c>
      <c r="O1025">
        <v>0.12603414390104517</v>
      </c>
      <c r="P1025">
        <v>8.1664923627223218E-2</v>
      </c>
      <c r="Q1025">
        <v>0</v>
      </c>
      <c r="R1025">
        <v>1.1354313348280146E-2</v>
      </c>
      <c r="S1025">
        <v>0.28864873544760256</v>
      </c>
      <c r="T1025">
        <v>5.9123585474688616</v>
      </c>
      <c r="U1025">
        <v>0</v>
      </c>
      <c r="V1025">
        <v>1.9351413720472194E-2</v>
      </c>
      <c r="W1025">
        <v>0.10841287798737301</v>
      </c>
      <c r="X1025">
        <v>-3.9630860880556932E-3</v>
      </c>
      <c r="Y1025">
        <v>4.6755041375781042E-2</v>
      </c>
    </row>
    <row r="1026" spans="1:25" x14ac:dyDescent="0.25">
      <c r="A1026" s="879"/>
      <c r="B1026" s="1133">
        <v>776</v>
      </c>
      <c r="C1026" s="883">
        <v>1.0155714596435992</v>
      </c>
      <c r="D1026" s="883">
        <v>1.0121477897860727</v>
      </c>
      <c r="E1026" s="883">
        <v>0.97904208352963706</v>
      </c>
      <c r="F1026" s="883">
        <v>0.99318447169619706</v>
      </c>
      <c r="G1026" s="883">
        <v>0.98343482897879286</v>
      </c>
      <c r="H1026" s="883">
        <v>0.97706965726444583</v>
      </c>
      <c r="I1026" s="883">
        <v>0.99890255254154148</v>
      </c>
      <c r="K1026">
        <v>6.719760719289285</v>
      </c>
      <c r="L1026">
        <v>0</v>
      </c>
      <c r="M1026">
        <v>1.0159708166767397E-2</v>
      </c>
      <c r="N1026">
        <v>0.18362066220145512</v>
      </c>
      <c r="O1026">
        <v>0.11991678412299564</v>
      </c>
      <c r="P1026">
        <v>8.1766844795934102E-2</v>
      </c>
      <c r="Q1026">
        <v>0</v>
      </c>
      <c r="R1026">
        <v>1.0159708166767397E-2</v>
      </c>
      <c r="S1026">
        <v>0.26328925367843464</v>
      </c>
      <c r="T1026">
        <v>5.9129300378163654</v>
      </c>
      <c r="U1026">
        <v>0</v>
      </c>
      <c r="V1026">
        <v>1.9071505468898929E-2</v>
      </c>
      <c r="W1026">
        <v>9.7660711258254249E-2</v>
      </c>
      <c r="X1026">
        <v>-3.3094992316517671E-4</v>
      </c>
      <c r="Y1026">
        <v>4.1835869870107276E-2</v>
      </c>
    </row>
    <row r="1027" spans="1:25" x14ac:dyDescent="0.25">
      <c r="A1027" s="879"/>
      <c r="B1027" s="1133">
        <v>777</v>
      </c>
      <c r="C1027" s="883">
        <v>1.0240038186515481</v>
      </c>
      <c r="D1027" s="883">
        <v>1.0331203600564614</v>
      </c>
      <c r="E1027" s="883">
        <v>0.98929934561924637</v>
      </c>
      <c r="F1027" s="883">
        <v>0.97474317810548894</v>
      </c>
      <c r="G1027" s="883">
        <v>1.0114641798718165</v>
      </c>
      <c r="H1027" s="883">
        <v>0.99248866816703674</v>
      </c>
      <c r="I1027" s="883">
        <v>0.98400589021822926</v>
      </c>
      <c r="K1027">
        <v>6.7121610585097651</v>
      </c>
      <c r="L1027">
        <v>0</v>
      </c>
      <c r="M1027">
        <v>1.0055268263459266E-2</v>
      </c>
      <c r="N1027">
        <v>0.18451906267847057</v>
      </c>
      <c r="O1027">
        <v>0.11777379124039822</v>
      </c>
      <c r="P1027">
        <v>8.2326452311144854E-2</v>
      </c>
      <c r="Q1027">
        <v>0</v>
      </c>
      <c r="R1027">
        <v>1.0055268263459266E-2</v>
      </c>
      <c r="S1027">
        <v>0.25845360949988322</v>
      </c>
      <c r="T1027">
        <v>5.9113659208056797</v>
      </c>
      <c r="U1027">
        <v>0</v>
      </c>
      <c r="V1027">
        <v>1.902730131668863E-2</v>
      </c>
      <c r="W1027">
        <v>9.7636650650832532E-2</v>
      </c>
      <c r="X1027">
        <v>-3.4753493122624969E-4</v>
      </c>
      <c r="Y1027">
        <v>4.1405804937894204E-2</v>
      </c>
    </row>
    <row r="1028" spans="1:25" x14ac:dyDescent="0.25">
      <c r="A1028" s="879"/>
      <c r="B1028" s="1133">
        <v>778</v>
      </c>
      <c r="C1028" s="883">
        <v>1.0126383260806398</v>
      </c>
      <c r="D1028" s="883">
        <v>0.99624939614508312</v>
      </c>
      <c r="E1028" s="883">
        <v>0.98747326353621834</v>
      </c>
      <c r="F1028" s="883">
        <v>0.9737769924053894</v>
      </c>
      <c r="G1028" s="883">
        <v>1.0249184842982666</v>
      </c>
      <c r="H1028" s="883">
        <v>0.98640065186745252</v>
      </c>
      <c r="I1028" s="883">
        <v>0.98584103992337835</v>
      </c>
      <c r="K1028">
        <v>6.7244550133128147</v>
      </c>
      <c r="L1028">
        <v>0</v>
      </c>
      <c r="M1028">
        <v>1.0280564620089031E-2</v>
      </c>
      <c r="N1028">
        <v>0.18814324665146626</v>
      </c>
      <c r="O1028">
        <v>0.120873180318169</v>
      </c>
      <c r="P1028">
        <v>8.2255086578858716E-2</v>
      </c>
      <c r="Q1028">
        <v>0</v>
      </c>
      <c r="R1028">
        <v>1.0280564620089031E-2</v>
      </c>
      <c r="S1028">
        <v>0.26160907707592762</v>
      </c>
      <c r="T1028">
        <v>5.9114150984763771</v>
      </c>
      <c r="U1028">
        <v>0</v>
      </c>
      <c r="V1028">
        <v>1.9087054131243193E-2</v>
      </c>
      <c r="W1028">
        <v>9.9645112055471941E-2</v>
      </c>
      <c r="X1028">
        <v>-9.0637720794221009E-4</v>
      </c>
      <c r="Y1028">
        <v>4.2333535233239003E-2</v>
      </c>
    </row>
    <row r="1029" spans="1:25" x14ac:dyDescent="0.25">
      <c r="A1029" s="879"/>
      <c r="B1029" s="1133">
        <v>779</v>
      </c>
      <c r="C1029" s="883">
        <v>0.96962316660165049</v>
      </c>
      <c r="D1029" s="883">
        <v>1.0175762822067591</v>
      </c>
      <c r="E1029" s="883">
        <v>0.99218190582153687</v>
      </c>
      <c r="F1029" s="883">
        <v>0.98303167161109251</v>
      </c>
      <c r="G1029" s="883">
        <v>0.97904405813012541</v>
      </c>
      <c r="H1029" s="883">
        <v>1.0004118072715182</v>
      </c>
      <c r="I1029" s="883">
        <v>1.0065607306022175</v>
      </c>
      <c r="K1029">
        <v>6.7635766178333778</v>
      </c>
      <c r="L1029">
        <v>0</v>
      </c>
      <c r="M1029">
        <v>1.0746582484070141E-2</v>
      </c>
      <c r="N1029">
        <v>0.19804955211581005</v>
      </c>
      <c r="O1029">
        <v>0.12508051079547894</v>
      </c>
      <c r="P1029">
        <v>8.2803827743174144E-2</v>
      </c>
      <c r="Q1029">
        <v>0</v>
      </c>
      <c r="R1029">
        <v>1.0746582484070141E-2</v>
      </c>
      <c r="S1029">
        <v>0.28012214709992844</v>
      </c>
      <c r="T1029">
        <v>5.9116534594153043</v>
      </c>
      <c r="U1029">
        <v>0</v>
      </c>
      <c r="V1029">
        <v>1.9325884876966955E-2</v>
      </c>
      <c r="W1029">
        <v>0.10464570660126846</v>
      </c>
      <c r="X1029">
        <v>-2.3569846635838948E-3</v>
      </c>
      <c r="Y1029">
        <v>4.42525138490256E-2</v>
      </c>
    </row>
    <row r="1030" spans="1:25" x14ac:dyDescent="0.25">
      <c r="A1030" s="879"/>
      <c r="B1030" s="1133">
        <v>780</v>
      </c>
      <c r="C1030" s="883">
        <v>1.0037604551340711</v>
      </c>
      <c r="D1030" s="883">
        <v>0.98287702716636627</v>
      </c>
      <c r="E1030" s="883">
        <v>0.99447280486804734</v>
      </c>
      <c r="F1030" s="883">
        <v>0.98980562331586064</v>
      </c>
      <c r="G1030" s="883">
        <v>0.99944341501974365</v>
      </c>
      <c r="H1030" s="883">
        <v>1.0024364099391896</v>
      </c>
      <c r="I1030" s="883">
        <v>0.97777540307075417</v>
      </c>
      <c r="K1030">
        <v>6.7387826530505137</v>
      </c>
      <c r="L1030">
        <v>0</v>
      </c>
      <c r="M1030">
        <v>1.0536747383842776E-2</v>
      </c>
      <c r="N1030">
        <v>0.19484297310186771</v>
      </c>
      <c r="O1030">
        <v>0.12247218819365741</v>
      </c>
      <c r="P1030">
        <v>8.2725478700729202E-2</v>
      </c>
      <c r="Q1030">
        <v>0</v>
      </c>
      <c r="R1030">
        <v>1.0536747383842776E-2</v>
      </c>
      <c r="S1030">
        <v>0.26338687767461139</v>
      </c>
      <c r="T1030">
        <v>5.9118917108072404</v>
      </c>
      <c r="U1030">
        <v>0</v>
      </c>
      <c r="V1030">
        <v>1.9134669858978298E-2</v>
      </c>
      <c r="W1030">
        <v>0.10283402522414659</v>
      </c>
      <c r="X1030">
        <v>-1.8937207662701996E-3</v>
      </c>
      <c r="Y1030">
        <v>4.338845025554483E-2</v>
      </c>
    </row>
    <row r="1031" spans="1:25" x14ac:dyDescent="0.25">
      <c r="A1031" s="879"/>
      <c r="B1031" s="1133">
        <v>781</v>
      </c>
      <c r="C1031" s="883">
        <v>1.0409993406179026</v>
      </c>
      <c r="D1031" s="883">
        <v>1.0393190314871918</v>
      </c>
      <c r="E1031" s="883">
        <v>0.98246033195767879</v>
      </c>
      <c r="F1031" s="883">
        <v>1.0080656843161844</v>
      </c>
      <c r="G1031" s="883">
        <v>0.96998836406336209</v>
      </c>
      <c r="H1031" s="883">
        <v>1.0135357774934401</v>
      </c>
      <c r="I1031" s="883">
        <v>0.96770727224304076</v>
      </c>
      <c r="K1031">
        <v>6.704734182854402</v>
      </c>
      <c r="L1031">
        <v>0</v>
      </c>
      <c r="M1031">
        <v>1.0135324386008943E-2</v>
      </c>
      <c r="N1031">
        <v>0.18411128445520464</v>
      </c>
      <c r="O1031">
        <v>0.11569451414805727</v>
      </c>
      <c r="P1031">
        <v>8.1836171497671736E-2</v>
      </c>
      <c r="Q1031">
        <v>0</v>
      </c>
      <c r="R1031">
        <v>1.0135324386008943E-2</v>
      </c>
      <c r="S1031">
        <v>0.25177738470256356</v>
      </c>
      <c r="T1031">
        <v>5.9135460740726122</v>
      </c>
      <c r="U1031">
        <v>0</v>
      </c>
      <c r="V1031">
        <v>1.8940383558253844E-2</v>
      </c>
      <c r="W1031">
        <v>9.7754251035183676E-2</v>
      </c>
      <c r="X1031">
        <v>-6.6134241623662469E-4</v>
      </c>
      <c r="Y1031">
        <v>4.1735461801095157E-2</v>
      </c>
    </row>
    <row r="1032" spans="1:25" x14ac:dyDescent="0.25">
      <c r="A1032" s="879"/>
      <c r="B1032" s="1133">
        <v>782</v>
      </c>
      <c r="C1032" s="883">
        <v>0.96979915762400737</v>
      </c>
      <c r="D1032" s="883">
        <v>1.0285813723900314</v>
      </c>
      <c r="E1032" s="883">
        <v>1.0062637087217803</v>
      </c>
      <c r="F1032" s="883">
        <v>0.96746761927505054</v>
      </c>
      <c r="G1032" s="883">
        <v>0.99838683204834278</v>
      </c>
      <c r="H1032" s="883">
        <v>0.96198457245160007</v>
      </c>
      <c r="I1032" s="883">
        <v>0.99893600421828888</v>
      </c>
      <c r="K1032">
        <v>6.7440884161825316</v>
      </c>
      <c r="L1032">
        <v>0</v>
      </c>
      <c r="M1032">
        <v>1.0158735379375531E-2</v>
      </c>
      <c r="N1032">
        <v>0.19116301851371736</v>
      </c>
      <c r="O1032">
        <v>0.12425192261858034</v>
      </c>
      <c r="P1032">
        <v>8.3588300185223244E-2</v>
      </c>
      <c r="Q1032">
        <v>0</v>
      </c>
      <c r="R1032">
        <v>1.0158735379375531E-2</v>
      </c>
      <c r="S1032">
        <v>0.27418372088167969</v>
      </c>
      <c r="T1032">
        <v>5.910021847487946</v>
      </c>
      <c r="U1032">
        <v>0</v>
      </c>
      <c r="V1032">
        <v>1.9324864567845195E-2</v>
      </c>
      <c r="W1032">
        <v>0.10030283830142298</v>
      </c>
      <c r="X1032">
        <v>-5.7996047866452005E-4</v>
      </c>
      <c r="Y1032">
        <v>4.1831864104777301E-2</v>
      </c>
    </row>
    <row r="1033" spans="1:25" x14ac:dyDescent="0.25">
      <c r="A1033" s="879"/>
      <c r="B1033" s="1133">
        <v>783</v>
      </c>
      <c r="C1033" s="883">
        <v>1.0019633600974927</v>
      </c>
      <c r="D1033" s="883">
        <v>0.97262564951422315</v>
      </c>
      <c r="E1033" s="883">
        <v>1.0234121270262475</v>
      </c>
      <c r="F1033" s="883">
        <v>0.97420062652121298</v>
      </c>
      <c r="G1033" s="883">
        <v>1.0135530409263811</v>
      </c>
      <c r="H1033" s="883">
        <v>1.0232331991650296</v>
      </c>
      <c r="I1033" s="883">
        <v>0.97943723843651842</v>
      </c>
      <c r="K1033">
        <v>6.7526224116538343</v>
      </c>
      <c r="L1033">
        <v>0</v>
      </c>
      <c r="M1033">
        <v>1.0552729730451561E-2</v>
      </c>
      <c r="N1033">
        <v>0.20368085738770475</v>
      </c>
      <c r="O1033">
        <v>0.12265787570200909</v>
      </c>
      <c r="P1033">
        <v>8.4547364251901722E-2</v>
      </c>
      <c r="Q1033">
        <v>0</v>
      </c>
      <c r="R1033">
        <v>1.0552729730451561E-2</v>
      </c>
      <c r="S1033">
        <v>0.26640593166197957</v>
      </c>
      <c r="T1033">
        <v>5.9094082722288679</v>
      </c>
      <c r="U1033">
        <v>0</v>
      </c>
      <c r="V1033">
        <v>1.9144411119611272E-2</v>
      </c>
      <c r="W1033">
        <v>0.10597007403085734</v>
      </c>
      <c r="X1033">
        <v>-2.6466374432276927E-3</v>
      </c>
      <c r="Y1033">
        <v>4.3454262714128146E-2</v>
      </c>
    </row>
    <row r="1034" spans="1:25" x14ac:dyDescent="0.25">
      <c r="A1034" s="879"/>
      <c r="B1034" s="1133">
        <v>784</v>
      </c>
      <c r="C1034" s="883">
        <v>1.016380409353189</v>
      </c>
      <c r="D1034" s="883">
        <v>1.016158211842592</v>
      </c>
      <c r="E1034" s="883">
        <v>1.0135364047458948</v>
      </c>
      <c r="F1034" s="883">
        <v>1.0308236686311423</v>
      </c>
      <c r="G1034" s="883">
        <v>0.99234277742587451</v>
      </c>
      <c r="H1034" s="883">
        <v>1.0319572051178525</v>
      </c>
      <c r="I1034" s="883">
        <v>1.0160066409836812</v>
      </c>
      <c r="K1034">
        <v>6.7495422172868755</v>
      </c>
      <c r="L1034">
        <v>0</v>
      </c>
      <c r="M1034">
        <v>1.0386162549126391E-2</v>
      </c>
      <c r="N1034">
        <v>0.19755824763647692</v>
      </c>
      <c r="O1034">
        <v>0.11900119153943087</v>
      </c>
      <c r="P1034">
        <v>8.4062637432798126E-2</v>
      </c>
      <c r="Q1034">
        <v>0</v>
      </c>
      <c r="R1034">
        <v>1.0386162549126391E-2</v>
      </c>
      <c r="S1034">
        <v>0.27274586478163926</v>
      </c>
      <c r="T1034">
        <v>5.913032541778823</v>
      </c>
      <c r="U1034">
        <v>0</v>
      </c>
      <c r="V1034">
        <v>1.9067232981490649E-2</v>
      </c>
      <c r="W1034">
        <v>0.10328618230901965</v>
      </c>
      <c r="X1034">
        <v>-1.9800498820893653E-3</v>
      </c>
      <c r="Y1034">
        <v>4.276836870928416E-2</v>
      </c>
    </row>
    <row r="1035" spans="1:25" x14ac:dyDescent="0.25">
      <c r="A1035" s="879"/>
      <c r="B1035" s="1133">
        <v>785</v>
      </c>
      <c r="C1035" s="883">
        <v>1.000408156866623</v>
      </c>
      <c r="D1035" s="883">
        <v>0.97412691714850297</v>
      </c>
      <c r="E1035" s="883">
        <v>0.97807312059173523</v>
      </c>
      <c r="F1035" s="883">
        <v>0.98915268993267624</v>
      </c>
      <c r="G1035" s="883">
        <v>1.0083563471233428</v>
      </c>
      <c r="H1035" s="883">
        <v>0.99460822403784066</v>
      </c>
      <c r="I1035" s="883">
        <v>1.0455212814318986</v>
      </c>
      <c r="K1035">
        <v>6.7568393675360019</v>
      </c>
      <c r="L1035">
        <v>0</v>
      </c>
      <c r="M1035">
        <v>1.0681491099930359E-2</v>
      </c>
      <c r="N1035">
        <v>0.19277369741027098</v>
      </c>
      <c r="O1035">
        <v>0.12363127870942688</v>
      </c>
      <c r="P1035">
        <v>8.1949564001498151E-2</v>
      </c>
      <c r="Q1035">
        <v>0</v>
      </c>
      <c r="R1035">
        <v>1.0681491099930359E-2</v>
      </c>
      <c r="S1035">
        <v>0.28187024685916873</v>
      </c>
      <c r="T1035">
        <v>5.9127653618250973</v>
      </c>
      <c r="U1035">
        <v>0</v>
      </c>
      <c r="V1035">
        <v>1.9152869439895637E-2</v>
      </c>
      <c r="W1035">
        <v>0.10257864110291946</v>
      </c>
      <c r="X1035">
        <v>-1.8667709272450134E-3</v>
      </c>
      <c r="Y1035">
        <v>4.3984479114972455E-2</v>
      </c>
    </row>
    <row r="1036" spans="1:25" x14ac:dyDescent="0.25">
      <c r="A1036" s="879"/>
      <c r="B1036" s="1133">
        <v>786</v>
      </c>
      <c r="C1036" s="883">
        <v>1.0078658320528417</v>
      </c>
      <c r="D1036" s="883">
        <v>1.0014371007539677</v>
      </c>
      <c r="E1036" s="883">
        <v>1.0154311007783625</v>
      </c>
      <c r="F1036" s="883">
        <v>0.96716160141441954</v>
      </c>
      <c r="G1036" s="883">
        <v>0.96391991487970685</v>
      </c>
      <c r="H1036" s="883">
        <v>1.0031758587599171</v>
      </c>
      <c r="I1036" s="883">
        <v>0.96675777039181432</v>
      </c>
      <c r="K1036">
        <v>6.7302514830128759</v>
      </c>
      <c r="L1036">
        <v>0</v>
      </c>
      <c r="M1036">
        <v>1.0228636413959302E-2</v>
      </c>
      <c r="N1036">
        <v>0.19510820391423633</v>
      </c>
      <c r="O1036">
        <v>0.12067362830650716</v>
      </c>
      <c r="P1036">
        <v>8.3951546440995353E-2</v>
      </c>
      <c r="Q1036">
        <v>0</v>
      </c>
      <c r="R1036">
        <v>1.0228636413959302E-2</v>
      </c>
      <c r="S1036">
        <v>0.25927448411410647</v>
      </c>
      <c r="T1036">
        <v>5.9094848645573377</v>
      </c>
      <c r="U1036">
        <v>0</v>
      </c>
      <c r="V1036">
        <v>1.9112546744172433E-2</v>
      </c>
      <c r="W1036">
        <v>0.10190989251058892</v>
      </c>
      <c r="X1036">
        <v>-1.3833876983461841E-3</v>
      </c>
      <c r="Y1036">
        <v>4.21197041232729E-2</v>
      </c>
    </row>
    <row r="1037" spans="1:25" x14ac:dyDescent="0.25">
      <c r="A1037" s="879"/>
      <c r="B1037" s="1133">
        <v>787</v>
      </c>
      <c r="C1037" s="883">
        <v>1.0195341913438061</v>
      </c>
      <c r="D1037" s="883">
        <v>1.0257741797459308</v>
      </c>
      <c r="E1037" s="883">
        <v>1.0004952029060732</v>
      </c>
      <c r="F1037" s="883">
        <v>0.98027593593921813</v>
      </c>
      <c r="G1037" s="883">
        <v>1.0223751243873</v>
      </c>
      <c r="H1037" s="883">
        <v>1.0207522693984912</v>
      </c>
      <c r="I1037" s="883">
        <v>1.0307567103052253</v>
      </c>
      <c r="K1037">
        <v>6.7412449077516534</v>
      </c>
      <c r="L1037">
        <v>0</v>
      </c>
      <c r="M1037">
        <v>1.03173709033893E-2</v>
      </c>
      <c r="N1037">
        <v>0.19249646203037463</v>
      </c>
      <c r="O1037">
        <v>0.1184250474028337</v>
      </c>
      <c r="P1037">
        <v>8.3242277812900695E-2</v>
      </c>
      <c r="Q1037">
        <v>0</v>
      </c>
      <c r="R1037">
        <v>1.03173709033893E-2</v>
      </c>
      <c r="S1037">
        <v>0.27466810727322849</v>
      </c>
      <c r="T1037">
        <v>5.9110391448253043</v>
      </c>
      <c r="U1037">
        <v>0</v>
      </c>
      <c r="V1037">
        <v>1.9050640947474794E-2</v>
      </c>
      <c r="W1037">
        <v>0.10129186337001438</v>
      </c>
      <c r="X1037">
        <v>-1.4537328670811793E-3</v>
      </c>
      <c r="Y1037">
        <v>4.2485096956595296E-2</v>
      </c>
    </row>
    <row r="1038" spans="1:25" x14ac:dyDescent="0.25">
      <c r="A1038" s="879"/>
      <c r="B1038" s="1133">
        <v>788</v>
      </c>
      <c r="C1038" s="883">
        <v>1.0226972998522454</v>
      </c>
      <c r="D1038" s="883">
        <v>0.97138939679286607</v>
      </c>
      <c r="E1038" s="883">
        <v>0.99038981404134108</v>
      </c>
      <c r="F1038" s="883">
        <v>0.99854504481521167</v>
      </c>
      <c r="G1038" s="883">
        <v>0.98393614122472883</v>
      </c>
      <c r="H1038" s="883">
        <v>0.99799830989408178</v>
      </c>
      <c r="I1038" s="883">
        <v>1.0017307248042804</v>
      </c>
      <c r="K1038">
        <v>6.7327515602410832</v>
      </c>
      <c r="L1038">
        <v>0</v>
      </c>
      <c r="M1038">
        <v>1.0384822824249133E-2</v>
      </c>
      <c r="N1038">
        <v>0.19087489201922081</v>
      </c>
      <c r="O1038">
        <v>0.1208464446056549</v>
      </c>
      <c r="P1038">
        <v>8.2492316921352352E-2</v>
      </c>
      <c r="Q1038">
        <v>0</v>
      </c>
      <c r="R1038">
        <v>1.0384822824249133E-2</v>
      </c>
      <c r="S1038">
        <v>0.26454512037028477</v>
      </c>
      <c r="T1038">
        <v>5.9125917904419731</v>
      </c>
      <c r="U1038">
        <v>0</v>
      </c>
      <c r="V1038">
        <v>1.9034102633710737E-2</v>
      </c>
      <c r="W1038">
        <v>0.10094487191903641</v>
      </c>
      <c r="X1038">
        <v>-1.3408306308503812E-3</v>
      </c>
      <c r="Y1038">
        <v>4.2762851960701752E-2</v>
      </c>
    </row>
    <row r="1039" spans="1:25" x14ac:dyDescent="0.25">
      <c r="A1039" s="879"/>
      <c r="B1039" s="1133">
        <v>789</v>
      </c>
      <c r="C1039" s="883">
        <v>0.99203944817625955</v>
      </c>
      <c r="D1039" s="883">
        <v>1.0135566752921457</v>
      </c>
      <c r="E1039" s="883">
        <v>0.96108566199819379</v>
      </c>
      <c r="F1039" s="883">
        <v>0.96946130510183848</v>
      </c>
      <c r="G1039" s="883">
        <v>0.98209491330325838</v>
      </c>
      <c r="H1039" s="883">
        <v>1.0015640936723249</v>
      </c>
      <c r="I1039" s="883">
        <v>1.0105438895423102</v>
      </c>
      <c r="K1039">
        <v>6.7458051924960856</v>
      </c>
      <c r="L1039">
        <v>0</v>
      </c>
      <c r="M1039">
        <v>1.0822992074463932E-2</v>
      </c>
      <c r="N1039">
        <v>0.19046221513786971</v>
      </c>
      <c r="O1039">
        <v>0.12302543662475721</v>
      </c>
      <c r="P1039">
        <v>8.0784903839369884E-2</v>
      </c>
      <c r="Q1039">
        <v>0</v>
      </c>
      <c r="R1039">
        <v>1.0822992074463932E-2</v>
      </c>
      <c r="S1039">
        <v>0.27497041966997138</v>
      </c>
      <c r="T1039">
        <v>5.9126260848206034</v>
      </c>
      <c r="U1039">
        <v>0</v>
      </c>
      <c r="V1039">
        <v>1.9198839844416497E-2</v>
      </c>
      <c r="W1039">
        <v>0.10221809727770048</v>
      </c>
      <c r="X1039">
        <v>-2.0479596604729327E-3</v>
      </c>
      <c r="Y1039">
        <v>4.4567154941867131E-2</v>
      </c>
    </row>
    <row r="1040" spans="1:25" x14ac:dyDescent="0.25">
      <c r="A1040" s="879"/>
      <c r="B1040" s="1133">
        <v>790</v>
      </c>
      <c r="C1040" s="883">
        <v>0.99463001604313728</v>
      </c>
      <c r="D1040" s="883">
        <v>1.0002331357164183</v>
      </c>
      <c r="E1040" s="883">
        <v>1.0002877693834615</v>
      </c>
      <c r="F1040" s="883">
        <v>0.97331503373940564</v>
      </c>
      <c r="G1040" s="883">
        <v>1.0246600930220369</v>
      </c>
      <c r="H1040" s="883">
        <v>0.99888557656105748</v>
      </c>
      <c r="I1040" s="883">
        <v>0.99038610428379015</v>
      </c>
      <c r="K1040">
        <v>6.7435830653816211</v>
      </c>
      <c r="L1040">
        <v>0</v>
      </c>
      <c r="M1040">
        <v>1.046336526238595E-2</v>
      </c>
      <c r="N1040">
        <v>0.19516037140211703</v>
      </c>
      <c r="O1040">
        <v>0.122624672165435</v>
      </c>
      <c r="P1040">
        <v>8.3146568798382198E-2</v>
      </c>
      <c r="Q1040">
        <v>0</v>
      </c>
      <c r="R1040">
        <v>1.046336526238595E-2</v>
      </c>
      <c r="S1040">
        <v>0.26872939357349374</v>
      </c>
      <c r="T1040">
        <v>5.9106746193207966</v>
      </c>
      <c r="U1040">
        <v>0</v>
      </c>
      <c r="V1040">
        <v>1.9184526849669072E-2</v>
      </c>
      <c r="W1040">
        <v>0.1027041937903992</v>
      </c>
      <c r="X1040">
        <v>-1.7275562595895277E-3</v>
      </c>
      <c r="Y1040">
        <v>4.3086275740916329E-2</v>
      </c>
    </row>
    <row r="1041" spans="1:25" x14ac:dyDescent="0.25">
      <c r="A1041" s="879"/>
      <c r="B1041" s="1133">
        <v>791</v>
      </c>
      <c r="C1041" s="883">
        <v>0.97297477944460486</v>
      </c>
      <c r="D1041" s="883">
        <v>0.99997027059021593</v>
      </c>
      <c r="E1041" s="883">
        <v>1.014226190872169</v>
      </c>
      <c r="F1041" s="883">
        <v>1.0228009033489569</v>
      </c>
      <c r="G1041" s="883">
        <v>0.99427771628354222</v>
      </c>
      <c r="H1041" s="883">
        <v>0.97927149184864215</v>
      </c>
      <c r="I1041" s="883">
        <v>1.0105836480985602</v>
      </c>
      <c r="K1041">
        <v>6.7611573972564702</v>
      </c>
      <c r="L1041">
        <v>0</v>
      </c>
      <c r="M1041">
        <v>1.0360373999734093E-2</v>
      </c>
      <c r="N1041">
        <v>0.19726899648556676</v>
      </c>
      <c r="O1041">
        <v>0.12509768937143223</v>
      </c>
      <c r="P1041">
        <v>8.4179612382760075E-2</v>
      </c>
      <c r="Q1041">
        <v>0</v>
      </c>
      <c r="R1041">
        <v>1.0360373999734093E-2</v>
      </c>
      <c r="S1041">
        <v>0.27841979282056595</v>
      </c>
      <c r="T1041">
        <v>5.9125597544560264</v>
      </c>
      <c r="U1041">
        <v>0</v>
      </c>
      <c r="V1041">
        <v>1.9306517298659117E-2</v>
      </c>
      <c r="W1041">
        <v>0.10309983251272395</v>
      </c>
      <c r="X1041">
        <v>-1.4369741243374676E-3</v>
      </c>
      <c r="Y1041">
        <v>4.2662176053077351E-2</v>
      </c>
    </row>
    <row r="1042" spans="1:25" x14ac:dyDescent="0.25">
      <c r="A1042" s="879"/>
      <c r="B1042" s="1133">
        <v>792</v>
      </c>
      <c r="C1042" s="883">
        <v>1.0141939466967529</v>
      </c>
      <c r="D1042" s="883">
        <v>0.96706039396855192</v>
      </c>
      <c r="E1042" s="883">
        <v>0.995703817038044</v>
      </c>
      <c r="F1042" s="883">
        <v>0.98659146872185732</v>
      </c>
      <c r="G1042" s="883">
        <v>0.97811895492076295</v>
      </c>
      <c r="H1042" s="883">
        <v>0.96591627863847918</v>
      </c>
      <c r="I1042" s="883">
        <v>1.0121064441671688</v>
      </c>
      <c r="K1042">
        <v>6.7293615204772674</v>
      </c>
      <c r="L1042">
        <v>0</v>
      </c>
      <c r="M1042">
        <v>1.010769586875411E-2</v>
      </c>
      <c r="N1042">
        <v>0.18725036212160848</v>
      </c>
      <c r="O1042">
        <v>0.12197839376463582</v>
      </c>
      <c r="P1042">
        <v>8.2840679076211107E-2</v>
      </c>
      <c r="Q1042">
        <v>0</v>
      </c>
      <c r="R1042">
        <v>1.010769586875411E-2</v>
      </c>
      <c r="S1042">
        <v>0.26652178580308139</v>
      </c>
      <c r="T1042">
        <v>5.9116491623088034</v>
      </c>
      <c r="U1042">
        <v>0</v>
      </c>
      <c r="V1042">
        <v>1.9078796521454611E-2</v>
      </c>
      <c r="W1042">
        <v>9.8766282942038292E-2</v>
      </c>
      <c r="X1042">
        <v>-3.4563454529620586E-4</v>
      </c>
      <c r="Y1042">
        <v>4.1621692484732499E-2</v>
      </c>
    </row>
    <row r="1043" spans="1:25" x14ac:dyDescent="0.25">
      <c r="A1043" s="879"/>
      <c r="B1043" s="1133">
        <v>793</v>
      </c>
      <c r="C1043" s="883">
        <v>1.0265868344097733</v>
      </c>
      <c r="D1043" s="883">
        <v>1.0063136641721011</v>
      </c>
      <c r="E1043" s="883">
        <v>1.009393703794107</v>
      </c>
      <c r="F1043" s="883">
        <v>0.97838568687400485</v>
      </c>
      <c r="G1043" s="883">
        <v>1.0076346269646361</v>
      </c>
      <c r="H1043" s="883">
        <v>0.99098437374084769</v>
      </c>
      <c r="I1043" s="883">
        <v>1.0062005101833154</v>
      </c>
      <c r="K1043">
        <v>6.7225480011492449</v>
      </c>
      <c r="L1043">
        <v>0</v>
      </c>
      <c r="M1043">
        <v>9.9518679558650916E-3</v>
      </c>
      <c r="N1043">
        <v>0.1881401587474805</v>
      </c>
      <c r="O1043">
        <v>0.11835360410331065</v>
      </c>
      <c r="P1043">
        <v>8.3645444188667512E-2</v>
      </c>
      <c r="Q1043">
        <v>0</v>
      </c>
      <c r="R1043">
        <v>9.9518679558650916E-3</v>
      </c>
      <c r="S1043">
        <v>0.26375010588659398</v>
      </c>
      <c r="T1043">
        <v>5.910434627514638</v>
      </c>
      <c r="U1043">
        <v>0</v>
      </c>
      <c r="V1043">
        <v>1.901390591225971E-2</v>
      </c>
      <c r="W1043">
        <v>9.8563907130908415E-2</v>
      </c>
      <c r="X1043">
        <v>-3.3377321040765277E-4</v>
      </c>
      <c r="Y1043">
        <v>4.0980020875790051E-2</v>
      </c>
    </row>
    <row r="1044" spans="1:25" x14ac:dyDescent="0.25">
      <c r="A1044" s="879"/>
      <c r="B1044" s="1133">
        <v>794</v>
      </c>
      <c r="C1044" s="883">
        <v>0.99880773474237883</v>
      </c>
      <c r="D1044" s="883">
        <v>0.96917786578039888</v>
      </c>
      <c r="E1044" s="883">
        <v>0.98338567790830433</v>
      </c>
      <c r="F1044" s="883">
        <v>0.98928919749260424</v>
      </c>
      <c r="G1044" s="883">
        <v>0.99279180846004966</v>
      </c>
      <c r="H1044" s="883">
        <v>0.9956845714345558</v>
      </c>
      <c r="I1044" s="883">
        <v>0.97317287215139536</v>
      </c>
      <c r="K1044">
        <v>6.7400153834867496</v>
      </c>
      <c r="L1044">
        <v>0</v>
      </c>
      <c r="M1044">
        <v>1.0684007699448501E-2</v>
      </c>
      <c r="N1044">
        <v>0.19434486407911203</v>
      </c>
      <c r="O1044">
        <v>0.12398194131093694</v>
      </c>
      <c r="P1044">
        <v>8.2030892434326805E-2</v>
      </c>
      <c r="Q1044">
        <v>0</v>
      </c>
      <c r="R1044">
        <v>1.0684007699448501E-2</v>
      </c>
      <c r="S1044">
        <v>0.26294714038199285</v>
      </c>
      <c r="T1044">
        <v>5.912479946516493</v>
      </c>
      <c r="U1044">
        <v>0</v>
      </c>
      <c r="V1044">
        <v>1.9161601193385915E-2</v>
      </c>
      <c r="W1044">
        <v>0.10314004855716104</v>
      </c>
      <c r="X1044">
        <v>-2.0658930105075914E-3</v>
      </c>
      <c r="Y1044">
        <v>4.3994842023850129E-2</v>
      </c>
    </row>
    <row r="1045" spans="1:25" x14ac:dyDescent="0.25">
      <c r="A1045" s="879"/>
      <c r="B1045" s="1133">
        <v>795</v>
      </c>
      <c r="C1045" s="883">
        <v>0.98077596537204548</v>
      </c>
      <c r="D1045" s="883">
        <v>0.98935116489197372</v>
      </c>
      <c r="E1045" s="883">
        <v>0.99121487269323283</v>
      </c>
      <c r="F1045" s="883">
        <v>1.0259483061148753</v>
      </c>
      <c r="G1045" s="883">
        <v>1.0097920024845171</v>
      </c>
      <c r="H1045" s="883">
        <v>0.99375053260249901</v>
      </c>
      <c r="I1045" s="883">
        <v>1.0469613683277794</v>
      </c>
      <c r="K1045">
        <v>6.7715918743797019</v>
      </c>
      <c r="L1045">
        <v>0</v>
      </c>
      <c r="M1045">
        <v>1.0690561641806517E-2</v>
      </c>
      <c r="N1045">
        <v>0.19673491362684092</v>
      </c>
      <c r="O1045">
        <v>0.12507588961078331</v>
      </c>
      <c r="P1045">
        <v>8.2874120809938681E-2</v>
      </c>
      <c r="Q1045">
        <v>0</v>
      </c>
      <c r="R1045">
        <v>1.0690561641806517E-2</v>
      </c>
      <c r="S1045">
        <v>0.28767551333512592</v>
      </c>
      <c r="T1045">
        <v>5.9140269983816465</v>
      </c>
      <c r="U1045">
        <v>0</v>
      </c>
      <c r="V1045">
        <v>1.9261950106635839E-2</v>
      </c>
      <c r="W1045">
        <v>0.1040011814262287</v>
      </c>
      <c r="X1045">
        <v>-2.0805229094266846E-3</v>
      </c>
      <c r="Y1045">
        <v>4.4021829991922203E-2</v>
      </c>
    </row>
    <row r="1046" spans="1:25" x14ac:dyDescent="0.25">
      <c r="A1046" s="879"/>
      <c r="B1046" s="1133">
        <v>796</v>
      </c>
      <c r="C1046" s="883">
        <v>1.0300799892803199</v>
      </c>
      <c r="D1046" s="883">
        <v>0.99720506791390451</v>
      </c>
      <c r="E1046" s="883">
        <v>0.98568375274149478</v>
      </c>
      <c r="F1046" s="883">
        <v>1.0044425713589684</v>
      </c>
      <c r="G1046" s="883">
        <v>0.98152386966396221</v>
      </c>
      <c r="H1046" s="883">
        <v>0.99436282576175905</v>
      </c>
      <c r="I1046" s="883">
        <v>0.97460928482555498</v>
      </c>
      <c r="K1046">
        <v>6.7141291972592754</v>
      </c>
      <c r="L1046">
        <v>0</v>
      </c>
      <c r="M1046">
        <v>1.0199795099659351E-2</v>
      </c>
      <c r="N1046">
        <v>0.18617038572809644</v>
      </c>
      <c r="O1046">
        <v>0.11881332965293821</v>
      </c>
      <c r="P1046">
        <v>8.2076388518475291E-2</v>
      </c>
      <c r="Q1046">
        <v>0</v>
      </c>
      <c r="R1046">
        <v>1.0199795099659351E-2</v>
      </c>
      <c r="S1046">
        <v>0.25494873791566797</v>
      </c>
      <c r="T1046">
        <v>5.9131719151115698</v>
      </c>
      <c r="U1046">
        <v>0</v>
      </c>
      <c r="V1046">
        <v>1.8995897424670099E-2</v>
      </c>
      <c r="W1046">
        <v>9.8688388735667806E-2</v>
      </c>
      <c r="X1046">
        <v>-7.3678655235466788E-4</v>
      </c>
      <c r="Y1046">
        <v>4.200094072454829E-2</v>
      </c>
    </row>
    <row r="1047" spans="1:25" x14ac:dyDescent="0.25">
      <c r="A1047" s="879"/>
      <c r="B1047" s="1133">
        <v>797</v>
      </c>
      <c r="C1047" s="883">
        <v>1.0220245448026866</v>
      </c>
      <c r="D1047" s="883">
        <v>1.0214421310788948</v>
      </c>
      <c r="E1047" s="883">
        <v>0.97757905646052523</v>
      </c>
      <c r="F1047" s="883">
        <v>0.99023529421159573</v>
      </c>
      <c r="G1047" s="883">
        <v>0.99453344896197959</v>
      </c>
      <c r="H1047" s="883">
        <v>0.96576655743681816</v>
      </c>
      <c r="I1047" s="883">
        <v>1.0344274292598032</v>
      </c>
      <c r="K1047">
        <v>6.7185803185675272</v>
      </c>
      <c r="L1047">
        <v>0</v>
      </c>
      <c r="M1047">
        <v>9.9524838355692299E-3</v>
      </c>
      <c r="N1047">
        <v>0.17948533571802655</v>
      </c>
      <c r="O1047">
        <v>0.11875104924919228</v>
      </c>
      <c r="P1047">
        <v>8.1758750328924643E-2</v>
      </c>
      <c r="Q1047">
        <v>0</v>
      </c>
      <c r="R1047">
        <v>9.9524838355692299E-3</v>
      </c>
      <c r="S1047">
        <v>0.26978028752161226</v>
      </c>
      <c r="T1047">
        <v>5.9128510385368394</v>
      </c>
      <c r="U1047">
        <v>0</v>
      </c>
      <c r="V1047">
        <v>1.9037611562639816E-2</v>
      </c>
      <c r="W1047">
        <v>9.5531295770560659E-2</v>
      </c>
      <c r="X1047">
        <v>4.0239292093864241E-4</v>
      </c>
      <c r="Y1047">
        <v>4.098255695878919E-2</v>
      </c>
    </row>
    <row r="1048" spans="1:25" x14ac:dyDescent="0.25">
      <c r="A1048" s="879"/>
      <c r="B1048" s="1133">
        <v>798</v>
      </c>
      <c r="C1048" s="883">
        <v>0.98197316987236527</v>
      </c>
      <c r="D1048" s="883">
        <v>1.0198590436307859</v>
      </c>
      <c r="E1048" s="883">
        <v>1.0252665436132329</v>
      </c>
      <c r="F1048" s="883">
        <v>0.99822710572444795</v>
      </c>
      <c r="G1048" s="883">
        <v>1.0403177181653729</v>
      </c>
      <c r="H1048" s="883">
        <v>1.0178886927519601</v>
      </c>
      <c r="I1048" s="883">
        <v>0.99562750204990269</v>
      </c>
      <c r="K1048">
        <v>6.7617435105499997</v>
      </c>
      <c r="L1048">
        <v>0</v>
      </c>
      <c r="M1048">
        <v>1.0478883652991114E-2</v>
      </c>
      <c r="N1048">
        <v>0.20281095049851874</v>
      </c>
      <c r="O1048">
        <v>0.12276773776698664</v>
      </c>
      <c r="P1048">
        <v>8.4802432229252558E-2</v>
      </c>
      <c r="Q1048">
        <v>0</v>
      </c>
      <c r="R1048">
        <v>1.0478883652991114E-2</v>
      </c>
      <c r="S1048">
        <v>0.27528743054366106</v>
      </c>
      <c r="T1048">
        <v>5.9105995460205163</v>
      </c>
      <c r="U1048">
        <v>0</v>
      </c>
      <c r="V1048">
        <v>1.9255173302321477E-2</v>
      </c>
      <c r="W1048">
        <v>0.10542131025301443</v>
      </c>
      <c r="X1048">
        <v>-2.3512477755333037E-3</v>
      </c>
      <c r="Y1048">
        <v>4.3150177711257842E-2</v>
      </c>
    </row>
    <row r="1049" spans="1:25" x14ac:dyDescent="0.25">
      <c r="A1049" s="879"/>
      <c r="B1049" s="1133">
        <v>799</v>
      </c>
      <c r="C1049" s="883">
        <v>0.98448510571836334</v>
      </c>
      <c r="D1049" s="883">
        <v>0.98706482112783411</v>
      </c>
      <c r="E1049" s="883">
        <v>1.0336198619283818</v>
      </c>
      <c r="F1049" s="883">
        <v>1.0219360318425084</v>
      </c>
      <c r="G1049" s="883">
        <v>1.0052464399976335</v>
      </c>
      <c r="H1049" s="883">
        <v>1.0199592172031784</v>
      </c>
      <c r="I1049" s="883">
        <v>1.0075366977048639</v>
      </c>
      <c r="K1049">
        <v>6.7726166665039917</v>
      </c>
      <c r="L1049">
        <v>0</v>
      </c>
      <c r="M1049">
        <v>1.0543572309099206E-2</v>
      </c>
      <c r="N1049">
        <v>0.2065984150325787</v>
      </c>
      <c r="O1049">
        <v>0.123903872122028</v>
      </c>
      <c r="P1049">
        <v>8.5379774439945294E-2</v>
      </c>
      <c r="Q1049">
        <v>0</v>
      </c>
      <c r="R1049">
        <v>1.0543572309099206E-2</v>
      </c>
      <c r="S1049">
        <v>0.27844130268528505</v>
      </c>
      <c r="T1049">
        <v>5.9113971908837595</v>
      </c>
      <c r="U1049">
        <v>0</v>
      </c>
      <c r="V1049">
        <v>1.9241008001151996E-2</v>
      </c>
      <c r="W1049">
        <v>0.10695075144583011</v>
      </c>
      <c r="X1049">
        <v>-2.7122021895433276E-3</v>
      </c>
      <c r="Y1049">
        <v>4.3416554082959392E-2</v>
      </c>
    </row>
    <row r="1050" spans="1:25" x14ac:dyDescent="0.25">
      <c r="A1050" s="879"/>
      <c r="B1050" s="1133">
        <v>800</v>
      </c>
      <c r="C1050" s="883">
        <v>0.99757001064075623</v>
      </c>
      <c r="D1050" s="883">
        <v>1.0007150658549782</v>
      </c>
      <c r="E1050" s="883">
        <v>1.004378092612328</v>
      </c>
      <c r="F1050" s="883">
        <v>0.99211849874424507</v>
      </c>
      <c r="G1050" s="883">
        <v>0.97959653691045678</v>
      </c>
      <c r="H1050" s="883">
        <v>1.0018466092458693</v>
      </c>
      <c r="I1050" s="883">
        <v>0.99941103120952601</v>
      </c>
      <c r="K1050">
        <v>6.746457469826769</v>
      </c>
      <c r="L1050">
        <v>0</v>
      </c>
      <c r="M1050">
        <v>1.042397234942786E-2</v>
      </c>
      <c r="N1050">
        <v>0.19560716400164868</v>
      </c>
      <c r="O1050">
        <v>0.12216282180381466</v>
      </c>
      <c r="P1050">
        <v>8.3439701506616046E-2</v>
      </c>
      <c r="Q1050">
        <v>0</v>
      </c>
      <c r="R1050">
        <v>1.042397234942786E-2</v>
      </c>
      <c r="S1050">
        <v>0.27066079870359966</v>
      </c>
      <c r="T1050">
        <v>5.9114604290849089</v>
      </c>
      <c r="U1050">
        <v>0</v>
      </c>
      <c r="V1050">
        <v>1.9168373312796017E-2</v>
      </c>
      <c r="W1050">
        <v>0.10273062164752328</v>
      </c>
      <c r="X1050">
        <v>-1.6965029711788937E-3</v>
      </c>
      <c r="Y1050">
        <v>4.2924062737032025E-2</v>
      </c>
    </row>
    <row r="1051" spans="1:25" x14ac:dyDescent="0.25">
      <c r="A1051" s="879"/>
      <c r="B1051" s="1133">
        <v>801</v>
      </c>
      <c r="C1051" s="883">
        <v>1.0008693047434927</v>
      </c>
      <c r="D1051" s="883">
        <v>1.0166126009173042</v>
      </c>
      <c r="E1051" s="883">
        <v>1.0383728979754867</v>
      </c>
      <c r="F1051" s="883">
        <v>1.0010595319987929</v>
      </c>
      <c r="G1051" s="883">
        <v>1.0085322457494306</v>
      </c>
      <c r="H1051" s="883">
        <v>0.96689434846095612</v>
      </c>
      <c r="I1051" s="883">
        <v>0.96482510319952419</v>
      </c>
      <c r="K1051">
        <v>6.7214041721305549</v>
      </c>
      <c r="L1051">
        <v>0</v>
      </c>
      <c r="M1051">
        <v>9.6676130385097529E-3</v>
      </c>
      <c r="N1051">
        <v>0.19076927564774573</v>
      </c>
      <c r="O1051">
        <v>0.120356192822671</v>
      </c>
      <c r="P1051">
        <v>8.5363834278607678E-2</v>
      </c>
      <c r="Q1051">
        <v>0</v>
      </c>
      <c r="R1051">
        <v>9.6676130385097529E-3</v>
      </c>
      <c r="S1051">
        <v>0.257185102719168</v>
      </c>
      <c r="T1051">
        <v>5.909993051620682</v>
      </c>
      <c r="U1051">
        <v>0</v>
      </c>
      <c r="V1051">
        <v>1.915035864255428E-2</v>
      </c>
      <c r="W1051">
        <v>9.8526960272021999E-2</v>
      </c>
      <c r="X1051">
        <v>2.4988640549543215E-4</v>
      </c>
      <c r="Y1051">
        <v>3.9809509721609945E-2</v>
      </c>
    </row>
    <row r="1052" spans="1:25" x14ac:dyDescent="0.25">
      <c r="A1052" s="879"/>
      <c r="B1052" s="1133">
        <v>802</v>
      </c>
      <c r="C1052" s="883">
        <v>1.0266921893013758</v>
      </c>
      <c r="D1052" s="883">
        <v>0.99829199948832614</v>
      </c>
      <c r="E1052" s="883">
        <v>0.97054370727961581</v>
      </c>
      <c r="F1052" s="883">
        <v>0.99476227752262147</v>
      </c>
      <c r="G1052" s="883">
        <v>1.0378129429775329</v>
      </c>
      <c r="H1052" s="883">
        <v>0.99693057623502079</v>
      </c>
      <c r="I1052" s="883">
        <v>1.0330761968331528</v>
      </c>
      <c r="K1052">
        <v>6.7309240668066677</v>
      </c>
      <c r="L1052">
        <v>0</v>
      </c>
      <c r="M1052">
        <v>1.0391293919530163E-2</v>
      </c>
      <c r="N1052">
        <v>0.18545214786648462</v>
      </c>
      <c r="O1052">
        <v>0.11942701919053787</v>
      </c>
      <c r="P1052">
        <v>8.1343555959472569E-2</v>
      </c>
      <c r="Q1052">
        <v>0</v>
      </c>
      <c r="R1052">
        <v>1.0391293919530163E-2</v>
      </c>
      <c r="S1052">
        <v>0.27134171737702245</v>
      </c>
      <c r="T1052">
        <v>5.9134809125533714</v>
      </c>
      <c r="U1052">
        <v>0</v>
      </c>
      <c r="V1052">
        <v>1.9013360977140976E-2</v>
      </c>
      <c r="W1052">
        <v>9.9056313137276059E-2</v>
      </c>
      <c r="X1052">
        <v>-9.8045903389554017E-4</v>
      </c>
      <c r="Y1052">
        <v>4.2789498779257015E-2</v>
      </c>
    </row>
    <row r="1053" spans="1:25" x14ac:dyDescent="0.25">
      <c r="A1053" s="879"/>
      <c r="B1053" s="1133">
        <v>803</v>
      </c>
      <c r="C1053" s="883">
        <v>0.98113956921486967</v>
      </c>
      <c r="D1053" s="883">
        <v>0.99199113070848466</v>
      </c>
      <c r="E1053" s="883">
        <v>0.98957599412042829</v>
      </c>
      <c r="F1053" s="883">
        <v>0.99686437797058525</v>
      </c>
      <c r="G1053" s="883">
        <v>0.98573708978129593</v>
      </c>
      <c r="H1053" s="883">
        <v>0.98070348214868908</v>
      </c>
      <c r="I1053" s="883">
        <v>0.97277417205804217</v>
      </c>
      <c r="K1053">
        <v>6.7430658938070911</v>
      </c>
      <c r="L1053">
        <v>0</v>
      </c>
      <c r="M1053">
        <v>1.0549336044162914E-2</v>
      </c>
      <c r="N1053">
        <v>0.1936648660628934</v>
      </c>
      <c r="O1053">
        <v>0.12492759193994005</v>
      </c>
      <c r="P1053">
        <v>8.2462080580828101E-2</v>
      </c>
      <c r="Q1053">
        <v>0</v>
      </c>
      <c r="R1053">
        <v>1.0549336044162914E-2</v>
      </c>
      <c r="S1053">
        <v>0.26593914653248552</v>
      </c>
      <c r="T1053">
        <v>5.9125462287853923</v>
      </c>
      <c r="U1053">
        <v>0</v>
      </c>
      <c r="V1053">
        <v>1.925989016981865E-2</v>
      </c>
      <c r="W1053">
        <v>0.10246193322300841</v>
      </c>
      <c r="X1053">
        <v>-1.6361316053197712E-3</v>
      </c>
      <c r="Y1053">
        <v>4.3440288118045157E-2</v>
      </c>
    </row>
    <row r="1054" spans="1:25" x14ac:dyDescent="0.25">
      <c r="A1054" s="879"/>
      <c r="B1054" s="1133">
        <v>804</v>
      </c>
      <c r="C1054" s="883">
        <v>0.99826117759828092</v>
      </c>
      <c r="D1054" s="883">
        <v>1.0033806544615906</v>
      </c>
      <c r="E1054" s="883">
        <v>1.0214638161671896</v>
      </c>
      <c r="F1054" s="883">
        <v>1.0486558531369674</v>
      </c>
      <c r="G1054" s="883">
        <v>0.99169334193278125</v>
      </c>
      <c r="H1054" s="883">
        <v>1.0205244578885198</v>
      </c>
      <c r="I1054" s="883">
        <v>0.98521853167982054</v>
      </c>
      <c r="K1054">
        <v>6.7536042883140297</v>
      </c>
      <c r="L1054">
        <v>0</v>
      </c>
      <c r="M1054">
        <v>1.0441639740990563E-2</v>
      </c>
      <c r="N1054">
        <v>0.2009567703416997</v>
      </c>
      <c r="O1054">
        <v>0.12162613761884415</v>
      </c>
      <c r="P1054">
        <v>8.4508645678268351E-2</v>
      </c>
      <c r="Q1054">
        <v>0</v>
      </c>
      <c r="R1054">
        <v>1.0441639740990563E-2</v>
      </c>
      <c r="S1054">
        <v>0.26837058607236236</v>
      </c>
      <c r="T1054">
        <v>5.9135425296527924</v>
      </c>
      <c r="U1054">
        <v>0</v>
      </c>
      <c r="V1054">
        <v>1.9164589571435863E-2</v>
      </c>
      <c r="W1054">
        <v>0.10465308957548716</v>
      </c>
      <c r="X1054">
        <v>-2.2148741076702103E-3</v>
      </c>
      <c r="Y1054">
        <v>4.2996813910808777E-2</v>
      </c>
    </row>
    <row r="1055" spans="1:25" x14ac:dyDescent="0.25">
      <c r="A1055" s="879"/>
      <c r="B1055" s="1133">
        <v>805</v>
      </c>
      <c r="C1055" s="883">
        <v>0.99797621848947371</v>
      </c>
      <c r="D1055" s="883">
        <v>0.99826729470079401</v>
      </c>
      <c r="E1055" s="883">
        <v>1.0082741597554663</v>
      </c>
      <c r="F1055" s="883">
        <v>0.98662944022284571</v>
      </c>
      <c r="G1055" s="883">
        <v>1.0219593372461526</v>
      </c>
      <c r="H1055" s="883">
        <v>1.0098097069328109</v>
      </c>
      <c r="I1055" s="883">
        <v>1.0060609798371904</v>
      </c>
      <c r="K1055">
        <v>6.7516952242996036</v>
      </c>
      <c r="L1055">
        <v>0</v>
      </c>
      <c r="M1055">
        <v>1.0477826199814213E-2</v>
      </c>
      <c r="N1055">
        <v>0.19775535324489654</v>
      </c>
      <c r="O1055">
        <v>0.12215934884001613</v>
      </c>
      <c r="P1055">
        <v>8.3710758246010125E-2</v>
      </c>
      <c r="Q1055">
        <v>0</v>
      </c>
      <c r="R1055">
        <v>1.0477826199814213E-2</v>
      </c>
      <c r="S1055">
        <v>0.27313986749513142</v>
      </c>
      <c r="T1055">
        <v>5.9109435284069551</v>
      </c>
      <c r="U1055">
        <v>0</v>
      </c>
      <c r="V1055">
        <v>1.9166148923612701E-2</v>
      </c>
      <c r="W1055">
        <v>0.10365857941037225</v>
      </c>
      <c r="X1055">
        <v>-1.984183574689144E-3</v>
      </c>
      <c r="Y1055">
        <v>4.3145823307295002E-2</v>
      </c>
    </row>
    <row r="1056" spans="1:25" x14ac:dyDescent="0.25">
      <c r="A1056" s="879"/>
      <c r="B1056" s="1133">
        <v>806</v>
      </c>
      <c r="C1056" s="883">
        <v>1.0128489408439485</v>
      </c>
      <c r="D1056" s="883">
        <v>0.98043508114866851</v>
      </c>
      <c r="E1056" s="883">
        <v>1.0229502320934074</v>
      </c>
      <c r="F1056" s="883">
        <v>1.0137818502447875</v>
      </c>
      <c r="G1056" s="883">
        <v>1.0010216880545104</v>
      </c>
      <c r="H1056" s="883">
        <v>0.99670636156056747</v>
      </c>
      <c r="I1056" s="883">
        <v>1.0204898145553267</v>
      </c>
      <c r="K1056">
        <v>6.7461237220842634</v>
      </c>
      <c r="L1056">
        <v>0</v>
      </c>
      <c r="M1056">
        <v>1.01379774545332E-2</v>
      </c>
      <c r="N1056">
        <v>0.19554199724116123</v>
      </c>
      <c r="O1056">
        <v>0.12096079062821345</v>
      </c>
      <c r="P1056">
        <v>8.4622739016970178E-2</v>
      </c>
      <c r="Q1056">
        <v>0</v>
      </c>
      <c r="R1056">
        <v>1.01379774545332E-2</v>
      </c>
      <c r="S1056">
        <v>0.27195347945737447</v>
      </c>
      <c r="T1056">
        <v>5.9115731106864571</v>
      </c>
      <c r="U1056">
        <v>0</v>
      </c>
      <c r="V1056">
        <v>1.9085934652600355E-2</v>
      </c>
      <c r="W1056">
        <v>0.10175874804346603</v>
      </c>
      <c r="X1056">
        <v>-1.1194643070335773E-3</v>
      </c>
      <c r="Y1056">
        <v>4.1746386665049449E-2</v>
      </c>
    </row>
    <row r="1057" spans="1:25" x14ac:dyDescent="0.25">
      <c r="A1057" s="879"/>
      <c r="B1057" s="1133">
        <v>807</v>
      </c>
      <c r="C1057" s="883">
        <v>0.97946302024288112</v>
      </c>
      <c r="D1057" s="883">
        <v>0.99705537536807798</v>
      </c>
      <c r="E1057" s="883">
        <v>0.97769669972717521</v>
      </c>
      <c r="F1057" s="883">
        <v>1.0062320511323177</v>
      </c>
      <c r="G1057" s="883">
        <v>1.0221679646162289</v>
      </c>
      <c r="H1057" s="883">
        <v>0.9610906773945096</v>
      </c>
      <c r="I1057" s="883">
        <v>0.99358778748440824</v>
      </c>
      <c r="K1057">
        <v>6.7406535418214135</v>
      </c>
      <c r="L1057">
        <v>0</v>
      </c>
      <c r="M1057">
        <v>1.0441090378293697E-2</v>
      </c>
      <c r="N1057">
        <v>0.18832985109699649</v>
      </c>
      <c r="O1057">
        <v>0.12511252853597513</v>
      </c>
      <c r="P1057">
        <v>8.1785344513645247E-2</v>
      </c>
      <c r="Q1057">
        <v>0</v>
      </c>
      <c r="R1057">
        <v>1.0441090378293697E-2</v>
      </c>
      <c r="S1057">
        <v>0.2701476245213244</v>
      </c>
      <c r="T1057">
        <v>5.9137093889869528</v>
      </c>
      <c r="U1057">
        <v>0</v>
      </c>
      <c r="V1057">
        <v>1.9269401109990914E-2</v>
      </c>
      <c r="W1057">
        <v>0.10023289009783762</v>
      </c>
      <c r="X1057">
        <v>-9.2803877431982425E-4</v>
      </c>
      <c r="Y1057">
        <v>4.2994551733005988E-2</v>
      </c>
    </row>
    <row r="1058" spans="1:25" x14ac:dyDescent="0.25">
      <c r="A1058" s="879"/>
      <c r="B1058" s="1133">
        <v>808</v>
      </c>
      <c r="C1058" s="883">
        <v>1.0044485178622971</v>
      </c>
      <c r="D1058" s="883">
        <v>0.98710871393545885</v>
      </c>
      <c r="E1058" s="883">
        <v>1.0168903459524334</v>
      </c>
      <c r="F1058" s="883">
        <v>0.99424553424315865</v>
      </c>
      <c r="G1058" s="883">
        <v>1.0009336302802339</v>
      </c>
      <c r="H1058" s="883">
        <v>1.0242287670911145</v>
      </c>
      <c r="I1058" s="883">
        <v>1.0337040344675212</v>
      </c>
      <c r="K1058">
        <v>6.7638161089604871</v>
      </c>
      <c r="L1058">
        <v>0</v>
      </c>
      <c r="M1058">
        <v>1.053026687045254E-2</v>
      </c>
      <c r="N1058">
        <v>0.20129589658183386</v>
      </c>
      <c r="O1058">
        <v>0.12175660753006291</v>
      </c>
      <c r="P1058">
        <v>8.4348200674708051E-2</v>
      </c>
      <c r="Q1058">
        <v>0</v>
      </c>
      <c r="R1058">
        <v>1.053026687045254E-2</v>
      </c>
      <c r="S1058">
        <v>0.28038121520970233</v>
      </c>
      <c r="T1058">
        <v>5.9108648915856472</v>
      </c>
      <c r="U1058">
        <v>0</v>
      </c>
      <c r="V1058">
        <v>1.9130949401802756E-2</v>
      </c>
      <c r="W1058">
        <v>0.10506621025114057</v>
      </c>
      <c r="X1058">
        <v>-2.3896269293028211E-3</v>
      </c>
      <c r="Y1058">
        <v>4.3361764654892214E-2</v>
      </c>
    </row>
    <row r="1059" spans="1:25" x14ac:dyDescent="0.25">
      <c r="A1059" s="879"/>
      <c r="B1059" s="1133">
        <v>809</v>
      </c>
      <c r="C1059" s="883">
        <v>1.0151960469542687</v>
      </c>
      <c r="D1059" s="883">
        <v>0.99254157761675033</v>
      </c>
      <c r="E1059" s="883">
        <v>1.035835576167365</v>
      </c>
      <c r="F1059" s="883">
        <v>0.99539251137599516</v>
      </c>
      <c r="G1059" s="883">
        <v>0.98322775477602964</v>
      </c>
      <c r="H1059" s="883">
        <v>1.0052153485412132</v>
      </c>
      <c r="I1059" s="883">
        <v>1.0311618855066016</v>
      </c>
      <c r="K1059">
        <v>6.7485539644810437</v>
      </c>
      <c r="L1059">
        <v>0</v>
      </c>
      <c r="M1059">
        <v>1.0033441085101007E-2</v>
      </c>
      <c r="N1059">
        <v>0.19724728791465543</v>
      </c>
      <c r="O1059">
        <v>0.11984828980381951</v>
      </c>
      <c r="P1059">
        <v>8.544571048112945E-2</v>
      </c>
      <c r="Q1059">
        <v>0</v>
      </c>
      <c r="R1059">
        <v>1.0033441085101007E-2</v>
      </c>
      <c r="S1059">
        <v>0.27487460572306716</v>
      </c>
      <c r="T1059">
        <v>5.9098347291458451</v>
      </c>
      <c r="U1059">
        <v>0</v>
      </c>
      <c r="V1059">
        <v>1.9073490533220251E-2</v>
      </c>
      <c r="W1059">
        <v>0.10199919115443506</v>
      </c>
      <c r="X1059">
        <v>-1.0852647776306453E-3</v>
      </c>
      <c r="Y1059">
        <v>4.1315924502507803E-2</v>
      </c>
    </row>
    <row r="1060" spans="1:25" x14ac:dyDescent="0.25">
      <c r="A1060" s="879"/>
      <c r="B1060" s="1133">
        <v>810</v>
      </c>
      <c r="C1060" s="883">
        <v>1.0107382770344431</v>
      </c>
      <c r="D1060" s="883">
        <v>1.0158812575512737</v>
      </c>
      <c r="E1060" s="883">
        <v>0.9932244933462463</v>
      </c>
      <c r="F1060" s="883">
        <v>1.0153426958613165</v>
      </c>
      <c r="G1060" s="883">
        <v>0.99761526003948042</v>
      </c>
      <c r="H1060" s="883">
        <v>0.97702565200243119</v>
      </c>
      <c r="I1060" s="883">
        <v>0.9596130521731473</v>
      </c>
      <c r="K1060">
        <v>6.714220211749593</v>
      </c>
      <c r="L1060">
        <v>0</v>
      </c>
      <c r="M1060">
        <v>1.0066453618733097E-2</v>
      </c>
      <c r="N1060">
        <v>0.18580232657274093</v>
      </c>
      <c r="O1060">
        <v>0.12005335246959858</v>
      </c>
      <c r="P1060">
        <v>8.2542496137634716E-2</v>
      </c>
      <c r="Q1060">
        <v>0</v>
      </c>
      <c r="R1060">
        <v>1.0066453618733097E-2</v>
      </c>
      <c r="S1060">
        <v>0.2541313897341006</v>
      </c>
      <c r="T1060">
        <v>5.9133416672779981</v>
      </c>
      <c r="U1060">
        <v>0</v>
      </c>
      <c r="V1060">
        <v>1.9097174533603718E-2</v>
      </c>
      <c r="W1060">
        <v>9.8123528230111057E-2</v>
      </c>
      <c r="X1060">
        <v>-3.2358744618734382E-4</v>
      </c>
      <c r="Y1060">
        <v>4.1451864239992801E-2</v>
      </c>
    </row>
    <row r="1061" spans="1:25" x14ac:dyDescent="0.25">
      <c r="A1061" s="879"/>
      <c r="B1061" s="1133">
        <v>811</v>
      </c>
      <c r="C1061" s="883">
        <v>0.98843057429326098</v>
      </c>
      <c r="D1061" s="883">
        <v>0.98650452860931925</v>
      </c>
      <c r="E1061" s="883">
        <v>0.97831072828653065</v>
      </c>
      <c r="F1061" s="883">
        <v>1.0084931448355321</v>
      </c>
      <c r="G1061" s="883">
        <v>0.97645357166311841</v>
      </c>
      <c r="H1061" s="883">
        <v>1.0129345433431272</v>
      </c>
      <c r="I1061" s="883">
        <v>0.98982437736027085</v>
      </c>
      <c r="K1061">
        <v>6.7561394584272803</v>
      </c>
      <c r="L1061">
        <v>0</v>
      </c>
      <c r="M1061">
        <v>1.0948430822012606E-2</v>
      </c>
      <c r="N1061">
        <v>0.19766095842552536</v>
      </c>
      <c r="O1061">
        <v>0.12449455708357668</v>
      </c>
      <c r="P1061">
        <v>8.1844975583394819E-2</v>
      </c>
      <c r="Q1061">
        <v>0</v>
      </c>
      <c r="R1061">
        <v>1.0948430822012606E-2</v>
      </c>
      <c r="S1061">
        <v>0.27169787377880444</v>
      </c>
      <c r="T1061">
        <v>5.9137978703476906</v>
      </c>
      <c r="U1061">
        <v>0</v>
      </c>
      <c r="V1061">
        <v>1.9218904080700885E-2</v>
      </c>
      <c r="W1061">
        <v>0.10516672598266423</v>
      </c>
      <c r="X1061">
        <v>-2.8260962320818335E-3</v>
      </c>
      <c r="Y1061">
        <v>4.5083689377007845E-2</v>
      </c>
    </row>
    <row r="1062" spans="1:25" x14ac:dyDescent="0.25">
      <c r="A1062" s="879"/>
      <c r="B1062" s="1133">
        <v>812</v>
      </c>
      <c r="C1062" s="883">
        <v>1.0179163398757765</v>
      </c>
      <c r="D1062" s="883">
        <v>1.0244196042615912</v>
      </c>
      <c r="E1062" s="883">
        <v>0.99696377386446677</v>
      </c>
      <c r="F1062" s="883">
        <v>1.0205608188546429</v>
      </c>
      <c r="G1062" s="883">
        <v>1.023050935918109</v>
      </c>
      <c r="H1062" s="883">
        <v>1.014955276043767</v>
      </c>
      <c r="I1062" s="883">
        <v>0.96367779722052771</v>
      </c>
      <c r="K1062">
        <v>6.724081820940321</v>
      </c>
      <c r="L1062">
        <v>0</v>
      </c>
      <c r="M1062">
        <v>1.0312654379585104E-2</v>
      </c>
      <c r="N1062">
        <v>0.19140436546638406</v>
      </c>
      <c r="O1062">
        <v>0.11874032880714967</v>
      </c>
      <c r="P1062">
        <v>8.2811804474683323E-2</v>
      </c>
      <c r="Q1062">
        <v>0</v>
      </c>
      <c r="R1062">
        <v>1.0312654379585104E-2</v>
      </c>
      <c r="S1062">
        <v>0.25669650959109208</v>
      </c>
      <c r="T1062">
        <v>5.9134145080458635</v>
      </c>
      <c r="U1062">
        <v>0</v>
      </c>
      <c r="V1062">
        <v>1.9059139614371914E-2</v>
      </c>
      <c r="W1062">
        <v>0.10089408831317685</v>
      </c>
      <c r="X1062">
        <v>-1.404598523483943E-3</v>
      </c>
      <c r="Y1062">
        <v>4.2465675151079581E-2</v>
      </c>
    </row>
    <row r="1063" spans="1:25" x14ac:dyDescent="0.25">
      <c r="A1063" s="879"/>
      <c r="B1063" s="1133">
        <v>813</v>
      </c>
      <c r="C1063" s="883">
        <v>1.0047186723348855</v>
      </c>
      <c r="D1063" s="883">
        <v>0.97927935882470185</v>
      </c>
      <c r="E1063" s="883">
        <v>1.0032538647749805</v>
      </c>
      <c r="F1063" s="883">
        <v>1.0015027585666314</v>
      </c>
      <c r="G1063" s="883">
        <v>1.0092053812248938</v>
      </c>
      <c r="H1063" s="883">
        <v>0.99839135876288931</v>
      </c>
      <c r="I1063" s="883">
        <v>0.99049976388732131</v>
      </c>
      <c r="K1063">
        <v>6.7421295217094634</v>
      </c>
      <c r="L1063">
        <v>0</v>
      </c>
      <c r="M1063">
        <v>1.0420481691705662E-2</v>
      </c>
      <c r="N1063">
        <v>0.19521634522762124</v>
      </c>
      <c r="O1063">
        <v>0.12236992500361858</v>
      </c>
      <c r="P1063">
        <v>8.331676649229415E-2</v>
      </c>
      <c r="Q1063">
        <v>0</v>
      </c>
      <c r="R1063">
        <v>1.0420481691705662E-2</v>
      </c>
      <c r="S1063">
        <v>0.26623401888113835</v>
      </c>
      <c r="T1063">
        <v>5.9120309648164833</v>
      </c>
      <c r="U1063">
        <v>0</v>
      </c>
      <c r="V1063">
        <v>1.9129490029676142E-2</v>
      </c>
      <c r="W1063">
        <v>0.10258253784427351</v>
      </c>
      <c r="X1063">
        <v>-1.6602154154921269E-3</v>
      </c>
      <c r="Y1063">
        <v>4.2909688829845943E-2</v>
      </c>
    </row>
    <row r="1064" spans="1:25" x14ac:dyDescent="0.25">
      <c r="A1064" s="879"/>
      <c r="B1064" s="1133">
        <v>814</v>
      </c>
      <c r="C1064" s="883">
        <v>0.97429959814729672</v>
      </c>
      <c r="D1064" s="883">
        <v>1.0251888192898235</v>
      </c>
      <c r="E1064" s="883">
        <v>0.96633220548292775</v>
      </c>
      <c r="F1064" s="883">
        <v>1.0037256384322335</v>
      </c>
      <c r="G1064" s="883">
        <v>0.99795860659551627</v>
      </c>
      <c r="H1064" s="883">
        <v>1.0111163349571244</v>
      </c>
      <c r="I1064" s="883">
        <v>1.0157572504818297</v>
      </c>
      <c r="K1064">
        <v>6.7642950844146599</v>
      </c>
      <c r="L1064">
        <v>0</v>
      </c>
      <c r="M1064">
        <v>1.1020530697683682E-2</v>
      </c>
      <c r="N1064">
        <v>0.19545587106349366</v>
      </c>
      <c r="O1064">
        <v>0.12459686459037486</v>
      </c>
      <c r="P1064">
        <v>8.1233138567454302E-2</v>
      </c>
      <c r="Q1064">
        <v>0</v>
      </c>
      <c r="R1064">
        <v>1.1020530697683682E-2</v>
      </c>
      <c r="S1064">
        <v>0.28224567170722248</v>
      </c>
      <c r="T1064">
        <v>5.914194788415033</v>
      </c>
      <c r="U1064">
        <v>0</v>
      </c>
      <c r="V1064">
        <v>1.9298898466872872E-2</v>
      </c>
      <c r="W1064">
        <v>0.10462107215577053</v>
      </c>
      <c r="X1064">
        <v>-2.7318043832857343E-3</v>
      </c>
      <c r="Y1064">
        <v>4.5380583831721874E-2</v>
      </c>
    </row>
    <row r="1065" spans="1:25" x14ac:dyDescent="0.25">
      <c r="A1065" s="879"/>
      <c r="B1065" s="1133">
        <v>815</v>
      </c>
      <c r="C1065" s="883">
        <v>1.0130795834615267</v>
      </c>
      <c r="D1065" s="883">
        <v>0.9915775496264192</v>
      </c>
      <c r="E1065" s="883">
        <v>1.0033154629445491</v>
      </c>
      <c r="F1065" s="883">
        <v>0.99856618812488473</v>
      </c>
      <c r="G1065" s="883">
        <v>0.97345305138773586</v>
      </c>
      <c r="H1065" s="883">
        <v>1.0049059549549579</v>
      </c>
      <c r="I1065" s="883">
        <v>1.0180799530891842</v>
      </c>
      <c r="K1065">
        <v>6.7438032392608527</v>
      </c>
      <c r="L1065">
        <v>0</v>
      </c>
      <c r="M1065">
        <v>1.034587267314647E-2</v>
      </c>
      <c r="N1065">
        <v>0.19383631046166791</v>
      </c>
      <c r="O1065">
        <v>0.12075453487393366</v>
      </c>
      <c r="P1065">
        <v>8.3393672158735083E-2</v>
      </c>
      <c r="Q1065">
        <v>0</v>
      </c>
      <c r="R1065">
        <v>1.034587267314647E-2</v>
      </c>
      <c r="S1065">
        <v>0.2718786415306827</v>
      </c>
      <c r="T1065">
        <v>5.9118687999089108</v>
      </c>
      <c r="U1065">
        <v>0</v>
      </c>
      <c r="V1065">
        <v>1.9084709254062412E-2</v>
      </c>
      <c r="W1065">
        <v>0.10185424362207023</v>
      </c>
      <c r="X1065">
        <v>-1.4701347205435056E-3</v>
      </c>
      <c r="Y1065">
        <v>4.2602462171329437E-2</v>
      </c>
    </row>
    <row r="1066" spans="1:25" x14ac:dyDescent="0.25">
      <c r="A1066" s="879"/>
      <c r="B1066" s="1133">
        <v>816</v>
      </c>
      <c r="C1066" s="883">
        <v>1.0010293592779211</v>
      </c>
      <c r="D1066" s="883">
        <v>0.97931879817107659</v>
      </c>
      <c r="E1066" s="883">
        <v>1.0019558720925013</v>
      </c>
      <c r="F1066" s="883">
        <v>0.9887217511376144</v>
      </c>
      <c r="G1066" s="883">
        <v>0.9928555632873356</v>
      </c>
      <c r="H1066" s="883">
        <v>1.0012459762926536</v>
      </c>
      <c r="I1066" s="883">
        <v>1.0103786824980325</v>
      </c>
      <c r="K1066">
        <v>6.7505184838100156</v>
      </c>
      <c r="L1066">
        <v>0</v>
      </c>
      <c r="M1066">
        <v>1.0500512699950771E-2</v>
      </c>
      <c r="N1066">
        <v>0.19633780032130149</v>
      </c>
      <c r="O1066">
        <v>0.12284347633514477</v>
      </c>
      <c r="P1066">
        <v>8.3316039383936613E-2</v>
      </c>
      <c r="Q1066">
        <v>0</v>
      </c>
      <c r="R1066">
        <v>1.0500512699950771E-2</v>
      </c>
      <c r="S1066">
        <v>0.27284949957954036</v>
      </c>
      <c r="T1066">
        <v>5.9114134018465236</v>
      </c>
      <c r="U1066">
        <v>0</v>
      </c>
      <c r="V1066">
        <v>1.9149487739451031E-2</v>
      </c>
      <c r="W1066">
        <v>0.1032382995287293</v>
      </c>
      <c r="X1066">
        <v>-1.8687632014259378E-3</v>
      </c>
      <c r="Y1066">
        <v>4.3239242276810863E-2</v>
      </c>
    </row>
    <row r="1067" spans="1:25" x14ac:dyDescent="0.25">
      <c r="A1067" s="879"/>
      <c r="B1067" s="1133">
        <v>817</v>
      </c>
      <c r="C1067" s="883">
        <v>1.0419934743927106</v>
      </c>
      <c r="D1067" s="883">
        <v>1.0185478854930703</v>
      </c>
      <c r="E1067" s="883">
        <v>0.98786302273146509</v>
      </c>
      <c r="F1067" s="883">
        <v>0.98107690590456398</v>
      </c>
      <c r="G1067" s="883">
        <v>0.97331717590109745</v>
      </c>
      <c r="H1067" s="883">
        <v>1.0190095852512253</v>
      </c>
      <c r="I1067" s="883">
        <v>1.0254737432967078</v>
      </c>
      <c r="K1067">
        <v>6.7241233348793585</v>
      </c>
      <c r="L1067">
        <v>0</v>
      </c>
      <c r="M1067">
        <v>1.022038241021089E-2</v>
      </c>
      <c r="N1067">
        <v>0.18714999192234066</v>
      </c>
      <c r="O1067">
        <v>0.116425511337141</v>
      </c>
      <c r="P1067">
        <v>8.2357524362596093E-2</v>
      </c>
      <c r="Q1067">
        <v>0</v>
      </c>
      <c r="R1067">
        <v>1.022038241021089E-2</v>
      </c>
      <c r="S1067">
        <v>0.26725990923267429</v>
      </c>
      <c r="T1067">
        <v>5.9117880537968155</v>
      </c>
      <c r="U1067">
        <v>0</v>
      </c>
      <c r="V1067">
        <v>1.8935387178771773E-2</v>
      </c>
      <c r="W1067">
        <v>9.9099779571639873E-2</v>
      </c>
      <c r="X1067">
        <v>-9.7853812761673417E-4</v>
      </c>
      <c r="Y1067">
        <v>4.2085715604994862E-2</v>
      </c>
    </row>
    <row r="1068" spans="1:25" x14ac:dyDescent="0.25">
      <c r="A1068" s="879"/>
      <c r="B1068" s="1133">
        <v>818</v>
      </c>
      <c r="C1068" s="883">
        <v>1.0128072666749142</v>
      </c>
      <c r="D1068" s="883">
        <v>1.0058209336985398</v>
      </c>
      <c r="E1068" s="883">
        <v>0.97796368624266061</v>
      </c>
      <c r="F1068" s="883">
        <v>0.99061998862411316</v>
      </c>
      <c r="G1068" s="883">
        <v>1.0416067404812639</v>
      </c>
      <c r="H1068" s="883">
        <v>0.99893043384205704</v>
      </c>
      <c r="I1068" s="883">
        <v>0.9929297550539895</v>
      </c>
      <c r="K1068">
        <v>6.7294299278518297</v>
      </c>
      <c r="L1068">
        <v>0</v>
      </c>
      <c r="M1068">
        <v>1.0453189336178476E-2</v>
      </c>
      <c r="N1068">
        <v>0.18862279947259186</v>
      </c>
      <c r="O1068">
        <v>0.12056574048560205</v>
      </c>
      <c r="P1068">
        <v>8.1714019263729329E-2</v>
      </c>
      <c r="Q1068">
        <v>0</v>
      </c>
      <c r="R1068">
        <v>1.0453189336178476E-2</v>
      </c>
      <c r="S1068">
        <v>0.26449681254589774</v>
      </c>
      <c r="T1068">
        <v>5.9128507009820197</v>
      </c>
      <c r="U1068">
        <v>0</v>
      </c>
      <c r="V1068">
        <v>1.9086156125964721E-2</v>
      </c>
      <c r="W1068">
        <v>0.10037537177992034</v>
      </c>
      <c r="X1068">
        <v>-1.3260458919417697E-3</v>
      </c>
      <c r="Y1068">
        <v>4.3044373088041279E-2</v>
      </c>
    </row>
    <row r="1069" spans="1:25" x14ac:dyDescent="0.25">
      <c r="A1069" s="879"/>
      <c r="B1069" s="1133">
        <v>819</v>
      </c>
      <c r="C1069" s="883">
        <v>1.0178851886491842</v>
      </c>
      <c r="D1069" s="883">
        <v>1.0220251909861444</v>
      </c>
      <c r="E1069" s="883">
        <v>0.98346352086790279</v>
      </c>
      <c r="F1069" s="883">
        <v>1.0158291489809967</v>
      </c>
      <c r="G1069" s="883">
        <v>1.0144564342290807</v>
      </c>
      <c r="H1069" s="883">
        <v>0.97598647348299439</v>
      </c>
      <c r="I1069" s="883">
        <v>1.0067569468134867</v>
      </c>
      <c r="K1069">
        <v>6.7197460101905433</v>
      </c>
      <c r="L1069">
        <v>0</v>
      </c>
      <c r="M1069">
        <v>1.0044582084062335E-2</v>
      </c>
      <c r="N1069">
        <v>0.18273464488911254</v>
      </c>
      <c r="O1069">
        <v>0.11910037769950318</v>
      </c>
      <c r="P1069">
        <v>8.2074945649397227E-2</v>
      </c>
      <c r="Q1069">
        <v>0</v>
      </c>
      <c r="R1069">
        <v>1.0044582084062335E-2</v>
      </c>
      <c r="S1069">
        <v>0.26458073783890523</v>
      </c>
      <c r="T1069">
        <v>5.91391031114751</v>
      </c>
      <c r="U1069">
        <v>0</v>
      </c>
      <c r="V1069">
        <v>1.9059303518658584E-2</v>
      </c>
      <c r="W1069">
        <v>9.6974657259236416E-2</v>
      </c>
      <c r="X1069">
        <v>-5.0768964988344487E-5</v>
      </c>
      <c r="Y1069">
        <v>4.1361801153206659E-2</v>
      </c>
    </row>
    <row r="1070" spans="1:25" x14ac:dyDescent="0.25">
      <c r="A1070" s="879"/>
      <c r="B1070" s="1133">
        <v>820</v>
      </c>
      <c r="C1070" s="883">
        <v>1.0296657210911886</v>
      </c>
      <c r="D1070" s="883">
        <v>1.0001259553090327</v>
      </c>
      <c r="E1070" s="883">
        <v>1.0154295774440474</v>
      </c>
      <c r="F1070" s="883">
        <v>1.0057748650830605</v>
      </c>
      <c r="G1070" s="883">
        <v>1.0342629100308869</v>
      </c>
      <c r="H1070" s="883">
        <v>0.97560659304791097</v>
      </c>
      <c r="I1070" s="883">
        <v>1.0217280702158287</v>
      </c>
      <c r="K1070">
        <v>6.7218169123637015</v>
      </c>
      <c r="L1070">
        <v>0</v>
      </c>
      <c r="M1070">
        <v>9.7424040587894365E-3</v>
      </c>
      <c r="N1070">
        <v>0.18583304713658688</v>
      </c>
      <c r="O1070">
        <v>0.11818069313981666</v>
      </c>
      <c r="P1070">
        <v>8.4064550214383915E-2</v>
      </c>
      <c r="Q1070">
        <v>0</v>
      </c>
      <c r="R1070">
        <v>9.7424040587894365E-3</v>
      </c>
      <c r="S1070">
        <v>0.26564974880604919</v>
      </c>
      <c r="T1070">
        <v>5.9115712068691701</v>
      </c>
      <c r="U1070">
        <v>0</v>
      </c>
      <c r="V1070">
        <v>1.8998026742161684E-2</v>
      </c>
      <c r="W1070">
        <v>9.7065319223702859E-2</v>
      </c>
      <c r="X1070">
        <v>3.3683440101179755E-4</v>
      </c>
      <c r="Y1070">
        <v>4.011748583081632E-2</v>
      </c>
    </row>
    <row r="1071" spans="1:25" x14ac:dyDescent="0.25">
      <c r="A1071" s="879"/>
      <c r="B1071" s="1133">
        <v>821</v>
      </c>
      <c r="C1071" s="883">
        <v>1.0091884888515463</v>
      </c>
      <c r="D1071" s="883">
        <v>1.011207485030531</v>
      </c>
      <c r="E1071" s="883">
        <v>0.98440552463865783</v>
      </c>
      <c r="F1071" s="883">
        <v>0.98085765485300591</v>
      </c>
      <c r="G1071" s="883">
        <v>1.0114330246337284</v>
      </c>
      <c r="H1071" s="883">
        <v>0.99231716095466949</v>
      </c>
      <c r="I1071" s="883">
        <v>0.97903552363885904</v>
      </c>
      <c r="K1071">
        <v>6.7246201706501711</v>
      </c>
      <c r="L1071">
        <v>0</v>
      </c>
      <c r="M1071">
        <v>1.0339189390505384E-2</v>
      </c>
      <c r="N1071">
        <v>0.18835724028168085</v>
      </c>
      <c r="O1071">
        <v>0.120621846827451</v>
      </c>
      <c r="P1071">
        <v>8.2062926616774473E-2</v>
      </c>
      <c r="Q1071">
        <v>0</v>
      </c>
      <c r="R1071">
        <v>1.0339189390505384E-2</v>
      </c>
      <c r="S1071">
        <v>0.26108923447578453</v>
      </c>
      <c r="T1071">
        <v>5.9119677816627476</v>
      </c>
      <c r="U1071">
        <v>0</v>
      </c>
      <c r="V1071">
        <v>1.9105457528333078E-2</v>
      </c>
      <c r="W1071">
        <v>9.9911427428534927E-2</v>
      </c>
      <c r="X1071">
        <v>-1.0706857741310462E-3</v>
      </c>
      <c r="Y1071">
        <v>4.2574941602993403E-2</v>
      </c>
    </row>
    <row r="1072" spans="1:25" x14ac:dyDescent="0.25">
      <c r="A1072" s="879"/>
      <c r="B1072" s="1133">
        <v>822</v>
      </c>
      <c r="C1072" s="883">
        <v>1.0157089027595374</v>
      </c>
      <c r="D1072" s="883">
        <v>0.98328938915579212</v>
      </c>
      <c r="E1072" s="883">
        <v>1.0082369292481745</v>
      </c>
      <c r="F1072" s="883">
        <v>1.0050951424273484</v>
      </c>
      <c r="G1072" s="883">
        <v>0.98235721660262632</v>
      </c>
      <c r="H1072" s="883">
        <v>1.0264963998385708</v>
      </c>
      <c r="I1072" s="883">
        <v>0.99805595762755162</v>
      </c>
      <c r="K1072">
        <v>6.7474290569613515</v>
      </c>
      <c r="L1072">
        <v>0</v>
      </c>
      <c r="M1072">
        <v>1.0533367734741821E-2</v>
      </c>
      <c r="N1072">
        <v>0.19879266926812089</v>
      </c>
      <c r="O1072">
        <v>0.12075533820426318</v>
      </c>
      <c r="P1072">
        <v>8.3650645176923347E-2</v>
      </c>
      <c r="Q1072">
        <v>0</v>
      </c>
      <c r="R1072">
        <v>1.0533367734741821E-2</v>
      </c>
      <c r="S1072">
        <v>0.26795108833236747</v>
      </c>
      <c r="T1072">
        <v>5.9119434434315989</v>
      </c>
      <c r="U1072">
        <v>0</v>
      </c>
      <c r="V1072">
        <v>1.9070779079852249E-2</v>
      </c>
      <c r="W1072">
        <v>0.10420423563737101</v>
      </c>
      <c r="X1072">
        <v>-2.3136756312509593E-3</v>
      </c>
      <c r="Y1072">
        <v>4.3374533462102217E-2</v>
      </c>
    </row>
    <row r="1073" spans="1:25" x14ac:dyDescent="0.25">
      <c r="A1073" s="879"/>
      <c r="B1073" s="1133">
        <v>823</v>
      </c>
      <c r="C1073" s="883">
        <v>1.0008829623911613</v>
      </c>
      <c r="D1073" s="883">
        <v>1.0405658248631648</v>
      </c>
      <c r="E1073" s="883">
        <v>1.0085009300919905</v>
      </c>
      <c r="F1073" s="883">
        <v>1.0049640402096505</v>
      </c>
      <c r="G1073" s="883">
        <v>1.0075051813705083</v>
      </c>
      <c r="H1073" s="883">
        <v>1.0234183840287991</v>
      </c>
      <c r="I1073" s="883">
        <v>1.0239712471266109</v>
      </c>
      <c r="K1073">
        <v>6.7529826297836282</v>
      </c>
      <c r="L1073">
        <v>0</v>
      </c>
      <c r="M1073">
        <v>1.0399722144622918E-2</v>
      </c>
      <c r="N1073">
        <v>0.19634715269310132</v>
      </c>
      <c r="O1073">
        <v>0.1197951677326945</v>
      </c>
      <c r="P1073">
        <v>8.3804369926028494E-2</v>
      </c>
      <c r="Q1073">
        <v>0</v>
      </c>
      <c r="R1073">
        <v>1.0399722144622918E-2</v>
      </c>
      <c r="S1073">
        <v>0.27806564039597503</v>
      </c>
      <c r="T1073">
        <v>5.9119213990778992</v>
      </c>
      <c r="U1073">
        <v>0</v>
      </c>
      <c r="V1073">
        <v>1.9150284316465614E-2</v>
      </c>
      <c r="W1073">
        <v>0.10290888390810005</v>
      </c>
      <c r="X1073">
        <v>-1.8344729766568786E-3</v>
      </c>
      <c r="Y1073">
        <v>4.2824204710020838E-2</v>
      </c>
    </row>
    <row r="1074" spans="1:25" x14ac:dyDescent="0.25">
      <c r="A1074" s="879"/>
      <c r="B1074" s="1133">
        <v>824</v>
      </c>
      <c r="C1074" s="883">
        <v>1.0014828707162098</v>
      </c>
      <c r="D1074" s="883">
        <v>0.98915163239783988</v>
      </c>
      <c r="E1074" s="883">
        <v>1.0377024571969184</v>
      </c>
      <c r="F1074" s="883">
        <v>1.0137263387523248</v>
      </c>
      <c r="G1074" s="883">
        <v>0.99854364850269894</v>
      </c>
      <c r="H1074" s="883">
        <v>1.0114319755299239</v>
      </c>
      <c r="I1074" s="883">
        <v>0.95655708490749813</v>
      </c>
      <c r="K1074">
        <v>6.7421166899271245</v>
      </c>
      <c r="L1074">
        <v>0</v>
      </c>
      <c r="M1074">
        <v>1.0231973915040722E-2</v>
      </c>
      <c r="N1074">
        <v>0.2017058281978904</v>
      </c>
      <c r="O1074">
        <v>0.1216200387630033</v>
      </c>
      <c r="P1074">
        <v>8.5358007823779503E-2</v>
      </c>
      <c r="Q1074">
        <v>0</v>
      </c>
      <c r="R1074">
        <v>1.0231973915040722E-2</v>
      </c>
      <c r="S1074">
        <v>0.25907866542729635</v>
      </c>
      <c r="T1074">
        <v>5.9107162710947723</v>
      </c>
      <c r="U1074">
        <v>0</v>
      </c>
      <c r="V1074">
        <v>1.9147021564141414E-2</v>
      </c>
      <c r="W1074">
        <v>0.10420953937600547</v>
      </c>
      <c r="X1074">
        <v>-1.8521296784422331E-3</v>
      </c>
      <c r="Y1074">
        <v>4.2133447358673158E-2</v>
      </c>
    </row>
    <row r="1075" spans="1:25" x14ac:dyDescent="0.25">
      <c r="A1075" s="879"/>
      <c r="B1075" s="1133">
        <v>825</v>
      </c>
      <c r="C1075" s="883">
        <v>0.99971703076844609</v>
      </c>
      <c r="D1075" s="883">
        <v>1.0052552222451749</v>
      </c>
      <c r="E1075" s="883">
        <v>1.0039603138414439</v>
      </c>
      <c r="F1075" s="883">
        <v>1.0070983224352263</v>
      </c>
      <c r="G1075" s="883">
        <v>0.99350708193158876</v>
      </c>
      <c r="H1075" s="883">
        <v>0.95229727411999476</v>
      </c>
      <c r="I1075" s="883">
        <v>0.96807041628653379</v>
      </c>
      <c r="K1075">
        <v>6.7167567988227859</v>
      </c>
      <c r="L1075">
        <v>0</v>
      </c>
      <c r="M1075">
        <v>9.8715987039660492E-3</v>
      </c>
      <c r="N1075">
        <v>0.18512722130474227</v>
      </c>
      <c r="O1075">
        <v>0.12168777094761653</v>
      </c>
      <c r="P1075">
        <v>8.3241618040917731E-2</v>
      </c>
      <c r="Q1075">
        <v>0</v>
      </c>
      <c r="R1075">
        <v>9.8715987039660492E-3</v>
      </c>
      <c r="S1075">
        <v>0.25705259665680835</v>
      </c>
      <c r="T1075">
        <v>5.9122935009307245</v>
      </c>
      <c r="U1075">
        <v>0</v>
      </c>
      <c r="V1075">
        <v>1.9156636729604951E-2</v>
      </c>
      <c r="W1075">
        <v>9.7246817514811151E-2</v>
      </c>
      <c r="X1075">
        <v>3.0115031369403134E-4</v>
      </c>
      <c r="Y1075">
        <v>4.0649486383864029E-2</v>
      </c>
    </row>
    <row r="1076" spans="1:25" x14ac:dyDescent="0.25">
      <c r="A1076" s="879"/>
      <c r="B1076" s="1133">
        <v>826</v>
      </c>
      <c r="C1076" s="883">
        <v>0.98945989175548565</v>
      </c>
      <c r="D1076" s="883">
        <v>1.0136278451166021</v>
      </c>
      <c r="E1076" s="883">
        <v>1.0083860623209304</v>
      </c>
      <c r="F1076" s="883">
        <v>1.0236786484565072</v>
      </c>
      <c r="G1076" s="883">
        <v>1.0204915774381069</v>
      </c>
      <c r="H1076" s="883">
        <v>1.0314515269962046</v>
      </c>
      <c r="I1076" s="883">
        <v>1.0196252921205575</v>
      </c>
      <c r="K1076">
        <v>6.7694206098141461</v>
      </c>
      <c r="L1076">
        <v>0</v>
      </c>
      <c r="M1076">
        <v>1.0723094913380438E-2</v>
      </c>
      <c r="N1076">
        <v>0.20241801518531397</v>
      </c>
      <c r="O1076">
        <v>0.12245838356100397</v>
      </c>
      <c r="P1076">
        <v>8.3853075840457661E-2</v>
      </c>
      <c r="Q1076">
        <v>0</v>
      </c>
      <c r="R1076">
        <v>1.0723094913380438E-2</v>
      </c>
      <c r="S1076">
        <v>0.28113431180207171</v>
      </c>
      <c r="T1076">
        <v>5.9129391622839025</v>
      </c>
      <c r="U1076">
        <v>0</v>
      </c>
      <c r="V1076">
        <v>1.921316647081181E-2</v>
      </c>
      <c r="W1076">
        <v>0.10609675775787704</v>
      </c>
      <c r="X1076">
        <v>-2.8480593008548367E-3</v>
      </c>
      <c r="Y1076">
        <v>4.4155796213557134E-2</v>
      </c>
    </row>
    <row r="1077" spans="1:25" x14ac:dyDescent="0.25">
      <c r="A1077" s="879"/>
      <c r="B1077" s="1133">
        <v>827</v>
      </c>
      <c r="C1077" s="883">
        <v>0.98912438312887596</v>
      </c>
      <c r="D1077" s="883">
        <v>1.0118162853556136</v>
      </c>
      <c r="E1077" s="883">
        <v>1.0366685075198689</v>
      </c>
      <c r="F1077" s="883">
        <v>0.9949670668160705</v>
      </c>
      <c r="G1077" s="883">
        <v>0.99134875994207716</v>
      </c>
      <c r="H1077" s="883">
        <v>1.01300887039719</v>
      </c>
      <c r="I1077" s="883">
        <v>1.0013805076477689</v>
      </c>
      <c r="K1077">
        <v>6.7585403604529635</v>
      </c>
      <c r="L1077">
        <v>0</v>
      </c>
      <c r="M1077">
        <v>1.0285097136511026E-2</v>
      </c>
      <c r="N1077">
        <v>0.20244357847384944</v>
      </c>
      <c r="O1077">
        <v>0.1220486070806794</v>
      </c>
      <c r="P1077">
        <v>8.5493852161091871E-2</v>
      </c>
      <c r="Q1077">
        <v>0</v>
      </c>
      <c r="R1077">
        <v>1.0285097136511026E-2</v>
      </c>
      <c r="S1077">
        <v>0.27451554986512899</v>
      </c>
      <c r="T1077">
        <v>5.9097632855619295</v>
      </c>
      <c r="U1077">
        <v>0</v>
      </c>
      <c r="V1077">
        <v>1.9215035347426808E-2</v>
      </c>
      <c r="W1077">
        <v>0.10464360231229343</v>
      </c>
      <c r="X1077">
        <v>-1.9353496785478228E-3</v>
      </c>
      <c r="Y1077">
        <v>4.2352199329106936E-2</v>
      </c>
    </row>
    <row r="1078" spans="1:25" x14ac:dyDescent="0.25">
      <c r="A1078" s="879"/>
      <c r="B1078" s="1133">
        <v>828</v>
      </c>
      <c r="C1078" s="883">
        <v>0.97600907878934406</v>
      </c>
      <c r="D1078" s="883">
        <v>1.0371069251408638</v>
      </c>
      <c r="E1078" s="883">
        <v>1.0315024002410573</v>
      </c>
      <c r="F1078" s="883">
        <v>0.99767943524300695</v>
      </c>
      <c r="G1078" s="883">
        <v>0.99000577598106476</v>
      </c>
      <c r="H1078" s="883">
        <v>0.98963591029193543</v>
      </c>
      <c r="I1078" s="883">
        <v>1.0024470694889476</v>
      </c>
      <c r="K1078">
        <v>6.7540008749013962</v>
      </c>
      <c r="L1078">
        <v>0</v>
      </c>
      <c r="M1078">
        <v>1.0121539881904271E-2</v>
      </c>
      <c r="N1078">
        <v>0.19770911864700216</v>
      </c>
      <c r="O1078">
        <v>0.12257253901057016</v>
      </c>
      <c r="P1078">
        <v>8.5198179452775566E-2</v>
      </c>
      <c r="Q1078">
        <v>0</v>
      </c>
      <c r="R1078">
        <v>1.0121539881904271E-2</v>
      </c>
      <c r="S1078">
        <v>0.27601237699085446</v>
      </c>
      <c r="T1078">
        <v>5.9102097800912112</v>
      </c>
      <c r="U1078">
        <v>0</v>
      </c>
      <c r="V1078">
        <v>1.9289098065841059E-2</v>
      </c>
      <c r="W1078">
        <v>0.10245525243541616</v>
      </c>
      <c r="X1078">
        <v>-1.1241694590201851E-3</v>
      </c>
      <c r="Y1078">
        <v>4.1678699666742376E-2</v>
      </c>
    </row>
    <row r="1079" spans="1:25" x14ac:dyDescent="0.25">
      <c r="A1079" s="879"/>
      <c r="B1079" s="1133">
        <v>829</v>
      </c>
      <c r="C1079" s="883">
        <v>1.0274755229829031</v>
      </c>
      <c r="D1079" s="883">
        <v>1.0070222785881162</v>
      </c>
      <c r="E1079" s="883">
        <v>0.97415070931690773</v>
      </c>
      <c r="F1079" s="883">
        <v>1.0092170834068062</v>
      </c>
      <c r="G1079" s="883">
        <v>0.97156463238359658</v>
      </c>
      <c r="H1079" s="883">
        <v>0.96880717187104604</v>
      </c>
      <c r="I1079" s="883">
        <v>0.98687371173467942</v>
      </c>
      <c r="K1079">
        <v>6.7068277328970591</v>
      </c>
      <c r="L1079">
        <v>0</v>
      </c>
      <c r="M1079">
        <v>1.0021368604024875E-2</v>
      </c>
      <c r="N1079">
        <v>0.17981038912477981</v>
      </c>
      <c r="O1079">
        <v>0.11885634665539785</v>
      </c>
      <c r="P1079">
        <v>8.1382375404739568E-2</v>
      </c>
      <c r="Q1079">
        <v>0</v>
      </c>
      <c r="R1079">
        <v>1.0021368604024875E-2</v>
      </c>
      <c r="S1079">
        <v>0.25639439779773687</v>
      </c>
      <c r="T1079">
        <v>5.9140653002630721</v>
      </c>
      <c r="U1079">
        <v>0</v>
      </c>
      <c r="V1079">
        <v>1.900931278517342E-2</v>
      </c>
      <c r="W1079">
        <v>9.586901211802655E-2</v>
      </c>
      <c r="X1079">
        <v>1.7438657387263201E-4</v>
      </c>
      <c r="Y1079">
        <v>4.1266212174257813E-2</v>
      </c>
    </row>
    <row r="1080" spans="1:25" x14ac:dyDescent="0.25">
      <c r="A1080" s="879"/>
      <c r="B1080" s="1133">
        <v>830</v>
      </c>
      <c r="C1080" s="883">
        <v>1.0015083473882291</v>
      </c>
      <c r="D1080" s="883">
        <v>1.0254345522232353</v>
      </c>
      <c r="E1080" s="883">
        <v>1.0073383245745116</v>
      </c>
      <c r="F1080" s="883">
        <v>0.97456861635137271</v>
      </c>
      <c r="G1080" s="883">
        <v>0.98822996137077723</v>
      </c>
      <c r="H1080" s="883">
        <v>1.0009255854098671</v>
      </c>
      <c r="I1080" s="883">
        <v>1.0057590272367194</v>
      </c>
      <c r="K1080">
        <v>6.7396962445859376</v>
      </c>
      <c r="L1080">
        <v>0</v>
      </c>
      <c r="M1080">
        <v>1.023910413294373E-2</v>
      </c>
      <c r="N1080">
        <v>0.19298219887719542</v>
      </c>
      <c r="O1080">
        <v>0.12044551305425925</v>
      </c>
      <c r="P1080">
        <v>8.3614701109359743E-2</v>
      </c>
      <c r="Q1080">
        <v>0</v>
      </c>
      <c r="R1080">
        <v>1.023910413294373E-2</v>
      </c>
      <c r="S1080">
        <v>0.27098904482811348</v>
      </c>
      <c r="T1080">
        <v>5.9103447920785497</v>
      </c>
      <c r="U1080">
        <v>0</v>
      </c>
      <c r="V1080">
        <v>1.9146883089375993E-2</v>
      </c>
      <c r="W1080">
        <v>0.10120348263926258</v>
      </c>
      <c r="X1080">
        <v>-1.1931794170488143E-3</v>
      </c>
      <c r="Y1080">
        <v>4.2162808326866266E-2</v>
      </c>
    </row>
    <row r="1081" spans="1:25" x14ac:dyDescent="0.25">
      <c r="A1081" s="879"/>
      <c r="B1081" s="1133">
        <v>831</v>
      </c>
      <c r="C1081" s="883">
        <v>0.96383371249602623</v>
      </c>
      <c r="D1081" s="883">
        <v>0.9732161787933159</v>
      </c>
      <c r="E1081" s="883">
        <v>1.003129187905762</v>
      </c>
      <c r="F1081" s="883">
        <v>0.98626373651629817</v>
      </c>
      <c r="G1081" s="883">
        <v>1.0098956148863152</v>
      </c>
      <c r="H1081" s="883">
        <v>0.99017451094804465</v>
      </c>
      <c r="I1081" s="883">
        <v>1.0095794339592195</v>
      </c>
      <c r="K1081">
        <v>6.7746208823858298</v>
      </c>
      <c r="L1081">
        <v>0</v>
      </c>
      <c r="M1081">
        <v>1.0803009228831631E-2</v>
      </c>
      <c r="N1081">
        <v>0.2023452118248813</v>
      </c>
      <c r="O1081">
        <v>0.1278804933830279</v>
      </c>
      <c r="P1081">
        <v>8.3514437999912233E-2</v>
      </c>
      <c r="Q1081">
        <v>0</v>
      </c>
      <c r="R1081">
        <v>1.0803009228831631E-2</v>
      </c>
      <c r="S1081">
        <v>0.28212118515309076</v>
      </c>
      <c r="T1081">
        <v>5.9112144769124093</v>
      </c>
      <c r="U1081">
        <v>0</v>
      </c>
      <c r="V1081">
        <v>1.9359657015375648E-2</v>
      </c>
      <c r="W1081">
        <v>0.10633519925300131</v>
      </c>
      <c r="X1081">
        <v>-2.6346482962390249E-3</v>
      </c>
      <c r="Y1081">
        <v>4.4484869140367263E-2</v>
      </c>
    </row>
    <row r="1082" spans="1:25" x14ac:dyDescent="0.25">
      <c r="A1082" s="879"/>
      <c r="B1082" s="1133">
        <v>832</v>
      </c>
      <c r="C1082" s="883">
        <v>1.0045176224389731</v>
      </c>
      <c r="D1082" s="883">
        <v>1.0024160396415669</v>
      </c>
      <c r="E1082" s="883">
        <v>0.99029033508209241</v>
      </c>
      <c r="F1082" s="883">
        <v>0.97801059321285888</v>
      </c>
      <c r="G1082" s="883">
        <v>1.008369908450665</v>
      </c>
      <c r="H1082" s="883">
        <v>1.0032359587973041</v>
      </c>
      <c r="I1082" s="883">
        <v>0.97286342192680542</v>
      </c>
      <c r="K1082">
        <v>6.732432267999334</v>
      </c>
      <c r="L1082">
        <v>0</v>
      </c>
      <c r="M1082">
        <v>1.0486925023167859E-2</v>
      </c>
      <c r="N1082">
        <v>0.19272312336691441</v>
      </c>
      <c r="O1082">
        <v>0.12149772802234067</v>
      </c>
      <c r="P1082">
        <v>8.2435314740942886E-2</v>
      </c>
      <c r="Q1082">
        <v>0</v>
      </c>
      <c r="R1082">
        <v>1.0486925023167859E-2</v>
      </c>
      <c r="S1082">
        <v>0.26173562612768442</v>
      </c>
      <c r="T1082">
        <v>5.9114874196717277</v>
      </c>
      <c r="U1082">
        <v>0</v>
      </c>
      <c r="V1082">
        <v>1.913057602476179E-2</v>
      </c>
      <c r="W1082">
        <v>0.10192737117681187</v>
      </c>
      <c r="X1082">
        <v>-1.6881817741858502E-3</v>
      </c>
      <c r="Y1082">
        <v>4.3183290642335136E-2</v>
      </c>
    </row>
    <row r="1083" spans="1:25" x14ac:dyDescent="0.25">
      <c r="A1083" s="879"/>
      <c r="B1083" s="1133">
        <v>833</v>
      </c>
      <c r="C1083" s="883">
        <v>1.0381547743437605</v>
      </c>
      <c r="D1083" s="883">
        <v>0.98366788377813208</v>
      </c>
      <c r="E1083" s="883">
        <v>0.96971670691583778</v>
      </c>
      <c r="F1083" s="883">
        <v>1.0205808628306676</v>
      </c>
      <c r="G1083" s="883">
        <v>0.98540557829841435</v>
      </c>
      <c r="H1083" s="883">
        <v>0.99034429643749788</v>
      </c>
      <c r="I1083" s="883">
        <v>1.0398240235040441</v>
      </c>
      <c r="K1083">
        <v>6.7265127281882693</v>
      </c>
      <c r="L1083">
        <v>0</v>
      </c>
      <c r="M1083">
        <v>1.0280822405010165E-2</v>
      </c>
      <c r="N1083">
        <v>0.18325541829468159</v>
      </c>
      <c r="O1083">
        <v>0.11882245143165705</v>
      </c>
      <c r="P1083">
        <v>8.1286911929706537E-2</v>
      </c>
      <c r="Q1083">
        <v>0</v>
      </c>
      <c r="R1083">
        <v>1.0280822405010165E-2</v>
      </c>
      <c r="S1083">
        <v>0.26962066980422522</v>
      </c>
      <c r="T1083">
        <v>5.9149219787287048</v>
      </c>
      <c r="U1083">
        <v>0</v>
      </c>
      <c r="V1083">
        <v>1.895473281933821E-2</v>
      </c>
      <c r="W1083">
        <v>9.7923669442413874E-2</v>
      </c>
      <c r="X1083">
        <v>-6.0770100812066819E-4</v>
      </c>
      <c r="Y1083">
        <v>4.233459674566023E-2</v>
      </c>
    </row>
    <row r="1084" spans="1:25" x14ac:dyDescent="0.25">
      <c r="A1084" s="879"/>
      <c r="B1084" s="1133">
        <v>834</v>
      </c>
      <c r="C1084" s="883">
        <v>1.0126529285495094</v>
      </c>
      <c r="D1084" s="883">
        <v>0.99980642346831594</v>
      </c>
      <c r="E1084" s="883">
        <v>1.0106513873903311</v>
      </c>
      <c r="F1084" s="883">
        <v>1.013139947745874</v>
      </c>
      <c r="G1084" s="883">
        <v>0.97134058352392716</v>
      </c>
      <c r="H1084" s="883">
        <v>1.0221574161152778</v>
      </c>
      <c r="I1084" s="883">
        <v>1.0107700147412852</v>
      </c>
      <c r="K1084">
        <v>6.7487869320313152</v>
      </c>
      <c r="L1084">
        <v>0</v>
      </c>
      <c r="M1084">
        <v>1.0423644796181757E-2</v>
      </c>
      <c r="N1084">
        <v>0.1974263412089903</v>
      </c>
      <c r="O1084">
        <v>0.12027049356991738</v>
      </c>
      <c r="P1084">
        <v>8.3855521602115415E-2</v>
      </c>
      <c r="Q1084">
        <v>0</v>
      </c>
      <c r="R1084">
        <v>1.0423644796181757E-2</v>
      </c>
      <c r="S1084">
        <v>0.27159114396267053</v>
      </c>
      <c r="T1084">
        <v>5.9122411691385697</v>
      </c>
      <c r="U1084">
        <v>0</v>
      </c>
      <c r="V1084">
        <v>1.9086976499855995E-2</v>
      </c>
      <c r="W1084">
        <v>0.10336448526726531</v>
      </c>
      <c r="X1084">
        <v>-1.9719131491368648E-3</v>
      </c>
      <c r="Y1084">
        <v>4.2922713931066885E-2</v>
      </c>
    </row>
    <row r="1085" spans="1:25" x14ac:dyDescent="0.25">
      <c r="A1085" s="879"/>
      <c r="B1085" s="1133">
        <v>835</v>
      </c>
      <c r="C1085" s="883">
        <v>1.0142892352589437</v>
      </c>
      <c r="D1085" s="883">
        <v>0.98963942991127907</v>
      </c>
      <c r="E1085" s="883">
        <v>0.98942397690809591</v>
      </c>
      <c r="F1085" s="883">
        <v>0.98413041713421756</v>
      </c>
      <c r="G1085" s="883">
        <v>1.0182063975618534</v>
      </c>
      <c r="H1085" s="883">
        <v>0.99521506859821762</v>
      </c>
      <c r="I1085" s="883">
        <v>1.0195300868464154</v>
      </c>
      <c r="K1085">
        <v>6.7378662043824828</v>
      </c>
      <c r="L1085">
        <v>0</v>
      </c>
      <c r="M1085">
        <v>1.0367465438050743E-2</v>
      </c>
      <c r="N1085">
        <v>0.19028319080639353</v>
      </c>
      <c r="O1085">
        <v>0.12096221698661723</v>
      </c>
      <c r="P1085">
        <v>8.2508551777050201E-2</v>
      </c>
      <c r="Q1085">
        <v>0</v>
      </c>
      <c r="R1085">
        <v>1.0367465438050743E-2</v>
      </c>
      <c r="S1085">
        <v>0.27101544121496968</v>
      </c>
      <c r="T1085">
        <v>5.9118663898645583</v>
      </c>
      <c r="U1085">
        <v>0</v>
      </c>
      <c r="V1085">
        <v>1.9078291530051875E-2</v>
      </c>
      <c r="W1085">
        <v>0.1006804296413477</v>
      </c>
      <c r="X1085">
        <v>-1.2196847723469548E-3</v>
      </c>
      <c r="Y1085">
        <v>4.269137733383635E-2</v>
      </c>
    </row>
    <row r="1086" spans="1:25" x14ac:dyDescent="0.25">
      <c r="A1086" s="879"/>
      <c r="B1086" s="1133">
        <v>836</v>
      </c>
      <c r="C1086" s="883">
        <v>0.97298140919990062</v>
      </c>
      <c r="D1086" s="883">
        <v>1.0174890348995274</v>
      </c>
      <c r="E1086" s="883">
        <v>0.99415534380443349</v>
      </c>
      <c r="F1086" s="883">
        <v>0.99906786416902327</v>
      </c>
      <c r="G1086" s="883">
        <v>0.99533862015601071</v>
      </c>
      <c r="H1086" s="883">
        <v>0.95764692040677146</v>
      </c>
      <c r="I1086" s="883">
        <v>0.97167411237372214</v>
      </c>
      <c r="K1086">
        <v>6.7351246583453372</v>
      </c>
      <c r="L1086">
        <v>0</v>
      </c>
      <c r="M1086">
        <v>1.0234419875801436E-2</v>
      </c>
      <c r="N1086">
        <v>0.18916338189600601</v>
      </c>
      <c r="O1086">
        <v>0.1246154504998311</v>
      </c>
      <c r="P1086">
        <v>8.274276282977687E-2</v>
      </c>
      <c r="Q1086">
        <v>0</v>
      </c>
      <c r="R1086">
        <v>1.0234419875801436E-2</v>
      </c>
      <c r="S1086">
        <v>0.26548827379742523</v>
      </c>
      <c r="T1086">
        <v>5.9124100514942333</v>
      </c>
      <c r="U1086">
        <v>0</v>
      </c>
      <c r="V1086">
        <v>1.930647912028631E-2</v>
      </c>
      <c r="W1086">
        <v>9.9852234645923063E-2</v>
      </c>
      <c r="X1086">
        <v>-5.9749532786814797E-4</v>
      </c>
      <c r="Y1086">
        <v>4.2143519389720989E-2</v>
      </c>
    </row>
    <row r="1087" spans="1:25" x14ac:dyDescent="0.25">
      <c r="A1087" s="879"/>
      <c r="B1087" s="1133">
        <v>837</v>
      </c>
      <c r="C1087" s="883">
        <v>0.99167170363129264</v>
      </c>
      <c r="D1087" s="883">
        <v>0.98404914933022181</v>
      </c>
      <c r="E1087" s="883">
        <v>1.0124208283286316</v>
      </c>
      <c r="F1087" s="883">
        <v>0.99720103951252481</v>
      </c>
      <c r="G1087" s="883">
        <v>0.95109488534361331</v>
      </c>
      <c r="H1087" s="883">
        <v>1.0202408590740915</v>
      </c>
      <c r="I1087" s="883">
        <v>0.99583053309538661</v>
      </c>
      <c r="K1087">
        <v>6.7613949074357667</v>
      </c>
      <c r="L1087">
        <v>0</v>
      </c>
      <c r="M1087">
        <v>1.068024007826982E-2</v>
      </c>
      <c r="N1087">
        <v>0.20281683144698334</v>
      </c>
      <c r="O1087">
        <v>0.12356416449677426</v>
      </c>
      <c r="P1087">
        <v>8.3977372177514678E-2</v>
      </c>
      <c r="Q1087">
        <v>0</v>
      </c>
      <c r="R1087">
        <v>1.068024007826982E-2</v>
      </c>
      <c r="S1087">
        <v>0.27323609084074268</v>
      </c>
      <c r="T1087">
        <v>5.911279366257725</v>
      </c>
      <c r="U1087">
        <v>0</v>
      </c>
      <c r="V1087">
        <v>1.9200877709446725E-2</v>
      </c>
      <c r="W1087">
        <v>0.10609389519751097</v>
      </c>
      <c r="X1087">
        <v>-2.7530183213887159E-3</v>
      </c>
      <c r="Y1087">
        <v>4.3979327630447901E-2</v>
      </c>
    </row>
    <row r="1088" spans="1:25" x14ac:dyDescent="0.25">
      <c r="A1088" s="879"/>
      <c r="B1088" s="1133">
        <v>838</v>
      </c>
      <c r="C1088" s="883">
        <v>1.015288648920909</v>
      </c>
      <c r="D1088" s="883">
        <v>0.99518146400275365</v>
      </c>
      <c r="E1088" s="883">
        <v>0.98884214490622291</v>
      </c>
      <c r="F1088" s="883">
        <v>0.98365622476184755</v>
      </c>
      <c r="G1088" s="883">
        <v>0.99831778225865875</v>
      </c>
      <c r="H1088" s="883">
        <v>0.96088700101260116</v>
      </c>
      <c r="I1088" s="883">
        <v>1.000327849556176</v>
      </c>
      <c r="K1088">
        <v>6.7174501735671974</v>
      </c>
      <c r="L1088">
        <v>0</v>
      </c>
      <c r="M1088">
        <v>9.9811743811822305E-3</v>
      </c>
      <c r="N1088">
        <v>0.18303528529893334</v>
      </c>
      <c r="O1088">
        <v>0.12058421398512648</v>
      </c>
      <c r="P1088">
        <v>8.2357482300066162E-2</v>
      </c>
      <c r="Q1088">
        <v>0</v>
      </c>
      <c r="R1088">
        <v>9.9811743811822305E-3</v>
      </c>
      <c r="S1088">
        <v>0.26239850269710063</v>
      </c>
      <c r="T1088">
        <v>5.911873097125464</v>
      </c>
      <c r="U1088">
        <v>0</v>
      </c>
      <c r="V1088">
        <v>1.9073000746729386E-2</v>
      </c>
      <c r="W1088">
        <v>9.6873614998667257E-2</v>
      </c>
      <c r="X1088">
        <v>1.5427689621089078E-4</v>
      </c>
      <c r="Y1088">
        <v>4.110069951889677E-2</v>
      </c>
    </row>
    <row r="1089" spans="1:25" x14ac:dyDescent="0.25">
      <c r="A1089" s="879"/>
      <c r="B1089" s="1133">
        <v>839</v>
      </c>
      <c r="C1089" s="883">
        <v>0.99879196347944732</v>
      </c>
      <c r="D1089" s="883">
        <v>0.96664631073359275</v>
      </c>
      <c r="E1089" s="883">
        <v>0.96290098865535956</v>
      </c>
      <c r="F1089" s="883">
        <v>0.99504021095551587</v>
      </c>
      <c r="G1089" s="883">
        <v>0.99384547545372981</v>
      </c>
      <c r="H1089" s="883">
        <v>1.0139000854607909</v>
      </c>
      <c r="I1089" s="883">
        <v>0.98278900113343159</v>
      </c>
      <c r="K1089">
        <v>6.7488952698759936</v>
      </c>
      <c r="L1089">
        <v>0</v>
      </c>
      <c r="M1089">
        <v>1.1087923019533461E-2</v>
      </c>
      <c r="N1089">
        <v>0.19565140454515598</v>
      </c>
      <c r="O1089">
        <v>0.12449813455230786</v>
      </c>
      <c r="P1089">
        <v>8.0815411770301229E-2</v>
      </c>
      <c r="Q1089">
        <v>0</v>
      </c>
      <c r="R1089">
        <v>1.1087923019533461E-2</v>
      </c>
      <c r="S1089">
        <v>0.26725656891291372</v>
      </c>
      <c r="T1089">
        <v>5.913911156428167</v>
      </c>
      <c r="U1089">
        <v>0</v>
      </c>
      <c r="V1089">
        <v>1.9161687379158125E-2</v>
      </c>
      <c r="W1089">
        <v>0.10490695014284225</v>
      </c>
      <c r="X1089">
        <v>-2.964137272574152E-3</v>
      </c>
      <c r="Y1089">
        <v>4.5658093417713146E-2</v>
      </c>
    </row>
    <row r="1090" spans="1:25" x14ac:dyDescent="0.25">
      <c r="A1090" s="879"/>
      <c r="B1090" s="1133">
        <v>840</v>
      </c>
      <c r="C1090" s="883">
        <v>1.0332216807213643</v>
      </c>
      <c r="D1090" s="883">
        <v>0.96222539882036351</v>
      </c>
      <c r="E1090" s="883">
        <v>0.99760930268094095</v>
      </c>
      <c r="F1090" s="883">
        <v>1.0024239856362642</v>
      </c>
      <c r="G1090" s="883">
        <v>1.0002062136059324</v>
      </c>
      <c r="H1090" s="883">
        <v>0.9953076264721763</v>
      </c>
      <c r="I1090" s="883">
        <v>0.98655492350550933</v>
      </c>
      <c r="K1090">
        <v>6.7231689346605359</v>
      </c>
      <c r="L1090">
        <v>0</v>
      </c>
      <c r="M1090">
        <v>1.0228418723451158E-2</v>
      </c>
      <c r="N1090">
        <v>0.19002261510080215</v>
      </c>
      <c r="O1090">
        <v>0.11993730004600699</v>
      </c>
      <c r="P1090">
        <v>8.2851720507478369E-2</v>
      </c>
      <c r="Q1090">
        <v>0</v>
      </c>
      <c r="R1090">
        <v>1.0228418723451158E-2</v>
      </c>
      <c r="S1090">
        <v>0.25774727183680807</v>
      </c>
      <c r="T1090">
        <v>5.9123981153797409</v>
      </c>
      <c r="U1090">
        <v>0</v>
      </c>
      <c r="V1090">
        <v>1.8979804865719384E-2</v>
      </c>
      <c r="W1090">
        <v>0.10013358996352878</v>
      </c>
      <c r="X1090">
        <v>-1.0202907520588025E-3</v>
      </c>
      <c r="Y1090">
        <v>4.2118807712507846E-2</v>
      </c>
    </row>
    <row r="1091" spans="1:25" x14ac:dyDescent="0.25">
      <c r="A1091" s="879"/>
      <c r="B1091" s="1133">
        <v>841</v>
      </c>
      <c r="C1091" s="883">
        <v>0.97785740771552665</v>
      </c>
      <c r="D1091" s="883">
        <v>0.99866162717767881</v>
      </c>
      <c r="E1091" s="883">
        <v>0.99753148158117166</v>
      </c>
      <c r="F1091" s="883">
        <v>0.98343822924685453</v>
      </c>
      <c r="G1091" s="883">
        <v>1.035385232201893</v>
      </c>
      <c r="H1091" s="883">
        <v>0.9734523849586979</v>
      </c>
      <c r="I1091" s="883">
        <v>1.0284217432628064</v>
      </c>
      <c r="K1091">
        <v>6.7567157552924941</v>
      </c>
      <c r="L1091">
        <v>0</v>
      </c>
      <c r="M1091">
        <v>1.0403858827567914E-2</v>
      </c>
      <c r="N1091">
        <v>0.19325963879628594</v>
      </c>
      <c r="O1091">
        <v>0.12485927415932219</v>
      </c>
      <c r="P1091">
        <v>8.3152487524473115E-2</v>
      </c>
      <c r="Q1091">
        <v>0</v>
      </c>
      <c r="R1091">
        <v>1.0403858827567914E-2</v>
      </c>
      <c r="S1091">
        <v>0.28132494766038052</v>
      </c>
      <c r="T1091">
        <v>5.9113763971144335</v>
      </c>
      <c r="U1091">
        <v>0</v>
      </c>
      <c r="V1091">
        <v>1.9278540205480591E-2</v>
      </c>
      <c r="W1091">
        <v>0.10184329951363777</v>
      </c>
      <c r="X1091">
        <v>-1.2200685156033991E-3</v>
      </c>
      <c r="Y1091">
        <v>4.28412388340862E-2</v>
      </c>
    </row>
    <row r="1092" spans="1:25" x14ac:dyDescent="0.25">
      <c r="A1092" s="879"/>
      <c r="B1092" s="1133">
        <v>842</v>
      </c>
      <c r="C1092" s="883">
        <v>0.96025826130486225</v>
      </c>
      <c r="D1092" s="883">
        <v>0.97325295728591144</v>
      </c>
      <c r="E1092" s="883">
        <v>1.0078057509560991</v>
      </c>
      <c r="F1092" s="883">
        <v>1.0333031127527421</v>
      </c>
      <c r="G1092" s="883">
        <v>1.0058584048292378</v>
      </c>
      <c r="H1092" s="883">
        <v>1.0254832271260734</v>
      </c>
      <c r="I1092" s="883">
        <v>1.0063268944182211</v>
      </c>
      <c r="K1092">
        <v>6.7942619307677328</v>
      </c>
      <c r="L1092">
        <v>0</v>
      </c>
      <c r="M1092">
        <v>1.1183901109847559E-2</v>
      </c>
      <c r="N1092">
        <v>0.2109352597925957</v>
      </c>
      <c r="O1092">
        <v>0.12826220722961662</v>
      </c>
      <c r="P1092">
        <v>8.3889107048623138E-2</v>
      </c>
      <c r="Q1092">
        <v>0</v>
      </c>
      <c r="R1092">
        <v>1.1183901109847559E-2</v>
      </c>
      <c r="S1092">
        <v>0.28579638249144568</v>
      </c>
      <c r="T1092">
        <v>5.9134921150345345</v>
      </c>
      <c r="U1092">
        <v>0</v>
      </c>
      <c r="V1092">
        <v>1.9380717420922681E-2</v>
      </c>
      <c r="W1092">
        <v>0.11059280767077602</v>
      </c>
      <c r="X1092">
        <v>-4.1399800309492949E-3</v>
      </c>
      <c r="Y1092">
        <v>4.6053314110163376E-2</v>
      </c>
    </row>
    <row r="1093" spans="1:25" x14ac:dyDescent="0.25">
      <c r="A1093" s="879"/>
      <c r="B1093" s="1133">
        <v>843</v>
      </c>
      <c r="C1093" s="883">
        <v>0.98588236895222736</v>
      </c>
      <c r="D1093" s="883">
        <v>0.99139701087051446</v>
      </c>
      <c r="E1093" s="883">
        <v>0.9876310052667181</v>
      </c>
      <c r="F1093" s="883">
        <v>0.99770625650129019</v>
      </c>
      <c r="G1093" s="883">
        <v>0.95356558096122679</v>
      </c>
      <c r="H1093" s="883">
        <v>0.97774674120307525</v>
      </c>
      <c r="I1093" s="883">
        <v>0.98809531754024738</v>
      </c>
      <c r="K1093">
        <v>6.7426899369418889</v>
      </c>
      <c r="L1093">
        <v>0</v>
      </c>
      <c r="M1093">
        <v>1.0487402440399024E-2</v>
      </c>
      <c r="N1093">
        <v>0.19197345681776279</v>
      </c>
      <c r="O1093">
        <v>0.12439329056812078</v>
      </c>
      <c r="P1093">
        <v>8.2376089822086912E-2</v>
      </c>
      <c r="Q1093">
        <v>0</v>
      </c>
      <c r="R1093">
        <v>1.0487402440399024E-2</v>
      </c>
      <c r="S1093">
        <v>0.26855015953930889</v>
      </c>
      <c r="T1093">
        <v>5.9126998019042825</v>
      </c>
      <c r="U1093">
        <v>0</v>
      </c>
      <c r="V1093">
        <v>1.9233159801862278E-2</v>
      </c>
      <c r="W1093">
        <v>0.10166567651566247</v>
      </c>
      <c r="X1093">
        <v>-1.3869545887173432E-3</v>
      </c>
      <c r="Y1093">
        <v>4.3185256561515992E-2</v>
      </c>
    </row>
    <row r="1094" spans="1:25" x14ac:dyDescent="0.25">
      <c r="A1094" s="879"/>
      <c r="B1094" s="1133">
        <v>844</v>
      </c>
      <c r="C1094" s="883">
        <v>0.96113869289575249</v>
      </c>
      <c r="D1094" s="883">
        <v>1.0239855241370128</v>
      </c>
      <c r="E1094" s="883">
        <v>0.98183295447149932</v>
      </c>
      <c r="F1094" s="883">
        <v>1.0199076301702181</v>
      </c>
      <c r="G1094" s="883">
        <v>1.0064056627401858</v>
      </c>
      <c r="H1094" s="883">
        <v>1.0433094456284318</v>
      </c>
      <c r="I1094" s="883">
        <v>0.96874538577771585</v>
      </c>
      <c r="K1094">
        <v>6.7763978595418886</v>
      </c>
      <c r="L1094">
        <v>0</v>
      </c>
      <c r="M1094">
        <v>1.137824381848729E-2</v>
      </c>
      <c r="N1094">
        <v>0.20649702630142253</v>
      </c>
      <c r="O1094">
        <v>0.12606675333236544</v>
      </c>
      <c r="P1094">
        <v>8.2130617171956452E-2</v>
      </c>
      <c r="Q1094">
        <v>0</v>
      </c>
      <c r="R1094">
        <v>1.137824381848729E-2</v>
      </c>
      <c r="S1094">
        <v>0.27593447091237738</v>
      </c>
      <c r="T1094">
        <v>5.9142208663838405</v>
      </c>
      <c r="U1094">
        <v>0</v>
      </c>
      <c r="V1094">
        <v>1.9375516891655516E-2</v>
      </c>
      <c r="W1094">
        <v>0.10967442184869926</v>
      </c>
      <c r="X1094">
        <v>-4.3553960930574022E-3</v>
      </c>
      <c r="Y1094">
        <v>4.6853582792629168E-2</v>
      </c>
    </row>
    <row r="1095" spans="1:25" x14ac:dyDescent="0.25">
      <c r="A1095" s="879"/>
      <c r="B1095" s="1133">
        <v>845</v>
      </c>
      <c r="C1095" s="883">
        <v>0.98768749529455968</v>
      </c>
      <c r="D1095" s="883">
        <v>1.0151087719700058</v>
      </c>
      <c r="E1095" s="883">
        <v>0.99230753840239061</v>
      </c>
      <c r="F1095" s="883">
        <v>0.95945304650961349</v>
      </c>
      <c r="G1095" s="883">
        <v>0.96118357418776246</v>
      </c>
      <c r="H1095" s="883">
        <v>0.96909666103074688</v>
      </c>
      <c r="I1095" s="883">
        <v>1.0057353216718068</v>
      </c>
      <c r="K1095">
        <v>6.7366549436871477</v>
      </c>
      <c r="L1095">
        <v>0</v>
      </c>
      <c r="M1095">
        <v>1.0229297488765084E-2</v>
      </c>
      <c r="N1095">
        <v>0.18855157978675444</v>
      </c>
      <c r="O1095">
        <v>0.12290979436059855</v>
      </c>
      <c r="P1095">
        <v>8.2682622943597919E-2</v>
      </c>
      <c r="Q1095">
        <v>0</v>
      </c>
      <c r="R1095">
        <v>1.0229297488765084E-2</v>
      </c>
      <c r="S1095">
        <v>0.2718107728114933</v>
      </c>
      <c r="T1095">
        <v>5.9103720473606707</v>
      </c>
      <c r="U1095">
        <v>0</v>
      </c>
      <c r="V1095">
        <v>1.9223053576241763E-2</v>
      </c>
      <c r="W1095">
        <v>9.9620918739631859E-2</v>
      </c>
      <c r="X1095">
        <v>-6.382722034950504E-4</v>
      </c>
      <c r="Y1095">
        <v>4.2122426311656191E-2</v>
      </c>
    </row>
    <row r="1096" spans="1:25" x14ac:dyDescent="0.25">
      <c r="A1096" s="879"/>
      <c r="B1096" s="1133">
        <v>846</v>
      </c>
      <c r="C1096" s="883">
        <v>0.99740031514791372</v>
      </c>
      <c r="D1096" s="883">
        <v>0.98004048518239495</v>
      </c>
      <c r="E1096" s="883">
        <v>0.99805047805099711</v>
      </c>
      <c r="F1096" s="883">
        <v>1.0287619738424694</v>
      </c>
      <c r="G1096" s="883">
        <v>0.99013242940373458</v>
      </c>
      <c r="H1096" s="883">
        <v>1.0107375469463691</v>
      </c>
      <c r="I1096" s="883">
        <v>0.98733668691571119</v>
      </c>
      <c r="K1096">
        <v>6.7522715762657537</v>
      </c>
      <c r="L1096">
        <v>0</v>
      </c>
      <c r="M1096">
        <v>1.0671609994911319E-2</v>
      </c>
      <c r="N1096">
        <v>0.19838582355029877</v>
      </c>
      <c r="O1096">
        <v>0.12332808839851662</v>
      </c>
      <c r="P1096">
        <v>8.3044148454604408E-2</v>
      </c>
      <c r="Q1096">
        <v>0</v>
      </c>
      <c r="R1096">
        <v>1.0671609994911319E-2</v>
      </c>
      <c r="S1096">
        <v>0.26847618862491274</v>
      </c>
      <c r="T1096">
        <v>5.9137967934945763</v>
      </c>
      <c r="U1096">
        <v>0</v>
      </c>
      <c r="V1096">
        <v>1.9169303099780884E-2</v>
      </c>
      <c r="W1096">
        <v>0.10451771134926019</v>
      </c>
      <c r="X1096">
        <v>-2.3902711894724666E-3</v>
      </c>
      <c r="Y1096">
        <v>4.394379048327518E-2</v>
      </c>
    </row>
    <row r="1097" spans="1:25" x14ac:dyDescent="0.25">
      <c r="A1097" s="879"/>
      <c r="B1097" s="1133">
        <v>847</v>
      </c>
      <c r="C1097" s="883">
        <v>0.96636341022980532</v>
      </c>
      <c r="D1097" s="883">
        <v>0.98615679811470247</v>
      </c>
      <c r="E1097" s="883">
        <v>0.96778930072852354</v>
      </c>
      <c r="F1097" s="883">
        <v>1.0131946011929829</v>
      </c>
      <c r="G1097" s="883">
        <v>0.98900721816086579</v>
      </c>
      <c r="H1097" s="883">
        <v>0.99816322159800297</v>
      </c>
      <c r="I1097" s="883">
        <v>1.0342624937457685</v>
      </c>
      <c r="K1097">
        <v>6.778590764346486</v>
      </c>
      <c r="L1097">
        <v>0</v>
      </c>
      <c r="M1097">
        <v>1.1138410501157778E-2</v>
      </c>
      <c r="N1097">
        <v>0.19797448329731349</v>
      </c>
      <c r="O1097">
        <v>0.12755784137490644</v>
      </c>
      <c r="P1097">
        <v>8.1418056384103613E-2</v>
      </c>
      <c r="Q1097">
        <v>0</v>
      </c>
      <c r="R1097">
        <v>1.1138410501157778E-2</v>
      </c>
      <c r="S1097">
        <v>0.28886442423757358</v>
      </c>
      <c r="T1097">
        <v>5.9146275780000721</v>
      </c>
      <c r="U1097">
        <v>0</v>
      </c>
      <c r="V1097">
        <v>1.9344850526584908E-2</v>
      </c>
      <c r="W1097">
        <v>0.10589150725564207</v>
      </c>
      <c r="X1097">
        <v>-2.9539686103189403E-3</v>
      </c>
      <c r="Y1097">
        <v>4.5865991880605347E-2</v>
      </c>
    </row>
    <row r="1098" spans="1:25" x14ac:dyDescent="0.25">
      <c r="A1098" s="879"/>
      <c r="B1098" s="1133">
        <v>848</v>
      </c>
      <c r="C1098" s="883">
        <v>0.99475704393186259</v>
      </c>
      <c r="D1098" s="883">
        <v>1.0302613987573255</v>
      </c>
      <c r="E1098" s="883">
        <v>1.0262134839988617</v>
      </c>
      <c r="F1098" s="883">
        <v>1.0206534640217719</v>
      </c>
      <c r="G1098" s="883">
        <v>0.99116521149447678</v>
      </c>
      <c r="H1098" s="883">
        <v>1.0107434622190981</v>
      </c>
      <c r="I1098" s="883">
        <v>1.0106323616303943</v>
      </c>
      <c r="K1098">
        <v>6.7530788865965921</v>
      </c>
      <c r="L1098">
        <v>0</v>
      </c>
      <c r="M1098">
        <v>1.0218615530087528E-2</v>
      </c>
      <c r="N1098">
        <v>0.19805077338095828</v>
      </c>
      <c r="O1098">
        <v>0.12068123239825786</v>
      </c>
      <c r="P1098">
        <v>8.4873581198840933E-2</v>
      </c>
      <c r="Q1098">
        <v>0</v>
      </c>
      <c r="R1098">
        <v>1.0218615530087528E-2</v>
      </c>
      <c r="S1098">
        <v>0.27506727157526772</v>
      </c>
      <c r="T1098">
        <v>5.9117564663561604</v>
      </c>
      <c r="U1098">
        <v>0</v>
      </c>
      <c r="V1098">
        <v>1.9183826932677901E-2</v>
      </c>
      <c r="W1098">
        <v>0.10289906928517416</v>
      </c>
      <c r="X1098">
        <v>-1.5117744378823957E-3</v>
      </c>
      <c r="Y1098">
        <v>4.2078439907139782E-2</v>
      </c>
    </row>
    <row r="1099" spans="1:25" x14ac:dyDescent="0.25">
      <c r="A1099" s="879"/>
      <c r="B1099" s="1133">
        <v>849</v>
      </c>
      <c r="C1099" s="883">
        <v>0.99125098822632163</v>
      </c>
      <c r="D1099" s="883">
        <v>1.0261143030703233</v>
      </c>
      <c r="E1099" s="883">
        <v>0.99942762133161056</v>
      </c>
      <c r="F1099" s="883">
        <v>1.0389386378070908</v>
      </c>
      <c r="G1099" s="883">
        <v>0.97227826720490274</v>
      </c>
      <c r="H1099" s="883">
        <v>0.9750794444138895</v>
      </c>
      <c r="I1099" s="883">
        <v>0.99693741792654378</v>
      </c>
      <c r="K1099">
        <v>6.7370681506092938</v>
      </c>
      <c r="L1099">
        <v>0</v>
      </c>
      <c r="M1099">
        <v>1.0144958287679594E-2</v>
      </c>
      <c r="N1099">
        <v>0.18898054232977587</v>
      </c>
      <c r="O1099">
        <v>0.12180787368515089</v>
      </c>
      <c r="P1099">
        <v>8.3143799130052404E-2</v>
      </c>
      <c r="Q1099">
        <v>0</v>
      </c>
      <c r="R1099">
        <v>1.0144958287679594E-2</v>
      </c>
      <c r="S1099">
        <v>0.26894834006291346</v>
      </c>
      <c r="T1099">
        <v>5.9142694407081757</v>
      </c>
      <c r="U1099">
        <v>0</v>
      </c>
      <c r="V1099">
        <v>1.9203210968184805E-2</v>
      </c>
      <c r="W1099">
        <v>9.9494520867463451E-2</v>
      </c>
      <c r="X1099">
        <v>-5.5470963583175088E-4</v>
      </c>
      <c r="Y1099">
        <v>4.1775132493404317E-2</v>
      </c>
    </row>
    <row r="1100" spans="1:25" x14ac:dyDescent="0.25">
      <c r="A1100" s="879"/>
      <c r="B1100" s="1133">
        <v>850</v>
      </c>
      <c r="C1100" s="883">
        <v>0.97699654446792072</v>
      </c>
      <c r="D1100" s="883">
        <v>0.98245064536290394</v>
      </c>
      <c r="E1100" s="883">
        <v>1.0049949889358971</v>
      </c>
      <c r="F1100" s="883">
        <v>1.0091925858676449</v>
      </c>
      <c r="G1100" s="883">
        <v>0.99962539873477996</v>
      </c>
      <c r="H1100" s="883">
        <v>1.0091376543777824</v>
      </c>
      <c r="I1100" s="883">
        <v>0.97505620194085174</v>
      </c>
      <c r="K1100">
        <v>6.7622205348066098</v>
      </c>
      <c r="L1100">
        <v>0</v>
      </c>
      <c r="M1100">
        <v>1.080005901077854E-2</v>
      </c>
      <c r="N1100">
        <v>0.20284971747449287</v>
      </c>
      <c r="O1100">
        <v>0.12564581136927094</v>
      </c>
      <c r="P1100">
        <v>8.3489851913828933E-2</v>
      </c>
      <c r="Q1100">
        <v>0</v>
      </c>
      <c r="R1100">
        <v>1.080005901077854E-2</v>
      </c>
      <c r="S1100">
        <v>0.27050749748485375</v>
      </c>
      <c r="T1100">
        <v>5.9123482603498605</v>
      </c>
      <c r="U1100">
        <v>0</v>
      </c>
      <c r="V1100">
        <v>1.9283452582039815E-2</v>
      </c>
      <c r="W1100">
        <v>0.10650175534638727</v>
      </c>
      <c r="X1100">
        <v>-2.8785323816709675E-3</v>
      </c>
      <c r="Y1100">
        <v>4.4472720667543868E-2</v>
      </c>
    </row>
    <row r="1101" spans="1:25" x14ac:dyDescent="0.25">
      <c r="A1101" s="879"/>
      <c r="B1101" s="1133">
        <v>851</v>
      </c>
      <c r="C1101" s="883">
        <v>1.0103536744973425</v>
      </c>
      <c r="D1101" s="883">
        <v>0.98935746339650787</v>
      </c>
      <c r="E1101" s="883">
        <v>0.98925333691207118</v>
      </c>
      <c r="F1101" s="883">
        <v>1.0340867424510451</v>
      </c>
      <c r="G1101" s="883">
        <v>0.98327237264871026</v>
      </c>
      <c r="H1101" s="883">
        <v>1.0098189403742477</v>
      </c>
      <c r="I1101" s="883">
        <v>1.0204900254581464</v>
      </c>
      <c r="K1101">
        <v>6.7494374036314779</v>
      </c>
      <c r="L1101">
        <v>0</v>
      </c>
      <c r="M1101">
        <v>1.0563437013590974E-2</v>
      </c>
      <c r="N1101">
        <v>0.19383098369737381</v>
      </c>
      <c r="O1101">
        <v>0.12145039702714433</v>
      </c>
      <c r="P1101">
        <v>8.257007894308542E-2</v>
      </c>
      <c r="Q1101">
        <v>0</v>
      </c>
      <c r="R1101">
        <v>1.0563437013590974E-2</v>
      </c>
      <c r="S1101">
        <v>0.27372663860481394</v>
      </c>
      <c r="T1101">
        <v>5.9145761101816561</v>
      </c>
      <c r="U1101">
        <v>0</v>
      </c>
      <c r="V1101">
        <v>1.9099227708982421E-2</v>
      </c>
      <c r="W1101">
        <v>0.10256632619153164</v>
      </c>
      <c r="X1101">
        <v>-1.880712123386223E-3</v>
      </c>
      <c r="Y1101">
        <v>4.3498353400270896E-2</v>
      </c>
    </row>
    <row r="1102" spans="1:25" x14ac:dyDescent="0.25">
      <c r="A1102" s="879"/>
      <c r="B1102" s="1133">
        <v>852</v>
      </c>
      <c r="C1102" s="883">
        <v>1.0170176742197272</v>
      </c>
      <c r="D1102" s="883">
        <v>1.0064420490426871</v>
      </c>
      <c r="E1102" s="883">
        <v>0.97350460443398956</v>
      </c>
      <c r="F1102" s="883">
        <v>1.0260205110608165</v>
      </c>
      <c r="G1102" s="883">
        <v>1.0057389180338179</v>
      </c>
      <c r="H1102" s="883">
        <v>0.98087675816418307</v>
      </c>
      <c r="I1102" s="883">
        <v>1.0078342157391602</v>
      </c>
      <c r="K1102">
        <v>6.725008171801254</v>
      </c>
      <c r="L1102">
        <v>0</v>
      </c>
      <c r="M1102">
        <v>1.0258850958227424E-2</v>
      </c>
      <c r="N1102">
        <v>0.18389501382731294</v>
      </c>
      <c r="O1102">
        <v>0.12011793806608775</v>
      </c>
      <c r="P1102">
        <v>8.1476460970185127E-2</v>
      </c>
      <c r="Q1102">
        <v>0</v>
      </c>
      <c r="R1102">
        <v>1.0258850958227424E-2</v>
      </c>
      <c r="S1102">
        <v>0.26566050172150835</v>
      </c>
      <c r="T1102">
        <v>5.9150091541615923</v>
      </c>
      <c r="U1102">
        <v>0</v>
      </c>
      <c r="V1102">
        <v>1.906387203784194E-2</v>
      </c>
      <c r="W1102">
        <v>9.807860480104863E-2</v>
      </c>
      <c r="X1102">
        <v>-5.3749602290445832E-4</v>
      </c>
      <c r="Y1102">
        <v>4.2244122238580657E-2</v>
      </c>
    </row>
    <row r="1103" spans="1:25" x14ac:dyDescent="0.25">
      <c r="A1103" s="879"/>
      <c r="B1103" s="1133">
        <v>853</v>
      </c>
      <c r="C1103" s="883">
        <v>0.99568681854979824</v>
      </c>
      <c r="D1103" s="883">
        <v>0.95846417944450413</v>
      </c>
      <c r="E1103" s="883">
        <v>0.99542343110846687</v>
      </c>
      <c r="F1103" s="883">
        <v>1.0238448513763014</v>
      </c>
      <c r="G1103" s="883">
        <v>1.0071570381089672</v>
      </c>
      <c r="H1103" s="883">
        <v>1.0171458399288769</v>
      </c>
      <c r="I1103" s="883">
        <v>1.0224772528483101</v>
      </c>
      <c r="K1103">
        <v>6.7697434636746463</v>
      </c>
      <c r="L1103">
        <v>0</v>
      </c>
      <c r="M1103">
        <v>1.0885885956409377E-2</v>
      </c>
      <c r="N1103">
        <v>0.20158296146106108</v>
      </c>
      <c r="O1103">
        <v>0.12469553605387033</v>
      </c>
      <c r="P1103">
        <v>8.3023328670589716E-2</v>
      </c>
      <c r="Q1103">
        <v>0</v>
      </c>
      <c r="R1103">
        <v>1.0885885956409377E-2</v>
      </c>
      <c r="S1103">
        <v>0.27939528557159055</v>
      </c>
      <c r="T1103">
        <v>5.9136782663455385</v>
      </c>
      <c r="U1103">
        <v>0</v>
      </c>
      <c r="V1103">
        <v>1.9178709360857544E-2</v>
      </c>
      <c r="W1103">
        <v>0.1063409288005306</v>
      </c>
      <c r="X1103">
        <v>-2.9776933424197492E-3</v>
      </c>
      <c r="Y1103">
        <v>4.482614075302481E-2</v>
      </c>
    </row>
    <row r="1104" spans="1:25" x14ac:dyDescent="0.25">
      <c r="A1104" s="879"/>
      <c r="B1104" s="1133">
        <v>854</v>
      </c>
      <c r="C1104" s="883">
        <v>1.0146866620048212</v>
      </c>
      <c r="D1104" s="883">
        <v>1.0135709716131629</v>
      </c>
      <c r="E1104" s="883">
        <v>0.97016156253552488</v>
      </c>
      <c r="F1104" s="883">
        <v>1.0206622157367899</v>
      </c>
      <c r="G1104" s="883">
        <v>1.0203311712140588</v>
      </c>
      <c r="H1104" s="883">
        <v>1.033065648859548</v>
      </c>
      <c r="I1104" s="883">
        <v>1.0072895585232613</v>
      </c>
      <c r="K1104">
        <v>6.7447595699577345</v>
      </c>
      <c r="L1104">
        <v>0</v>
      </c>
      <c r="M1104">
        <v>1.0828309383225704E-2</v>
      </c>
      <c r="N1104">
        <v>0.19314189206027857</v>
      </c>
      <c r="O1104">
        <v>0.12011500906805034</v>
      </c>
      <c r="P1104">
        <v>8.1333236762817548E-2</v>
      </c>
      <c r="Q1104">
        <v>0</v>
      </c>
      <c r="R1104">
        <v>1.0828309383225704E-2</v>
      </c>
      <c r="S1104">
        <v>0.27091311564862763</v>
      </c>
      <c r="T1104">
        <v>5.9149021182285999</v>
      </c>
      <c r="U1104">
        <v>0</v>
      </c>
      <c r="V1104">
        <v>1.9076186349429477E-2</v>
      </c>
      <c r="W1104">
        <v>0.10318348724103232</v>
      </c>
      <c r="X1104">
        <v>-2.4945260740011307E-3</v>
      </c>
      <c r="Y1104">
        <v>4.4589050672902433E-2</v>
      </c>
    </row>
    <row r="1105" spans="1:25" x14ac:dyDescent="0.25">
      <c r="A1105" s="879"/>
      <c r="B1105" s="1133">
        <v>855</v>
      </c>
      <c r="C1105" s="883">
        <v>1.0092140859353607</v>
      </c>
      <c r="D1105" s="883">
        <v>1.024466425900465</v>
      </c>
      <c r="E1105" s="883">
        <v>1.0140699030455962</v>
      </c>
      <c r="F1105" s="883">
        <v>0.97016299030805431</v>
      </c>
      <c r="G1105" s="883">
        <v>1.0068206057432298</v>
      </c>
      <c r="H1105" s="883">
        <v>0.97315366987382745</v>
      </c>
      <c r="I1105" s="883">
        <v>0.96782649624998429</v>
      </c>
      <c r="K1105">
        <v>6.7137524834992384</v>
      </c>
      <c r="L1105">
        <v>0</v>
      </c>
      <c r="M1105">
        <v>9.8249778044955764E-3</v>
      </c>
      <c r="N1105">
        <v>0.18703140215859951</v>
      </c>
      <c r="O1105">
        <v>0.11944660934254769</v>
      </c>
      <c r="P1105">
        <v>8.3829390176576077E-2</v>
      </c>
      <c r="Q1105">
        <v>0</v>
      </c>
      <c r="R1105">
        <v>9.8249778044955764E-3</v>
      </c>
      <c r="S1105">
        <v>0.25631219530804272</v>
      </c>
      <c r="T1105">
        <v>5.9097246016732932</v>
      </c>
      <c r="U1105">
        <v>0</v>
      </c>
      <c r="V1105">
        <v>1.9105320515596762E-2</v>
      </c>
      <c r="W1105">
        <v>9.7756843245274075E-2</v>
      </c>
      <c r="X1105">
        <v>8.8611261250436631E-5</v>
      </c>
      <c r="Y1105">
        <v>4.0457509818055369E-2</v>
      </c>
    </row>
    <row r="1106" spans="1:25" x14ac:dyDescent="0.25">
      <c r="A1106" s="879"/>
      <c r="B1106" s="1133">
        <v>856</v>
      </c>
      <c r="C1106" s="883">
        <v>1.0296791005193444</v>
      </c>
      <c r="D1106" s="883">
        <v>1.003796990177807</v>
      </c>
      <c r="E1106" s="883">
        <v>0.97181458386522235</v>
      </c>
      <c r="F1106" s="883">
        <v>1.022309202157258</v>
      </c>
      <c r="G1106" s="883">
        <v>1.00972280788168</v>
      </c>
      <c r="H1106" s="883">
        <v>0.98782546507506763</v>
      </c>
      <c r="I1106" s="883">
        <v>0.9997637919759037</v>
      </c>
      <c r="K1106">
        <v>6.7171513115628096</v>
      </c>
      <c r="L1106">
        <v>0</v>
      </c>
      <c r="M1106">
        <v>1.0231039469753156E-2</v>
      </c>
      <c r="N1106">
        <v>0.18293694787227013</v>
      </c>
      <c r="O1106">
        <v>0.11879616113555239</v>
      </c>
      <c r="P1106">
        <v>8.1305852402346709E-2</v>
      </c>
      <c r="Q1106">
        <v>0</v>
      </c>
      <c r="R1106">
        <v>1.0231039469753156E-2</v>
      </c>
      <c r="S1106">
        <v>0.26094796119405106</v>
      </c>
      <c r="T1106">
        <v>5.9149009240548214</v>
      </c>
      <c r="U1106">
        <v>0</v>
      </c>
      <c r="V1106">
        <v>1.8997957945804899E-2</v>
      </c>
      <c r="W1106">
        <v>9.7650475717236646E-2</v>
      </c>
      <c r="X1106">
        <v>-5.1456823858151476E-4</v>
      </c>
      <c r="Y1106">
        <v>4.212959947930401E-2</v>
      </c>
    </row>
    <row r="1107" spans="1:25" x14ac:dyDescent="0.25">
      <c r="A1107" s="879"/>
      <c r="B1107" s="1133">
        <v>857</v>
      </c>
      <c r="C1107" s="883">
        <v>0.99540362520010861</v>
      </c>
      <c r="D1107" s="883">
        <v>1.0189437048654633</v>
      </c>
      <c r="E1107" s="883">
        <v>1.0111433956298297</v>
      </c>
      <c r="F1107" s="883">
        <v>0.98607398693058224</v>
      </c>
      <c r="G1107" s="883">
        <v>1.0177719619538375</v>
      </c>
      <c r="H1107" s="883">
        <v>1.0201942295853765</v>
      </c>
      <c r="I1107" s="883">
        <v>1.0078100638974137</v>
      </c>
      <c r="K1107">
        <v>6.7544299972919122</v>
      </c>
      <c r="L1107">
        <v>0</v>
      </c>
      <c r="M1107">
        <v>1.0493819026572324E-2</v>
      </c>
      <c r="N1107">
        <v>0.19890026697073679</v>
      </c>
      <c r="O1107">
        <v>0.1214209803344664</v>
      </c>
      <c r="P1107">
        <v>8.3914947248890093E-2</v>
      </c>
      <c r="Q1107">
        <v>0</v>
      </c>
      <c r="R1107">
        <v>1.0493819026572324E-2</v>
      </c>
      <c r="S1107">
        <v>0.2750988990576545</v>
      </c>
      <c r="T1107">
        <v>5.9107507569502822</v>
      </c>
      <c r="U1107">
        <v>0</v>
      </c>
      <c r="V1107">
        <v>1.9180267072678558E-2</v>
      </c>
      <c r="W1107">
        <v>0.1041108441150404</v>
      </c>
      <c r="X1107">
        <v>-2.1586433791103126E-3</v>
      </c>
      <c r="Y1107">
        <v>4.3211678921267857E-2</v>
      </c>
    </row>
    <row r="1108" spans="1:25" x14ac:dyDescent="0.25">
      <c r="A1108" s="879"/>
      <c r="B1108" s="1133">
        <v>858</v>
      </c>
      <c r="C1108" s="883">
        <v>0.98755456540163788</v>
      </c>
      <c r="D1108" s="883">
        <v>1.0087874850979277</v>
      </c>
      <c r="E1108" s="883">
        <v>0.98958136948602582</v>
      </c>
      <c r="F1108" s="883">
        <v>0.98098005657792087</v>
      </c>
      <c r="G1108" s="883">
        <v>1.0114083044152846</v>
      </c>
      <c r="H1108" s="883">
        <v>1.0028274911558566</v>
      </c>
      <c r="I1108" s="883">
        <v>1.0168288756119686</v>
      </c>
      <c r="K1108">
        <v>6.7554304432563796</v>
      </c>
      <c r="L1108">
        <v>0</v>
      </c>
      <c r="M1108">
        <v>1.064040351153576E-2</v>
      </c>
      <c r="N1108">
        <v>0.19533824073918385</v>
      </c>
      <c r="O1108">
        <v>0.12328519893140706</v>
      </c>
      <c r="P1108">
        <v>8.2612939404137942E-2</v>
      </c>
      <c r="Q1108">
        <v>0</v>
      </c>
      <c r="R1108">
        <v>1.064040351153576E-2</v>
      </c>
      <c r="S1108">
        <v>0.27815696802434742</v>
      </c>
      <c r="T1108">
        <v>5.9116873566025454</v>
      </c>
      <c r="U1108">
        <v>0</v>
      </c>
      <c r="V1108">
        <v>1.9223796540701568E-2</v>
      </c>
      <c r="W1108">
        <v>0.10334698557541828</v>
      </c>
      <c r="X1108">
        <v>-2.0363303006506197E-3</v>
      </c>
      <c r="Y1108">
        <v>4.3815287739281603E-2</v>
      </c>
    </row>
    <row r="1109" spans="1:25" x14ac:dyDescent="0.25">
      <c r="A1109" s="879"/>
      <c r="B1109" s="1133">
        <v>859</v>
      </c>
      <c r="C1109" s="883">
        <v>0.9733889867409371</v>
      </c>
      <c r="D1109" s="883">
        <v>1.0187570435877771</v>
      </c>
      <c r="E1109" s="883">
        <v>1.0056711557621385</v>
      </c>
      <c r="F1109" s="883">
        <v>1.0105180712569775</v>
      </c>
      <c r="G1109" s="883">
        <v>0.99008562118463472</v>
      </c>
      <c r="H1109" s="883">
        <v>1.0287787500854648</v>
      </c>
      <c r="I1109" s="883">
        <v>1.0121897907516273</v>
      </c>
      <c r="K1109">
        <v>6.7763602882340619</v>
      </c>
      <c r="L1109">
        <v>0</v>
      </c>
      <c r="M1109">
        <v>1.0874205061698495E-2</v>
      </c>
      <c r="N1109">
        <v>0.20444696630651352</v>
      </c>
      <c r="O1109">
        <v>0.12428118608675423</v>
      </c>
      <c r="P1109">
        <v>8.3706116538526082E-2</v>
      </c>
      <c r="Q1109">
        <v>0</v>
      </c>
      <c r="R1109">
        <v>1.0874205061698495E-2</v>
      </c>
      <c r="S1109">
        <v>0.2833701815368479</v>
      </c>
      <c r="T1109">
        <v>5.912381681351861</v>
      </c>
      <c r="U1109">
        <v>0</v>
      </c>
      <c r="V1109">
        <v>1.9304133026791116E-2</v>
      </c>
      <c r="W1109">
        <v>0.10730439430288806</v>
      </c>
      <c r="X1109">
        <v>-3.2124118238527296E-3</v>
      </c>
      <c r="Y1109">
        <v>4.4778040907727162E-2</v>
      </c>
    </row>
    <row r="1110" spans="1:25" x14ac:dyDescent="0.25">
      <c r="A1110" s="879"/>
      <c r="B1110" s="1133">
        <v>860</v>
      </c>
      <c r="C1110" s="883">
        <v>1.0011604206893017</v>
      </c>
      <c r="D1110" s="883">
        <v>0.98304219590667585</v>
      </c>
      <c r="E1110" s="883">
        <v>1.0128398717537292</v>
      </c>
      <c r="F1110" s="883">
        <v>1.0156751194673341</v>
      </c>
      <c r="G1110" s="883">
        <v>0.98208707691716279</v>
      </c>
      <c r="H1110" s="883">
        <v>0.97839761099810807</v>
      </c>
      <c r="I1110" s="883">
        <v>0.96159860609936609</v>
      </c>
      <c r="K1110">
        <v>6.7296974364328692</v>
      </c>
      <c r="L1110">
        <v>0</v>
      </c>
      <c r="M1110">
        <v>1.014587018604567E-2</v>
      </c>
      <c r="N1110">
        <v>0.19278872888497095</v>
      </c>
      <c r="O1110">
        <v>0.12243524583039195</v>
      </c>
      <c r="P1110">
        <v>8.3803767468369775E-2</v>
      </c>
      <c r="Q1110">
        <v>0</v>
      </c>
      <c r="R1110">
        <v>1.014587018604567E-2</v>
      </c>
      <c r="S1110">
        <v>0.25753798871343936</v>
      </c>
      <c r="T1110">
        <v>5.9122537107335198</v>
      </c>
      <c r="U1110">
        <v>0</v>
      </c>
      <c r="V1110">
        <v>1.9148774803698771E-2</v>
      </c>
      <c r="W1110">
        <v>0.10082729698429099</v>
      </c>
      <c r="X1110">
        <v>-8.7696451438020796E-4</v>
      </c>
      <c r="Y1110">
        <v>4.177888752856395E-2</v>
      </c>
    </row>
    <row r="1111" spans="1:25" x14ac:dyDescent="0.25">
      <c r="A1111" s="879"/>
      <c r="B1111" s="1133">
        <v>861</v>
      </c>
      <c r="C1111" s="883">
        <v>0.97964416930522258</v>
      </c>
      <c r="D1111" s="883">
        <v>0.97453743832365169</v>
      </c>
      <c r="E1111" s="883">
        <v>1.0180552516970993</v>
      </c>
      <c r="F1111" s="883">
        <v>1.0152097259064023</v>
      </c>
      <c r="G1111" s="883">
        <v>0.97970648690130546</v>
      </c>
      <c r="H1111" s="883">
        <v>1.0086682532054836</v>
      </c>
      <c r="I1111" s="883">
        <v>1.0103347830469318</v>
      </c>
      <c r="K1111">
        <v>6.7731523020458626</v>
      </c>
      <c r="L1111">
        <v>0</v>
      </c>
      <c r="M1111">
        <v>1.0680541215428758E-2</v>
      </c>
      <c r="N1111">
        <v>0.20452073041614693</v>
      </c>
      <c r="O1111">
        <v>0.12545843672360979</v>
      </c>
      <c r="P1111">
        <v>8.4427139119317873E-2</v>
      </c>
      <c r="Q1111">
        <v>0</v>
      </c>
      <c r="R1111">
        <v>1.0680541215428758E-2</v>
      </c>
      <c r="S1111">
        <v>0.27960584791130233</v>
      </c>
      <c r="T1111">
        <v>5.9119309441935357</v>
      </c>
      <c r="U1111">
        <v>0</v>
      </c>
      <c r="V1111">
        <v>1.9268371895885442E-2</v>
      </c>
      <c r="W1111">
        <v>0.10668810825307155</v>
      </c>
      <c r="X1111">
        <v>-2.7278441266809384E-3</v>
      </c>
      <c r="Y1111">
        <v>4.3980567659667992E-2</v>
      </c>
    </row>
    <row r="1112" spans="1:25" x14ac:dyDescent="0.25">
      <c r="A1112" s="879"/>
      <c r="B1112" s="1133">
        <v>862</v>
      </c>
      <c r="C1112" s="883">
        <v>0.97451361698570915</v>
      </c>
      <c r="D1112" s="883">
        <v>0.99226066609003316</v>
      </c>
      <c r="E1112" s="883">
        <v>0.97015337776757304</v>
      </c>
      <c r="F1112" s="883">
        <v>1.0356235211655624</v>
      </c>
      <c r="G1112" s="883">
        <v>1.0013385693651058</v>
      </c>
      <c r="H1112" s="883">
        <v>0.99331750304776489</v>
      </c>
      <c r="I1112" s="883">
        <v>0.98754640412106987</v>
      </c>
      <c r="K1112">
        <v>6.7574676028164795</v>
      </c>
      <c r="L1112">
        <v>0</v>
      </c>
      <c r="M1112">
        <v>1.0940072507779315E-2</v>
      </c>
      <c r="N1112">
        <v>0.19513301207543851</v>
      </c>
      <c r="O1112">
        <v>0.12613430353411484</v>
      </c>
      <c r="P1112">
        <v>8.1373345690006649E-2</v>
      </c>
      <c r="Q1112">
        <v>0</v>
      </c>
      <c r="R1112">
        <v>1.0940072507779315E-2</v>
      </c>
      <c r="S1112">
        <v>0.27298590494039227</v>
      </c>
      <c r="T1112">
        <v>5.9157114972852654</v>
      </c>
      <c r="U1112">
        <v>0</v>
      </c>
      <c r="V1112">
        <v>1.9297669620453879E-2</v>
      </c>
      <c r="W1112">
        <v>0.10424764557818915</v>
      </c>
      <c r="X1112">
        <v>-2.4650472340986798E-3</v>
      </c>
      <c r="Y1112">
        <v>4.5049271326719625E-2</v>
      </c>
    </row>
    <row r="1113" spans="1:25" x14ac:dyDescent="0.25">
      <c r="A1113" s="879"/>
      <c r="B1113" s="1133">
        <v>863</v>
      </c>
      <c r="C1113" s="883">
        <v>0.99831403840976018</v>
      </c>
      <c r="D1113" s="883">
        <v>0.97769201074741985</v>
      </c>
      <c r="E1113" s="883">
        <v>1.0028593427699586</v>
      </c>
      <c r="F1113" s="883">
        <v>1.0217699871132218</v>
      </c>
      <c r="G1113" s="883">
        <v>1.0004632852891637</v>
      </c>
      <c r="H1113" s="883">
        <v>0.98956206645445177</v>
      </c>
      <c r="I1113" s="883">
        <v>0.99422823728874909</v>
      </c>
      <c r="K1113">
        <v>6.7455619518604113</v>
      </c>
      <c r="L1113">
        <v>0</v>
      </c>
      <c r="M1113">
        <v>1.0405406565317982E-2</v>
      </c>
      <c r="N1113">
        <v>0.19482005385521683</v>
      </c>
      <c r="O1113">
        <v>0.12324240812830303</v>
      </c>
      <c r="P1113">
        <v>8.333290859899796E-2</v>
      </c>
      <c r="Q1113">
        <v>0</v>
      </c>
      <c r="R1113">
        <v>1.0405406565317982E-2</v>
      </c>
      <c r="S1113">
        <v>0.2681300014038247</v>
      </c>
      <c r="T1113">
        <v>5.9131484500100751</v>
      </c>
      <c r="U1113">
        <v>0</v>
      </c>
      <c r="V1113">
        <v>1.9164300404584035E-2</v>
      </c>
      <c r="W1113">
        <v>0.10239432956572082</v>
      </c>
      <c r="X1113">
        <v>-1.5181122489633376E-3</v>
      </c>
      <c r="Y1113">
        <v>4.2847612142653937E-2</v>
      </c>
    </row>
    <row r="1114" spans="1:25" x14ac:dyDescent="0.25">
      <c r="A1114" s="879"/>
      <c r="B1114" s="1133">
        <v>864</v>
      </c>
      <c r="C1114" s="883">
        <v>0.98408048353816502</v>
      </c>
      <c r="D1114" s="883">
        <v>0.96607634444291768</v>
      </c>
      <c r="E1114" s="883">
        <v>1.0004569834246777</v>
      </c>
      <c r="F1114" s="883">
        <v>1.0210562567215222</v>
      </c>
      <c r="G1114" s="883">
        <v>1.0389467880038363</v>
      </c>
      <c r="H1114" s="883">
        <v>0.97918214886262966</v>
      </c>
      <c r="I1114" s="883">
        <v>0.99059648295445268</v>
      </c>
      <c r="K1114">
        <v>6.7526849888895955</v>
      </c>
      <c r="L1114">
        <v>0</v>
      </c>
      <c r="M1114">
        <v>1.0520909551022747E-2</v>
      </c>
      <c r="N1114">
        <v>0.19628287286112225</v>
      </c>
      <c r="O1114">
        <v>0.12567052604039219</v>
      </c>
      <c r="P1114">
        <v>8.321123109803244E-2</v>
      </c>
      <c r="Q1114">
        <v>0</v>
      </c>
      <c r="R1114">
        <v>1.0520909551022747E-2</v>
      </c>
      <c r="S1114">
        <v>0.27013534679801332</v>
      </c>
      <c r="T1114">
        <v>5.913245155265793</v>
      </c>
      <c r="U1114">
        <v>0</v>
      </c>
      <c r="V1114">
        <v>1.9243284859214369E-2</v>
      </c>
      <c r="W1114">
        <v>0.10328623726090461</v>
      </c>
      <c r="X1114">
        <v>-1.7128981729011455E-3</v>
      </c>
      <c r="Y1114">
        <v>4.3323232879021095E-2</v>
      </c>
    </row>
    <row r="1115" spans="1:25" x14ac:dyDescent="0.25">
      <c r="A1115" s="879"/>
      <c r="B1115" s="1133">
        <v>865</v>
      </c>
      <c r="C1115" s="883">
        <v>1.0081706434357636</v>
      </c>
      <c r="D1115" s="883">
        <v>0.9665223753974318</v>
      </c>
      <c r="E1115" s="883">
        <v>0.99840686806218781</v>
      </c>
      <c r="F1115" s="883">
        <v>1.023748343880748</v>
      </c>
      <c r="G1115" s="883">
        <v>1.0364863680712442</v>
      </c>
      <c r="H1115" s="883">
        <v>0.98709325321247543</v>
      </c>
      <c r="I1115" s="883">
        <v>1.0004048407509114</v>
      </c>
      <c r="K1115">
        <v>6.7412049830464458</v>
      </c>
      <c r="L1115">
        <v>0</v>
      </c>
      <c r="M1115">
        <v>1.0368986633044468E-2</v>
      </c>
      <c r="N1115">
        <v>0.19286185309867851</v>
      </c>
      <c r="O1115">
        <v>0.12268361030510558</v>
      </c>
      <c r="P1115">
        <v>8.3042581785514963E-2</v>
      </c>
      <c r="Q1115">
        <v>0</v>
      </c>
      <c r="R1115">
        <v>1.0368986633044468E-2</v>
      </c>
      <c r="S1115">
        <v>0.26703408713693161</v>
      </c>
      <c r="T1115">
        <v>5.9135058340208451</v>
      </c>
      <c r="U1115">
        <v>0</v>
      </c>
      <c r="V1115">
        <v>1.9110911357505103E-2</v>
      </c>
      <c r="W1115">
        <v>0.10158946383003724</v>
      </c>
      <c r="X1115">
        <v>-1.3209998322307186E-3</v>
      </c>
      <c r="Y1115">
        <v>4.2697641344057902E-2</v>
      </c>
    </row>
    <row r="1116" spans="1:25" x14ac:dyDescent="0.25">
      <c r="A1116" s="879"/>
      <c r="B1116" s="1133">
        <v>866</v>
      </c>
      <c r="C1116" s="883">
        <v>1.0260175263652191</v>
      </c>
      <c r="D1116" s="883">
        <v>0.97987604679634077</v>
      </c>
      <c r="E1116" s="883">
        <v>1.0064113513426374</v>
      </c>
      <c r="F1116" s="883">
        <v>1.0030860237957631</v>
      </c>
      <c r="G1116" s="883">
        <v>1.0382222617872323</v>
      </c>
      <c r="H1116" s="883">
        <v>0.99175496080103198</v>
      </c>
      <c r="I1116" s="883">
        <v>1.0077407317666753</v>
      </c>
      <c r="K1116">
        <v>6.7296873172365892</v>
      </c>
      <c r="L1116">
        <v>0</v>
      </c>
      <c r="M1116">
        <v>1.0105763471410054E-2</v>
      </c>
      <c r="N1116">
        <v>0.19020779438756755</v>
      </c>
      <c r="O1116">
        <v>0.11974220924753035</v>
      </c>
      <c r="P1116">
        <v>8.3490498246192799E-2</v>
      </c>
      <c r="Q1116">
        <v>0</v>
      </c>
      <c r="R1116">
        <v>1.0105763471410054E-2</v>
      </c>
      <c r="S1116">
        <v>0.26462450128779108</v>
      </c>
      <c r="T1116">
        <v>5.911938221283525</v>
      </c>
      <c r="U1116">
        <v>0</v>
      </c>
      <c r="V1116">
        <v>1.9016852523843844E-2</v>
      </c>
      <c r="W1116">
        <v>9.9794335491875649E-2</v>
      </c>
      <c r="X1116">
        <v>-7.4083044816170322E-4</v>
      </c>
      <c r="Y1116">
        <v>4.1613735216423579E-2</v>
      </c>
    </row>
    <row r="1117" spans="1:25" x14ac:dyDescent="0.25">
      <c r="A1117" s="879"/>
      <c r="B1117" s="1133">
        <v>867</v>
      </c>
      <c r="C1117" s="883">
        <v>1.0075034652665071</v>
      </c>
      <c r="D1117" s="883">
        <v>1.0287367087021211</v>
      </c>
      <c r="E1117" s="883">
        <v>1.0021759611842409</v>
      </c>
      <c r="F1117" s="883">
        <v>0.97037279770449869</v>
      </c>
      <c r="G1117" s="883">
        <v>1.0175997249609841</v>
      </c>
      <c r="H1117" s="883">
        <v>0.9683739013456546</v>
      </c>
      <c r="I1117" s="883">
        <v>0.97653123243682005</v>
      </c>
      <c r="K1117">
        <v>6.7136361860076361</v>
      </c>
      <c r="L1117">
        <v>0</v>
      </c>
      <c r="M1117">
        <v>9.8780984798450423E-3</v>
      </c>
      <c r="N1117">
        <v>0.18476016931266276</v>
      </c>
      <c r="O1117">
        <v>0.11967008305506974</v>
      </c>
      <c r="P1117">
        <v>8.3124347339995672E-2</v>
      </c>
      <c r="Q1117">
        <v>0</v>
      </c>
      <c r="R1117">
        <v>9.8780984798450423E-3</v>
      </c>
      <c r="S1117">
        <v>0.25857227414617456</v>
      </c>
      <c r="T1117">
        <v>5.9104094172890989</v>
      </c>
      <c r="U1117">
        <v>0</v>
      </c>
      <c r="V1117">
        <v>1.9114492216933641E-2</v>
      </c>
      <c r="W1117">
        <v>9.7139942731770679E-2</v>
      </c>
      <c r="X1117">
        <v>1.6920861190718127E-4</v>
      </c>
      <c r="Y1117">
        <v>4.0676251304016739E-2</v>
      </c>
    </row>
    <row r="1118" spans="1:25" x14ac:dyDescent="0.25">
      <c r="A1118" s="879"/>
      <c r="B1118" s="1133">
        <v>868</v>
      </c>
      <c r="C1118" s="883">
        <v>1.001829818014238</v>
      </c>
      <c r="D1118" s="883">
        <v>1.0347410732733175</v>
      </c>
      <c r="E1118" s="883">
        <v>1.0038666707078403</v>
      </c>
      <c r="F1118" s="883">
        <v>0.97775061927250817</v>
      </c>
      <c r="G1118" s="883">
        <v>1.0034326960058504</v>
      </c>
      <c r="H1118" s="883">
        <v>1.0015837378472572</v>
      </c>
      <c r="I1118" s="883">
        <v>1.0188878450942571</v>
      </c>
      <c r="K1118">
        <v>6.7414934301804799</v>
      </c>
      <c r="L1118">
        <v>0</v>
      </c>
      <c r="M1118">
        <v>1.0234042441264177E-2</v>
      </c>
      <c r="N1118">
        <v>0.19189770088453947</v>
      </c>
      <c r="O1118">
        <v>0.12003673927354019</v>
      </c>
      <c r="P1118">
        <v>8.3447608252466374E-2</v>
      </c>
      <c r="Q1118">
        <v>0</v>
      </c>
      <c r="R1118">
        <v>1.0234042441264177E-2</v>
      </c>
      <c r="S1118">
        <v>0.27440939954731763</v>
      </c>
      <c r="T1118">
        <v>5.9107128528580519</v>
      </c>
      <c r="U1118">
        <v>0</v>
      </c>
      <c r="V1118">
        <v>1.9145136387406919E-2</v>
      </c>
      <c r="W1118">
        <v>0.10080801233270667</v>
      </c>
      <c r="X1118">
        <v>-1.1059845370292416E-3</v>
      </c>
      <c r="Y1118">
        <v>4.2141965181477392E-2</v>
      </c>
    </row>
    <row r="1119" spans="1:25" x14ac:dyDescent="0.25">
      <c r="A1119" s="879"/>
      <c r="B1119" s="1133">
        <v>869</v>
      </c>
      <c r="C1119" s="883">
        <v>0.98035474890586427</v>
      </c>
      <c r="D1119" s="883">
        <v>0.98012749897820783</v>
      </c>
      <c r="E1119" s="883">
        <v>1.0121858707848912</v>
      </c>
      <c r="F1119" s="883">
        <v>0.98448813758732279</v>
      </c>
      <c r="G1119" s="883">
        <v>1.0007554926178039</v>
      </c>
      <c r="H1119" s="883">
        <v>1.0225266908942914</v>
      </c>
      <c r="I1119" s="883">
        <v>0.95430313929166677</v>
      </c>
      <c r="K1119">
        <v>6.7590703807355466</v>
      </c>
      <c r="L1119">
        <v>0</v>
      </c>
      <c r="M1119">
        <v>1.0848512188502728E-2</v>
      </c>
      <c r="N1119">
        <v>0.20594067211083986</v>
      </c>
      <c r="O1119">
        <v>0.12519491405866934</v>
      </c>
      <c r="P1119">
        <v>8.3844643218232623E-2</v>
      </c>
      <c r="Q1119">
        <v>0</v>
      </c>
      <c r="R1119">
        <v>1.0848512188502728E-2</v>
      </c>
      <c r="S1119">
        <v>0.26511961962297076</v>
      </c>
      <c r="T1119">
        <v>5.9106058231015428</v>
      </c>
      <c r="U1119">
        <v>0</v>
      </c>
      <c r="V1119">
        <v>1.9264338348515313E-2</v>
      </c>
      <c r="W1119">
        <v>0.10774049082641103</v>
      </c>
      <c r="X1119">
        <v>-3.3123627807012525E-3</v>
      </c>
      <c r="Y1119">
        <v>4.4672242229067946E-2</v>
      </c>
    </row>
    <row r="1120" spans="1:25" x14ac:dyDescent="0.25">
      <c r="A1120" s="879"/>
      <c r="B1120" s="1133">
        <v>870</v>
      </c>
      <c r="C1120" s="883">
        <v>1.0296275353799991</v>
      </c>
      <c r="D1120" s="883">
        <v>1.0027260867140737</v>
      </c>
      <c r="E1120" s="883">
        <v>0.97570619264347169</v>
      </c>
      <c r="F1120" s="883">
        <v>1.0095118037828004</v>
      </c>
      <c r="G1120" s="883">
        <v>1.0143572150589284</v>
      </c>
      <c r="H1120" s="883">
        <v>1.0129909175483247</v>
      </c>
      <c r="I1120" s="883">
        <v>0.99183539611383076</v>
      </c>
      <c r="K1120">
        <v>6.7245218900244934</v>
      </c>
      <c r="L1120">
        <v>0</v>
      </c>
      <c r="M1120">
        <v>1.0461482025295536E-2</v>
      </c>
      <c r="N1120">
        <v>0.18814107293033336</v>
      </c>
      <c r="O1120">
        <v>0.11878300444857624</v>
      </c>
      <c r="P1120">
        <v>8.154225112994333E-2</v>
      </c>
      <c r="Q1120">
        <v>0</v>
      </c>
      <c r="R1120">
        <v>1.0461482025295536E-2</v>
      </c>
      <c r="S1120">
        <v>0.2611897801600348</v>
      </c>
      <c r="T1120">
        <v>5.9139959864476204</v>
      </c>
      <c r="U1120">
        <v>0</v>
      </c>
      <c r="V1120">
        <v>1.8998223101030408E-2</v>
      </c>
      <c r="W1120">
        <v>0.10023240179882895</v>
      </c>
      <c r="X1120">
        <v>-1.4393508976552171E-3</v>
      </c>
      <c r="Y1120">
        <v>4.3078520905781709E-2</v>
      </c>
    </row>
    <row r="1121" spans="1:25" x14ac:dyDescent="0.25">
      <c r="A1121" s="879"/>
      <c r="B1121" s="1133">
        <v>871</v>
      </c>
      <c r="C1121" s="883">
        <v>1.0163576626955573</v>
      </c>
      <c r="D1121" s="883">
        <v>1.0294151367086359</v>
      </c>
      <c r="E1121" s="883">
        <v>1.0260158097426864</v>
      </c>
      <c r="F1121" s="883">
        <v>0.96861298571727006</v>
      </c>
      <c r="G1121" s="883">
        <v>1.0251422035320992</v>
      </c>
      <c r="H1121" s="883">
        <v>1.0034822132696035</v>
      </c>
      <c r="I1121" s="883">
        <v>0.99739559211804263</v>
      </c>
      <c r="K1121">
        <v>6.7286815801555822</v>
      </c>
      <c r="L1121">
        <v>0</v>
      </c>
      <c r="M1121">
        <v>9.9348004706254437E-3</v>
      </c>
      <c r="N1121">
        <v>0.19249377723186517</v>
      </c>
      <c r="O1121">
        <v>0.11815887591121252</v>
      </c>
      <c r="P1121">
        <v>8.4684406317530103E-2</v>
      </c>
      <c r="Q1121">
        <v>0</v>
      </c>
      <c r="R1121">
        <v>9.9348004706254437E-3</v>
      </c>
      <c r="S1121">
        <v>0.26503905420314172</v>
      </c>
      <c r="T1121">
        <v>5.9089566114962713</v>
      </c>
      <c r="U1121">
        <v>0</v>
      </c>
      <c r="V1121">
        <v>1.9067353025579777E-2</v>
      </c>
      <c r="W1121">
        <v>0.10002159635865228</v>
      </c>
      <c r="X1121">
        <v>-6.4983439814086225E-4</v>
      </c>
      <c r="Y1121">
        <v>4.0909740009472312E-2</v>
      </c>
    </row>
    <row r="1122" spans="1:25" x14ac:dyDescent="0.25">
      <c r="A1122" s="879"/>
      <c r="B1122" s="1133">
        <v>872</v>
      </c>
      <c r="C1122" s="883">
        <v>0.98411161637100841</v>
      </c>
      <c r="D1122" s="883">
        <v>1.0173104455701514</v>
      </c>
      <c r="E1122" s="883">
        <v>1.0026071974645856</v>
      </c>
      <c r="F1122" s="883">
        <v>0.96947791419426643</v>
      </c>
      <c r="G1122" s="883">
        <v>1.0069186984186602</v>
      </c>
      <c r="H1122" s="883">
        <v>1.021616655816405</v>
      </c>
      <c r="I1122" s="883">
        <v>0.9809959779743922</v>
      </c>
      <c r="K1122">
        <v>6.7543587248521408</v>
      </c>
      <c r="L1122">
        <v>0</v>
      </c>
      <c r="M1122">
        <v>1.0715998783629676E-2</v>
      </c>
      <c r="N1122">
        <v>0.2005603429578724</v>
      </c>
      <c r="O1122">
        <v>0.12305499975195731</v>
      </c>
      <c r="P1122">
        <v>8.3318784960942763E-2</v>
      </c>
      <c r="Q1122">
        <v>0</v>
      </c>
      <c r="R1122">
        <v>1.0715998783629676E-2</v>
      </c>
      <c r="S1122">
        <v>0.27098660498354238</v>
      </c>
      <c r="T1122">
        <v>5.9103367758755363</v>
      </c>
      <c r="U1122">
        <v>0</v>
      </c>
      <c r="V1122">
        <v>1.9243109604502234E-2</v>
      </c>
      <c r="W1122">
        <v>0.10542452055907946</v>
      </c>
      <c r="X1122">
        <v>-2.692989455601427E-3</v>
      </c>
      <c r="Y1122">
        <v>4.4126575614307502E-2</v>
      </c>
    </row>
    <row r="1123" spans="1:25" x14ac:dyDescent="0.25">
      <c r="A1123" s="879"/>
      <c r="B1123" s="1133">
        <v>873</v>
      </c>
      <c r="C1123" s="883">
        <v>0.99986329919703654</v>
      </c>
      <c r="D1123" s="883">
        <v>1.0302850171357389</v>
      </c>
      <c r="E1123" s="883">
        <v>1.0221823248741715</v>
      </c>
      <c r="F1123" s="883">
        <v>0.9775714242095529</v>
      </c>
      <c r="G1123" s="883">
        <v>0.9931476964369762</v>
      </c>
      <c r="H1123" s="883">
        <v>0.98537592199096502</v>
      </c>
      <c r="I1123" s="883">
        <v>0.99880180051422729</v>
      </c>
      <c r="K1123">
        <v>6.7334392557962728</v>
      </c>
      <c r="L1123">
        <v>0</v>
      </c>
      <c r="M1123">
        <v>9.9462314625024858E-3</v>
      </c>
      <c r="N1123">
        <v>0.19162582642578224</v>
      </c>
      <c r="O1123">
        <v>0.12013932911655578</v>
      </c>
      <c r="P1123">
        <v>8.4496964920284245E-2</v>
      </c>
      <c r="Q1123">
        <v>0</v>
      </c>
      <c r="R1123">
        <v>9.9462314625024858E-3</v>
      </c>
      <c r="S1123">
        <v>0.26809303376181548</v>
      </c>
      <c r="T1123">
        <v>5.9096610081553003</v>
      </c>
      <c r="U1123">
        <v>0</v>
      </c>
      <c r="V1123">
        <v>1.9155838994105934E-2</v>
      </c>
      <c r="W1123">
        <v>9.975848752658209E-2</v>
      </c>
      <c r="X1123">
        <v>-4.4804390354090683E-4</v>
      </c>
      <c r="Y1123">
        <v>4.0956810799381245E-2</v>
      </c>
    </row>
    <row r="1124" spans="1:25" x14ac:dyDescent="0.25">
      <c r="A1124" s="879"/>
      <c r="B1124" s="1133">
        <v>874</v>
      </c>
      <c r="C1124" s="883">
        <v>0.98046166186652439</v>
      </c>
      <c r="D1124" s="883">
        <v>0.99013663122652884</v>
      </c>
      <c r="E1124" s="883">
        <v>0.96901195633753123</v>
      </c>
      <c r="F1124" s="883">
        <v>0.98803790392361801</v>
      </c>
      <c r="G1124" s="883">
        <v>1.0131420717990272</v>
      </c>
      <c r="H1124" s="883">
        <v>0.97155942474255319</v>
      </c>
      <c r="I1124" s="883">
        <v>1.0193315720528153</v>
      </c>
      <c r="K1124">
        <v>6.7508368870096795</v>
      </c>
      <c r="L1124">
        <v>0</v>
      </c>
      <c r="M1124">
        <v>1.0655874853474787E-2</v>
      </c>
      <c r="N1124">
        <v>0.18974205995661841</v>
      </c>
      <c r="O1124">
        <v>0.12549818302641352</v>
      </c>
      <c r="P1124">
        <v>8.1332862514916934E-2</v>
      </c>
      <c r="Q1124">
        <v>0</v>
      </c>
      <c r="R1124">
        <v>1.0655874853474787E-2</v>
      </c>
      <c r="S1124">
        <v>0.27794202385733335</v>
      </c>
      <c r="T1124">
        <v>5.9132008126143463</v>
      </c>
      <c r="U1124">
        <v>0</v>
      </c>
      <c r="V1124">
        <v>1.926373197178927E-2</v>
      </c>
      <c r="W1124">
        <v>0.10142578694063026</v>
      </c>
      <c r="X1124">
        <v>-1.4475698439639555E-3</v>
      </c>
      <c r="Y1124">
        <v>4.3878995971590291E-2</v>
      </c>
    </row>
    <row r="1125" spans="1:25" x14ac:dyDescent="0.25">
      <c r="A1125" s="879"/>
      <c r="B1125" s="1133">
        <v>875</v>
      </c>
      <c r="C1125" s="883">
        <v>1.0004254497978766</v>
      </c>
      <c r="D1125" s="883">
        <v>1.0045032717234414</v>
      </c>
      <c r="E1125" s="883">
        <v>0.992807761384772</v>
      </c>
      <c r="F1125" s="883">
        <v>0.9951388578124587</v>
      </c>
      <c r="G1125" s="883">
        <v>1.0173858379708349</v>
      </c>
      <c r="H1125" s="883">
        <v>0.97087319877155276</v>
      </c>
      <c r="I1125" s="883">
        <v>1.0155765980038893</v>
      </c>
      <c r="K1125">
        <v>6.734987310658342</v>
      </c>
      <c r="L1125">
        <v>0</v>
      </c>
      <c r="M1125">
        <v>1.0158728515965033E-2</v>
      </c>
      <c r="N1125">
        <v>0.18738971101949181</v>
      </c>
      <c r="O1125">
        <v>0.12184636932130749</v>
      </c>
      <c r="P1125">
        <v>8.2730798553623017E-2</v>
      </c>
      <c r="Q1125">
        <v>0</v>
      </c>
      <c r="R1125">
        <v>1.0158728515965033E-2</v>
      </c>
      <c r="S1125">
        <v>0.27123700695414105</v>
      </c>
      <c r="T1125">
        <v>5.9122729367116973</v>
      </c>
      <c r="U1125">
        <v>0</v>
      </c>
      <c r="V1125">
        <v>1.9152775243843664E-2</v>
      </c>
      <c r="W1125">
        <v>9.8982379350322919E-2</v>
      </c>
      <c r="X1125">
        <v>-4.5650233855874312E-4</v>
      </c>
      <c r="Y1125">
        <v>4.1831835842474498E-2</v>
      </c>
    </row>
    <row r="1126" spans="1:25" x14ac:dyDescent="0.25">
      <c r="A1126" s="879"/>
      <c r="B1126" s="1133">
        <v>876</v>
      </c>
      <c r="C1126" s="883">
        <v>0.96763911129013769</v>
      </c>
      <c r="D1126" s="883">
        <v>0.96295182757510633</v>
      </c>
      <c r="E1126" s="883">
        <v>1.0087393460272243</v>
      </c>
      <c r="F1126" s="883">
        <v>1.0045781680849777</v>
      </c>
      <c r="G1126" s="883">
        <v>1.042255038282822</v>
      </c>
      <c r="H1126" s="883">
        <v>1.044939487096294</v>
      </c>
      <c r="I1126" s="883">
        <v>1.007860160961719</v>
      </c>
      <c r="K1126">
        <v>6.7977404508062573</v>
      </c>
      <c r="L1126">
        <v>0</v>
      </c>
      <c r="M1126">
        <v>1.1351618718536665E-2</v>
      </c>
      <c r="N1126">
        <v>0.21439466089511541</v>
      </c>
      <c r="O1126">
        <v>0.12780834304883149</v>
      </c>
      <c r="P1126">
        <v>8.3930092655580893E-2</v>
      </c>
      <c r="Q1126">
        <v>0</v>
      </c>
      <c r="R1126">
        <v>1.1351618718536665E-2</v>
      </c>
      <c r="S1126">
        <v>0.28612401566521695</v>
      </c>
      <c r="T1126">
        <v>5.9118870347484993</v>
      </c>
      <c r="U1126">
        <v>0</v>
      </c>
      <c r="V1126">
        <v>1.9337413127845437E-2</v>
      </c>
      <c r="W1126">
        <v>0.11235463265400286</v>
      </c>
      <c r="X1126">
        <v>-4.8396873589605371E-3</v>
      </c>
      <c r="Y1126">
        <v>4.6743945370123614E-2</v>
      </c>
    </row>
    <row r="1127" spans="1:25" x14ac:dyDescent="0.25">
      <c r="A1127" s="879"/>
      <c r="B1127" s="1133">
        <v>877</v>
      </c>
      <c r="C1127" s="883">
        <v>0.98616338489485522</v>
      </c>
      <c r="D1127" s="883">
        <v>0.99017013763870831</v>
      </c>
      <c r="E1127" s="883">
        <v>1.0078523132410888</v>
      </c>
      <c r="F1127" s="883">
        <v>0.98771272157324452</v>
      </c>
      <c r="G1127" s="883">
        <v>0.99853129410172115</v>
      </c>
      <c r="H1127" s="883">
        <v>0.97805660961505114</v>
      </c>
      <c r="I1127" s="883">
        <v>0.9955448172483421</v>
      </c>
      <c r="K1127">
        <v>6.7461665190006546</v>
      </c>
      <c r="L1127">
        <v>0</v>
      </c>
      <c r="M1127">
        <v>1.03096147691799E-2</v>
      </c>
      <c r="N1127">
        <v>0.19445908697011605</v>
      </c>
      <c r="O1127">
        <v>0.1240341072772133</v>
      </c>
      <c r="P1127">
        <v>8.3651676959431071E-2</v>
      </c>
      <c r="Q1127">
        <v>0</v>
      </c>
      <c r="R1127">
        <v>1.03096147691799E-2</v>
      </c>
      <c r="S1127">
        <v>0.27057385841997506</v>
      </c>
      <c r="T1127">
        <v>5.9110259556521196</v>
      </c>
      <c r="U1127">
        <v>0</v>
      </c>
      <c r="V1127">
        <v>1.9231584067425301E-2</v>
      </c>
      <c r="W1127">
        <v>0.10195204306656336</v>
      </c>
      <c r="X1127">
        <v>-1.2149519886488448E-3</v>
      </c>
      <c r="Y1127">
        <v>4.2453158576461418E-2</v>
      </c>
    </row>
    <row r="1128" spans="1:25" x14ac:dyDescent="0.25">
      <c r="A1128" s="879"/>
      <c r="B1128" s="1133">
        <v>878</v>
      </c>
      <c r="C1128" s="883">
        <v>0.99180816164256647</v>
      </c>
      <c r="D1128" s="883">
        <v>1.0011932049099643</v>
      </c>
      <c r="E1128" s="883">
        <v>0.97612119616359339</v>
      </c>
      <c r="F1128" s="883">
        <v>0.99815449685370905</v>
      </c>
      <c r="G1128" s="883">
        <v>0.99031232978694905</v>
      </c>
      <c r="H1128" s="883">
        <v>0.99367916261480449</v>
      </c>
      <c r="I1128" s="883">
        <v>0.99494982798376197</v>
      </c>
      <c r="K1128">
        <v>6.7438055051747838</v>
      </c>
      <c r="L1128">
        <v>0</v>
      </c>
      <c r="M1128">
        <v>1.0656481763707589E-2</v>
      </c>
      <c r="N1128">
        <v>0.1917660573876164</v>
      </c>
      <c r="O1128">
        <v>0.12338014698141296</v>
      </c>
      <c r="P1128">
        <v>8.1681104430024187E-2</v>
      </c>
      <c r="Q1128">
        <v>0</v>
      </c>
      <c r="R1128">
        <v>1.0656481763707589E-2</v>
      </c>
      <c r="S1128">
        <v>0.27019263431731966</v>
      </c>
      <c r="T1128">
        <v>5.9133592071221637</v>
      </c>
      <c r="U1128">
        <v>0</v>
      </c>
      <c r="V1128">
        <v>1.9200121347833325E-2</v>
      </c>
      <c r="W1128">
        <v>0.1021423544821225</v>
      </c>
      <c r="X1128">
        <v>-1.7976160136180688E-3</v>
      </c>
      <c r="Y1128">
        <v>4.388149511990299E-2</v>
      </c>
    </row>
    <row r="1129" spans="1:25" x14ac:dyDescent="0.25">
      <c r="A1129" s="879"/>
      <c r="B1129" s="1133">
        <v>879</v>
      </c>
      <c r="C1129" s="883">
        <v>0.98029151181796415</v>
      </c>
      <c r="D1129" s="883">
        <v>0.98791633708131421</v>
      </c>
      <c r="E1129" s="883">
        <v>1.0247909038488567</v>
      </c>
      <c r="F1129" s="883">
        <v>1.0030712730186448</v>
      </c>
      <c r="G1129" s="883">
        <v>1.0083010735018219</v>
      </c>
      <c r="H1129" s="883">
        <v>1.0102250851083512</v>
      </c>
      <c r="I1129" s="883">
        <v>1.0101784262745432</v>
      </c>
      <c r="K1129">
        <v>6.7704970286854671</v>
      </c>
      <c r="L1129">
        <v>0</v>
      </c>
      <c r="M1129">
        <v>1.0565174707099279E-2</v>
      </c>
      <c r="N1129">
        <v>0.20433727859809755</v>
      </c>
      <c r="O1129">
        <v>0.12456294500427498</v>
      </c>
      <c r="P1129">
        <v>8.4832675288527989E-2</v>
      </c>
      <c r="Q1129">
        <v>0</v>
      </c>
      <c r="R1129">
        <v>1.0565174707099279E-2</v>
      </c>
      <c r="S1129">
        <v>0.27938922560801732</v>
      </c>
      <c r="T1129">
        <v>5.9108886211523988</v>
      </c>
      <c r="U1129">
        <v>0</v>
      </c>
      <c r="V1129">
        <v>1.9264697071664966E-2</v>
      </c>
      <c r="W1129">
        <v>0.10623953457786525</v>
      </c>
      <c r="X1129">
        <v>-2.5234575282158602E-3</v>
      </c>
      <c r="Y1129">
        <v>4.3505508912840184E-2</v>
      </c>
    </row>
    <row r="1130" spans="1:25" x14ac:dyDescent="0.25">
      <c r="A1130" s="879"/>
      <c r="B1130" s="1133">
        <v>880</v>
      </c>
      <c r="C1130" s="883">
        <v>1.0126838785984145</v>
      </c>
      <c r="D1130" s="883">
        <v>0.9933607242193313</v>
      </c>
      <c r="E1130" s="883">
        <v>1.0111082304968941</v>
      </c>
      <c r="F1130" s="883">
        <v>1.0448992094345517</v>
      </c>
      <c r="G1130" s="883">
        <v>0.99932566993196292</v>
      </c>
      <c r="H1130" s="883">
        <v>1.0182670305443673</v>
      </c>
      <c r="I1130" s="883">
        <v>0.98392216062575499</v>
      </c>
      <c r="K1130">
        <v>6.7429321912522671</v>
      </c>
      <c r="L1130">
        <v>0</v>
      </c>
      <c r="M1130">
        <v>1.0408304138342797E-2</v>
      </c>
      <c r="N1130">
        <v>0.19726914551203631</v>
      </c>
      <c r="O1130">
        <v>0.12056984628077257</v>
      </c>
      <c r="P1130">
        <v>8.3805540606796444E-2</v>
      </c>
      <c r="Q1130">
        <v>0</v>
      </c>
      <c r="R1130">
        <v>1.0408304138342797E-2</v>
      </c>
      <c r="S1130">
        <v>0.26408164961296854</v>
      </c>
      <c r="T1130">
        <v>5.913931268914677</v>
      </c>
      <c r="U1130">
        <v>0</v>
      </c>
      <c r="V1130">
        <v>1.90868119669148E-2</v>
      </c>
      <c r="W1130">
        <v>0.10325885743452023</v>
      </c>
      <c r="X1130">
        <v>-1.9304729090461822E-3</v>
      </c>
      <c r="Y1130">
        <v>4.2859543832621368E-2</v>
      </c>
    </row>
    <row r="1131" spans="1:25" x14ac:dyDescent="0.25">
      <c r="A1131" s="879"/>
      <c r="B1131" s="1133">
        <v>881</v>
      </c>
      <c r="C1131" s="883">
        <v>1.0091390962812032</v>
      </c>
      <c r="D1131" s="883">
        <v>0.98142670566377865</v>
      </c>
      <c r="E1131" s="883">
        <v>1.0277999876568751</v>
      </c>
      <c r="F1131" s="883">
        <v>0.97390067411662762</v>
      </c>
      <c r="G1131" s="883">
        <v>1.0057486249207435</v>
      </c>
      <c r="H1131" s="883">
        <v>0.99110840584862159</v>
      </c>
      <c r="I1131" s="883">
        <v>1.0403752631669128</v>
      </c>
      <c r="K1131">
        <v>6.7499551698774942</v>
      </c>
      <c r="L1131">
        <v>0</v>
      </c>
      <c r="M1131">
        <v>1.007084117837922E-2</v>
      </c>
      <c r="N1131">
        <v>0.19564508750731349</v>
      </c>
      <c r="O1131">
        <v>0.12126456467224676</v>
      </c>
      <c r="P1131">
        <v>8.4972493827250473E-2</v>
      </c>
      <c r="Q1131">
        <v>0</v>
      </c>
      <c r="R1131">
        <v>1.007084117837922E-2</v>
      </c>
      <c r="S1131">
        <v>0.27772134212466126</v>
      </c>
      <c r="T1131">
        <v>5.9091393814750015</v>
      </c>
      <c r="U1131">
        <v>0</v>
      </c>
      <c r="V1131">
        <v>1.910572193009679E-2</v>
      </c>
      <c r="W1131">
        <v>0.10156999230315682</v>
      </c>
      <c r="X1131">
        <v>-9.3334539189101316E-4</v>
      </c>
      <c r="Y1131">
        <v>4.1469931429659046E-2</v>
      </c>
    </row>
    <row r="1132" spans="1:25" x14ac:dyDescent="0.25">
      <c r="A1132" s="879"/>
      <c r="B1132" s="1133">
        <v>882</v>
      </c>
      <c r="C1132" s="883">
        <v>1.025260389728663</v>
      </c>
      <c r="D1132" s="883">
        <v>1.0166952554569264</v>
      </c>
      <c r="E1132" s="883">
        <v>0.98121881775893238</v>
      </c>
      <c r="F1132" s="883">
        <v>0.98310531862402273</v>
      </c>
      <c r="G1132" s="883">
        <v>0.98667398840541631</v>
      </c>
      <c r="H1132" s="883">
        <v>1.0139266814746462</v>
      </c>
      <c r="I1132" s="883">
        <v>0.99112762423167622</v>
      </c>
      <c r="K1132">
        <v>6.7240867596736447</v>
      </c>
      <c r="L1132">
        <v>0</v>
      </c>
      <c r="M1132">
        <v>1.0403539509662557E-2</v>
      </c>
      <c r="N1132">
        <v>0.18863575315193104</v>
      </c>
      <c r="O1132">
        <v>0.11853160106286813</v>
      </c>
      <c r="P1132">
        <v>8.1878319030111876E-2</v>
      </c>
      <c r="Q1132">
        <v>0</v>
      </c>
      <c r="R1132">
        <v>1.0403539509662557E-2</v>
      </c>
      <c r="S1132">
        <v>0.26207158576891454</v>
      </c>
      <c r="T1132">
        <v>5.9122652687892749</v>
      </c>
      <c r="U1132">
        <v>0</v>
      </c>
      <c r="V1132">
        <v>1.9020776364330888E-2</v>
      </c>
      <c r="W1132">
        <v>0.10021876031757246</v>
      </c>
      <c r="X1132">
        <v>-1.3752287511462032E-3</v>
      </c>
      <c r="Y1132">
        <v>4.2839923939788416E-2</v>
      </c>
    </row>
    <row r="1133" spans="1:25" x14ac:dyDescent="0.25">
      <c r="A1133" s="879"/>
      <c r="B1133" s="1133">
        <v>883</v>
      </c>
      <c r="C1133" s="883">
        <v>0.98972667066247755</v>
      </c>
      <c r="D1133" s="883">
        <v>0.98105191318912499</v>
      </c>
      <c r="E1133" s="883">
        <v>0.98684496671052879</v>
      </c>
      <c r="F1133" s="883">
        <v>1.0001396838697434</v>
      </c>
      <c r="G1133" s="883">
        <v>1.0108973130205303</v>
      </c>
      <c r="H1133" s="883">
        <v>1.0461768352040406</v>
      </c>
      <c r="I1133" s="883">
        <v>1.0109158309353345</v>
      </c>
      <c r="K1133">
        <v>6.7759184508363717</v>
      </c>
      <c r="L1133">
        <v>0</v>
      </c>
      <c r="M1133">
        <v>1.123586594946689E-2</v>
      </c>
      <c r="N1133">
        <v>0.20543459745397749</v>
      </c>
      <c r="O1133">
        <v>0.12444603026008283</v>
      </c>
      <c r="P1133">
        <v>8.2486207897168665E-2</v>
      </c>
      <c r="Q1133">
        <v>0</v>
      </c>
      <c r="R1133">
        <v>1.123586594946689E-2</v>
      </c>
      <c r="S1133">
        <v>0.28042783099907159</v>
      </c>
      <c r="T1133">
        <v>5.912874952437833</v>
      </c>
      <c r="U1133">
        <v>0</v>
      </c>
      <c r="V1133">
        <v>1.9211681342211389E-2</v>
      </c>
      <c r="W1133">
        <v>0.10883715444805042</v>
      </c>
      <c r="X1133">
        <v>-4.0673000723434041E-3</v>
      </c>
      <c r="Y1133">
        <v>4.6267296070319118E-2</v>
      </c>
    </row>
    <row r="1134" spans="1:25" x14ac:dyDescent="0.25">
      <c r="A1134" s="879"/>
      <c r="B1134" s="1133">
        <v>884</v>
      </c>
      <c r="C1134" s="883">
        <v>1.0047024122191623</v>
      </c>
      <c r="D1134" s="883">
        <v>1.028908468413434</v>
      </c>
      <c r="E1134" s="883">
        <v>0.99720736109666419</v>
      </c>
      <c r="F1134" s="883">
        <v>0.99145251749730023</v>
      </c>
      <c r="G1134" s="883">
        <v>0.97729161337929626</v>
      </c>
      <c r="H1134" s="883">
        <v>1.0343818793245951</v>
      </c>
      <c r="I1134" s="883">
        <v>1.0173884214406497</v>
      </c>
      <c r="K1134">
        <v>6.7531043859500164</v>
      </c>
      <c r="L1134">
        <v>0</v>
      </c>
      <c r="M1134">
        <v>1.0626107584064758E-2</v>
      </c>
      <c r="N1134">
        <v>0.19729330229152398</v>
      </c>
      <c r="O1134">
        <v>0.12008731134116001</v>
      </c>
      <c r="P1134">
        <v>8.3069683114118581E-2</v>
      </c>
      <c r="Q1134">
        <v>0</v>
      </c>
      <c r="R1134">
        <v>1.0626107584064758E-2</v>
      </c>
      <c r="S1134">
        <v>0.27635620420171331</v>
      </c>
      <c r="T1134">
        <v>5.9118276933389682</v>
      </c>
      <c r="U1134">
        <v>0</v>
      </c>
      <c r="V1134">
        <v>1.9129577844483835E-2</v>
      </c>
      <c r="W1134">
        <v>0.10398570076828417</v>
      </c>
      <c r="X1134">
        <v>-2.4015066047751608E-3</v>
      </c>
      <c r="Y1134">
        <v>4.3756419654536249E-2</v>
      </c>
    </row>
    <row r="1135" spans="1:25" x14ac:dyDescent="0.25">
      <c r="A1135" s="879"/>
      <c r="B1135" s="1133">
        <v>885</v>
      </c>
      <c r="C1135" s="883">
        <v>0.98635387594142077</v>
      </c>
      <c r="D1135" s="883">
        <v>0.98135324895343545</v>
      </c>
      <c r="E1135" s="883">
        <v>1.0346948439600083</v>
      </c>
      <c r="F1135" s="883">
        <v>1.0182689548482831</v>
      </c>
      <c r="G1135" s="883">
        <v>0.96429391344434889</v>
      </c>
      <c r="H1135" s="883">
        <v>0.98011079659929212</v>
      </c>
      <c r="I1135" s="883">
        <v>1.0256204440062704</v>
      </c>
      <c r="K1135">
        <v>6.7610040522615478</v>
      </c>
      <c r="L1135">
        <v>0</v>
      </c>
      <c r="M1135">
        <v>1.0128085292147248E-2</v>
      </c>
      <c r="N1135">
        <v>0.19877256943596541</v>
      </c>
      <c r="O1135">
        <v>0.1239356182811598</v>
      </c>
      <c r="P1135">
        <v>8.5451534086971329E-2</v>
      </c>
      <c r="Q1135">
        <v>0</v>
      </c>
      <c r="R1135">
        <v>1.0128085292147248E-2</v>
      </c>
      <c r="S1135">
        <v>0.27903335119404882</v>
      </c>
      <c r="T1135">
        <v>5.9111366701172265</v>
      </c>
      <c r="U1135">
        <v>0</v>
      </c>
      <c r="V1135">
        <v>1.9230516441823473E-2</v>
      </c>
      <c r="W1135">
        <v>0.10284534997864446</v>
      </c>
      <c r="X1135">
        <v>-1.1072097753725329E-3</v>
      </c>
      <c r="Y1135">
        <v>4.1705652501083358E-2</v>
      </c>
    </row>
    <row r="1136" spans="1:25" x14ac:dyDescent="0.25">
      <c r="A1136" s="879"/>
      <c r="B1136" s="1133">
        <v>886</v>
      </c>
      <c r="C1136" s="883">
        <v>0.98577440045180487</v>
      </c>
      <c r="D1136" s="883">
        <v>0.97799793786800182</v>
      </c>
      <c r="E1136" s="883">
        <v>1.0012368766373234</v>
      </c>
      <c r="F1136" s="883">
        <v>1.0280632976474886</v>
      </c>
      <c r="G1136" s="883">
        <v>1.0263463337464738</v>
      </c>
      <c r="H1136" s="883">
        <v>0.99951210689362435</v>
      </c>
      <c r="I1136" s="883">
        <v>0.9852557536278993</v>
      </c>
      <c r="K1136">
        <v>6.7562814612840096</v>
      </c>
      <c r="L1136">
        <v>0</v>
      </c>
      <c r="M1136">
        <v>1.0657397062714883E-2</v>
      </c>
      <c r="N1136">
        <v>0.19905909106610264</v>
      </c>
      <c r="O1136">
        <v>0.12482565583482287</v>
      </c>
      <c r="P1136">
        <v>8.3263195833678361E-2</v>
      </c>
      <c r="Q1136">
        <v>0</v>
      </c>
      <c r="R1136">
        <v>1.0657397062714883E-2</v>
      </c>
      <c r="S1136">
        <v>0.27003071150379343</v>
      </c>
      <c r="T1136">
        <v>5.9135799469421686</v>
      </c>
      <c r="U1136">
        <v>0</v>
      </c>
      <c r="V1136">
        <v>1.923376545012349E-2</v>
      </c>
      <c r="W1136">
        <v>0.10470656534561638</v>
      </c>
      <c r="X1136">
        <v>-2.3027348505967188E-3</v>
      </c>
      <c r="Y1136">
        <v>4.3885264158297868E-2</v>
      </c>
    </row>
    <row r="1137" spans="1:25" x14ac:dyDescent="0.25">
      <c r="A1137" s="879"/>
      <c r="B1137" s="1133">
        <v>887</v>
      </c>
      <c r="C1137" s="883">
        <v>1.0013039399202024</v>
      </c>
      <c r="D1137" s="883">
        <v>1.0257065072876657</v>
      </c>
      <c r="E1137" s="883">
        <v>1.0148049680722186</v>
      </c>
      <c r="F1137" s="883">
        <v>1.008629821305522</v>
      </c>
      <c r="G1137" s="883">
        <v>1.0106443207847793</v>
      </c>
      <c r="H1137" s="883">
        <v>0.99972727515714321</v>
      </c>
      <c r="I1137" s="883">
        <v>1.0112838306105194</v>
      </c>
      <c r="K1137">
        <v>6.7433760142471266</v>
      </c>
      <c r="L1137">
        <v>0</v>
      </c>
      <c r="M1137">
        <v>1.0161198696750692E-2</v>
      </c>
      <c r="N1137">
        <v>0.19364234383628179</v>
      </c>
      <c r="O1137">
        <v>0.12031826556429569</v>
      </c>
      <c r="P1137">
        <v>8.4121877899274958E-2</v>
      </c>
      <c r="Q1137">
        <v>0</v>
      </c>
      <c r="R1137">
        <v>1.0161198696750692E-2</v>
      </c>
      <c r="S1137">
        <v>0.27243086433318553</v>
      </c>
      <c r="T1137">
        <v>5.9117610878245017</v>
      </c>
      <c r="U1137">
        <v>0</v>
      </c>
      <c r="V1137">
        <v>1.9147994315137949E-2</v>
      </c>
      <c r="W1137">
        <v>0.10117550002049236</v>
      </c>
      <c r="X1137">
        <v>-1.0639271533164579E-3</v>
      </c>
      <c r="Y1137">
        <v>4.1842007607274044E-2</v>
      </c>
    </row>
    <row r="1138" spans="1:25" x14ac:dyDescent="0.25">
      <c r="A1138" s="879"/>
      <c r="B1138" s="1133">
        <v>888</v>
      </c>
      <c r="C1138" s="883">
        <v>1.0360732301557876</v>
      </c>
      <c r="D1138" s="883">
        <v>1.0097165646986588</v>
      </c>
      <c r="E1138" s="883">
        <v>0.98247477169467312</v>
      </c>
      <c r="F1138" s="883">
        <v>0.99078455621159822</v>
      </c>
      <c r="G1138" s="883">
        <v>1.0137787391203601</v>
      </c>
      <c r="H1138" s="883">
        <v>1.0045692027186988</v>
      </c>
      <c r="I1138" s="883">
        <v>1.0134408717600059</v>
      </c>
      <c r="K1138">
        <v>6.721043684327527</v>
      </c>
      <c r="L1138">
        <v>0</v>
      </c>
      <c r="M1138">
        <v>1.0218877878044746E-2</v>
      </c>
      <c r="N1138">
        <v>0.18563303555475161</v>
      </c>
      <c r="O1138">
        <v>0.11759573787653951</v>
      </c>
      <c r="P1138">
        <v>8.1991759311760379E-2</v>
      </c>
      <c r="Q1138">
        <v>0</v>
      </c>
      <c r="R1138">
        <v>1.0218877878044746E-2</v>
      </c>
      <c r="S1138">
        <v>0.26438674193557987</v>
      </c>
      <c r="T1138">
        <v>5.9126110982748594</v>
      </c>
      <c r="U1138">
        <v>0</v>
      </c>
      <c r="V1138">
        <v>1.8965282981074423E-2</v>
      </c>
      <c r="W1138">
        <v>9.8561515899077343E-2</v>
      </c>
      <c r="X1138">
        <v>-7.8100771544393599E-4</v>
      </c>
      <c r="Y1138">
        <v>4.2079520209331422E-2</v>
      </c>
    </row>
    <row r="1139" spans="1:25" x14ac:dyDescent="0.25">
      <c r="A1139" s="879"/>
      <c r="B1139" s="1133">
        <v>889</v>
      </c>
      <c r="C1139" s="883">
        <v>0.99318910992480036</v>
      </c>
      <c r="D1139" s="883">
        <v>1.0144744242906465</v>
      </c>
      <c r="E1139" s="883">
        <v>1.0031137515214392</v>
      </c>
      <c r="F1139" s="883">
        <v>0.99605998152961428</v>
      </c>
      <c r="G1139" s="883">
        <v>0.95388506319246169</v>
      </c>
      <c r="H1139" s="883">
        <v>0.97040156436817249</v>
      </c>
      <c r="I1139" s="883">
        <v>1.005418189278811</v>
      </c>
      <c r="K1139">
        <v>6.7362521760146743</v>
      </c>
      <c r="L1139">
        <v>0</v>
      </c>
      <c r="M1139">
        <v>1.0093349975702279E-2</v>
      </c>
      <c r="N1139">
        <v>0.18904865313045061</v>
      </c>
      <c r="O1139">
        <v>0.12205702402958228</v>
      </c>
      <c r="P1139">
        <v>8.3360488951757253E-2</v>
      </c>
      <c r="Q1139">
        <v>0</v>
      </c>
      <c r="R1139">
        <v>1.0093349975702279E-2</v>
      </c>
      <c r="S1139">
        <v>0.27036753870743568</v>
      </c>
      <c r="T1139">
        <v>5.9117447362230724</v>
      </c>
      <c r="U1139">
        <v>0</v>
      </c>
      <c r="V1139">
        <v>1.9192478700347591E-2</v>
      </c>
      <c r="W1139">
        <v>9.9348434947405431E-2</v>
      </c>
      <c r="X1139">
        <v>-4.2979732600266691E-4</v>
      </c>
      <c r="Y1139">
        <v>4.1562618650618846E-2</v>
      </c>
    </row>
    <row r="1140" spans="1:25" x14ac:dyDescent="0.25">
      <c r="A1140" s="879"/>
      <c r="B1140" s="1133">
        <v>890</v>
      </c>
      <c r="C1140" s="883">
        <v>0.97610218853571751</v>
      </c>
      <c r="D1140" s="883">
        <v>1.0080735681488846</v>
      </c>
      <c r="E1140" s="883">
        <v>0.9669215975135691</v>
      </c>
      <c r="F1140" s="883">
        <v>0.99430301705202695</v>
      </c>
      <c r="G1140" s="883">
        <v>1.0072667122005494</v>
      </c>
      <c r="H1140" s="883">
        <v>0.9831740645062359</v>
      </c>
      <c r="I1140" s="883">
        <v>0.99470634326903984</v>
      </c>
      <c r="K1140">
        <v>6.7485970157284232</v>
      </c>
      <c r="L1140">
        <v>0</v>
      </c>
      <c r="M1140">
        <v>1.076802361121236E-2</v>
      </c>
      <c r="N1140">
        <v>0.19114474593170261</v>
      </c>
      <c r="O1140">
        <v>0.12519602088136331</v>
      </c>
      <c r="P1140">
        <v>8.1147475242726474E-2</v>
      </c>
      <c r="Q1140">
        <v>0</v>
      </c>
      <c r="R1140">
        <v>1.076802361121236E-2</v>
      </c>
      <c r="S1140">
        <v>0.27338430138269881</v>
      </c>
      <c r="T1140">
        <v>5.9136532748888486</v>
      </c>
      <c r="U1140">
        <v>0</v>
      </c>
      <c r="V1140">
        <v>1.9288565256241733E-2</v>
      </c>
      <c r="W1140">
        <v>0.10228311403280174</v>
      </c>
      <c r="X1140">
        <v>-1.8412864821832273E-3</v>
      </c>
      <c r="Y1140">
        <v>4.4340804594218894E-2</v>
      </c>
    </row>
    <row r="1141" spans="1:25" x14ac:dyDescent="0.25">
      <c r="A1141" s="879"/>
      <c r="B1141" s="1133">
        <v>891</v>
      </c>
      <c r="C1141" s="883">
        <v>1.0027426384856113</v>
      </c>
      <c r="D1141" s="883">
        <v>1.0179598675063322</v>
      </c>
      <c r="E1141" s="883">
        <v>0.97961208457743487</v>
      </c>
      <c r="F1141" s="883">
        <v>1.0127383028448502</v>
      </c>
      <c r="G1141" s="883">
        <v>0.97280373324046954</v>
      </c>
      <c r="H1141" s="883">
        <v>0.98662479659266666</v>
      </c>
      <c r="I1141" s="883">
        <v>0.97981244585909788</v>
      </c>
      <c r="K1141">
        <v>6.7271587902096899</v>
      </c>
      <c r="L1141">
        <v>0</v>
      </c>
      <c r="M1141">
        <v>1.0359730858280899E-2</v>
      </c>
      <c r="N1141">
        <v>0.1873941760631391</v>
      </c>
      <c r="O1141">
        <v>0.12116264906721202</v>
      </c>
      <c r="P1141">
        <v>8.1805240112041197E-2</v>
      </c>
      <c r="Q1141">
        <v>0</v>
      </c>
      <c r="R1141">
        <v>1.0359730858280899E-2</v>
      </c>
      <c r="S1141">
        <v>0.26238724391914497</v>
      </c>
      <c r="T1141">
        <v>5.9139557494774566</v>
      </c>
      <c r="U1141">
        <v>0</v>
      </c>
      <c r="V1141">
        <v>1.9140182707090145E-2</v>
      </c>
      <c r="W1141">
        <v>9.9639247542350443E-2</v>
      </c>
      <c r="X1141">
        <v>-9.852263897984952E-4</v>
      </c>
      <c r="Y1141">
        <v>4.2659527711048008E-2</v>
      </c>
    </row>
    <row r="1142" spans="1:25" x14ac:dyDescent="0.25">
      <c r="A1142" s="879"/>
      <c r="B1142" s="1133">
        <v>892</v>
      </c>
      <c r="C1142" s="883">
        <v>1.0038807344182212</v>
      </c>
      <c r="D1142" s="883">
        <v>1.0376680785791268</v>
      </c>
      <c r="E1142" s="883">
        <v>0.98357079113707291</v>
      </c>
      <c r="F1142" s="883">
        <v>0.99949956997534717</v>
      </c>
      <c r="G1142" s="883">
        <v>0.97166070724859821</v>
      </c>
      <c r="H1142" s="883">
        <v>0.97327560037618033</v>
      </c>
      <c r="I1142" s="883">
        <v>1.0269156278543516</v>
      </c>
      <c r="K1142">
        <v>6.7300624918245209</v>
      </c>
      <c r="L1142">
        <v>0</v>
      </c>
      <c r="M1142">
        <v>1.0089683277645039E-2</v>
      </c>
      <c r="N1142">
        <v>0.18358435036857698</v>
      </c>
      <c r="O1142">
        <v>0.12002839163051225</v>
      </c>
      <c r="P1142">
        <v>8.2185750633471694E-2</v>
      </c>
      <c r="Q1142">
        <v>0</v>
      </c>
      <c r="R1142">
        <v>1.0089683277645039E-2</v>
      </c>
      <c r="S1142">
        <v>0.27325784812135478</v>
      </c>
      <c r="T1142">
        <v>5.9130216554618977</v>
      </c>
      <c r="U1142">
        <v>0</v>
      </c>
      <c r="V1142">
        <v>1.9134019123217064E-2</v>
      </c>
      <c r="W1142">
        <v>9.7420358585260977E-2</v>
      </c>
      <c r="X1142">
        <v>-1.174019404394571E-4</v>
      </c>
      <c r="Y1142">
        <v>4.1547519840667055E-2</v>
      </c>
    </row>
    <row r="1143" spans="1:25" x14ac:dyDescent="0.25">
      <c r="A1143" s="879"/>
      <c r="B1143" s="1133">
        <v>893</v>
      </c>
      <c r="C1143" s="883">
        <v>1.00212751323001</v>
      </c>
      <c r="D1143" s="883">
        <v>1.0206613629051544</v>
      </c>
      <c r="E1143" s="883">
        <v>0.96450456417489383</v>
      </c>
      <c r="F1143" s="883">
        <v>0.96994173456637633</v>
      </c>
      <c r="G1143" s="883">
        <v>0.99934125494475401</v>
      </c>
      <c r="H1143" s="883">
        <v>0.98632438848403314</v>
      </c>
      <c r="I1143" s="883">
        <v>0.96542788601423624</v>
      </c>
      <c r="K1143">
        <v>6.7193699274309457</v>
      </c>
      <c r="L1143">
        <v>0</v>
      </c>
      <c r="M1143">
        <v>1.0488274214138404E-2</v>
      </c>
      <c r="N1143">
        <v>0.18551170716634521</v>
      </c>
      <c r="O1143">
        <v>0.12138492634837447</v>
      </c>
      <c r="P1143">
        <v>8.0784982283193696E-2</v>
      </c>
      <c r="Q1143">
        <v>0</v>
      </c>
      <c r="R1143">
        <v>1.0488274214138404E-2</v>
      </c>
      <c r="S1143">
        <v>0.25861915060835283</v>
      </c>
      <c r="T1143">
        <v>5.9124671566000107</v>
      </c>
      <c r="U1143">
        <v>0</v>
      </c>
      <c r="V1143">
        <v>1.9143519867873871E-2</v>
      </c>
      <c r="W1143">
        <v>9.9389744819558021E-2</v>
      </c>
      <c r="X1143">
        <v>-1.120106633371172E-3</v>
      </c>
      <c r="Y1143">
        <v>4.3188846370604807E-2</v>
      </c>
    </row>
    <row r="1144" spans="1:25" x14ac:dyDescent="0.25">
      <c r="A1144" s="879"/>
      <c r="B1144" s="1133">
        <v>894</v>
      </c>
      <c r="C1144" s="883">
        <v>1.0193744382373899</v>
      </c>
      <c r="D1144" s="883">
        <v>0.95833842037935413</v>
      </c>
      <c r="E1144" s="883">
        <v>1.0101477113325394</v>
      </c>
      <c r="F1144" s="883">
        <v>0.98574576136414183</v>
      </c>
      <c r="G1144" s="883">
        <v>0.99820315467344567</v>
      </c>
      <c r="H1144" s="883">
        <v>0.99206384983921325</v>
      </c>
      <c r="I1144" s="883">
        <v>1.0289293765974872</v>
      </c>
      <c r="K1144">
        <v>6.7436527632664971</v>
      </c>
      <c r="L1144">
        <v>0</v>
      </c>
      <c r="M1144">
        <v>1.0238722836853653E-2</v>
      </c>
      <c r="N1144">
        <v>0.19377933664185665</v>
      </c>
      <c r="O1144">
        <v>0.12152863525729249</v>
      </c>
      <c r="P1144">
        <v>8.3812367725619258E-2</v>
      </c>
      <c r="Q1144">
        <v>0</v>
      </c>
      <c r="R1144">
        <v>1.0238722836853653E-2</v>
      </c>
      <c r="S1144">
        <v>0.27222166554176758</v>
      </c>
      <c r="T1144">
        <v>5.9107895532032897</v>
      </c>
      <c r="U1144">
        <v>0</v>
      </c>
      <c r="V1144">
        <v>1.9051478939370974E-2</v>
      </c>
      <c r="W1144">
        <v>0.1014803342654301</v>
      </c>
      <c r="X1144">
        <v>-1.1718465255706955E-3</v>
      </c>
      <c r="Y1144">
        <v>4.2161238217435497E-2</v>
      </c>
    </row>
    <row r="1145" spans="1:25" x14ac:dyDescent="0.25">
      <c r="A1145" s="879"/>
      <c r="B1145" s="1133">
        <v>895</v>
      </c>
      <c r="C1145" s="883">
        <v>0.99247325992012936</v>
      </c>
      <c r="D1145" s="883">
        <v>1.0268168554184354</v>
      </c>
      <c r="E1145" s="883">
        <v>1.0138901564876017</v>
      </c>
      <c r="F1145" s="883">
        <v>1.0273175459301107</v>
      </c>
      <c r="G1145" s="883">
        <v>1.012772356058202</v>
      </c>
      <c r="H1145" s="883">
        <v>1.0096500697961472</v>
      </c>
      <c r="I1145" s="883">
        <v>0.99734176143424069</v>
      </c>
      <c r="K1145">
        <v>6.750499373849137</v>
      </c>
      <c r="L1145">
        <v>0</v>
      </c>
      <c r="M1145">
        <v>1.0356856001947192E-2</v>
      </c>
      <c r="N1145">
        <v>0.19710396495217161</v>
      </c>
      <c r="O1145">
        <v>0.1213535008218609</v>
      </c>
      <c r="P1145">
        <v>8.4073431863311149E-2</v>
      </c>
      <c r="Q1145">
        <v>0</v>
      </c>
      <c r="R1145">
        <v>1.0356856001947192E-2</v>
      </c>
      <c r="S1145">
        <v>0.27198333035164024</v>
      </c>
      <c r="T1145">
        <v>5.9128229449620306</v>
      </c>
      <c r="U1145">
        <v>0</v>
      </c>
      <c r="V1145">
        <v>1.9196437807989478E-2</v>
      </c>
      <c r="W1145">
        <v>0.1030306756344123</v>
      </c>
      <c r="X1145">
        <v>-1.7126021086556113E-3</v>
      </c>
      <c r="Y1145">
        <v>4.2647689564371156E-2</v>
      </c>
    </row>
    <row r="1146" spans="1:25" x14ac:dyDescent="0.25">
      <c r="A1146" s="879"/>
      <c r="B1146" s="1133">
        <v>896</v>
      </c>
      <c r="C1146" s="883">
        <v>0.97339001836131267</v>
      </c>
      <c r="D1146" s="883">
        <v>1.0107029905934442</v>
      </c>
      <c r="E1146" s="883">
        <v>0.98932404989922229</v>
      </c>
      <c r="F1146" s="883">
        <v>0.97872488927641421</v>
      </c>
      <c r="G1146" s="883">
        <v>1.0237664257069337</v>
      </c>
      <c r="H1146" s="883">
        <v>0.98079422034970953</v>
      </c>
      <c r="I1146" s="883">
        <v>0.98731008957171262</v>
      </c>
      <c r="K1146">
        <v>6.7482204795113452</v>
      </c>
      <c r="L1146">
        <v>0</v>
      </c>
      <c r="M1146">
        <v>1.0551853242728596E-2</v>
      </c>
      <c r="N1146">
        <v>0.19363873100208154</v>
      </c>
      <c r="O1146">
        <v>0.12498924908191747</v>
      </c>
      <c r="P1146">
        <v>8.2513159420148266E-2</v>
      </c>
      <c r="Q1146">
        <v>0</v>
      </c>
      <c r="R1146">
        <v>1.0551853242728596E-2</v>
      </c>
      <c r="S1146">
        <v>0.27189578632226086</v>
      </c>
      <c r="T1146">
        <v>5.9115797664840128</v>
      </c>
      <c r="U1146">
        <v>0</v>
      </c>
      <c r="V1146">
        <v>1.9304127091081619E-2</v>
      </c>
      <c r="W1146">
        <v>0.1024609809020238</v>
      </c>
      <c r="X1146">
        <v>-1.6119742858732794E-3</v>
      </c>
      <c r="Y1146">
        <v>4.345065349369398E-2</v>
      </c>
    </row>
    <row r="1147" spans="1:25" x14ac:dyDescent="0.25">
      <c r="A1147" s="879"/>
      <c r="B1147" s="1133">
        <v>897</v>
      </c>
      <c r="C1147" s="883">
        <v>1.0042042735516798</v>
      </c>
      <c r="D1147" s="883">
        <v>1.0166748965723349</v>
      </c>
      <c r="E1147" s="883">
        <v>1.0275226390690158</v>
      </c>
      <c r="F1147" s="883">
        <v>0.96004892921114293</v>
      </c>
      <c r="G1147" s="883">
        <v>0.97576038769291029</v>
      </c>
      <c r="H1147" s="883">
        <v>1.0351274746903889</v>
      </c>
      <c r="I1147" s="883">
        <v>1.0129333465485419</v>
      </c>
      <c r="K1147">
        <v>6.7559036837964612</v>
      </c>
      <c r="L1147">
        <v>0</v>
      </c>
      <c r="M1147">
        <v>1.041379516754916E-2</v>
      </c>
      <c r="N1147">
        <v>0.20222467714683792</v>
      </c>
      <c r="O1147">
        <v>0.1201578105133068</v>
      </c>
      <c r="P1147">
        <v>8.491559270423206E-2</v>
      </c>
      <c r="Q1147">
        <v>0</v>
      </c>
      <c r="R1147">
        <v>1.041379516754916E-2</v>
      </c>
      <c r="S1147">
        <v>0.27553632038532827</v>
      </c>
      <c r="T1147">
        <v>5.9084071242590142</v>
      </c>
      <c r="U1147">
        <v>0</v>
      </c>
      <c r="V1147">
        <v>1.9132269483317463E-2</v>
      </c>
      <c r="W1147">
        <v>0.10500011403115105</v>
      </c>
      <c r="X1147">
        <v>-2.352379640260617E-3</v>
      </c>
      <c r="Y1147">
        <v>4.2882154913526378E-2</v>
      </c>
    </row>
    <row r="1148" spans="1:25" x14ac:dyDescent="0.25">
      <c r="A1148" s="879"/>
      <c r="B1148" s="1133">
        <v>898</v>
      </c>
      <c r="C1148" s="883">
        <v>1.0003261885535664</v>
      </c>
      <c r="D1148" s="883">
        <v>0.98306427036748933</v>
      </c>
      <c r="E1148" s="883">
        <v>1.0129301024490851</v>
      </c>
      <c r="F1148" s="883">
        <v>1.000717437437513</v>
      </c>
      <c r="G1148" s="883">
        <v>1.0025101096533604</v>
      </c>
      <c r="H1148" s="883">
        <v>1.0054072836596735</v>
      </c>
      <c r="I1148" s="883">
        <v>1.0364931000986242</v>
      </c>
      <c r="K1148">
        <v>6.760803956061598</v>
      </c>
      <c r="L1148">
        <v>0</v>
      </c>
      <c r="M1148">
        <v>1.0433728185958417E-2</v>
      </c>
      <c r="N1148">
        <v>0.19828499747416622</v>
      </c>
      <c r="O1148">
        <v>0.12253453894766074</v>
      </c>
      <c r="P1148">
        <v>8.4108944646636541E-2</v>
      </c>
      <c r="Q1148">
        <v>0</v>
      </c>
      <c r="R1148">
        <v>1.0433728185958417E-2</v>
      </c>
      <c r="S1148">
        <v>0.28048561988832638</v>
      </c>
      <c r="T1148">
        <v>5.9114403862953058</v>
      </c>
      <c r="U1148">
        <v>0</v>
      </c>
      <c r="V1148">
        <v>1.9153315972500161E-2</v>
      </c>
      <c r="W1148">
        <v>0.10369718846424737</v>
      </c>
      <c r="X1148">
        <v>-1.8652711626359223E-3</v>
      </c>
      <c r="Y1148">
        <v>4.2964235535390687E-2</v>
      </c>
    </row>
    <row r="1149" spans="1:25" x14ac:dyDescent="0.25">
      <c r="A1149" s="879"/>
      <c r="B1149" s="1133">
        <v>899</v>
      </c>
      <c r="C1149" s="883">
        <v>0.96702551240446144</v>
      </c>
      <c r="D1149" s="883">
        <v>1.0237988399849545</v>
      </c>
      <c r="E1149" s="883">
        <v>1.0036735409980897</v>
      </c>
      <c r="F1149" s="883">
        <v>0.97688247842861353</v>
      </c>
      <c r="G1149" s="883">
        <v>0.95385305831870448</v>
      </c>
      <c r="H1149" s="883">
        <v>1.0081777259751428</v>
      </c>
      <c r="I1149" s="883">
        <v>1.0330796852566775</v>
      </c>
      <c r="K1149">
        <v>6.7757785352842115</v>
      </c>
      <c r="L1149">
        <v>0</v>
      </c>
      <c r="M1149">
        <v>1.0722641610910934E-2</v>
      </c>
      <c r="N1149">
        <v>0.20100188189773641</v>
      </c>
      <c r="O1149">
        <v>0.12489065738850277</v>
      </c>
      <c r="P1149">
        <v>8.3633755124756418E-2</v>
      </c>
      <c r="Q1149">
        <v>0</v>
      </c>
      <c r="R1149">
        <v>1.0722641610910934E-2</v>
      </c>
      <c r="S1149">
        <v>0.28900816779398081</v>
      </c>
      <c r="T1149">
        <v>5.9106768293978336</v>
      </c>
      <c r="U1149">
        <v>0</v>
      </c>
      <c r="V1149">
        <v>1.934098798964734E-2</v>
      </c>
      <c r="W1149">
        <v>0.10560074810443904</v>
      </c>
      <c r="X1149">
        <v>-2.5284220073580684E-3</v>
      </c>
      <c r="Y1149">
        <v>4.4153929594672549E-2</v>
      </c>
    </row>
    <row r="1150" spans="1:25" x14ac:dyDescent="0.25">
      <c r="A1150" s="879"/>
      <c r="B1150" s="1133">
        <v>900</v>
      </c>
      <c r="C1150" s="883">
        <v>1.0104129465743903</v>
      </c>
      <c r="D1150" s="883">
        <v>0.97019953635861989</v>
      </c>
      <c r="E1150" s="883">
        <v>1.0075882431694401</v>
      </c>
      <c r="F1150" s="883">
        <v>0.9711905813797741</v>
      </c>
      <c r="G1150" s="883">
        <v>1.0197263560582761</v>
      </c>
      <c r="H1150" s="883">
        <v>0.98082432030335853</v>
      </c>
      <c r="I1150" s="883">
        <v>0.96040271852344705</v>
      </c>
      <c r="K1150">
        <v>6.7235217998283927</v>
      </c>
      <c r="L1150">
        <v>0</v>
      </c>
      <c r="M1150">
        <v>1.0181525876395746E-2</v>
      </c>
      <c r="N1150">
        <v>0.19196801254106566</v>
      </c>
      <c r="O1150">
        <v>0.12205295821715141</v>
      </c>
      <c r="P1150">
        <v>8.3414290396469581E-2</v>
      </c>
      <c r="Q1150">
        <v>0</v>
      </c>
      <c r="R1150">
        <v>1.0181525876395746E-2</v>
      </c>
      <c r="S1150">
        <v>0.25519613169534427</v>
      </c>
      <c r="T1150">
        <v>5.9101481127497282</v>
      </c>
      <c r="U1150">
        <v>0</v>
      </c>
      <c r="V1150">
        <v>1.9098911187012617E-2</v>
      </c>
      <c r="W1150">
        <v>0.10065916796123345</v>
      </c>
      <c r="X1150">
        <v>-9.4149623456385152E-4</v>
      </c>
      <c r="Y1150">
        <v>4.1925711314949272E-2</v>
      </c>
    </row>
    <row r="1151" spans="1:25" x14ac:dyDescent="0.25">
      <c r="A1151" s="879"/>
      <c r="B1151" s="1133">
        <v>901</v>
      </c>
      <c r="C1151" s="883">
        <v>0.99500168830939606</v>
      </c>
      <c r="D1151" s="883">
        <v>1.0133540324907082</v>
      </c>
      <c r="E1151" s="883">
        <v>0.96311677214384184</v>
      </c>
      <c r="F1151" s="883">
        <v>0.99254912129322703</v>
      </c>
      <c r="G1151" s="883">
        <v>0.98561474889628009</v>
      </c>
      <c r="H1151" s="883">
        <v>0.96891788188605221</v>
      </c>
      <c r="I1151" s="883">
        <v>0.98808917750889302</v>
      </c>
      <c r="K1151">
        <v>6.7261627553928856</v>
      </c>
      <c r="L1151">
        <v>0</v>
      </c>
      <c r="M1151">
        <v>1.0421506676434836E-2</v>
      </c>
      <c r="N1151">
        <v>0.18395114497123424</v>
      </c>
      <c r="O1151">
        <v>0.12263164659986092</v>
      </c>
      <c r="P1151">
        <v>8.0798369078606574E-2</v>
      </c>
      <c r="Q1151">
        <v>0</v>
      </c>
      <c r="R1151">
        <v>1.0421506676434836E-2</v>
      </c>
      <c r="S1151">
        <v>0.26502738534322051</v>
      </c>
      <c r="T1151">
        <v>5.9137647745510451</v>
      </c>
      <c r="U1151">
        <v>0</v>
      </c>
      <c r="V1151">
        <v>1.9182479458537224E-2</v>
      </c>
      <c r="W1151">
        <v>9.8622620125924029E-2</v>
      </c>
      <c r="X1151">
        <v>-7.2957427005962438E-4</v>
      </c>
      <c r="Y1151">
        <v>4.2913909534520185E-2</v>
      </c>
    </row>
    <row r="1152" spans="1:25" x14ac:dyDescent="0.25">
      <c r="A1152" s="879"/>
      <c r="B1152" s="1133">
        <v>902</v>
      </c>
      <c r="C1152" s="883">
        <v>0.99864638131420091</v>
      </c>
      <c r="D1152" s="883">
        <v>1.0022781135537311</v>
      </c>
      <c r="E1152" s="883">
        <v>0.98020189219090681</v>
      </c>
      <c r="F1152" s="883">
        <v>0.98295334875420703</v>
      </c>
      <c r="G1152" s="883">
        <v>1.0334459152623652</v>
      </c>
      <c r="H1152" s="883">
        <v>0.97771096735317298</v>
      </c>
      <c r="I1152" s="883">
        <v>0.99573666001374528</v>
      </c>
      <c r="K1152">
        <v>6.732170179129068</v>
      </c>
      <c r="L1152">
        <v>0</v>
      </c>
      <c r="M1152">
        <v>1.0371658351115517E-2</v>
      </c>
      <c r="N1152">
        <v>0.1877741767453171</v>
      </c>
      <c r="O1152">
        <v>0.12240654258963715</v>
      </c>
      <c r="P1152">
        <v>8.1882568176629006E-2</v>
      </c>
      <c r="Q1152">
        <v>0</v>
      </c>
      <c r="R1152">
        <v>1.0371658351115517E-2</v>
      </c>
      <c r="S1152">
        <v>0.2670519592154118</v>
      </c>
      <c r="T1152">
        <v>5.9123130935052526</v>
      </c>
      <c r="U1152">
        <v>0</v>
      </c>
      <c r="V1152">
        <v>1.916248307565023E-2</v>
      </c>
      <c r="W1152">
        <v>9.9811815333432669E-2</v>
      </c>
      <c r="X1152">
        <v>-9.4110251578674597E-4</v>
      </c>
      <c r="Y1152">
        <v>4.2708643003526385E-2</v>
      </c>
    </row>
    <row r="1153" spans="1:25" x14ac:dyDescent="0.25">
      <c r="A1153" s="879"/>
      <c r="B1153" s="1133">
        <v>903</v>
      </c>
      <c r="C1153" s="883">
        <v>1.0006116835401107</v>
      </c>
      <c r="D1153" s="883">
        <v>0.9850313764212123</v>
      </c>
      <c r="E1153" s="883">
        <v>1.0172192584238806</v>
      </c>
      <c r="F1153" s="883">
        <v>1.0037634453023845</v>
      </c>
      <c r="G1153" s="883">
        <v>1.0209033760646979</v>
      </c>
      <c r="H1153" s="883">
        <v>0.99302646571438125</v>
      </c>
      <c r="I1153" s="883">
        <v>0.99460514184266413</v>
      </c>
      <c r="K1153">
        <v>6.744280214255447</v>
      </c>
      <c r="L1153">
        <v>0</v>
      </c>
      <c r="M1153">
        <v>1.0254923225566741E-2</v>
      </c>
      <c r="N1153">
        <v>0.19612787031650097</v>
      </c>
      <c r="O1153">
        <v>0.12232027252098386</v>
      </c>
      <c r="P1153">
        <v>8.420634459144663E-2</v>
      </c>
      <c r="Q1153">
        <v>0</v>
      </c>
      <c r="R1153">
        <v>1.0254923225566741E-2</v>
      </c>
      <c r="S1153">
        <v>0.26789196381322333</v>
      </c>
      <c r="T1153">
        <v>5.9113603321762032</v>
      </c>
      <c r="U1153">
        <v>0</v>
      </c>
      <c r="V1153">
        <v>1.915176101931311E-2</v>
      </c>
      <c r="W1153">
        <v>0.10235215923378443</v>
      </c>
      <c r="X1153">
        <v>-1.3584379506036215E-3</v>
      </c>
      <c r="Y1153">
        <v>4.2227948534594301E-2</v>
      </c>
    </row>
    <row r="1154" spans="1:25" x14ac:dyDescent="0.25">
      <c r="A1154" s="879"/>
      <c r="B1154" s="1133">
        <v>904</v>
      </c>
      <c r="C1154" s="883">
        <v>1.0306815068629458</v>
      </c>
      <c r="D1154" s="883">
        <v>0.97117829553453794</v>
      </c>
      <c r="E1154" s="883">
        <v>0.98474243440585885</v>
      </c>
      <c r="F1154" s="883">
        <v>1.0058333362998162</v>
      </c>
      <c r="G1154" s="883">
        <v>1.0310287125344879</v>
      </c>
      <c r="H1154" s="883">
        <v>0.99966754741156694</v>
      </c>
      <c r="I1154" s="883">
        <v>0.96885405910071032</v>
      </c>
      <c r="K1154">
        <v>6.7191438802254293</v>
      </c>
      <c r="L1154">
        <v>0</v>
      </c>
      <c r="M1154">
        <v>1.0373554556499878E-2</v>
      </c>
      <c r="N1154">
        <v>0.18907775575944519</v>
      </c>
      <c r="O1154">
        <v>0.12002398810888343</v>
      </c>
      <c r="P1154">
        <v>8.2006653411199795E-2</v>
      </c>
      <c r="Q1154">
        <v>0</v>
      </c>
      <c r="R1154">
        <v>1.0373554556499878E-2</v>
      </c>
      <c r="S1154">
        <v>0.25402357615624077</v>
      </c>
      <c r="T1154">
        <v>5.9132992226864385</v>
      </c>
      <c r="U1154">
        <v>0</v>
      </c>
      <c r="V1154">
        <v>1.8992808701874905E-2</v>
      </c>
      <c r="W1154">
        <v>0.10027672873841272</v>
      </c>
      <c r="X1154">
        <v>-1.2733045768558492E-3</v>
      </c>
      <c r="Y1154">
        <v>4.2716451239787206E-2</v>
      </c>
    </row>
    <row r="1155" spans="1:25" x14ac:dyDescent="0.25">
      <c r="A1155" s="879"/>
      <c r="B1155" s="1133">
        <v>905</v>
      </c>
      <c r="C1155" s="883">
        <v>0.99787906164853679</v>
      </c>
      <c r="D1155" s="883">
        <v>1.0013301226844211</v>
      </c>
      <c r="E1155" s="883">
        <v>1.0208607896584045</v>
      </c>
      <c r="F1155" s="883">
        <v>0.99224992872109619</v>
      </c>
      <c r="G1155" s="883">
        <v>1.0118874221588967</v>
      </c>
      <c r="H1155" s="883">
        <v>1.0259476773586842</v>
      </c>
      <c r="I1155" s="883">
        <v>1.0137387731115408</v>
      </c>
      <c r="K1155">
        <v>6.7612039911231996</v>
      </c>
      <c r="L1155">
        <v>0</v>
      </c>
      <c r="M1155">
        <v>1.0515903091399551E-2</v>
      </c>
      <c r="N1155">
        <v>0.20220557859104146</v>
      </c>
      <c r="O1155">
        <v>0.1217837476046579</v>
      </c>
      <c r="P1155">
        <v>8.4544461112780592E-2</v>
      </c>
      <c r="Q1155">
        <v>0</v>
      </c>
      <c r="R1155">
        <v>1.0515903091399551E-2</v>
      </c>
      <c r="S1155">
        <v>0.27678561058030243</v>
      </c>
      <c r="T1155">
        <v>5.9105298253898884</v>
      </c>
      <c r="U1155">
        <v>0</v>
      </c>
      <c r="V1155">
        <v>1.9166680788504874E-2</v>
      </c>
      <c r="W1155">
        <v>0.10533470646653993</v>
      </c>
      <c r="X1155">
        <v>-2.4492365799271814E-3</v>
      </c>
      <c r="Y1155">
        <v>4.3302617169409377E-2</v>
      </c>
    </row>
    <row r="1156" spans="1:25" x14ac:dyDescent="0.25">
      <c r="A1156" s="879"/>
      <c r="B1156" s="1133">
        <v>906</v>
      </c>
      <c r="C1156" s="883">
        <v>0.99355709435002615</v>
      </c>
      <c r="D1156" s="883">
        <v>0.99551028257698837</v>
      </c>
      <c r="E1156" s="883">
        <v>1.0217769226432243</v>
      </c>
      <c r="F1156" s="883">
        <v>0.98782994889800557</v>
      </c>
      <c r="G1156" s="883">
        <v>1.0060628808548193</v>
      </c>
      <c r="H1156" s="883">
        <v>0.99676411813177201</v>
      </c>
      <c r="I1156" s="883">
        <v>0.99121983904434074</v>
      </c>
      <c r="K1156">
        <v>6.747385080810326</v>
      </c>
      <c r="L1156">
        <v>0</v>
      </c>
      <c r="M1156">
        <v>1.0278620494088411E-2</v>
      </c>
      <c r="N1156">
        <v>0.19791098445806038</v>
      </c>
      <c r="O1156">
        <v>0.1225815432776198</v>
      </c>
      <c r="P1156">
        <v>8.4494030900920142E-2</v>
      </c>
      <c r="Q1156">
        <v>0</v>
      </c>
      <c r="R1156">
        <v>1.0278620494088411E-2</v>
      </c>
      <c r="S1156">
        <v>0.26913037420138242</v>
      </c>
      <c r="T1156">
        <v>5.9102384826437975</v>
      </c>
      <c r="U1156">
        <v>0</v>
      </c>
      <c r="V1156">
        <v>1.9190445731606186E-2</v>
      </c>
      <c r="W1156">
        <v>0.10305103834716262</v>
      </c>
      <c r="X1156">
        <v>-1.5373484186360547E-3</v>
      </c>
      <c r="Y1156">
        <v>4.2325529668409988E-2</v>
      </c>
    </row>
    <row r="1157" spans="1:25" x14ac:dyDescent="0.25">
      <c r="A1157" s="879"/>
      <c r="B1157" s="1133">
        <v>907</v>
      </c>
      <c r="C1157" s="883">
        <v>0.97750940753727866</v>
      </c>
      <c r="D1157" s="883">
        <v>0.99531431217529087</v>
      </c>
      <c r="E1157" s="883">
        <v>0.98801275156533874</v>
      </c>
      <c r="F1157" s="883">
        <v>0.99535885370788579</v>
      </c>
      <c r="G1157" s="883">
        <v>0.96147078784762929</v>
      </c>
      <c r="H1157" s="883">
        <v>1.0267038766753396</v>
      </c>
      <c r="I1157" s="883">
        <v>0.99242968422691846</v>
      </c>
      <c r="K1157">
        <v>6.7689419739622636</v>
      </c>
      <c r="L1157">
        <v>0</v>
      </c>
      <c r="M1157">
        <v>1.1084408907864612E-2</v>
      </c>
      <c r="N1157">
        <v>0.20301663595367464</v>
      </c>
      <c r="O1157">
        <v>0.12525376252845177</v>
      </c>
      <c r="P1157">
        <v>8.2506930374904752E-2</v>
      </c>
      <c r="Q1157">
        <v>0</v>
      </c>
      <c r="R1157">
        <v>1.1084408907864612E-2</v>
      </c>
      <c r="S1157">
        <v>0.2766965453864127</v>
      </c>
      <c r="T1157">
        <v>5.9125517237834879</v>
      </c>
      <c r="U1157">
        <v>0</v>
      </c>
      <c r="V1157">
        <v>1.9280524970200597E-2</v>
      </c>
      <c r="W1157">
        <v>0.10749346168645377</v>
      </c>
      <c r="X1157">
        <v>-3.5012336526753299E-3</v>
      </c>
      <c r="Y1157">
        <v>4.5643622931349381E-2</v>
      </c>
    </row>
    <row r="1158" spans="1:25" x14ac:dyDescent="0.25">
      <c r="A1158" s="879"/>
      <c r="B1158" s="1133">
        <v>908</v>
      </c>
      <c r="C1158" s="883">
        <v>1.0330994471312922</v>
      </c>
      <c r="D1158" s="883">
        <v>0.99805217109112032</v>
      </c>
      <c r="E1158" s="883">
        <v>0.99951488890128548</v>
      </c>
      <c r="F1158" s="883">
        <v>0.98798103628379763</v>
      </c>
      <c r="G1158" s="883">
        <v>1.0014983047767434</v>
      </c>
      <c r="H1158" s="883">
        <v>0.98640484579197585</v>
      </c>
      <c r="I1158" s="883">
        <v>0.96193185122910019</v>
      </c>
      <c r="K1158">
        <v>6.7058897383163556</v>
      </c>
      <c r="L1158">
        <v>0</v>
      </c>
      <c r="M1158">
        <v>9.9639042057689045E-3</v>
      </c>
      <c r="N1158">
        <v>0.18563186112072214</v>
      </c>
      <c r="O1158">
        <v>0.11817566393027126</v>
      </c>
      <c r="P1158">
        <v>8.2858472557504878E-2</v>
      </c>
      <c r="Q1158">
        <v>0</v>
      </c>
      <c r="R1158">
        <v>9.9639042057689045E-3</v>
      </c>
      <c r="S1158">
        <v>0.25021220866362087</v>
      </c>
      <c r="T1158">
        <v>5.911510629105698</v>
      </c>
      <c r="U1158">
        <v>0</v>
      </c>
      <c r="V1158">
        <v>1.8980429147943019E-2</v>
      </c>
      <c r="W1158">
        <v>9.7727269879024053E-2</v>
      </c>
      <c r="X1158">
        <v>-2.3638009894813911E-4</v>
      </c>
      <c r="Y1158">
        <v>4.1029584010521328E-2</v>
      </c>
    </row>
    <row r="1159" spans="1:25" x14ac:dyDescent="0.25">
      <c r="A1159" s="879"/>
      <c r="B1159" s="1133">
        <v>909</v>
      </c>
      <c r="C1159" s="883">
        <v>1.0154427271657074</v>
      </c>
      <c r="D1159" s="883">
        <v>0.97622054246052914</v>
      </c>
      <c r="E1159" s="883">
        <v>1.0225953718987082</v>
      </c>
      <c r="F1159" s="883">
        <v>0.98773349807660693</v>
      </c>
      <c r="G1159" s="883">
        <v>1.0059393675447548</v>
      </c>
      <c r="H1159" s="883">
        <v>1.0132905159469059</v>
      </c>
      <c r="I1159" s="883">
        <v>1.0182034663269628</v>
      </c>
      <c r="K1159">
        <v>6.7496426129732576</v>
      </c>
      <c r="L1159">
        <v>0</v>
      </c>
      <c r="M1159">
        <v>1.0302539256865419E-2</v>
      </c>
      <c r="N1159">
        <v>0.19861181096757766</v>
      </c>
      <c r="O1159">
        <v>0.12086658127596975</v>
      </c>
      <c r="P1159">
        <v>8.4585886541302738E-2</v>
      </c>
      <c r="Q1159">
        <v>0</v>
      </c>
      <c r="R1159">
        <v>1.0302539256865419E-2</v>
      </c>
      <c r="S1159">
        <v>0.27227972511149617</v>
      </c>
      <c r="T1159">
        <v>5.9101862828812655</v>
      </c>
      <c r="U1159">
        <v>0</v>
      </c>
      <c r="V1159">
        <v>1.9072186000424818E-2</v>
      </c>
      <c r="W1159">
        <v>0.10337430656852319</v>
      </c>
      <c r="X1159">
        <v>-1.7581892494521205E-3</v>
      </c>
      <c r="Y1159">
        <v>4.2424022876144628E-2</v>
      </c>
    </row>
    <row r="1160" spans="1:25" x14ac:dyDescent="0.25">
      <c r="A1160" s="879"/>
      <c r="B1160" s="1133">
        <v>910</v>
      </c>
      <c r="C1160" s="883">
        <v>1.0145994354048726</v>
      </c>
      <c r="D1160" s="883">
        <v>0.98553680580818104</v>
      </c>
      <c r="E1160" s="883">
        <v>0.99950710239619978</v>
      </c>
      <c r="F1160" s="883">
        <v>0.97396689857426821</v>
      </c>
      <c r="G1160" s="883">
        <v>0.99774269035405783</v>
      </c>
      <c r="H1160" s="883">
        <v>0.99119253859902146</v>
      </c>
      <c r="I1160" s="883">
        <v>1.0331832338724547</v>
      </c>
      <c r="K1160">
        <v>6.740874564550694</v>
      </c>
      <c r="L1160">
        <v>0</v>
      </c>
      <c r="M1160">
        <v>1.0250166352228439E-2</v>
      </c>
      <c r="N1160">
        <v>0.19096284623173657</v>
      </c>
      <c r="O1160">
        <v>0.12093952097076847</v>
      </c>
      <c r="P1160">
        <v>8.3170853732771374E-2</v>
      </c>
      <c r="Q1160">
        <v>0</v>
      </c>
      <c r="R1160">
        <v>1.0250166352228439E-2</v>
      </c>
      <c r="S1160">
        <v>0.27423281447159009</v>
      </c>
      <c r="T1160">
        <v>5.9107536988391498</v>
      </c>
      <c r="U1160">
        <v>0</v>
      </c>
      <c r="V1160">
        <v>1.9076648249913414E-2</v>
      </c>
      <c r="W1160">
        <v>0.10053419537059556</v>
      </c>
      <c r="X1160">
        <v>-1.0043738927102109E-3</v>
      </c>
      <c r="Y1160">
        <v>4.2208360576879059E-2</v>
      </c>
    </row>
    <row r="1161" spans="1:25" x14ac:dyDescent="0.25">
      <c r="A1161" s="879"/>
      <c r="B1161" s="1133">
        <v>911</v>
      </c>
      <c r="C1161" s="883">
        <v>1.0266337917898705</v>
      </c>
      <c r="D1161" s="883">
        <v>1.0088075949573623</v>
      </c>
      <c r="E1161" s="883">
        <v>0.97231260474309866</v>
      </c>
      <c r="F1161" s="883">
        <v>0.98353177387558244</v>
      </c>
      <c r="G1161" s="883">
        <v>1.0244988748973962</v>
      </c>
      <c r="H1161" s="883">
        <v>0.96967105822972588</v>
      </c>
      <c r="I1161" s="883">
        <v>1.013117240293778</v>
      </c>
      <c r="K1161">
        <v>6.7127674267958044</v>
      </c>
      <c r="L1161">
        <v>0</v>
      </c>
      <c r="M1161">
        <v>1.0046989831925073E-2</v>
      </c>
      <c r="N1161">
        <v>0.1797789014629137</v>
      </c>
      <c r="O1161">
        <v>0.11890254057866496</v>
      </c>
      <c r="P1161">
        <v>8.1342962198982183E-2</v>
      </c>
      <c r="Q1161">
        <v>0</v>
      </c>
      <c r="R1161">
        <v>1.0046989831925073E-2</v>
      </c>
      <c r="S1161">
        <v>0.26349043973884773</v>
      </c>
      <c r="T1161">
        <v>5.9127771469726751</v>
      </c>
      <c r="U1161">
        <v>0</v>
      </c>
      <c r="V1161">
        <v>1.9013663017215535E-2</v>
      </c>
      <c r="W1161">
        <v>9.5940727497708503E-2</v>
      </c>
      <c r="X1161">
        <v>1.4932949845177459E-4</v>
      </c>
      <c r="Y1161">
        <v>4.1371715830342277E-2</v>
      </c>
    </row>
    <row r="1162" spans="1:25" x14ac:dyDescent="0.25">
      <c r="A1162" s="879"/>
      <c r="B1162" s="1133">
        <v>912</v>
      </c>
      <c r="C1162" s="883">
        <v>0.98057304354664465</v>
      </c>
      <c r="D1162" s="883">
        <v>0.97641806905027628</v>
      </c>
      <c r="E1162" s="883">
        <v>1.0087716299926293</v>
      </c>
      <c r="F1162" s="883">
        <v>1.0293671912764708</v>
      </c>
      <c r="G1162" s="883">
        <v>1.022546396099892</v>
      </c>
      <c r="H1162" s="883">
        <v>1.0435045404309027</v>
      </c>
      <c r="I1162" s="883">
        <v>0.96306639922645731</v>
      </c>
      <c r="K1162">
        <v>6.772805009529355</v>
      </c>
      <c r="L1162">
        <v>0</v>
      </c>
      <c r="M1162">
        <v>1.1119772148341252E-2</v>
      </c>
      <c r="N1162">
        <v>0.21002588177414303</v>
      </c>
      <c r="O1162">
        <v>0.125423235840079</v>
      </c>
      <c r="P1162">
        <v>8.3724853077874625E-2</v>
      </c>
      <c r="Q1162">
        <v>0</v>
      </c>
      <c r="R1162">
        <v>1.1119772148341252E-2</v>
      </c>
      <c r="S1162">
        <v>0.26949396265321213</v>
      </c>
      <c r="T1162">
        <v>5.9132246841207738</v>
      </c>
      <c r="U1162">
        <v>0</v>
      </c>
      <c r="V1162">
        <v>1.9263100390523855E-2</v>
      </c>
      <c r="W1162">
        <v>0.11006339293081703</v>
      </c>
      <c r="X1162">
        <v>-4.2033437192785109E-3</v>
      </c>
      <c r="Y1162">
        <v>4.5789242461210029E-2</v>
      </c>
    </row>
    <row r="1163" spans="1:25" x14ac:dyDescent="0.25">
      <c r="A1163" s="879"/>
      <c r="B1163" s="1133">
        <v>913</v>
      </c>
      <c r="C1163" s="883">
        <v>0.97932013182149014</v>
      </c>
      <c r="D1163" s="883">
        <v>1.0063897158480153</v>
      </c>
      <c r="E1163" s="883">
        <v>1.0186766200374644</v>
      </c>
      <c r="F1163" s="883">
        <v>1.0142473380453165</v>
      </c>
      <c r="G1163" s="883">
        <v>1.0082941315858205</v>
      </c>
      <c r="H1163" s="883">
        <v>1.0120645682117622</v>
      </c>
      <c r="I1163" s="883">
        <v>1.0131293394852736</v>
      </c>
      <c r="K1163">
        <v>6.7691885603758681</v>
      </c>
      <c r="L1163">
        <v>0</v>
      </c>
      <c r="M1163">
        <v>1.0567586619864899E-2</v>
      </c>
      <c r="N1163">
        <v>0.20254388497837358</v>
      </c>
      <c r="O1163">
        <v>0.12388380569721473</v>
      </c>
      <c r="P1163">
        <v>8.4476459449407376E-2</v>
      </c>
      <c r="Q1163">
        <v>0</v>
      </c>
      <c r="R1163">
        <v>1.0567586619864899E-2</v>
      </c>
      <c r="S1163">
        <v>0.28044997304697472</v>
      </c>
      <c r="T1163">
        <v>5.9118433909028445</v>
      </c>
      <c r="U1163">
        <v>0</v>
      </c>
      <c r="V1163">
        <v>1.9270213211566474E-2</v>
      </c>
      <c r="W1163">
        <v>0.10562453180862608</v>
      </c>
      <c r="X1163">
        <v>-2.4191394594449815E-3</v>
      </c>
      <c r="Y1163">
        <v>4.3515440740304542E-2</v>
      </c>
    </row>
    <row r="1164" spans="1:25" x14ac:dyDescent="0.25">
      <c r="A1164" s="879"/>
      <c r="B1164" s="1133">
        <v>914</v>
      </c>
      <c r="C1164" s="883">
        <v>1.0111336937423583</v>
      </c>
      <c r="D1164" s="883">
        <v>1.0474557780871474</v>
      </c>
      <c r="E1164" s="883">
        <v>0.9883362195537212</v>
      </c>
      <c r="F1164" s="883">
        <v>1.009918745727135</v>
      </c>
      <c r="G1164" s="883">
        <v>1.0387179272970164</v>
      </c>
      <c r="H1164" s="883">
        <v>1.0075864345039798</v>
      </c>
      <c r="I1164" s="883">
        <v>1.0150584204168351</v>
      </c>
      <c r="K1164">
        <v>6.7343698131395708</v>
      </c>
      <c r="L1164">
        <v>0</v>
      </c>
      <c r="M1164">
        <v>1.0286053194257442E-2</v>
      </c>
      <c r="N1164">
        <v>0.18848472308945677</v>
      </c>
      <c r="O1164">
        <v>0.11863464512168193</v>
      </c>
      <c r="P1164">
        <v>8.2463148419344837E-2</v>
      </c>
      <c r="Q1164">
        <v>0</v>
      </c>
      <c r="R1164">
        <v>1.0286053194257442E-2</v>
      </c>
      <c r="S1164">
        <v>0.27128230163948558</v>
      </c>
      <c r="T1164">
        <v>5.913320760775048</v>
      </c>
      <c r="U1164">
        <v>0</v>
      </c>
      <c r="V1164">
        <v>1.9095065255901659E-2</v>
      </c>
      <c r="W1164">
        <v>9.978298059542183E-2</v>
      </c>
      <c r="X1164">
        <v>-1.0499479615072298E-3</v>
      </c>
      <c r="Y1164">
        <v>4.2356136204734732E-2</v>
      </c>
    </row>
    <row r="1165" spans="1:25" x14ac:dyDescent="0.25">
      <c r="A1165" s="879"/>
      <c r="B1165" s="1133">
        <v>915</v>
      </c>
      <c r="C1165" s="883">
        <v>1.0385933218296923</v>
      </c>
      <c r="D1165" s="883">
        <v>1.0315620877077931</v>
      </c>
      <c r="E1165" s="883">
        <v>0.98732824727662771</v>
      </c>
      <c r="F1165" s="883">
        <v>0.99437396439031411</v>
      </c>
      <c r="G1165" s="883">
        <v>1.0077654325666696</v>
      </c>
      <c r="H1165" s="883">
        <v>0.98867733767749288</v>
      </c>
      <c r="I1165" s="883">
        <v>1.013569823768729</v>
      </c>
      <c r="K1165">
        <v>6.7101327093194714</v>
      </c>
      <c r="L1165">
        <v>0</v>
      </c>
      <c r="M1165">
        <v>9.8993352158323299E-3</v>
      </c>
      <c r="N1165">
        <v>0.18112746423134976</v>
      </c>
      <c r="O1165">
        <v>0.11622443756753663</v>
      </c>
      <c r="P1165">
        <v>8.2266130148483357E-2</v>
      </c>
      <c r="Q1165">
        <v>0</v>
      </c>
      <c r="R1165">
        <v>9.8993352158323299E-3</v>
      </c>
      <c r="S1165">
        <v>0.26214284337494115</v>
      </c>
      <c r="T1165">
        <v>5.9125364826164892</v>
      </c>
      <c r="U1165">
        <v>0</v>
      </c>
      <c r="V1165">
        <v>1.8952515465329559E-2</v>
      </c>
      <c r="W1165">
        <v>9.5936332545213776E-2</v>
      </c>
      <c r="X1165">
        <v>1.8280296731495359E-4</v>
      </c>
      <c r="Y1165">
        <v>4.0763700402814289E-2</v>
      </c>
    </row>
    <row r="1166" spans="1:25" x14ac:dyDescent="0.25">
      <c r="A1166" s="879"/>
      <c r="B1166" s="1133">
        <v>916</v>
      </c>
      <c r="C1166" s="883">
        <v>0.96813827719215195</v>
      </c>
      <c r="D1166" s="883">
        <v>0.99855153589315304</v>
      </c>
      <c r="E1166" s="883">
        <v>0.97539368866445741</v>
      </c>
      <c r="F1166" s="883">
        <v>0.99217578982870824</v>
      </c>
      <c r="G1166" s="883">
        <v>1.0023497699109334</v>
      </c>
      <c r="H1166" s="883">
        <v>1.0097264328398754</v>
      </c>
      <c r="I1166" s="883">
        <v>0.9965702883258718</v>
      </c>
      <c r="K1166">
        <v>6.7683224620095341</v>
      </c>
      <c r="L1166">
        <v>0</v>
      </c>
      <c r="M1166">
        <v>1.111292549464233E-2</v>
      </c>
      <c r="N1166">
        <v>0.1997640692996126</v>
      </c>
      <c r="O1166">
        <v>0.12654422184520384</v>
      </c>
      <c r="P1166">
        <v>8.1746880473495362E-2</v>
      </c>
      <c r="Q1166">
        <v>0</v>
      </c>
      <c r="R1166">
        <v>1.111292549464233E-2</v>
      </c>
      <c r="S1166">
        <v>0.27883246867391448</v>
      </c>
      <c r="T1166">
        <v>5.9130758732003184</v>
      </c>
      <c r="U1166">
        <v>0</v>
      </c>
      <c r="V1166">
        <v>1.9334508301685698E-2</v>
      </c>
      <c r="W1166">
        <v>0.10644125255407287</v>
      </c>
      <c r="X1166">
        <v>-3.1778614987095014E-3</v>
      </c>
      <c r="Y1166">
        <v>4.5761049159936812E-2</v>
      </c>
    </row>
    <row r="1167" spans="1:25" x14ac:dyDescent="0.25">
      <c r="A1167" s="879"/>
      <c r="B1167" s="1133">
        <v>917</v>
      </c>
      <c r="C1167" s="883">
        <v>1.0019494350274349</v>
      </c>
      <c r="D1167" s="883">
        <v>1.0277839380728473</v>
      </c>
      <c r="E1167" s="883">
        <v>0.97622552183011246</v>
      </c>
      <c r="F1167" s="883">
        <v>1.0062319671725795</v>
      </c>
      <c r="G1167" s="883">
        <v>1.032269411685514</v>
      </c>
      <c r="H1167" s="883">
        <v>0.97094887077038672</v>
      </c>
      <c r="I1167" s="883">
        <v>1.0018091542562977</v>
      </c>
      <c r="K1167">
        <v>6.7251654195384329</v>
      </c>
      <c r="L1167">
        <v>0</v>
      </c>
      <c r="M1167">
        <v>1.0191382962128697E-2</v>
      </c>
      <c r="N1167">
        <v>0.18342488544832153</v>
      </c>
      <c r="O1167">
        <v>0.1208555845302519</v>
      </c>
      <c r="P1167">
        <v>8.1649808162343532E-2</v>
      </c>
      <c r="Q1167">
        <v>0</v>
      </c>
      <c r="R1167">
        <v>1.0191382962128697E-2</v>
      </c>
      <c r="S1167">
        <v>0.26693919680997535</v>
      </c>
      <c r="T1167">
        <v>5.9137901762867982</v>
      </c>
      <c r="U1167">
        <v>0</v>
      </c>
      <c r="V1167">
        <v>1.9144486737715394E-2</v>
      </c>
      <c r="W1167">
        <v>9.7694397732355359E-2</v>
      </c>
      <c r="X1167">
        <v>-2.9941720883380242E-4</v>
      </c>
      <c r="Y1167">
        <v>4.1966301039501705E-2</v>
      </c>
    </row>
    <row r="1168" spans="1:25" x14ac:dyDescent="0.25">
      <c r="A1168" s="879"/>
      <c r="B1168" s="1133">
        <v>918</v>
      </c>
      <c r="C1168" s="883">
        <v>0.99777180002403354</v>
      </c>
      <c r="D1168" s="883">
        <v>0.97519233405388162</v>
      </c>
      <c r="E1168" s="883">
        <v>0.99111761172860635</v>
      </c>
      <c r="F1168" s="883">
        <v>1.0275178740612358</v>
      </c>
      <c r="G1168" s="883">
        <v>1.0405199634866553</v>
      </c>
      <c r="H1168" s="883">
        <v>0.97405164655061705</v>
      </c>
      <c r="I1168" s="883">
        <v>0.99207782611013851</v>
      </c>
      <c r="K1168">
        <v>6.7389045855027492</v>
      </c>
      <c r="L1168">
        <v>0</v>
      </c>
      <c r="M1168">
        <v>1.036486740307528E-2</v>
      </c>
      <c r="N1168">
        <v>0.19071376896196077</v>
      </c>
      <c r="O1168">
        <v>0.12365814341291516</v>
      </c>
      <c r="P1168">
        <v>8.2582559406001219E-2</v>
      </c>
      <c r="Q1168">
        <v>0</v>
      </c>
      <c r="R1168">
        <v>1.036486740307528E-2</v>
      </c>
      <c r="S1168">
        <v>0.26623207484196237</v>
      </c>
      <c r="T1168">
        <v>5.91411725432949</v>
      </c>
      <c r="U1168">
        <v>0</v>
      </c>
      <c r="V1168">
        <v>1.9167268090229072E-2</v>
      </c>
      <c r="W1168">
        <v>0.10082307443031926</v>
      </c>
      <c r="X1168">
        <v>-1.0702370583673564E-3</v>
      </c>
      <c r="Y1168">
        <v>4.2680679088240386E-2</v>
      </c>
    </row>
    <row r="1169" spans="1:25" x14ac:dyDescent="0.25">
      <c r="A1169" s="879"/>
      <c r="B1169" s="1133">
        <v>919</v>
      </c>
      <c r="C1169" s="883">
        <v>1.0031589837403763</v>
      </c>
      <c r="D1169" s="883">
        <v>1.0367798515443973</v>
      </c>
      <c r="E1169" s="883">
        <v>0.97103949248165367</v>
      </c>
      <c r="F1169" s="883">
        <v>0.96879043565237632</v>
      </c>
      <c r="G1169" s="883">
        <v>1.0193537226409042</v>
      </c>
      <c r="H1169" s="883">
        <v>0.96441219090996733</v>
      </c>
      <c r="I1169" s="883">
        <v>0.99997836004804863</v>
      </c>
      <c r="K1169">
        <v>6.7172128657656041</v>
      </c>
      <c r="L1169">
        <v>0</v>
      </c>
      <c r="M1169">
        <v>1.0118547267552605E-2</v>
      </c>
      <c r="N1169">
        <v>0.18071744703879664</v>
      </c>
      <c r="O1169">
        <v>0.12038407321136974</v>
      </c>
      <c r="P1169">
        <v>8.1280500379082798E-2</v>
      </c>
      <c r="Q1169">
        <v>0</v>
      </c>
      <c r="R1169">
        <v>1.0118547267552605E-2</v>
      </c>
      <c r="S1169">
        <v>0.26544709639157982</v>
      </c>
      <c r="T1169">
        <v>5.9120496292754945</v>
      </c>
      <c r="U1169">
        <v>0</v>
      </c>
      <c r="V1169">
        <v>1.913792628464521E-2</v>
      </c>
      <c r="W1169">
        <v>9.6503298268746762E-2</v>
      </c>
      <c r="X1169">
        <v>2.6518302383105757E-5</v>
      </c>
      <c r="Y1169">
        <v>4.1666376613507729E-2</v>
      </c>
    </row>
    <row r="1170" spans="1:25" x14ac:dyDescent="0.25">
      <c r="A1170" s="879"/>
      <c r="B1170" s="1133">
        <v>920</v>
      </c>
      <c r="C1170" s="883">
        <v>0.99104370345000581</v>
      </c>
      <c r="D1170" s="883">
        <v>0.98706788707204951</v>
      </c>
      <c r="E1170" s="883">
        <v>1.00792107237788</v>
      </c>
      <c r="F1170" s="883">
        <v>0.9598979684717045</v>
      </c>
      <c r="G1170" s="883">
        <v>0.98630621185980605</v>
      </c>
      <c r="H1170" s="883">
        <v>0.99659741227358634</v>
      </c>
      <c r="I1170" s="883">
        <v>1.0032972730761316</v>
      </c>
      <c r="K1170">
        <v>6.7513351318637858</v>
      </c>
      <c r="L1170">
        <v>0</v>
      </c>
      <c r="M1170">
        <v>1.0466756532036004E-2</v>
      </c>
      <c r="N1170">
        <v>0.19744318154920737</v>
      </c>
      <c r="O1170">
        <v>0.12357701571604499</v>
      </c>
      <c r="P1170">
        <v>8.3670031799616518E-2</v>
      </c>
      <c r="Q1170">
        <v>0</v>
      </c>
      <c r="R1170">
        <v>1.0466756532036004E-2</v>
      </c>
      <c r="S1170">
        <v>0.27314748746463341</v>
      </c>
      <c r="T1170">
        <v>5.9095190665354709</v>
      </c>
      <c r="U1170">
        <v>0</v>
      </c>
      <c r="V1170">
        <v>1.9204361283781668E-2</v>
      </c>
      <c r="W1170">
        <v>0.10351303655977483</v>
      </c>
      <c r="X1170">
        <v>-1.8392894304614892E-3</v>
      </c>
      <c r="Y1170">
        <v>4.3100240385711752E-2</v>
      </c>
    </row>
    <row r="1171" spans="1:25" x14ac:dyDescent="0.25">
      <c r="A1171" s="879"/>
      <c r="B1171" s="1133">
        <v>921</v>
      </c>
      <c r="C1171" s="883">
        <v>0.99019843353695736</v>
      </c>
      <c r="D1171" s="883">
        <v>0.97215738182253797</v>
      </c>
      <c r="E1171" s="883">
        <v>0.96057802525150471</v>
      </c>
      <c r="F1171" s="883">
        <v>0.99126684038535395</v>
      </c>
      <c r="G1171" s="883">
        <v>0.99463182557471397</v>
      </c>
      <c r="H1171" s="883">
        <v>0.99583558425531815</v>
      </c>
      <c r="I1171" s="883">
        <v>0.99826819317498283</v>
      </c>
      <c r="K1171">
        <v>6.7506319916111526</v>
      </c>
      <c r="L1171">
        <v>0</v>
      </c>
      <c r="M1171">
        <v>1.0980302662512889E-2</v>
      </c>
      <c r="N1171">
        <v>0.19308486744932768</v>
      </c>
      <c r="O1171">
        <v>0.12533698168702823</v>
      </c>
      <c r="P1171">
        <v>8.0730201524595202E-2</v>
      </c>
      <c r="Q1171">
        <v>0</v>
      </c>
      <c r="R1171">
        <v>1.0980302662512889E-2</v>
      </c>
      <c r="S1171">
        <v>0.27201521939852574</v>
      </c>
      <c r="T1171">
        <v>5.9138326517068629</v>
      </c>
      <c r="U1171">
        <v>0</v>
      </c>
      <c r="V1171">
        <v>1.920905704938412E-2</v>
      </c>
      <c r="W1171">
        <v>0.10365218392250684</v>
      </c>
      <c r="X1171">
        <v>-2.4441030702911691E-3</v>
      </c>
      <c r="Y1171">
        <v>4.5214931943211877E-2</v>
      </c>
    </row>
    <row r="1172" spans="1:25" x14ac:dyDescent="0.25">
      <c r="A1172" s="879"/>
      <c r="B1172" s="1133">
        <v>922</v>
      </c>
      <c r="C1172" s="883">
        <v>1.0119643135565954</v>
      </c>
      <c r="D1172" s="883">
        <v>1.0241303276952829</v>
      </c>
      <c r="E1172" s="883">
        <v>0.99019798643675105</v>
      </c>
      <c r="F1172" s="883">
        <v>1.0198197730893235</v>
      </c>
      <c r="G1172" s="883">
        <v>1.0363416372421779</v>
      </c>
      <c r="H1172" s="883">
        <v>1.0018822870535993</v>
      </c>
      <c r="I1172" s="883">
        <v>0.99747925682243987</v>
      </c>
      <c r="K1172">
        <v>6.7317106702804193</v>
      </c>
      <c r="L1172">
        <v>0</v>
      </c>
      <c r="M1172">
        <v>1.0301599685033214E-2</v>
      </c>
      <c r="N1172">
        <v>0.18929139500592357</v>
      </c>
      <c r="O1172">
        <v>0.1195759251621424</v>
      </c>
      <c r="P1172">
        <v>8.2516461413688361E-2</v>
      </c>
      <c r="Q1172">
        <v>0</v>
      </c>
      <c r="R1172">
        <v>1.0301599685033214E-2</v>
      </c>
      <c r="S1172">
        <v>0.26605200568422571</v>
      </c>
      <c r="T1172">
        <v>5.9137523892720942</v>
      </c>
      <c r="U1172">
        <v>0</v>
      </c>
      <c r="V1172">
        <v>1.9090639835356107E-2</v>
      </c>
      <c r="W1172">
        <v>0.10011700924014763</v>
      </c>
      <c r="X1172">
        <v>-1.1053092197385117E-3</v>
      </c>
      <c r="Y1172">
        <v>4.2420153886577147E-2</v>
      </c>
    </row>
    <row r="1173" spans="1:25" x14ac:dyDescent="0.25">
      <c r="A1173" s="879"/>
      <c r="B1173" s="1133">
        <v>923</v>
      </c>
      <c r="C1173" s="883">
        <v>1.0068690484745033</v>
      </c>
      <c r="D1173" s="883">
        <v>0.99124627035026891</v>
      </c>
      <c r="E1173" s="883">
        <v>1.0012178607431206</v>
      </c>
      <c r="F1173" s="883">
        <v>1.0228044341931422</v>
      </c>
      <c r="G1173" s="883">
        <v>0.97787983893069608</v>
      </c>
      <c r="H1173" s="883">
        <v>0.97854087807161383</v>
      </c>
      <c r="I1173" s="883">
        <v>1.0033160244479993</v>
      </c>
      <c r="K1173">
        <v>6.7349281212109604</v>
      </c>
      <c r="L1173">
        <v>0</v>
      </c>
      <c r="M1173">
        <v>1.0156625201169476E-2</v>
      </c>
      <c r="N1173">
        <v>0.18970031971960094</v>
      </c>
      <c r="O1173">
        <v>0.12155482921740471</v>
      </c>
      <c r="P1173">
        <v>8.3217388834830847E-2</v>
      </c>
      <c r="Q1173">
        <v>0</v>
      </c>
      <c r="R1173">
        <v>1.0156625201169476E-2</v>
      </c>
      <c r="S1173">
        <v>0.26710255527826854</v>
      </c>
      <c r="T1173">
        <v>5.9132968197446694</v>
      </c>
      <c r="U1173">
        <v>0</v>
      </c>
      <c r="V1173">
        <v>1.9117901642168783E-2</v>
      </c>
      <c r="W1173">
        <v>9.9784723756746824E-2</v>
      </c>
      <c r="X1173">
        <v>-6.6959174925502595E-4</v>
      </c>
      <c r="Y1173">
        <v>4.1823174766522468E-2</v>
      </c>
    </row>
    <row r="1174" spans="1:25" x14ac:dyDescent="0.25">
      <c r="A1174" s="879"/>
      <c r="B1174" s="1133">
        <v>924</v>
      </c>
      <c r="C1174" s="883">
        <v>1.0275438371081671</v>
      </c>
      <c r="D1174" s="883">
        <v>1.0098510373009568</v>
      </c>
      <c r="E1174" s="883">
        <v>0.99888811242098163</v>
      </c>
      <c r="F1174" s="883">
        <v>0.99253932530831235</v>
      </c>
      <c r="G1174" s="883">
        <v>1.004029056158281</v>
      </c>
      <c r="H1174" s="883">
        <v>0.96165768670910012</v>
      </c>
      <c r="I1174" s="883">
        <v>1.0195506404048615</v>
      </c>
      <c r="K1174">
        <v>6.7133620571435948</v>
      </c>
      <c r="L1174">
        <v>0</v>
      </c>
      <c r="M1174">
        <v>9.7227374947569719E-3</v>
      </c>
      <c r="N1174">
        <v>0.18097069086468162</v>
      </c>
      <c r="O1174">
        <v>0.11826874423066112</v>
      </c>
      <c r="P1174">
        <v>8.301085422236712E-2</v>
      </c>
      <c r="Q1174">
        <v>0</v>
      </c>
      <c r="R1174">
        <v>9.7227374947569719E-3</v>
      </c>
      <c r="S1174">
        <v>0.26421840037883537</v>
      </c>
      <c r="T1174">
        <v>5.9117921658305574</v>
      </c>
      <c r="U1174">
        <v>0</v>
      </c>
      <c r="V1174">
        <v>1.900896003705229E-2</v>
      </c>
      <c r="W1174">
        <v>9.5303033065974069E-2</v>
      </c>
      <c r="X1174">
        <v>7.5270609281881612E-4</v>
      </c>
      <c r="Y1174">
        <v>4.0036502420648552E-2</v>
      </c>
    </row>
    <row r="1175" spans="1:25" x14ac:dyDescent="0.25">
      <c r="A1175" s="879"/>
      <c r="B1175" s="1133">
        <v>925</v>
      </c>
      <c r="C1175" s="883">
        <v>1.0123718903516143</v>
      </c>
      <c r="D1175" s="883">
        <v>0.96903590096048464</v>
      </c>
      <c r="E1175" s="883">
        <v>1.0414410340586508</v>
      </c>
      <c r="F1175" s="883">
        <v>0.95710579977452914</v>
      </c>
      <c r="G1175" s="883">
        <v>1.0316377886777663</v>
      </c>
      <c r="H1175" s="883">
        <v>0.95807838820018842</v>
      </c>
      <c r="I1175" s="883">
        <v>0.97012973263004887</v>
      </c>
      <c r="K1175">
        <v>6.7182178769859915</v>
      </c>
      <c r="L1175">
        <v>0</v>
      </c>
      <c r="M1175">
        <v>9.6411265495509497E-3</v>
      </c>
      <c r="N1175">
        <v>0.1911107749696295</v>
      </c>
      <c r="O1175">
        <v>0.12123336664634506</v>
      </c>
      <c r="P1175">
        <v>8.5492591957635505E-2</v>
      </c>
      <c r="Q1175">
        <v>0</v>
      </c>
      <c r="R1175">
        <v>9.6411265495509497E-3</v>
      </c>
      <c r="S1175">
        <v>0.25526607773965837</v>
      </c>
      <c r="T1175">
        <v>5.907440081322596</v>
      </c>
      <c r="U1175">
        <v>0</v>
      </c>
      <c r="V1175">
        <v>1.9088470981867472E-2</v>
      </c>
      <c r="W1175">
        <v>9.855547858063915E-2</v>
      </c>
      <c r="X1175">
        <v>3.3059171312668138E-4</v>
      </c>
      <c r="Y1175">
        <v>3.9700443074496862E-2</v>
      </c>
    </row>
    <row r="1176" spans="1:25" x14ac:dyDescent="0.25">
      <c r="A1176" s="879"/>
      <c r="B1176" s="1133">
        <v>926</v>
      </c>
      <c r="C1176" s="883">
        <v>1.0372899016392856</v>
      </c>
      <c r="D1176" s="883">
        <v>0.98398788625351574</v>
      </c>
      <c r="E1176" s="883">
        <v>1.0338123787770845</v>
      </c>
      <c r="F1176" s="883">
        <v>0.99645980564812986</v>
      </c>
      <c r="G1176" s="883">
        <v>0.99717498165715246</v>
      </c>
      <c r="H1176" s="883">
        <v>0.98853212923588474</v>
      </c>
      <c r="I1176" s="883">
        <v>0.96313858307155398</v>
      </c>
      <c r="K1176">
        <v>6.7103384711496394</v>
      </c>
      <c r="L1176">
        <v>0</v>
      </c>
      <c r="M1176">
        <v>9.7098505280614356E-3</v>
      </c>
      <c r="N1176">
        <v>0.19031600193837342</v>
      </c>
      <c r="O1176">
        <v>0.11773975609228014</v>
      </c>
      <c r="P1176">
        <v>8.4976553148951792E-2</v>
      </c>
      <c r="Q1176">
        <v>0</v>
      </c>
      <c r="R1176">
        <v>9.7098505280614356E-3</v>
      </c>
      <c r="S1176">
        <v>0.24988406137619651</v>
      </c>
      <c r="T1176">
        <v>5.9100099421368189</v>
      </c>
      <c r="U1176">
        <v>0</v>
      </c>
      <c r="V1176">
        <v>1.8959111224795357E-2</v>
      </c>
      <c r="W1176">
        <v>9.8512469336706932E-2</v>
      </c>
      <c r="X1176">
        <v>-4.2860290075215834E-5</v>
      </c>
      <c r="Y1176">
        <v>3.9983436185590873E-2</v>
      </c>
    </row>
    <row r="1177" spans="1:25" x14ac:dyDescent="0.25">
      <c r="A1177" s="879"/>
      <c r="B1177" s="1133">
        <v>927</v>
      </c>
      <c r="C1177" s="883">
        <v>1.0320073482726559</v>
      </c>
      <c r="D1177" s="883">
        <v>0.99679382615884538</v>
      </c>
      <c r="E1177" s="883">
        <v>0.98644583780694539</v>
      </c>
      <c r="F1177" s="883">
        <v>1.0276064348601326</v>
      </c>
      <c r="G1177" s="883">
        <v>0.95866880499718177</v>
      </c>
      <c r="H1177" s="883">
        <v>1.0148179516706077</v>
      </c>
      <c r="I1177" s="883">
        <v>1.0441411056151622</v>
      </c>
      <c r="K1177">
        <v>6.7406844040537361</v>
      </c>
      <c r="L1177">
        <v>0</v>
      </c>
      <c r="M1177">
        <v>1.038510574554353E-2</v>
      </c>
      <c r="N1177">
        <v>0.18976709343667769</v>
      </c>
      <c r="O1177">
        <v>0.11859724212973281</v>
      </c>
      <c r="P1177">
        <v>8.2400541385927839E-2</v>
      </c>
      <c r="Q1177">
        <v>0</v>
      </c>
      <c r="R1177">
        <v>1.038510574554353E-2</v>
      </c>
      <c r="S1177">
        <v>0.27458635277095716</v>
      </c>
      <c r="T1177">
        <v>5.9143817822650231</v>
      </c>
      <c r="U1177">
        <v>0</v>
      </c>
      <c r="V1177">
        <v>1.8986013375088436E-2</v>
      </c>
      <c r="W1177">
        <v>0.10055671013950047</v>
      </c>
      <c r="X1177">
        <v>-1.3553484294070446E-3</v>
      </c>
      <c r="Y1177">
        <v>4.2764016980233958E-2</v>
      </c>
    </row>
    <row r="1178" spans="1:25" x14ac:dyDescent="0.25">
      <c r="A1178" s="879"/>
      <c r="B1178" s="1133">
        <v>928</v>
      </c>
      <c r="C1178" s="883">
        <v>0.98240483660151368</v>
      </c>
      <c r="D1178" s="883">
        <v>1.0098078188054407</v>
      </c>
      <c r="E1178" s="883">
        <v>0.9892314445699204</v>
      </c>
      <c r="F1178" s="883">
        <v>1.0029071978332027</v>
      </c>
      <c r="G1178" s="883">
        <v>1.024807114074717</v>
      </c>
      <c r="H1178" s="883">
        <v>1.0279772823003437</v>
      </c>
      <c r="I1178" s="883">
        <v>1.0216553448385739</v>
      </c>
      <c r="K1178">
        <v>6.7716920123523732</v>
      </c>
      <c r="L1178">
        <v>0</v>
      </c>
      <c r="M1178">
        <v>1.0963030234170073E-2</v>
      </c>
      <c r="N1178">
        <v>0.20115668399331321</v>
      </c>
      <c r="O1178">
        <v>0.12388796535682189</v>
      </c>
      <c r="P1178">
        <v>8.2676754367220787E-2</v>
      </c>
      <c r="Q1178">
        <v>0</v>
      </c>
      <c r="R1178">
        <v>1.0963030234170073E-2</v>
      </c>
      <c r="S1178">
        <v>0.28338630176521029</v>
      </c>
      <c r="T1178">
        <v>5.9128920139334822</v>
      </c>
      <c r="U1178">
        <v>0</v>
      </c>
      <c r="V1178">
        <v>1.9252733893984405E-2</v>
      </c>
      <c r="W1178">
        <v>0.10644390789283202</v>
      </c>
      <c r="X1178">
        <v>-3.1481560081704331E-3</v>
      </c>
      <c r="Y1178">
        <v>4.5143807157673799E-2</v>
      </c>
    </row>
    <row r="1179" spans="1:25" x14ac:dyDescent="0.25">
      <c r="A1179" s="879"/>
      <c r="B1179" s="1133">
        <v>929</v>
      </c>
      <c r="C1179" s="883">
        <v>1.0080302047257095</v>
      </c>
      <c r="D1179" s="883">
        <v>0.97746884024153569</v>
      </c>
      <c r="E1179" s="883">
        <v>1.0268376739074672</v>
      </c>
      <c r="F1179" s="883">
        <v>1.0092913988357606</v>
      </c>
      <c r="G1179" s="883">
        <v>1.0086463023710075</v>
      </c>
      <c r="H1179" s="883">
        <v>0.98157541520334135</v>
      </c>
      <c r="I1179" s="883">
        <v>1.010177114131378</v>
      </c>
      <c r="K1179">
        <v>6.7413444613827114</v>
      </c>
      <c r="L1179">
        <v>0</v>
      </c>
      <c r="M1179">
        <v>1.0010693790755049E-2</v>
      </c>
      <c r="N1179">
        <v>0.19420011213030425</v>
      </c>
      <c r="O1179">
        <v>0.12161263190787111</v>
      </c>
      <c r="P1179">
        <v>8.4821096967445872E-2</v>
      </c>
      <c r="Q1179">
        <v>0</v>
      </c>
      <c r="R1179">
        <v>1.0010693790755049E-2</v>
      </c>
      <c r="S1179">
        <v>0.2690869212637616</v>
      </c>
      <c r="T1179">
        <v>5.9111066882192871</v>
      </c>
      <c r="U1179">
        <v>0</v>
      </c>
      <c r="V1179">
        <v>1.9111664722227903E-2</v>
      </c>
      <c r="W1179">
        <v>0.10086748730739054</v>
      </c>
      <c r="X1179">
        <v>-6.8439632883810354E-4</v>
      </c>
      <c r="Y1179">
        <v>4.1222255193258603E-2</v>
      </c>
    </row>
    <row r="1180" spans="1:25" x14ac:dyDescent="0.25">
      <c r="A1180" s="879"/>
      <c r="B1180" s="1133">
        <v>930</v>
      </c>
      <c r="C1180" s="883">
        <v>0.96616344521143305</v>
      </c>
      <c r="D1180" s="883">
        <v>1.0239490459768006</v>
      </c>
      <c r="E1180" s="883">
        <v>0.98561754040295468</v>
      </c>
      <c r="F1180" s="883">
        <v>0.99368301819353033</v>
      </c>
      <c r="G1180" s="883">
        <v>0.97843790943741826</v>
      </c>
      <c r="H1180" s="883">
        <v>0.99776873508767139</v>
      </c>
      <c r="I1180" s="883">
        <v>0.96117251393924386</v>
      </c>
      <c r="K1180">
        <v>6.7510016259222247</v>
      </c>
      <c r="L1180">
        <v>0</v>
      </c>
      <c r="M1180">
        <v>1.0789487390957853E-2</v>
      </c>
      <c r="N1180">
        <v>0.19691432752731011</v>
      </c>
      <c r="O1180">
        <v>0.1253407645058692</v>
      </c>
      <c r="P1180">
        <v>8.2243939236574581E-2</v>
      </c>
      <c r="Q1180">
        <v>0</v>
      </c>
      <c r="R1180">
        <v>1.0789487390957853E-2</v>
      </c>
      <c r="S1180">
        <v>0.26813322069520201</v>
      </c>
      <c r="T1180">
        <v>5.9125939756373551</v>
      </c>
      <c r="U1180">
        <v>0</v>
      </c>
      <c r="V1180">
        <v>1.9346018112880062E-2</v>
      </c>
      <c r="W1180">
        <v>0.10438717426310234</v>
      </c>
      <c r="X1180">
        <v>-2.3869826748703182E-3</v>
      </c>
      <c r="Y1180">
        <v>4.442918861880045E-2</v>
      </c>
    </row>
    <row r="1181" spans="1:25" x14ac:dyDescent="0.25">
      <c r="A1181" s="879"/>
      <c r="B1181" s="1133">
        <v>931</v>
      </c>
      <c r="C1181" s="883">
        <v>1.014145318208693</v>
      </c>
      <c r="D1181" s="883">
        <v>0.98668380212534634</v>
      </c>
      <c r="E1181" s="883">
        <v>1.0277991769281682</v>
      </c>
      <c r="F1181" s="883">
        <v>0.99408817372196412</v>
      </c>
      <c r="G1181" s="883">
        <v>0.97019424154035028</v>
      </c>
      <c r="H1181" s="883">
        <v>0.98389547933792498</v>
      </c>
      <c r="I1181" s="883">
        <v>0.97950375439985182</v>
      </c>
      <c r="K1181">
        <v>6.7272069834112198</v>
      </c>
      <c r="L1181">
        <v>0</v>
      </c>
      <c r="M1181">
        <v>9.9254532639342172E-3</v>
      </c>
      <c r="N1181">
        <v>0.19282042189282556</v>
      </c>
      <c r="O1181">
        <v>0.1204083920903882</v>
      </c>
      <c r="P1181">
        <v>8.4737294614113876E-2</v>
      </c>
      <c r="Q1181">
        <v>0</v>
      </c>
      <c r="R1181">
        <v>9.9254532639342172E-3</v>
      </c>
      <c r="S1181">
        <v>0.25946873176795587</v>
      </c>
      <c r="T1181">
        <v>5.9102299361260648</v>
      </c>
      <c r="U1181">
        <v>0</v>
      </c>
      <c r="V1181">
        <v>1.9079054269632412E-2</v>
      </c>
      <c r="W1181">
        <v>0.10010359479795977</v>
      </c>
      <c r="X1181">
        <v>-5.1169202377416699E-4</v>
      </c>
      <c r="Y1181">
        <v>4.0871249876058599E-2</v>
      </c>
    </row>
    <row r="1182" spans="1:25" x14ac:dyDescent="0.25">
      <c r="A1182" s="879"/>
      <c r="B1182" s="1133">
        <v>932</v>
      </c>
      <c r="C1182" s="883">
        <v>1.0271396554902614</v>
      </c>
      <c r="D1182" s="883">
        <v>1.0357297865032709</v>
      </c>
      <c r="E1182" s="883">
        <v>1.0004819823526554</v>
      </c>
      <c r="F1182" s="883">
        <v>1.0252004132467083</v>
      </c>
      <c r="G1182" s="883">
        <v>0.98918461284886205</v>
      </c>
      <c r="H1182" s="883">
        <v>1.0175079057065439</v>
      </c>
      <c r="I1182" s="883">
        <v>1.0069876651495486</v>
      </c>
      <c r="K1182">
        <v>6.7290260044037939</v>
      </c>
      <c r="L1182">
        <v>0</v>
      </c>
      <c r="M1182">
        <v>1.0166446411795671E-2</v>
      </c>
      <c r="N1182">
        <v>0.18967687174089587</v>
      </c>
      <c r="O1182">
        <v>0.11709513847366086</v>
      </c>
      <c r="P1182">
        <v>8.3156669031921523E-2</v>
      </c>
      <c r="Q1182">
        <v>0</v>
      </c>
      <c r="R1182">
        <v>1.0166446411795671E-2</v>
      </c>
      <c r="S1182">
        <v>0.26595708052510769</v>
      </c>
      <c r="T1182">
        <v>5.9134677088843928</v>
      </c>
      <c r="U1182">
        <v>0</v>
      </c>
      <c r="V1182">
        <v>1.901104775941655E-2</v>
      </c>
      <c r="W1182">
        <v>9.9808846852604577E-2</v>
      </c>
      <c r="X1182">
        <v>-1.0109756279785081E-3</v>
      </c>
      <c r="Y1182">
        <v>4.1863616763770817E-2</v>
      </c>
    </row>
    <row r="1183" spans="1:25" x14ac:dyDescent="0.25">
      <c r="A1183" s="879"/>
      <c r="B1183" s="1133">
        <v>933</v>
      </c>
      <c r="C1183" s="883">
        <v>1.0041833737174901</v>
      </c>
      <c r="D1183" s="883">
        <v>1.0071629915658793</v>
      </c>
      <c r="E1183" s="883">
        <v>0.99914222626185478</v>
      </c>
      <c r="F1183" s="883">
        <v>1.0241958980537502</v>
      </c>
      <c r="G1183" s="883">
        <v>1.0116784759437878</v>
      </c>
      <c r="H1183" s="883">
        <v>0.98762332290829524</v>
      </c>
      <c r="I1183" s="883">
        <v>0.99945436842177016</v>
      </c>
      <c r="K1183">
        <v>6.7362446263657603</v>
      </c>
      <c r="L1183">
        <v>0</v>
      </c>
      <c r="M1183">
        <v>1.0226946121273525E-2</v>
      </c>
      <c r="N1183">
        <v>0.19042727841621374</v>
      </c>
      <c r="O1183">
        <v>0.12114441523670484</v>
      </c>
      <c r="P1183">
        <v>8.3094905227482863E-2</v>
      </c>
      <c r="Q1183">
        <v>0</v>
      </c>
      <c r="R1183">
        <v>1.0226946121273525E-2</v>
      </c>
      <c r="S1183">
        <v>0.26748680083379039</v>
      </c>
      <c r="T1183">
        <v>5.9134887298148024</v>
      </c>
      <c r="U1183">
        <v>0</v>
      </c>
      <c r="V1183">
        <v>1.9132382471699537E-2</v>
      </c>
      <c r="W1183">
        <v>0.10027041398259751</v>
      </c>
      <c r="X1183">
        <v>-9.130434163896285E-4</v>
      </c>
      <c r="Y1183">
        <v>4.2112743798853769E-2</v>
      </c>
    </row>
    <row r="1184" spans="1:25" x14ac:dyDescent="0.25">
      <c r="A1184" s="879"/>
      <c r="B1184" s="1133">
        <v>934</v>
      </c>
      <c r="C1184" s="883">
        <v>0.96743159634458165</v>
      </c>
      <c r="D1184" s="883">
        <v>0.970577687615373</v>
      </c>
      <c r="E1184" s="883">
        <v>0.97741725476083652</v>
      </c>
      <c r="F1184" s="883">
        <v>0.99284485814066148</v>
      </c>
      <c r="G1184" s="883">
        <v>1.0155899097708652</v>
      </c>
      <c r="H1184" s="883">
        <v>1.0440527658538024</v>
      </c>
      <c r="I1184" s="883">
        <v>1.0318094976094947</v>
      </c>
      <c r="K1184">
        <v>6.7991260533371207</v>
      </c>
      <c r="L1184">
        <v>0</v>
      </c>
      <c r="M1184">
        <v>1.1619492751067889E-2</v>
      </c>
      <c r="N1184">
        <v>0.20949824215116725</v>
      </c>
      <c r="O1184">
        <v>0.12804497820600166</v>
      </c>
      <c r="P1184">
        <v>8.2056700227519819E-2</v>
      </c>
      <c r="Q1184">
        <v>0</v>
      </c>
      <c r="R1184">
        <v>1.1619492751067889E-2</v>
      </c>
      <c r="S1184">
        <v>0.2927298524698147</v>
      </c>
      <c r="T1184">
        <v>5.9130010051888986</v>
      </c>
      <c r="U1184">
        <v>0</v>
      </c>
      <c r="V1184">
        <v>1.9338621614170715E-2</v>
      </c>
      <c r="W1184">
        <v>0.11151474630774193</v>
      </c>
      <c r="X1184">
        <v>-4.9050957844842423E-3</v>
      </c>
      <c r="Y1184">
        <v>4.7847002956286834E-2</v>
      </c>
    </row>
    <row r="1185" spans="1:25" x14ac:dyDescent="0.25">
      <c r="A1185" s="879"/>
      <c r="B1185" s="1133">
        <v>935</v>
      </c>
      <c r="C1185" s="883">
        <v>0.99245128379778791</v>
      </c>
      <c r="D1185" s="883">
        <v>1.0104736307724023</v>
      </c>
      <c r="E1185" s="883">
        <v>1.0207782924981488</v>
      </c>
      <c r="F1185" s="883">
        <v>0.98936430592145075</v>
      </c>
      <c r="G1185" s="883">
        <v>1.0003600802064694</v>
      </c>
      <c r="H1185" s="883">
        <v>1.0108992087103867</v>
      </c>
      <c r="I1185" s="883">
        <v>0.99611369929449844</v>
      </c>
      <c r="K1185">
        <v>6.75230081114056</v>
      </c>
      <c r="L1185">
        <v>0</v>
      </c>
      <c r="M1185">
        <v>1.0378600848326461E-2</v>
      </c>
      <c r="N1185">
        <v>0.19954110396056554</v>
      </c>
      <c r="O1185">
        <v>0.12200694124991336</v>
      </c>
      <c r="P1185">
        <v>8.4471747176156728E-2</v>
      </c>
      <c r="Q1185">
        <v>0</v>
      </c>
      <c r="R1185">
        <v>1.0378600848326461E-2</v>
      </c>
      <c r="S1185">
        <v>0.27194357474714503</v>
      </c>
      <c r="T1185">
        <v>5.9103786602781563</v>
      </c>
      <c r="U1185">
        <v>0</v>
      </c>
      <c r="V1185">
        <v>1.9196559440338136E-2</v>
      </c>
      <c r="W1185">
        <v>0.10395092774459715</v>
      </c>
      <c r="X1185">
        <v>-1.9259344276393075E-3</v>
      </c>
      <c r="Y1185">
        <v>4.2737230971322607E-2</v>
      </c>
    </row>
    <row r="1186" spans="1:25" x14ac:dyDescent="0.25">
      <c r="A1186" s="879"/>
      <c r="B1186" s="1133">
        <v>936</v>
      </c>
      <c r="C1186" s="883">
        <v>0.99220301579555681</v>
      </c>
      <c r="D1186" s="883">
        <v>0.98935618944471648</v>
      </c>
      <c r="E1186" s="883">
        <v>0.96771075272455009</v>
      </c>
      <c r="F1186" s="883">
        <v>1.0338713802940993</v>
      </c>
      <c r="G1186" s="883">
        <v>0.99571624180180895</v>
      </c>
      <c r="H1186" s="883">
        <v>1.0283037463699156</v>
      </c>
      <c r="I1186" s="883">
        <v>1.003028703336033</v>
      </c>
      <c r="K1186">
        <v>6.7630594880497936</v>
      </c>
      <c r="L1186">
        <v>0</v>
      </c>
      <c r="M1186">
        <v>1.1161174761018007E-2</v>
      </c>
      <c r="N1186">
        <v>0.19835595722669558</v>
      </c>
      <c r="O1186">
        <v>0.12407650361056118</v>
      </c>
      <c r="P1186">
        <v>8.125370835367729E-2</v>
      </c>
      <c r="Q1186">
        <v>0</v>
      </c>
      <c r="R1186">
        <v>1.1161174761018007E-2</v>
      </c>
      <c r="S1186">
        <v>0.27569644570860646</v>
      </c>
      <c r="T1186">
        <v>5.9157498533850355</v>
      </c>
      <c r="U1186">
        <v>0</v>
      </c>
      <c r="V1186">
        <v>1.9197933915986887E-2</v>
      </c>
      <c r="W1186">
        <v>0.10609974168940894</v>
      </c>
      <c r="X1186">
        <v>-3.3303868910061207E-3</v>
      </c>
      <c r="Y1186">
        <v>4.5959731050822565E-2</v>
      </c>
    </row>
    <row r="1187" spans="1:25" x14ac:dyDescent="0.25">
      <c r="A1187" s="879"/>
      <c r="B1187" s="1133">
        <v>937</v>
      </c>
      <c r="C1187" s="883">
        <v>1.0013271559670505</v>
      </c>
      <c r="D1187" s="883">
        <v>0.95538056200384103</v>
      </c>
      <c r="E1187" s="883">
        <v>0.97705731144268804</v>
      </c>
      <c r="F1187" s="883">
        <v>1.0193216740236719</v>
      </c>
      <c r="G1187" s="883">
        <v>1.0321962182618996</v>
      </c>
      <c r="H1187" s="883">
        <v>1.0068802878376406</v>
      </c>
      <c r="I1187" s="883">
        <v>0.96675221640337428</v>
      </c>
      <c r="K1187">
        <v>6.7447901969377639</v>
      </c>
      <c r="L1187">
        <v>0</v>
      </c>
      <c r="M1187">
        <v>1.0903424435536687E-2</v>
      </c>
      <c r="N1187">
        <v>0.19648262589224791</v>
      </c>
      <c r="O1187">
        <v>0.12450077450081155</v>
      </c>
      <c r="P1187">
        <v>8.1642440558021098E-2</v>
      </c>
      <c r="Q1187">
        <v>0</v>
      </c>
      <c r="R1187">
        <v>1.0903424435536687E-2</v>
      </c>
      <c r="S1187">
        <v>0.26173399362385807</v>
      </c>
      <c r="T1187">
        <v>5.9144521729752322</v>
      </c>
      <c r="U1187">
        <v>0</v>
      </c>
      <c r="V1187">
        <v>1.9147868082286346E-2</v>
      </c>
      <c r="W1187">
        <v>0.10460547869040543</v>
      </c>
      <c r="X1187">
        <v>-2.6735184734401523E-3</v>
      </c>
      <c r="Y1187">
        <v>4.4898361088338161E-2</v>
      </c>
    </row>
    <row r="1188" spans="1:25" x14ac:dyDescent="0.25">
      <c r="A1188" s="879"/>
      <c r="B1188" s="1133">
        <v>938</v>
      </c>
      <c r="C1188" s="883">
        <v>0.98730414895556495</v>
      </c>
      <c r="D1188" s="883">
        <v>1.0113180471626342</v>
      </c>
      <c r="E1188" s="883">
        <v>1.0102385169917307</v>
      </c>
      <c r="F1188" s="883">
        <v>0.98263406228589711</v>
      </c>
      <c r="G1188" s="883">
        <v>0.99851294896665432</v>
      </c>
      <c r="H1188" s="883">
        <v>0.98928577355903025</v>
      </c>
      <c r="I1188" s="883">
        <v>1.0120261865226901</v>
      </c>
      <c r="K1188">
        <v>6.750322471948528</v>
      </c>
      <c r="L1188">
        <v>0</v>
      </c>
      <c r="M1188">
        <v>1.0300563554760601E-2</v>
      </c>
      <c r="N1188">
        <v>0.19497594968843251</v>
      </c>
      <c r="O1188">
        <v>0.1228026519631861</v>
      </c>
      <c r="P1188">
        <v>8.3863988429753386E-2</v>
      </c>
      <c r="Q1188">
        <v>0</v>
      </c>
      <c r="R1188">
        <v>1.0300563554760601E-2</v>
      </c>
      <c r="S1188">
        <v>0.27562223069931602</v>
      </c>
      <c r="T1188">
        <v>5.9106162625149734</v>
      </c>
      <c r="U1188">
        <v>0</v>
      </c>
      <c r="V1188">
        <v>1.9225196697990526E-2</v>
      </c>
      <c r="W1188">
        <v>0.10210240326092114</v>
      </c>
      <c r="X1188">
        <v>-1.3020985925930447E-3</v>
      </c>
      <c r="Y1188">
        <v>4.2415887286538841E-2</v>
      </c>
    </row>
    <row r="1189" spans="1:25" x14ac:dyDescent="0.25">
      <c r="A1189" s="879"/>
      <c r="B1189" s="1133">
        <v>939</v>
      </c>
      <c r="C1189" s="883">
        <v>0.97783040237934671</v>
      </c>
      <c r="D1189" s="883">
        <v>1.0215385656329148</v>
      </c>
      <c r="E1189" s="883">
        <v>0.99857172528129445</v>
      </c>
      <c r="F1189" s="883">
        <v>1.0056088603403108</v>
      </c>
      <c r="G1189" s="883">
        <v>1.0200361340446329</v>
      </c>
      <c r="H1189" s="883">
        <v>1.0223637783287816</v>
      </c>
      <c r="I1189" s="883">
        <v>1.0019583258737776</v>
      </c>
      <c r="K1189">
        <v>6.7660334818010819</v>
      </c>
      <c r="L1189">
        <v>0</v>
      </c>
      <c r="M1189">
        <v>1.0811628391961942E-2</v>
      </c>
      <c r="N1189">
        <v>0.20114405989101594</v>
      </c>
      <c r="O1189">
        <v>0.12371686799185361</v>
      </c>
      <c r="P1189">
        <v>8.3196420912630201E-2</v>
      </c>
      <c r="Q1189">
        <v>0</v>
      </c>
      <c r="R1189">
        <v>1.0811628391961942E-2</v>
      </c>
      <c r="S1189">
        <v>0.27857539329998693</v>
      </c>
      <c r="T1189">
        <v>5.91251625101944</v>
      </c>
      <c r="U1189">
        <v>0</v>
      </c>
      <c r="V1189">
        <v>1.927869417564123E-2</v>
      </c>
      <c r="W1189">
        <v>0.10594341435664288</v>
      </c>
      <c r="X1189">
        <v>-2.8579811661111599E-3</v>
      </c>
      <c r="Y1189">
        <v>4.452036131998402E-2</v>
      </c>
    </row>
    <row r="1190" spans="1:25" x14ac:dyDescent="0.25">
      <c r="A1190" s="879"/>
      <c r="B1190" s="1133">
        <v>940</v>
      </c>
      <c r="C1190" s="883">
        <v>0.9737903399913288</v>
      </c>
      <c r="D1190" s="883">
        <v>1.0195958054610312</v>
      </c>
      <c r="E1190" s="883">
        <v>1.0144597115030622</v>
      </c>
      <c r="F1190" s="883">
        <v>1.0164931977218714</v>
      </c>
      <c r="G1190" s="883">
        <v>1.0048587521593106</v>
      </c>
      <c r="H1190" s="883">
        <v>1.0153326152378013</v>
      </c>
      <c r="I1190" s="883">
        <v>1.0338620619384546</v>
      </c>
      <c r="K1190">
        <v>6.7777289959358207</v>
      </c>
      <c r="L1190">
        <v>0</v>
      </c>
      <c r="M1190">
        <v>1.064177252746828E-2</v>
      </c>
      <c r="N1190">
        <v>0.20269706533533008</v>
      </c>
      <c r="O1190">
        <v>0.12402045006510086</v>
      </c>
      <c r="P1190">
        <v>8.4319055170658672E-2</v>
      </c>
      <c r="Q1190">
        <v>0</v>
      </c>
      <c r="R1190">
        <v>1.064177252746828E-2</v>
      </c>
      <c r="S1190">
        <v>0.28799042200246394</v>
      </c>
      <c r="T1190">
        <v>5.9122056336323565</v>
      </c>
      <c r="U1190">
        <v>0</v>
      </c>
      <c r="V1190">
        <v>1.9301824680636213E-2</v>
      </c>
      <c r="W1190">
        <v>0.10592452196306824</v>
      </c>
      <c r="X1190">
        <v>-2.5509020170134651E-3</v>
      </c>
      <c r="Y1190">
        <v>4.3820925103215967E-2</v>
      </c>
    </row>
    <row r="1191" spans="1:25" x14ac:dyDescent="0.25">
      <c r="A1191" s="879"/>
      <c r="B1191" s="1133">
        <v>941</v>
      </c>
      <c r="C1191" s="883">
        <v>0.99841565848233316</v>
      </c>
      <c r="D1191" s="883">
        <v>1.0004772054154918</v>
      </c>
      <c r="E1191" s="883">
        <v>1.0448648512524072</v>
      </c>
      <c r="F1191" s="883">
        <v>0.98819572662954858</v>
      </c>
      <c r="G1191" s="883">
        <v>0.99908744198700872</v>
      </c>
      <c r="H1191" s="883">
        <v>1.0119691286093073</v>
      </c>
      <c r="I1191" s="883">
        <v>1.0042055233621112</v>
      </c>
      <c r="K1191">
        <v>6.7547196612007081</v>
      </c>
      <c r="L1191">
        <v>0</v>
      </c>
      <c r="M1191">
        <v>1.0154876171527931E-2</v>
      </c>
      <c r="N1191">
        <v>0.20231490731991958</v>
      </c>
      <c r="O1191">
        <v>0.121302376419983</v>
      </c>
      <c r="P1191">
        <v>8.5969716070972285E-2</v>
      </c>
      <c r="Q1191">
        <v>0</v>
      </c>
      <c r="R1191">
        <v>1.0154876171527931E-2</v>
      </c>
      <c r="S1191">
        <v>0.27276145592052625</v>
      </c>
      <c r="T1191">
        <v>5.9089186909588669</v>
      </c>
      <c r="U1191">
        <v>0</v>
      </c>
      <c r="V1191">
        <v>1.9163744593785888E-2</v>
      </c>
      <c r="W1191">
        <v>0.10415926638665755</v>
      </c>
      <c r="X1191">
        <v>-1.6864690437808406E-3</v>
      </c>
      <c r="Y1191">
        <v>4.181597257377425E-2</v>
      </c>
    </row>
    <row r="1192" spans="1:25" x14ac:dyDescent="0.25">
      <c r="A1192" s="879"/>
      <c r="B1192" s="1133">
        <v>942</v>
      </c>
      <c r="C1192" s="883">
        <v>0.97526307287504344</v>
      </c>
      <c r="D1192" s="883">
        <v>0.97963610249826694</v>
      </c>
      <c r="E1192" s="883">
        <v>1.0299744597186635</v>
      </c>
      <c r="F1192" s="883">
        <v>1.0078321983746525</v>
      </c>
      <c r="G1192" s="883">
        <v>0.96361701185013182</v>
      </c>
      <c r="H1192" s="883">
        <v>0.9928937879613563</v>
      </c>
      <c r="I1192" s="883">
        <v>1.0301492985982217</v>
      </c>
      <c r="K1192">
        <v>6.7751843139097678</v>
      </c>
      <c r="L1192">
        <v>0</v>
      </c>
      <c r="M1192">
        <v>1.0427712412931714E-2</v>
      </c>
      <c r="N1192">
        <v>0.20323023163182635</v>
      </c>
      <c r="O1192">
        <v>0.12552570962764245</v>
      </c>
      <c r="P1192">
        <v>8.5230916779218055E-2</v>
      </c>
      <c r="Q1192">
        <v>0</v>
      </c>
      <c r="R1192">
        <v>1.0427712412931714E-2</v>
      </c>
      <c r="S1192">
        <v>0.2847464663041902</v>
      </c>
      <c r="T1192">
        <v>5.9108466523347127</v>
      </c>
      <c r="U1192">
        <v>0</v>
      </c>
      <c r="V1192">
        <v>1.9293370670144354E-2</v>
      </c>
      <c r="W1192">
        <v>0.105395309366141</v>
      </c>
      <c r="X1192">
        <v>-2.0238064569456254E-3</v>
      </c>
      <c r="Y1192">
        <v>4.2939463652834416E-2</v>
      </c>
    </row>
    <row r="1193" spans="1:25" x14ac:dyDescent="0.25">
      <c r="A1193" s="879"/>
      <c r="B1193" s="1133">
        <v>943</v>
      </c>
      <c r="C1193" s="883">
        <v>0.98018606510204576</v>
      </c>
      <c r="D1193" s="883">
        <v>0.98487665687623127</v>
      </c>
      <c r="E1193" s="883">
        <v>0.97529394745432796</v>
      </c>
      <c r="F1193" s="883">
        <v>1.0178839123552847</v>
      </c>
      <c r="G1193" s="883">
        <v>1.0127528249656865</v>
      </c>
      <c r="H1193" s="883">
        <v>0.97811289107541644</v>
      </c>
      <c r="I1193" s="883">
        <v>1.026608658438434</v>
      </c>
      <c r="K1193">
        <v>6.7589522209341268</v>
      </c>
      <c r="L1193">
        <v>0</v>
      </c>
      <c r="M1193">
        <v>1.0696608653928161E-2</v>
      </c>
      <c r="N1193">
        <v>0.19225196602705616</v>
      </c>
      <c r="O1193">
        <v>0.12568203243884721</v>
      </c>
      <c r="P1193">
        <v>8.1782788885566893E-2</v>
      </c>
      <c r="Q1193">
        <v>0</v>
      </c>
      <c r="R1193">
        <v>1.0696608653928161E-2</v>
      </c>
      <c r="S1193">
        <v>0.28071857221911511</v>
      </c>
      <c r="T1193">
        <v>5.914471221486135</v>
      </c>
      <c r="U1193">
        <v>0</v>
      </c>
      <c r="V1193">
        <v>1.9265295339057714E-2</v>
      </c>
      <c r="W1193">
        <v>0.10244366813613306</v>
      </c>
      <c r="X1193">
        <v>-1.7100541092973881E-3</v>
      </c>
      <c r="Y1193">
        <v>4.4046730511511104E-2</v>
      </c>
    </row>
    <row r="1194" spans="1:25" x14ac:dyDescent="0.25">
      <c r="A1194" s="879"/>
      <c r="B1194" s="1133">
        <v>944</v>
      </c>
      <c r="C1194" s="883">
        <v>1.0062745415839098</v>
      </c>
      <c r="D1194" s="883">
        <v>0.9563839784159428</v>
      </c>
      <c r="E1194" s="883">
        <v>0.99538842736894806</v>
      </c>
      <c r="F1194" s="883">
        <v>1.0067488558354483</v>
      </c>
      <c r="G1194" s="883">
        <v>1.0009327224904692</v>
      </c>
      <c r="H1194" s="883">
        <v>1.0178070281837723</v>
      </c>
      <c r="I1194" s="883">
        <v>1.0206722285089755</v>
      </c>
      <c r="K1194">
        <v>6.7612584139782266</v>
      </c>
      <c r="L1194">
        <v>0</v>
      </c>
      <c r="M1194">
        <v>1.0788731213542926E-2</v>
      </c>
      <c r="N1194">
        <v>0.19977350313559444</v>
      </c>
      <c r="O1194">
        <v>0.1234914658697904</v>
      </c>
      <c r="P1194">
        <v>8.2963507336354284E-2</v>
      </c>
      <c r="Q1194">
        <v>0</v>
      </c>
      <c r="R1194">
        <v>1.0788731213542926E-2</v>
      </c>
      <c r="S1194">
        <v>0.27605811425575205</v>
      </c>
      <c r="T1194">
        <v>5.9127562442537194</v>
      </c>
      <c r="U1194">
        <v>0</v>
      </c>
      <c r="V1194">
        <v>1.9121100489089504E-2</v>
      </c>
      <c r="W1194">
        <v>0.10538822192412524</v>
      </c>
      <c r="X1194">
        <v>-2.7198181010008281E-3</v>
      </c>
      <c r="Y1194">
        <v>4.4426074814800341E-2</v>
      </c>
    </row>
    <row r="1195" spans="1:25" x14ac:dyDescent="0.25">
      <c r="A1195" s="879"/>
      <c r="B1195" s="1133">
        <v>945</v>
      </c>
      <c r="C1195" s="883">
        <v>1.0076974395488454</v>
      </c>
      <c r="D1195" s="883">
        <v>0.97322565973725839</v>
      </c>
      <c r="E1195" s="883">
        <v>0.97851467209171317</v>
      </c>
      <c r="F1195" s="883">
        <v>1.0325155341743342</v>
      </c>
      <c r="G1195" s="883">
        <v>0.96866397528053816</v>
      </c>
      <c r="H1195" s="883">
        <v>0.99467298211772659</v>
      </c>
      <c r="I1195" s="883">
        <v>0.99742305411021592</v>
      </c>
      <c r="K1195">
        <v>6.7411202509139416</v>
      </c>
      <c r="L1195">
        <v>0</v>
      </c>
      <c r="M1195">
        <v>1.0605043724035729E-2</v>
      </c>
      <c r="N1195">
        <v>0.19151946025394725</v>
      </c>
      <c r="O1195">
        <v>0.12277421808351482</v>
      </c>
      <c r="P1195">
        <v>8.1811134648196962E-2</v>
      </c>
      <c r="Q1195">
        <v>0</v>
      </c>
      <c r="R1195">
        <v>1.0605043724035729E-2</v>
      </c>
      <c r="S1195">
        <v>0.26697441853093906</v>
      </c>
      <c r="T1195">
        <v>5.9150853307141498</v>
      </c>
      <c r="U1195">
        <v>0</v>
      </c>
      <c r="V1195">
        <v>1.9113450634873557E-2</v>
      </c>
      <c r="W1195">
        <v>0.10188869236925802</v>
      </c>
      <c r="X1195">
        <v>-1.7161367491067955E-3</v>
      </c>
      <c r="Y1195">
        <v>4.3669682428164019E-2</v>
      </c>
    </row>
    <row r="1196" spans="1:25" x14ac:dyDescent="0.25">
      <c r="A1196" s="879"/>
      <c r="B1196" s="1133">
        <v>946</v>
      </c>
      <c r="C1196" s="883">
        <v>0.99280101012605204</v>
      </c>
      <c r="D1196" s="883">
        <v>0.96475340189119729</v>
      </c>
      <c r="E1196" s="883">
        <v>1.0019768156107807</v>
      </c>
      <c r="F1196" s="883">
        <v>0.98846701574760598</v>
      </c>
      <c r="G1196" s="883">
        <v>0.99905028180679079</v>
      </c>
      <c r="H1196" s="883">
        <v>0.98767671156233794</v>
      </c>
      <c r="I1196" s="883">
        <v>0.98836924910087542</v>
      </c>
      <c r="K1196">
        <v>6.7478028999681134</v>
      </c>
      <c r="L1196">
        <v>0</v>
      </c>
      <c r="M1196">
        <v>1.0511182825349453E-2</v>
      </c>
      <c r="N1196">
        <v>0.19654340678215496</v>
      </c>
      <c r="O1196">
        <v>0.12460584536747385</v>
      </c>
      <c r="P1196">
        <v>8.3252508598084696E-2</v>
      </c>
      <c r="Q1196">
        <v>0</v>
      </c>
      <c r="R1196">
        <v>1.0511182825349453E-2</v>
      </c>
      <c r="S1196">
        <v>0.26798642117442101</v>
      </c>
      <c r="T1196">
        <v>5.9113984565967526</v>
      </c>
      <c r="U1196">
        <v>0</v>
      </c>
      <c r="V1196">
        <v>1.9194624431463976E-2</v>
      </c>
      <c r="W1196">
        <v>0.10334533740937291</v>
      </c>
      <c r="X1196">
        <v>-1.8068803456032707E-3</v>
      </c>
      <c r="Y1196">
        <v>4.3283179953991092E-2</v>
      </c>
    </row>
    <row r="1197" spans="1:25" x14ac:dyDescent="0.25">
      <c r="A1197" s="879"/>
      <c r="B1197" s="1133">
        <v>947</v>
      </c>
      <c r="C1197" s="883">
        <v>0.97568088292945954</v>
      </c>
      <c r="D1197" s="883">
        <v>0.99514045799880513</v>
      </c>
      <c r="E1197" s="883">
        <v>0.9903985724341452</v>
      </c>
      <c r="F1197" s="883">
        <v>0.99376722433924558</v>
      </c>
      <c r="G1197" s="883">
        <v>0.99437740656332019</v>
      </c>
      <c r="H1197" s="883">
        <v>0.97325810872134377</v>
      </c>
      <c r="I1197" s="883">
        <v>0.97896332811739062</v>
      </c>
      <c r="K1197">
        <v>6.7450561133437699</v>
      </c>
      <c r="L1197">
        <v>0</v>
      </c>
      <c r="M1197">
        <v>1.0505989003426306E-2</v>
      </c>
      <c r="N1197">
        <v>0.19310445533496012</v>
      </c>
      <c r="O1197">
        <v>0.12545159734658212</v>
      </c>
      <c r="P1197">
        <v>8.2544043041346687E-2</v>
      </c>
      <c r="Q1197">
        <v>0</v>
      </c>
      <c r="R1197">
        <v>1.0505989003426306E-2</v>
      </c>
      <c r="S1197">
        <v>0.26839435400112177</v>
      </c>
      <c r="T1197">
        <v>5.9123330573580901</v>
      </c>
      <c r="U1197">
        <v>0</v>
      </c>
      <c r="V1197">
        <v>1.9290976939102956E-2</v>
      </c>
      <c r="W1197">
        <v>0.1021235385268813</v>
      </c>
      <c r="X1197">
        <v>-1.4477019240983291E-3</v>
      </c>
      <c r="Y1197">
        <v>4.3261792719777419E-2</v>
      </c>
    </row>
    <row r="1198" spans="1:25" x14ac:dyDescent="0.25">
      <c r="A1198" s="879"/>
      <c r="B1198" s="1133">
        <v>948</v>
      </c>
      <c r="C1198" s="883">
        <v>1.0010090100116742</v>
      </c>
      <c r="D1198" s="883">
        <v>0.98224928962149305</v>
      </c>
      <c r="E1198" s="883">
        <v>0.9690583814976873</v>
      </c>
      <c r="F1198" s="883">
        <v>1.0326979442883291</v>
      </c>
      <c r="G1198" s="883">
        <v>1.0208378286551809</v>
      </c>
      <c r="H1198" s="883">
        <v>1.026190812562271</v>
      </c>
      <c r="I1198" s="883">
        <v>0.98571493589917714</v>
      </c>
      <c r="K1198">
        <v>6.7524845269315428</v>
      </c>
      <c r="L1198">
        <v>0</v>
      </c>
      <c r="M1198">
        <v>1.1061434236938696E-2</v>
      </c>
      <c r="N1198">
        <v>0.19697716391463169</v>
      </c>
      <c r="O1198">
        <v>0.12331513869065636</v>
      </c>
      <c r="P1198">
        <v>8.1241507649215713E-2</v>
      </c>
      <c r="Q1198">
        <v>0</v>
      </c>
      <c r="R1198">
        <v>1.1061434236938696E-2</v>
      </c>
      <c r="S1198">
        <v>0.26844067622793349</v>
      </c>
      <c r="T1198">
        <v>5.9156130200057042</v>
      </c>
      <c r="U1198">
        <v>0</v>
      </c>
      <c r="V1198">
        <v>1.9149598450252148E-2</v>
      </c>
      <c r="W1198">
        <v>0.10529082149860061</v>
      </c>
      <c r="X1198">
        <v>-3.0924168312685468E-3</v>
      </c>
      <c r="Y1198">
        <v>4.5549017325815427E-2</v>
      </c>
    </row>
    <row r="1199" spans="1:25" x14ac:dyDescent="0.25">
      <c r="A1199" s="879"/>
      <c r="B1199" s="1133">
        <v>949</v>
      </c>
      <c r="C1199" s="883">
        <v>0.98304600927398389</v>
      </c>
      <c r="D1199" s="883">
        <v>0.98929787878616871</v>
      </c>
      <c r="E1199" s="883">
        <v>1.021924720931926</v>
      </c>
      <c r="F1199" s="883">
        <v>1.0114722393842377</v>
      </c>
      <c r="G1199" s="883">
        <v>0.97409939673277712</v>
      </c>
      <c r="H1199" s="883">
        <v>1.0068353779028296</v>
      </c>
      <c r="I1199" s="883">
        <v>1.0224793790416444</v>
      </c>
      <c r="K1199">
        <v>6.7704203346258751</v>
      </c>
      <c r="L1199">
        <v>0</v>
      </c>
      <c r="M1199">
        <v>1.0520308366333072E-2</v>
      </c>
      <c r="N1199">
        <v>0.20260888063314317</v>
      </c>
      <c r="O1199">
        <v>0.12419998475956159</v>
      </c>
      <c r="P1199">
        <v>8.4691781095915949E-2</v>
      </c>
      <c r="Q1199">
        <v>0</v>
      </c>
      <c r="R1199">
        <v>1.0520308366333072E-2</v>
      </c>
      <c r="S1199">
        <v>0.2816442673215625</v>
      </c>
      <c r="T1199">
        <v>5.9115072502140045</v>
      </c>
      <c r="U1199">
        <v>0</v>
      </c>
      <c r="V1199">
        <v>1.9249114492930573E-2</v>
      </c>
      <c r="W1199">
        <v>0.10548952955016191</v>
      </c>
      <c r="X1199">
        <v>-2.2912307488893932E-3</v>
      </c>
      <c r="Y1199">
        <v>4.33207573074759E-2</v>
      </c>
    </row>
    <row r="1200" spans="1:25" x14ac:dyDescent="0.25">
      <c r="A1200" s="879"/>
      <c r="B1200" s="1133">
        <v>950</v>
      </c>
      <c r="C1200" s="883">
        <v>1.0432573770731546</v>
      </c>
      <c r="D1200" s="883">
        <v>1.0061332899302824</v>
      </c>
      <c r="E1200" s="883">
        <v>0.96709988867633156</v>
      </c>
      <c r="F1200" s="883">
        <v>1.0003154886101653</v>
      </c>
      <c r="G1200" s="883">
        <v>1.0026035264194226</v>
      </c>
      <c r="H1200" s="883">
        <v>1.0166264988891873</v>
      </c>
      <c r="I1200" s="883">
        <v>1.0060398322788349</v>
      </c>
      <c r="K1200">
        <v>6.718724538149317</v>
      </c>
      <c r="L1200">
        <v>0</v>
      </c>
      <c r="M1200">
        <v>1.0424655648906135E-2</v>
      </c>
      <c r="N1200">
        <v>0.18509857582571362</v>
      </c>
      <c r="O1200">
        <v>0.11722422988659845</v>
      </c>
      <c r="P1200">
        <v>8.1006173486591046E-2</v>
      </c>
      <c r="Q1200">
        <v>0</v>
      </c>
      <c r="R1200">
        <v>1.0424655648906135E-2</v>
      </c>
      <c r="S1200">
        <v>0.26175036227413678</v>
      </c>
      <c r="T1200">
        <v>5.9139686858493619</v>
      </c>
      <c r="U1200">
        <v>0</v>
      </c>
      <c r="V1200">
        <v>1.8929048726676698E-2</v>
      </c>
      <c r="W1200">
        <v>9.9038870155323658E-2</v>
      </c>
      <c r="X1200">
        <v>-1.2182844977442016E-3</v>
      </c>
      <c r="Y1200">
        <v>4.2926876442660807E-2</v>
      </c>
    </row>
    <row r="1201" spans="1:25" x14ac:dyDescent="0.25">
      <c r="A1201" s="879"/>
      <c r="B1201" s="1133">
        <v>951</v>
      </c>
      <c r="C1201" s="883">
        <v>0.97867588404338668</v>
      </c>
      <c r="D1201" s="883">
        <v>1.0126565988309464</v>
      </c>
      <c r="E1201" s="883">
        <v>0.99013759935931422</v>
      </c>
      <c r="F1201" s="883">
        <v>0.98122985610938507</v>
      </c>
      <c r="G1201" s="883">
        <v>1.0245449340943387</v>
      </c>
      <c r="H1201" s="883">
        <v>0.97474133016044717</v>
      </c>
      <c r="I1201" s="883">
        <v>0.98568322654392593</v>
      </c>
      <c r="K1201">
        <v>6.7413132218551235</v>
      </c>
      <c r="L1201">
        <v>0</v>
      </c>
      <c r="M1201">
        <v>1.0414079208319228E-2</v>
      </c>
      <c r="N1201">
        <v>0.19134106973336029</v>
      </c>
      <c r="O1201">
        <v>0.12420276910392447</v>
      </c>
      <c r="P1201">
        <v>8.2531888992376568E-2</v>
      </c>
      <c r="Q1201">
        <v>0</v>
      </c>
      <c r="R1201">
        <v>1.0414079208319228E-2</v>
      </c>
      <c r="S1201">
        <v>0.2693941536250215</v>
      </c>
      <c r="T1201">
        <v>5.9116699220229982</v>
      </c>
      <c r="U1201">
        <v>0</v>
      </c>
      <c r="V1201">
        <v>1.9273877717263712E-2</v>
      </c>
      <c r="W1201">
        <v>0.10120413807429983</v>
      </c>
      <c r="X1201">
        <v>-1.1879219569818616E-3</v>
      </c>
      <c r="Y1201">
        <v>4.2883324542860146E-2</v>
      </c>
    </row>
    <row r="1202" spans="1:25" x14ac:dyDescent="0.25">
      <c r="A1202" s="879"/>
      <c r="B1202" s="1133">
        <v>952</v>
      </c>
      <c r="C1202" s="883">
        <v>1.0013934313927106</v>
      </c>
      <c r="D1202" s="883">
        <v>1.0304858283673106</v>
      </c>
      <c r="E1202" s="883">
        <v>1.0087229074938326</v>
      </c>
      <c r="F1202" s="883">
        <v>0.98580358346057484</v>
      </c>
      <c r="G1202" s="883">
        <v>1.0269188149592343</v>
      </c>
      <c r="H1202" s="883">
        <v>1.0243743183594376</v>
      </c>
      <c r="I1202" s="883">
        <v>0.99739196964399957</v>
      </c>
      <c r="K1202">
        <v>6.7464722075741772</v>
      </c>
      <c r="L1202">
        <v>0</v>
      </c>
      <c r="M1202">
        <v>1.0445514209441705E-2</v>
      </c>
      <c r="N1202">
        <v>0.19727653207535589</v>
      </c>
      <c r="O1202">
        <v>0.12019709833228774</v>
      </c>
      <c r="P1202">
        <v>8.3707477179878934E-2</v>
      </c>
      <c r="Q1202">
        <v>0</v>
      </c>
      <c r="R1202">
        <v>1.0445514209441705E-2</v>
      </c>
      <c r="S1202">
        <v>0.27089586513410413</v>
      </c>
      <c r="T1202">
        <v>5.9108734776342029</v>
      </c>
      <c r="U1202">
        <v>0</v>
      </c>
      <c r="V1202">
        <v>1.9147507754433336E-2</v>
      </c>
      <c r="W1202">
        <v>0.10338462958668015</v>
      </c>
      <c r="X1202">
        <v>-2.0231484050315641E-3</v>
      </c>
      <c r="Y1202">
        <v>4.3012768282260909E-2</v>
      </c>
    </row>
    <row r="1203" spans="1:25" x14ac:dyDescent="0.25">
      <c r="A1203" s="879"/>
      <c r="B1203" s="1133">
        <v>953</v>
      </c>
      <c r="C1203" s="883">
        <v>0.96935880262953567</v>
      </c>
      <c r="D1203" s="883">
        <v>1.0049998395259172</v>
      </c>
      <c r="E1203" s="883">
        <v>0.98922666778788859</v>
      </c>
      <c r="F1203" s="883">
        <v>0.95793495790480998</v>
      </c>
      <c r="G1203" s="883">
        <v>1.0253414251059814</v>
      </c>
      <c r="H1203" s="883">
        <v>0.96855852112193497</v>
      </c>
      <c r="I1203" s="883">
        <v>0.97944443742978593</v>
      </c>
      <c r="K1203">
        <v>6.7439660775651298</v>
      </c>
      <c r="L1203">
        <v>0</v>
      </c>
      <c r="M1203">
        <v>1.0489825028763226E-2</v>
      </c>
      <c r="N1203">
        <v>0.192472649345204</v>
      </c>
      <c r="O1203">
        <v>0.12579531476978353</v>
      </c>
      <c r="P1203">
        <v>8.2463852044850031E-2</v>
      </c>
      <c r="Q1203">
        <v>0</v>
      </c>
      <c r="R1203">
        <v>1.0489825028763226E-2</v>
      </c>
      <c r="S1203">
        <v>0.26973997619201384</v>
      </c>
      <c r="T1203">
        <v>5.9104614436441842</v>
      </c>
      <c r="U1203">
        <v>0</v>
      </c>
      <c r="V1203">
        <v>1.9327418225096968E-2</v>
      </c>
      <c r="W1203">
        <v>0.10184891383848582</v>
      </c>
      <c r="X1203">
        <v>-1.338722843686576E-3</v>
      </c>
      <c r="Y1203">
        <v>4.3195232349195097E-2</v>
      </c>
    </row>
    <row r="1204" spans="1:25" x14ac:dyDescent="0.25">
      <c r="A1204" s="879"/>
      <c r="B1204" s="1133">
        <v>954</v>
      </c>
      <c r="C1204" s="883">
        <v>0.99046757891915815</v>
      </c>
      <c r="D1204" s="883">
        <v>1.0050984810379375</v>
      </c>
      <c r="E1204" s="883">
        <v>0.9646298955624969</v>
      </c>
      <c r="F1204" s="883">
        <v>0.99115864634342588</v>
      </c>
      <c r="G1204" s="883">
        <v>1.0185694493580533</v>
      </c>
      <c r="H1204" s="883">
        <v>1.0091400665564478</v>
      </c>
      <c r="I1204" s="883">
        <v>1.0319849058487891</v>
      </c>
      <c r="K1204">
        <v>6.7590347933120203</v>
      </c>
      <c r="L1204">
        <v>0</v>
      </c>
      <c r="M1204">
        <v>1.0927677603761005E-2</v>
      </c>
      <c r="N1204">
        <v>0.19331965553187466</v>
      </c>
      <c r="O1204">
        <v>0.12356871640756791</v>
      </c>
      <c r="P1204">
        <v>8.1114514293390894E-2</v>
      </c>
      <c r="Q1204">
        <v>0</v>
      </c>
      <c r="R1204">
        <v>1.0927677603761005E-2</v>
      </c>
      <c r="S1204">
        <v>0.28208456729460712</v>
      </c>
      <c r="T1204">
        <v>5.9136076293217119</v>
      </c>
      <c r="U1204">
        <v>0</v>
      </c>
      <c r="V1204">
        <v>1.9207560984343518E-2</v>
      </c>
      <c r="W1204">
        <v>0.10356639030100026</v>
      </c>
      <c r="X1204">
        <v>-2.4324721406575817E-3</v>
      </c>
      <c r="Y1204">
        <v>4.4998231318182896E-2</v>
      </c>
    </row>
    <row r="1205" spans="1:25" x14ac:dyDescent="0.25">
      <c r="A1205" s="879"/>
      <c r="B1205" s="1133">
        <v>955</v>
      </c>
      <c r="C1205" s="883">
        <v>0.96527227094931045</v>
      </c>
      <c r="D1205" s="883">
        <v>1.0144512714588321</v>
      </c>
      <c r="E1205" s="883">
        <v>1.0094021508370463</v>
      </c>
      <c r="F1205" s="883">
        <v>1.0157723995156254</v>
      </c>
      <c r="G1205" s="883">
        <v>0.99553053347107723</v>
      </c>
      <c r="H1205" s="883">
        <v>1.0382398578146781</v>
      </c>
      <c r="I1205" s="883">
        <v>1.0353164000601753</v>
      </c>
      <c r="K1205">
        <v>6.7946513198349123</v>
      </c>
      <c r="L1205">
        <v>0</v>
      </c>
      <c r="M1205">
        <v>1.1050465102180562E-2</v>
      </c>
      <c r="N1205">
        <v>0.20891176080585397</v>
      </c>
      <c r="O1205">
        <v>0.12546646162551223</v>
      </c>
      <c r="P1205">
        <v>8.4076300773489696E-2</v>
      </c>
      <c r="Q1205">
        <v>0</v>
      </c>
      <c r="R1205">
        <v>1.1050465102180562E-2</v>
      </c>
      <c r="S1205">
        <v>0.29328831953160356</v>
      </c>
      <c r="T1205">
        <v>5.9124543264081248</v>
      </c>
      <c r="U1205">
        <v>0</v>
      </c>
      <c r="V1205">
        <v>1.935122751933387E-2</v>
      </c>
      <c r="W1205">
        <v>0.1094453915484524</v>
      </c>
      <c r="X1205">
        <v>-3.8463167587724435E-3</v>
      </c>
      <c r="Y1205">
        <v>4.5503848381314625E-2</v>
      </c>
    </row>
    <row r="1206" spans="1:25" x14ac:dyDescent="0.25">
      <c r="A1206" s="879"/>
      <c r="B1206" s="1133">
        <v>956</v>
      </c>
      <c r="C1206" s="883">
        <v>1.0139050636397107</v>
      </c>
      <c r="D1206" s="883">
        <v>1.0168752465996924</v>
      </c>
      <c r="E1206" s="883">
        <v>1.0187600783007171</v>
      </c>
      <c r="F1206" s="883">
        <v>0.99899343593970191</v>
      </c>
      <c r="G1206" s="883">
        <v>0.99402450818521415</v>
      </c>
      <c r="H1206" s="883">
        <v>0.98734472539560281</v>
      </c>
      <c r="I1206" s="883">
        <v>0.98148542191448607</v>
      </c>
      <c r="K1206">
        <v>6.7231127206825176</v>
      </c>
      <c r="L1206">
        <v>0</v>
      </c>
      <c r="M1206">
        <v>9.9129941444000957E-3</v>
      </c>
      <c r="N1206">
        <v>0.19002108425990527</v>
      </c>
      <c r="O1206">
        <v>0.11916142781070418</v>
      </c>
      <c r="P1206">
        <v>8.4191102398570083E-2</v>
      </c>
      <c r="Q1206">
        <v>0</v>
      </c>
      <c r="R1206">
        <v>9.9129941444000957E-3</v>
      </c>
      <c r="S1206">
        <v>0.26008095251445495</v>
      </c>
      <c r="T1206">
        <v>5.9110144959174269</v>
      </c>
      <c r="U1206">
        <v>0</v>
      </c>
      <c r="V1206">
        <v>1.9080328066610988E-2</v>
      </c>
      <c r="W1206">
        <v>9.9089945431305643E-2</v>
      </c>
      <c r="X1206">
        <v>-3.4656115591951049E-4</v>
      </c>
      <c r="Y1206">
        <v>4.0819945439457689E-2</v>
      </c>
    </row>
    <row r="1207" spans="1:25" x14ac:dyDescent="0.25">
      <c r="A1207" s="879"/>
      <c r="B1207" s="1133">
        <v>957</v>
      </c>
      <c r="C1207" s="883">
        <v>1.0118348392951062</v>
      </c>
      <c r="D1207" s="883">
        <v>1.0377099527914275</v>
      </c>
      <c r="E1207" s="883">
        <v>0.99756113142429248</v>
      </c>
      <c r="F1207" s="883">
        <v>0.9682752774772766</v>
      </c>
      <c r="G1207" s="883">
        <v>0.98811514773995879</v>
      </c>
      <c r="H1207" s="883">
        <v>0.99642705868068759</v>
      </c>
      <c r="I1207" s="883">
        <v>1.0309374949116044</v>
      </c>
      <c r="K1207">
        <v>6.7341324699160925</v>
      </c>
      <c r="L1207">
        <v>0</v>
      </c>
      <c r="M1207">
        <v>1.0123949184079304E-2</v>
      </c>
      <c r="N1207">
        <v>0.18806836533414484</v>
      </c>
      <c r="O1207">
        <v>0.11882879035070594</v>
      </c>
      <c r="P1207">
        <v>8.304806401355827E-2</v>
      </c>
      <c r="Q1207">
        <v>0</v>
      </c>
      <c r="R1207">
        <v>1.0123949184079304E-2</v>
      </c>
      <c r="S1207">
        <v>0.27438403177891485</v>
      </c>
      <c r="T1207">
        <v>5.9105552569557789</v>
      </c>
      <c r="U1207">
        <v>0</v>
      </c>
      <c r="V1207">
        <v>1.909132917722468E-2</v>
      </c>
      <c r="W1207">
        <v>9.9106159261845031E-2</v>
      </c>
      <c r="X1207">
        <v>-6.3814770033747642E-4</v>
      </c>
      <c r="Y1207">
        <v>4.1688620744259351E-2</v>
      </c>
    </row>
    <row r="1208" spans="1:25" x14ac:dyDescent="0.25">
      <c r="A1208" s="879"/>
      <c r="B1208" s="1133">
        <v>958</v>
      </c>
      <c r="C1208" s="883">
        <v>0.98697665596843553</v>
      </c>
      <c r="D1208" s="883">
        <v>1.0146644434848437</v>
      </c>
      <c r="E1208" s="883">
        <v>0.96462681861180899</v>
      </c>
      <c r="F1208" s="883">
        <v>1.040837566279863</v>
      </c>
      <c r="G1208" s="883">
        <v>1.0033686957683932</v>
      </c>
      <c r="H1208" s="883">
        <v>0.98237971133001745</v>
      </c>
      <c r="I1208" s="883">
        <v>0.98366730223935039</v>
      </c>
      <c r="K1208">
        <v>6.7384593016512442</v>
      </c>
      <c r="L1208">
        <v>0</v>
      </c>
      <c r="M1208">
        <v>1.0632343270014248E-2</v>
      </c>
      <c r="N1208">
        <v>0.18809408721395632</v>
      </c>
      <c r="O1208">
        <v>0.1235368682298229</v>
      </c>
      <c r="P1208">
        <v>8.0955936307048962E-2</v>
      </c>
      <c r="Q1208">
        <v>0</v>
      </c>
      <c r="R1208">
        <v>1.0632343270014248E-2</v>
      </c>
      <c r="S1208">
        <v>0.26723494627820393</v>
      </c>
      <c r="T1208">
        <v>5.9162940884314068</v>
      </c>
      <c r="U1208">
        <v>0</v>
      </c>
      <c r="V1208">
        <v>1.9227028886700311E-2</v>
      </c>
      <c r="W1208">
        <v>0.10076707305197849</v>
      </c>
      <c r="X1208">
        <v>-1.4328238472356954E-3</v>
      </c>
      <c r="Y1208">
        <v>4.3782097099365522E-2</v>
      </c>
    </row>
    <row r="1209" spans="1:25" x14ac:dyDescent="0.25">
      <c r="A1209" s="879"/>
      <c r="B1209" s="1133">
        <v>959</v>
      </c>
      <c r="C1209" s="883">
        <v>0.97856321983718764</v>
      </c>
      <c r="D1209" s="883">
        <v>1.0079298303658031</v>
      </c>
      <c r="E1209" s="883">
        <v>0.96974608584429922</v>
      </c>
      <c r="F1209" s="883">
        <v>1.0033087767686626</v>
      </c>
      <c r="G1209" s="883">
        <v>0.9903586307059471</v>
      </c>
      <c r="H1209" s="883">
        <v>1.0047023393253667</v>
      </c>
      <c r="I1209" s="883">
        <v>1.0160262115751926</v>
      </c>
      <c r="K1209">
        <v>6.7621929742120326</v>
      </c>
      <c r="L1209">
        <v>0</v>
      </c>
      <c r="M1209">
        <v>1.0949847707482013E-2</v>
      </c>
      <c r="N1209">
        <v>0.19518929301312685</v>
      </c>
      <c r="O1209">
        <v>0.12483520399571731</v>
      </c>
      <c r="P1209">
        <v>8.1425067946326882E-2</v>
      </c>
      <c r="Q1209">
        <v>0</v>
      </c>
      <c r="R1209">
        <v>1.0949847707482013E-2</v>
      </c>
      <c r="S1209">
        <v>0.2806474439572062</v>
      </c>
      <c r="T1209">
        <v>5.913986498263978</v>
      </c>
      <c r="U1209">
        <v>0</v>
      </c>
      <c r="V1209">
        <v>1.9274519051208309E-2</v>
      </c>
      <c r="W1209">
        <v>0.10429906868116662</v>
      </c>
      <c r="X1209">
        <v>-2.5536445558727414E-3</v>
      </c>
      <c r="Y1209">
        <v>4.5089523859174661E-2</v>
      </c>
    </row>
    <row r="1210" spans="1:25" x14ac:dyDescent="0.25">
      <c r="A1210" s="879"/>
      <c r="B1210" s="1133">
        <v>960</v>
      </c>
      <c r="C1210" s="883">
        <v>0.99434442812480017</v>
      </c>
      <c r="D1210" s="883">
        <v>0.99230374849005265</v>
      </c>
      <c r="E1210" s="883">
        <v>1.0202894158677029</v>
      </c>
      <c r="F1210" s="883">
        <v>0.98290193930495373</v>
      </c>
      <c r="G1210" s="883">
        <v>0.99223535652596917</v>
      </c>
      <c r="H1210" s="883">
        <v>1.0297601286979818</v>
      </c>
      <c r="I1210" s="883">
        <v>0.98947792583946648</v>
      </c>
      <c r="K1210">
        <v>6.759771433962352</v>
      </c>
      <c r="L1210">
        <v>0</v>
      </c>
      <c r="M1210">
        <v>1.0638989361030618E-2</v>
      </c>
      <c r="N1210">
        <v>0.20439951942707724</v>
      </c>
      <c r="O1210">
        <v>0.12267104845577517</v>
      </c>
      <c r="P1210">
        <v>8.4431659113687219E-2</v>
      </c>
      <c r="Q1210">
        <v>0</v>
      </c>
      <c r="R1210">
        <v>1.0638989361030618E-2</v>
      </c>
      <c r="S1210">
        <v>0.27158022596341874</v>
      </c>
      <c r="T1210">
        <v>5.9100575525721535</v>
      </c>
      <c r="U1210">
        <v>0</v>
      </c>
      <c r="V1210">
        <v>1.9186101077065185E-2</v>
      </c>
      <c r="W1210">
        <v>0.10650755921756989</v>
      </c>
      <c r="X1210">
        <v>-2.8716963836081196E-3</v>
      </c>
      <c r="Y1210">
        <v>4.3809464519210833E-2</v>
      </c>
    </row>
    <row r="1211" spans="1:25" x14ac:dyDescent="0.25">
      <c r="A1211" s="879"/>
      <c r="B1211" s="1133">
        <v>961</v>
      </c>
      <c r="C1211" s="883">
        <v>0.99969402268913765</v>
      </c>
      <c r="D1211" s="883">
        <v>0.98566389429344392</v>
      </c>
      <c r="E1211" s="883">
        <v>1.0140991707996712</v>
      </c>
      <c r="F1211" s="883">
        <v>1.0066978855225992</v>
      </c>
      <c r="G1211" s="883">
        <v>0.99152903623831468</v>
      </c>
      <c r="H1211" s="883">
        <v>0.97015802322685885</v>
      </c>
      <c r="I1211" s="883">
        <v>0.98681963071741963</v>
      </c>
      <c r="K1211">
        <v>6.7334329905018713</v>
      </c>
      <c r="L1211">
        <v>0</v>
      </c>
      <c r="M1211">
        <v>1.0052609034239492E-2</v>
      </c>
      <c r="N1211">
        <v>0.19137295167617879</v>
      </c>
      <c r="O1211">
        <v>0.12246038635807815</v>
      </c>
      <c r="P1211">
        <v>8.3961140608798168E-2</v>
      </c>
      <c r="Q1211">
        <v>0</v>
      </c>
      <c r="R1211">
        <v>1.0052609034239492E-2</v>
      </c>
      <c r="S1211">
        <v>0.26388589663587714</v>
      </c>
      <c r="T1211">
        <v>5.9116969384975473</v>
      </c>
      <c r="U1211">
        <v>0</v>
      </c>
      <c r="V1211">
        <v>1.9156762234949595E-2</v>
      </c>
      <c r="W1211">
        <v>0.10002462183786565</v>
      </c>
      <c r="X1211">
        <v>-5.2056205271571474E-4</v>
      </c>
      <c r="Y1211">
        <v>4.1394854705292333E-2</v>
      </c>
    </row>
    <row r="1212" spans="1:25" x14ac:dyDescent="0.25">
      <c r="A1212" s="879"/>
      <c r="B1212" s="1133">
        <v>962</v>
      </c>
      <c r="C1212" s="883">
        <v>1.0255296372097944</v>
      </c>
      <c r="D1212" s="883">
        <v>1.0199688264251245</v>
      </c>
      <c r="E1212" s="883">
        <v>0.96611416055768662</v>
      </c>
      <c r="F1212" s="883">
        <v>0.97875334403254932</v>
      </c>
      <c r="G1212" s="883">
        <v>1.010547434049472</v>
      </c>
      <c r="H1212" s="883">
        <v>0.97402812292593166</v>
      </c>
      <c r="I1212" s="883">
        <v>1.0133883429975046</v>
      </c>
      <c r="K1212">
        <v>6.7124709642718488</v>
      </c>
      <c r="L1212">
        <v>0</v>
      </c>
      <c r="M1212">
        <v>1.0109935058340146E-2</v>
      </c>
      <c r="N1212">
        <v>0.17924784193242371</v>
      </c>
      <c r="O1212">
        <v>0.1186185033180812</v>
      </c>
      <c r="P1212">
        <v>8.0961977704436083E-2</v>
      </c>
      <c r="Q1212">
        <v>0</v>
      </c>
      <c r="R1212">
        <v>1.0109935058340146E-2</v>
      </c>
      <c r="S1212">
        <v>0.26414525858194932</v>
      </c>
      <c r="T1212">
        <v>5.9128563330334156</v>
      </c>
      <c r="U1212">
        <v>0</v>
      </c>
      <c r="V1212">
        <v>1.9019380332581749E-2</v>
      </c>
      <c r="W1212">
        <v>9.595598430193944E-2</v>
      </c>
      <c r="X1212">
        <v>3.4771998131413014E-5</v>
      </c>
      <c r="Y1212">
        <v>4.1630913068886902E-2</v>
      </c>
    </row>
    <row r="1213" spans="1:25" x14ac:dyDescent="0.25">
      <c r="A1213" s="879"/>
      <c r="B1213" s="1133">
        <v>963</v>
      </c>
      <c r="C1213" s="883">
        <v>1.0004400312987021</v>
      </c>
      <c r="D1213" s="883">
        <v>1.0190047121064767</v>
      </c>
      <c r="E1213" s="883">
        <v>1.0310483403751369</v>
      </c>
      <c r="F1213" s="883">
        <v>0.97717108592811874</v>
      </c>
      <c r="G1213" s="883">
        <v>0.98923800861132838</v>
      </c>
      <c r="H1213" s="883">
        <v>0.95357526959755079</v>
      </c>
      <c r="I1213" s="883">
        <v>0.97348561916051835</v>
      </c>
      <c r="K1213">
        <v>6.7164347297606559</v>
      </c>
      <c r="L1213">
        <v>0</v>
      </c>
      <c r="M1213">
        <v>9.5903366102572454E-3</v>
      </c>
      <c r="N1213">
        <v>0.18720717665950229</v>
      </c>
      <c r="O1213">
        <v>0.12043308440405708</v>
      </c>
      <c r="P1213">
        <v>8.4911038529613611E-2</v>
      </c>
      <c r="Q1213">
        <v>0</v>
      </c>
      <c r="R1213">
        <v>9.5903366102572454E-3</v>
      </c>
      <c r="S1213">
        <v>0.25836190970439937</v>
      </c>
      <c r="T1213">
        <v>5.9091282947602393</v>
      </c>
      <c r="U1213">
        <v>0</v>
      </c>
      <c r="V1213">
        <v>1.9152695819712011E-2</v>
      </c>
      <c r="W1213">
        <v>9.7034620639933761E-2</v>
      </c>
      <c r="X1213">
        <v>7.1461009844227144E-4</v>
      </c>
      <c r="Y1213">
        <v>3.9491299144757588E-2</v>
      </c>
    </row>
    <row r="1214" spans="1:25" x14ac:dyDescent="0.25">
      <c r="A1214" s="879"/>
      <c r="B1214" s="1133">
        <v>964</v>
      </c>
      <c r="C1214" s="883">
        <v>1.0053771444156974</v>
      </c>
      <c r="D1214" s="883">
        <v>1.0200628817373287</v>
      </c>
      <c r="E1214" s="883">
        <v>0.95823931966589104</v>
      </c>
      <c r="F1214" s="883">
        <v>1.0241127782911055</v>
      </c>
      <c r="G1214" s="883">
        <v>1.0033949580932979</v>
      </c>
      <c r="H1214" s="883">
        <v>0.9977755161969154</v>
      </c>
      <c r="I1214" s="883">
        <v>0.97085269576422795</v>
      </c>
      <c r="K1214">
        <v>6.7255650837256242</v>
      </c>
      <c r="L1214">
        <v>0</v>
      </c>
      <c r="M1214">
        <v>1.0636210442684391E-2</v>
      </c>
      <c r="N1214">
        <v>0.1863852708937361</v>
      </c>
      <c r="O1214">
        <v>0.12113461613671275</v>
      </c>
      <c r="P1214">
        <v>8.0453456095964479E-2</v>
      </c>
      <c r="Q1214">
        <v>0</v>
      </c>
      <c r="R1214">
        <v>1.0636210442684391E-2</v>
      </c>
      <c r="S1214">
        <v>0.26025978533057459</v>
      </c>
      <c r="T1214">
        <v>5.9157349933345245</v>
      </c>
      <c r="U1214">
        <v>0</v>
      </c>
      <c r="V1214">
        <v>1.9125936254699369E-2</v>
      </c>
      <c r="W1214">
        <v>0.10017392086889668</v>
      </c>
      <c r="X1214">
        <v>-1.5009166175756819E-3</v>
      </c>
      <c r="Y1214">
        <v>4.3798021428090105E-2</v>
      </c>
    </row>
    <row r="1215" spans="1:25" x14ac:dyDescent="0.25">
      <c r="A1215" s="879"/>
      <c r="B1215" s="1133">
        <v>965</v>
      </c>
      <c r="C1215" s="883">
        <v>1.038273076663712</v>
      </c>
      <c r="D1215" s="883">
        <v>1.0215921336754574</v>
      </c>
      <c r="E1215" s="883">
        <v>1.019499279016195</v>
      </c>
      <c r="F1215" s="883">
        <v>0.98846893248171019</v>
      </c>
      <c r="G1215" s="883">
        <v>1.0188250444461759</v>
      </c>
      <c r="H1215" s="883">
        <v>0.99786109606492712</v>
      </c>
      <c r="I1215" s="883">
        <v>0.95550190383019695</v>
      </c>
      <c r="K1215">
        <v>6.702676464666439</v>
      </c>
      <c r="L1215">
        <v>0</v>
      </c>
      <c r="M1215">
        <v>9.7577697598206017E-3</v>
      </c>
      <c r="N1215">
        <v>0.18725026322135768</v>
      </c>
      <c r="O1215">
        <v>0.11613618019042538</v>
      </c>
      <c r="P1215">
        <v>8.4064736455004341E-2</v>
      </c>
      <c r="Q1215">
        <v>0</v>
      </c>
      <c r="R1215">
        <v>9.7577697598206017E-3</v>
      </c>
      <c r="S1215">
        <v>0.24812018207613454</v>
      </c>
      <c r="T1215">
        <v>5.9104035762502374</v>
      </c>
      <c r="U1215">
        <v>0</v>
      </c>
      <c r="V1215">
        <v>1.8954134482689955E-2</v>
      </c>
      <c r="W1215">
        <v>9.7609489287000931E-2</v>
      </c>
      <c r="X1215">
        <v>-4.2856349083762721E-5</v>
      </c>
      <c r="Y1215">
        <v>4.018075905266983E-2</v>
      </c>
    </row>
    <row r="1216" spans="1:25" x14ac:dyDescent="0.25">
      <c r="A1216" s="879"/>
      <c r="B1216" s="1133">
        <v>966</v>
      </c>
      <c r="C1216" s="883">
        <v>1.0148133846631473</v>
      </c>
      <c r="D1216" s="883">
        <v>1.0155385703625905</v>
      </c>
      <c r="E1216" s="883">
        <v>0.9885123060207357</v>
      </c>
      <c r="F1216" s="883">
        <v>0.97620846079921397</v>
      </c>
      <c r="G1216" s="883">
        <v>0.99701592913471038</v>
      </c>
      <c r="H1216" s="883">
        <v>1.0487992469205978</v>
      </c>
      <c r="I1216" s="883">
        <v>1.0288017226203308</v>
      </c>
      <c r="K1216">
        <v>6.7555465909728722</v>
      </c>
      <c r="L1216">
        <v>0</v>
      </c>
      <c r="M1216">
        <v>1.0808466842812984E-2</v>
      </c>
      <c r="N1216">
        <v>0.19810930558060033</v>
      </c>
      <c r="O1216">
        <v>0.11967349820114512</v>
      </c>
      <c r="P1216">
        <v>8.2541136825374339E-2</v>
      </c>
      <c r="Q1216">
        <v>0</v>
      </c>
      <c r="R1216">
        <v>1.0808466842812984E-2</v>
      </c>
      <c r="S1216">
        <v>0.27816859840505198</v>
      </c>
      <c r="T1216">
        <v>5.9114888506432379</v>
      </c>
      <c r="U1216">
        <v>0</v>
      </c>
      <c r="V1216">
        <v>1.9075515442654532E-2</v>
      </c>
      <c r="W1216">
        <v>0.10486897735885609</v>
      </c>
      <c r="X1216">
        <v>-2.8866341073727148E-3</v>
      </c>
      <c r="Y1216">
        <v>4.4507342623323405E-2</v>
      </c>
    </row>
    <row r="1217" spans="1:25" x14ac:dyDescent="0.25">
      <c r="A1217" s="879"/>
      <c r="B1217" s="1133">
        <v>967</v>
      </c>
      <c r="C1217" s="883">
        <v>0.97261380984786205</v>
      </c>
      <c r="D1217" s="883">
        <v>1.0323322954333962</v>
      </c>
      <c r="E1217" s="883">
        <v>0.99357358205093438</v>
      </c>
      <c r="F1217" s="883">
        <v>0.99680456645411297</v>
      </c>
      <c r="G1217" s="883">
        <v>1.0263054154437052</v>
      </c>
      <c r="H1217" s="883">
        <v>1.0229921962598056</v>
      </c>
      <c r="I1217" s="883">
        <v>1.0208762833756191</v>
      </c>
      <c r="K1217">
        <v>6.7725760646370858</v>
      </c>
      <c r="L1217">
        <v>0</v>
      </c>
      <c r="M1217">
        <v>1.0874850167726987E-2</v>
      </c>
      <c r="N1217">
        <v>0.20082725226986409</v>
      </c>
      <c r="O1217">
        <v>0.1239534876757023</v>
      </c>
      <c r="P1217">
        <v>8.2969140988354423E-2</v>
      </c>
      <c r="Q1217">
        <v>0</v>
      </c>
      <c r="R1217">
        <v>1.0874850167726987E-2</v>
      </c>
      <c r="S1217">
        <v>0.28529732061341945</v>
      </c>
      <c r="T1217">
        <v>5.9123202199585849</v>
      </c>
      <c r="U1217">
        <v>0</v>
      </c>
      <c r="V1217">
        <v>1.9308596778193639E-2</v>
      </c>
      <c r="W1217">
        <v>0.10603986289036184</v>
      </c>
      <c r="X1217">
        <v>-2.9205138769293373E-3</v>
      </c>
      <c r="Y1217">
        <v>4.47806973395279E-2</v>
      </c>
    </row>
    <row r="1218" spans="1:25" x14ac:dyDescent="0.25">
      <c r="A1218" s="879"/>
      <c r="B1218" s="1133">
        <v>968</v>
      </c>
      <c r="C1218" s="883">
        <v>0.98104936926716113</v>
      </c>
      <c r="D1218" s="883">
        <v>0.98014310981443542</v>
      </c>
      <c r="E1218" s="883">
        <v>1.0348382406580785</v>
      </c>
      <c r="F1218" s="883">
        <v>1.0135185200098218</v>
      </c>
      <c r="G1218" s="883">
        <v>0.97476136334299512</v>
      </c>
      <c r="H1218" s="883">
        <v>1.0372376805699126</v>
      </c>
      <c r="I1218" s="883">
        <v>0.97702920973805807</v>
      </c>
      <c r="K1218">
        <v>6.7746989651920639</v>
      </c>
      <c r="L1218">
        <v>0</v>
      </c>
      <c r="M1218">
        <v>1.0780711920884659E-2</v>
      </c>
      <c r="N1218">
        <v>0.21162577768496868</v>
      </c>
      <c r="O1218">
        <v>0.12466444379598665</v>
      </c>
      <c r="P1218">
        <v>8.5369839285532906E-2</v>
      </c>
      <c r="Q1218">
        <v>0</v>
      </c>
      <c r="R1218">
        <v>1.0780711920884659E-2</v>
      </c>
      <c r="S1218">
        <v>0.27267345458580122</v>
      </c>
      <c r="T1218">
        <v>5.9108717500968089</v>
      </c>
      <c r="U1218">
        <v>0</v>
      </c>
      <c r="V1218">
        <v>1.9260401040139274E-2</v>
      </c>
      <c r="W1218">
        <v>0.1094879396442424</v>
      </c>
      <c r="X1218">
        <v>-3.6476937364325851E-3</v>
      </c>
      <c r="Y1218">
        <v>4.4393052795014494E-2</v>
      </c>
    </row>
    <row r="1219" spans="1:25" x14ac:dyDescent="0.25">
      <c r="A1219" s="879"/>
      <c r="B1219" s="1133">
        <v>969</v>
      </c>
      <c r="C1219" s="883">
        <v>1.009225838550371</v>
      </c>
      <c r="D1219" s="883">
        <v>0.98024106619704066</v>
      </c>
      <c r="E1219" s="883">
        <v>0.99359689383928129</v>
      </c>
      <c r="F1219" s="883">
        <v>1.0141077906031279</v>
      </c>
      <c r="G1219" s="883">
        <v>1.0061939387448058</v>
      </c>
      <c r="H1219" s="883">
        <v>1.0069640347115671</v>
      </c>
      <c r="I1219" s="883">
        <v>1.0410133534974708</v>
      </c>
      <c r="K1219">
        <v>6.7557858374098254</v>
      </c>
      <c r="L1219">
        <v>0</v>
      </c>
      <c r="M1219">
        <v>1.0547205346495624E-2</v>
      </c>
      <c r="N1219">
        <v>0.19478332346532334</v>
      </c>
      <c r="O1219">
        <v>0.12195621363194553</v>
      </c>
      <c r="P1219">
        <v>8.2901369854103846E-2</v>
      </c>
      <c r="Q1219">
        <v>0</v>
      </c>
      <c r="R1219">
        <v>1.0547205346495624E-2</v>
      </c>
      <c r="S1219">
        <v>0.27937475180106369</v>
      </c>
      <c r="T1219">
        <v>5.9132541258627773</v>
      </c>
      <c r="U1219">
        <v>0</v>
      </c>
      <c r="V1219">
        <v>1.9105257610057956E-2</v>
      </c>
      <c r="W1219">
        <v>0.10284738213869271</v>
      </c>
      <c r="X1219">
        <v>-1.8681012384392007E-3</v>
      </c>
      <c r="Y1219">
        <v>4.3431514284301302E-2</v>
      </c>
    </row>
    <row r="1220" spans="1:25" x14ac:dyDescent="0.25">
      <c r="A1220" s="879"/>
      <c r="B1220" s="1133">
        <v>970</v>
      </c>
      <c r="C1220" s="883">
        <v>0.97487468717792636</v>
      </c>
      <c r="D1220" s="883">
        <v>1.0069709553710304</v>
      </c>
      <c r="E1220" s="883">
        <v>0.99228349197138477</v>
      </c>
      <c r="F1220" s="883">
        <v>0.99744817127438778</v>
      </c>
      <c r="G1220" s="883">
        <v>1.0105720882490024</v>
      </c>
      <c r="H1220" s="883">
        <v>1.0022364419620584</v>
      </c>
      <c r="I1220" s="883">
        <v>1.0001466685880158</v>
      </c>
      <c r="K1220">
        <v>6.7614065600257218</v>
      </c>
      <c r="L1220">
        <v>0</v>
      </c>
      <c r="M1220">
        <v>1.075537102553405E-2</v>
      </c>
      <c r="N1220">
        <v>0.19824136664441575</v>
      </c>
      <c r="O1220">
        <v>0.12492722877578159</v>
      </c>
      <c r="P1220">
        <v>8.2780101160114056E-2</v>
      </c>
      <c r="Q1220">
        <v>0</v>
      </c>
      <c r="R1220">
        <v>1.075537102553405E-2</v>
      </c>
      <c r="S1220">
        <v>0.27711814102126503</v>
      </c>
      <c r="T1220">
        <v>5.912426997412747</v>
      </c>
      <c r="U1220">
        <v>0</v>
      </c>
      <c r="V1220">
        <v>1.9295597662336954E-2</v>
      </c>
      <c r="W1220">
        <v>0.10474175656595855</v>
      </c>
      <c r="X1220">
        <v>-2.4133327153707911E-3</v>
      </c>
      <c r="Y1220">
        <v>4.4288703498471922E-2</v>
      </c>
    </row>
    <row r="1221" spans="1:25" x14ac:dyDescent="0.25">
      <c r="A1221" s="879"/>
      <c r="B1221" s="1133">
        <v>971</v>
      </c>
      <c r="C1221" s="883">
        <v>1.0123275066801785</v>
      </c>
      <c r="D1221" s="883">
        <v>0.98519943716424152</v>
      </c>
      <c r="E1221" s="883">
        <v>0.96759115522967054</v>
      </c>
      <c r="F1221" s="883">
        <v>1.0237311635978215</v>
      </c>
      <c r="G1221" s="883">
        <v>1.0002003406888256</v>
      </c>
      <c r="H1221" s="883">
        <v>1.0275661147016941</v>
      </c>
      <c r="I1221" s="883">
        <v>0.9865439726401386</v>
      </c>
      <c r="K1221">
        <v>6.7440051728991781</v>
      </c>
      <c r="L1221">
        <v>0</v>
      </c>
      <c r="M1221">
        <v>1.0952330655292053E-2</v>
      </c>
      <c r="N1221">
        <v>0.19460982087675943</v>
      </c>
      <c r="O1221">
        <v>0.12181710517814484</v>
      </c>
      <c r="P1221">
        <v>8.1107714706771958E-2</v>
      </c>
      <c r="Q1221">
        <v>0</v>
      </c>
      <c r="R1221">
        <v>1.0952330655292053E-2</v>
      </c>
      <c r="S1221">
        <v>0.26575358206435645</v>
      </c>
      <c r="T1221">
        <v>5.9152080743770146</v>
      </c>
      <c r="U1221">
        <v>0</v>
      </c>
      <c r="V1221">
        <v>1.9088707077606897E-2</v>
      </c>
      <c r="W1221">
        <v>0.10410221498295363</v>
      </c>
      <c r="X1221">
        <v>-2.7817945607360567E-3</v>
      </c>
      <c r="Y1221">
        <v>4.5099748196308159E-2</v>
      </c>
    </row>
    <row r="1222" spans="1:25" x14ac:dyDescent="0.25">
      <c r="A1222" s="879"/>
      <c r="B1222" s="1133">
        <v>972</v>
      </c>
      <c r="C1222" s="883">
        <v>0.9956361204915295</v>
      </c>
      <c r="D1222" s="883">
        <v>1.025107527246873</v>
      </c>
      <c r="E1222" s="883">
        <v>1.0295573014669361</v>
      </c>
      <c r="F1222" s="883">
        <v>0.98221304998795567</v>
      </c>
      <c r="G1222" s="883">
        <v>1.0172807648463191</v>
      </c>
      <c r="H1222" s="883">
        <v>0.97481813055794875</v>
      </c>
      <c r="I1222" s="883">
        <v>1.0016154143945393</v>
      </c>
      <c r="K1222">
        <v>6.7348553817698331</v>
      </c>
      <c r="L1222">
        <v>0</v>
      </c>
      <c r="M1222">
        <v>9.8389918674015447E-3</v>
      </c>
      <c r="N1222">
        <v>0.1916381897267008</v>
      </c>
      <c r="O1222">
        <v>0.12075366171565409</v>
      </c>
      <c r="P1222">
        <v>8.4969663853528263E-2</v>
      </c>
      <c r="Q1222">
        <v>0</v>
      </c>
      <c r="R1222">
        <v>9.8389918674015447E-3</v>
      </c>
      <c r="S1222">
        <v>0.26905569403273177</v>
      </c>
      <c r="T1222">
        <v>5.9094869006292576</v>
      </c>
      <c r="U1222">
        <v>0</v>
      </c>
      <c r="V1222">
        <v>1.9178988161625429E-2</v>
      </c>
      <c r="W1222">
        <v>9.940401319163196E-2</v>
      </c>
      <c r="X1222">
        <v>-1.4694677599426921E-4</v>
      </c>
      <c r="Y1222">
        <v>4.0515217234691925E-2</v>
      </c>
    </row>
    <row r="1223" spans="1:25" x14ac:dyDescent="0.25">
      <c r="A1223" s="879"/>
      <c r="B1223" s="1133">
        <v>973</v>
      </c>
      <c r="C1223" s="883">
        <v>1.0262590527096365</v>
      </c>
      <c r="D1223" s="883">
        <v>1.0027598317455086</v>
      </c>
      <c r="E1223" s="883">
        <v>1.0190758971045826</v>
      </c>
      <c r="F1223" s="883">
        <v>1.034238551982462</v>
      </c>
      <c r="G1223" s="883">
        <v>0.99386429325296222</v>
      </c>
      <c r="H1223" s="883">
        <v>1.0165534295874343</v>
      </c>
      <c r="I1223" s="883">
        <v>1.0467932650476435</v>
      </c>
      <c r="K1223">
        <v>6.7481964311117553</v>
      </c>
      <c r="L1223">
        <v>0</v>
      </c>
      <c r="M1223">
        <v>1.0141115326673918E-2</v>
      </c>
      <c r="N1223">
        <v>0.19448476079024768</v>
      </c>
      <c r="O1223">
        <v>0.11838126286819937</v>
      </c>
      <c r="P1223">
        <v>8.4465332103762156E-2</v>
      </c>
      <c r="Q1223">
        <v>0</v>
      </c>
      <c r="R1223">
        <v>1.0141115326673918E-2</v>
      </c>
      <c r="S1223">
        <v>0.2769853659823745</v>
      </c>
      <c r="T1223">
        <v>5.9129005840948219</v>
      </c>
      <c r="U1223">
        <v>0</v>
      </c>
      <c r="V1223">
        <v>1.901560203803156E-2</v>
      </c>
      <c r="W1223">
        <v>0.10140182732160663</v>
      </c>
      <c r="X1223">
        <v>-1.1976119512915875E-3</v>
      </c>
      <c r="Y1223">
        <v>4.1759307864004495E-2</v>
      </c>
    </row>
    <row r="1224" spans="1:25" x14ac:dyDescent="0.25">
      <c r="A1224" s="879"/>
      <c r="B1224" s="1133">
        <v>974</v>
      </c>
      <c r="C1224" s="883">
        <v>0.98264828125418846</v>
      </c>
      <c r="D1224" s="883">
        <v>0.96582489536087035</v>
      </c>
      <c r="E1224" s="883">
        <v>1.0333023227833336</v>
      </c>
      <c r="F1224" s="883">
        <v>1.0226746103412718</v>
      </c>
      <c r="G1224" s="883">
        <v>0.98141578735999202</v>
      </c>
      <c r="H1224" s="883">
        <v>1.0032325973713898</v>
      </c>
      <c r="I1224" s="883">
        <v>1.0005732327947447</v>
      </c>
      <c r="K1224">
        <v>6.7695332422520806</v>
      </c>
      <c r="L1224">
        <v>0</v>
      </c>
      <c r="M1224">
        <v>1.0490318289685012E-2</v>
      </c>
      <c r="N1224">
        <v>0.20545847994170996</v>
      </c>
      <c r="O1224">
        <v>0.12522656770482407</v>
      </c>
      <c r="P1224">
        <v>8.532258564868353E-2</v>
      </c>
      <c r="Q1224">
        <v>0</v>
      </c>
      <c r="R1224">
        <v>1.0490318289685012E-2</v>
      </c>
      <c r="S1224">
        <v>0.27565732436423174</v>
      </c>
      <c r="T1224">
        <v>5.9114555199387038</v>
      </c>
      <c r="U1224">
        <v>0</v>
      </c>
      <c r="V1224">
        <v>1.9251359099789051E-2</v>
      </c>
      <c r="W1224">
        <v>0.10637718279782155</v>
      </c>
      <c r="X1224">
        <v>-2.4130407535591972E-3</v>
      </c>
      <c r="Y1224">
        <v>4.3197263509873844E-2</v>
      </c>
    </row>
    <row r="1225" spans="1:25" x14ac:dyDescent="0.25">
      <c r="A1225" s="879"/>
      <c r="B1225" s="1133">
        <v>975</v>
      </c>
      <c r="C1225" s="883">
        <v>0.99529826503144492</v>
      </c>
      <c r="D1225" s="883">
        <v>0.99169090171335195</v>
      </c>
      <c r="E1225" s="883">
        <v>1.0059041173024843</v>
      </c>
      <c r="F1225" s="883">
        <v>1.0219156290629352</v>
      </c>
      <c r="G1225" s="883">
        <v>0.96949253829006377</v>
      </c>
      <c r="H1225" s="883">
        <v>0.99100036678410564</v>
      </c>
      <c r="I1225" s="883">
        <v>0.99025875986317369</v>
      </c>
      <c r="K1225">
        <v>6.7447515156037188</v>
      </c>
      <c r="L1225">
        <v>0</v>
      </c>
      <c r="M1225">
        <v>1.0361007366023566E-2</v>
      </c>
      <c r="N1225">
        <v>0.19486550065923652</v>
      </c>
      <c r="O1225">
        <v>0.12285722310562963</v>
      </c>
      <c r="P1225">
        <v>8.3518592442125519E-2</v>
      </c>
      <c r="Q1225">
        <v>0</v>
      </c>
      <c r="R1225">
        <v>1.0361007366023566E-2</v>
      </c>
      <c r="S1225">
        <v>0.26786779574608927</v>
      </c>
      <c r="T1225">
        <v>5.9129844093242863</v>
      </c>
      <c r="U1225">
        <v>0</v>
      </c>
      <c r="V1225">
        <v>1.9180846835061112E-2</v>
      </c>
      <c r="W1225">
        <v>0.10226373882015742</v>
      </c>
      <c r="X1225">
        <v>-1.4513754715921058E-3</v>
      </c>
      <c r="Y1225">
        <v>4.2664784142722401E-2</v>
      </c>
    </row>
    <row r="1226" spans="1:25" x14ac:dyDescent="0.25">
      <c r="A1226" s="879"/>
      <c r="B1226" s="1133">
        <v>976</v>
      </c>
      <c r="C1226" s="883">
        <v>1.0124036928683382</v>
      </c>
      <c r="D1226" s="883">
        <v>1.0195569821206634</v>
      </c>
      <c r="E1226" s="883">
        <v>0.97336271806829755</v>
      </c>
      <c r="F1226" s="883">
        <v>1.0359359496837321</v>
      </c>
      <c r="G1226" s="883">
        <v>1.0073792292686103</v>
      </c>
      <c r="H1226" s="883">
        <v>1.0026597038054368</v>
      </c>
      <c r="I1226" s="883">
        <v>0.99918458141576483</v>
      </c>
      <c r="K1226">
        <v>6.7323987941788097</v>
      </c>
      <c r="L1226">
        <v>0</v>
      </c>
      <c r="M1226">
        <v>1.0477535797583499E-2</v>
      </c>
      <c r="N1226">
        <v>0.18777549572863686</v>
      </c>
      <c r="O1226">
        <v>0.12004466361334089</v>
      </c>
      <c r="P1226">
        <v>8.1485678094055672E-2</v>
      </c>
      <c r="Q1226">
        <v>0</v>
      </c>
      <c r="R1226">
        <v>1.0477535797583499E-2</v>
      </c>
      <c r="S1226">
        <v>0.26647642745087319</v>
      </c>
      <c r="T1226">
        <v>5.9155530039407349</v>
      </c>
      <c r="U1226">
        <v>0</v>
      </c>
      <c r="V1226">
        <v>1.9088301823403847E-2</v>
      </c>
      <c r="W1226">
        <v>0.10015535612421383</v>
      </c>
      <c r="X1226">
        <v>-1.3247600790479656E-3</v>
      </c>
      <c r="Y1226">
        <v>4.3144627482598584E-2</v>
      </c>
    </row>
    <row r="1227" spans="1:25" x14ac:dyDescent="0.25">
      <c r="A1227" s="879"/>
      <c r="B1227" s="1133">
        <v>977</v>
      </c>
      <c r="C1227" s="883">
        <v>0.99691721831823665</v>
      </c>
      <c r="D1227" s="883">
        <v>0.97638978626338779</v>
      </c>
      <c r="E1227" s="883">
        <v>1.0115662136887567</v>
      </c>
      <c r="F1227" s="883">
        <v>1.0072656153640156</v>
      </c>
      <c r="G1227" s="883">
        <v>0.99462954404516024</v>
      </c>
      <c r="H1227" s="883">
        <v>1.0021270921346297</v>
      </c>
      <c r="I1227" s="883">
        <v>1.0031379975546402</v>
      </c>
      <c r="K1227">
        <v>6.7543141498664507</v>
      </c>
      <c r="L1227">
        <v>0</v>
      </c>
      <c r="M1227">
        <v>1.047826074964203E-2</v>
      </c>
      <c r="N1227">
        <v>0.19872971495804009</v>
      </c>
      <c r="O1227">
        <v>0.12331509400706774</v>
      </c>
      <c r="P1227">
        <v>8.391658700522199E-2</v>
      </c>
      <c r="Q1227">
        <v>0</v>
      </c>
      <c r="R1227">
        <v>1.047826074964203E-2</v>
      </c>
      <c r="S1227">
        <v>0.27214482766336101</v>
      </c>
      <c r="T1227">
        <v>5.9118717772452314</v>
      </c>
      <c r="U1227">
        <v>0</v>
      </c>
      <c r="V1227">
        <v>1.917195179282075E-2</v>
      </c>
      <c r="W1227">
        <v>0.10399983197740377</v>
      </c>
      <c r="X1227">
        <v>-1.9832474888406494E-3</v>
      </c>
      <c r="Y1227">
        <v>4.3147612706138976E-2</v>
      </c>
    </row>
    <row r="1228" spans="1:25" x14ac:dyDescent="0.25">
      <c r="A1228" s="879"/>
      <c r="B1228" s="1133">
        <v>978</v>
      </c>
      <c r="C1228" s="883">
        <v>0.99875579622199495</v>
      </c>
      <c r="D1228" s="883">
        <v>0.97849643580485268</v>
      </c>
      <c r="E1228" s="883">
        <v>1.0213651135798123</v>
      </c>
      <c r="F1228" s="883">
        <v>0.98212102911871679</v>
      </c>
      <c r="G1228" s="883">
        <v>1.0250298780238116</v>
      </c>
      <c r="H1228" s="883">
        <v>1.0138826971354125</v>
      </c>
      <c r="I1228" s="883">
        <v>1.0002100517874697</v>
      </c>
      <c r="K1228">
        <v>6.7559976011196348</v>
      </c>
      <c r="L1228">
        <v>0</v>
      </c>
      <c r="M1228">
        <v>1.0481620890625237E-2</v>
      </c>
      <c r="N1228">
        <v>0.20169678718758138</v>
      </c>
      <c r="O1228">
        <v>0.12279510482716458</v>
      </c>
      <c r="P1228">
        <v>8.4502567822150279E-2</v>
      </c>
      <c r="Q1228">
        <v>0</v>
      </c>
      <c r="R1228">
        <v>1.0481620890625237E-2</v>
      </c>
      <c r="S1228">
        <v>0.27196510070032087</v>
      </c>
      <c r="T1228">
        <v>5.9099536905148806</v>
      </c>
      <c r="U1228">
        <v>0</v>
      </c>
      <c r="V1228">
        <v>1.9161885033913108E-2</v>
      </c>
      <c r="W1228">
        <v>0.10504357538279165</v>
      </c>
      <c r="X1228">
        <v>-2.2825595177969945E-3</v>
      </c>
      <c r="Y1228">
        <v>4.3161449168625014E-2</v>
      </c>
    </row>
    <row r="1229" spans="1:25" x14ac:dyDescent="0.25">
      <c r="A1229" s="879"/>
      <c r="B1229" s="1133">
        <v>979</v>
      </c>
      <c r="C1229" s="883">
        <v>1.0126132997254487</v>
      </c>
      <c r="D1229" s="883">
        <v>1.0175049797255538</v>
      </c>
      <c r="E1229" s="883">
        <v>0.99997051750622468</v>
      </c>
      <c r="F1229" s="883">
        <v>1.0038079726066558</v>
      </c>
      <c r="G1229" s="883">
        <v>0.95099389594358885</v>
      </c>
      <c r="H1229" s="883">
        <v>1.0212598546816412</v>
      </c>
      <c r="I1229" s="883">
        <v>1.0005685578518473</v>
      </c>
      <c r="K1229">
        <v>6.7408302531896487</v>
      </c>
      <c r="L1229">
        <v>0</v>
      </c>
      <c r="M1229">
        <v>1.0433898188633191E-2</v>
      </c>
      <c r="N1229">
        <v>0.19451931283767093</v>
      </c>
      <c r="O1229">
        <v>0.11963075276394095</v>
      </c>
      <c r="P1229">
        <v>8.3145546037227944E-2</v>
      </c>
      <c r="Q1229">
        <v>0</v>
      </c>
      <c r="R1229">
        <v>1.0433898188633191E-2</v>
      </c>
      <c r="S1229">
        <v>0.26857424584887979</v>
      </c>
      <c r="T1229">
        <v>5.9123403648284816</v>
      </c>
      <c r="U1229">
        <v>0</v>
      </c>
      <c r="V1229">
        <v>1.9087187184545364E-2</v>
      </c>
      <c r="W1229">
        <v>0.10238296241051836</v>
      </c>
      <c r="X1229">
        <v>-1.815054297763672E-3</v>
      </c>
      <c r="Y1229">
        <v>4.2964935576146057E-2</v>
      </c>
    </row>
    <row r="1230" spans="1:25" x14ac:dyDescent="0.25">
      <c r="A1230" s="879"/>
      <c r="B1230" s="1133">
        <v>980</v>
      </c>
      <c r="C1230" s="883">
        <v>0.97678953485820896</v>
      </c>
      <c r="D1230" s="883">
        <v>1.0229581235227259</v>
      </c>
      <c r="E1230" s="883">
        <v>1.0275258763595492</v>
      </c>
      <c r="F1230" s="883">
        <v>1.0035014094731443</v>
      </c>
      <c r="G1230" s="883">
        <v>1.0376851551500967</v>
      </c>
      <c r="H1230" s="883">
        <v>0.97771784056147559</v>
      </c>
      <c r="I1230" s="883">
        <v>0.9723652260326946</v>
      </c>
      <c r="K1230">
        <v>6.7428011474004048</v>
      </c>
      <c r="L1230">
        <v>0</v>
      </c>
      <c r="M1230">
        <v>1.0085637314985253E-2</v>
      </c>
      <c r="N1230">
        <v>0.19585314276616145</v>
      </c>
      <c r="O1230">
        <v>0.12322605646023621</v>
      </c>
      <c r="P1230">
        <v>8.4826646484578674E-2</v>
      </c>
      <c r="Q1230">
        <v>0</v>
      </c>
      <c r="R1230">
        <v>1.0085637314985253E-2</v>
      </c>
      <c r="S1230">
        <v>0.26652168470306831</v>
      </c>
      <c r="T1230">
        <v>5.9107542057097371</v>
      </c>
      <c r="U1230">
        <v>0</v>
      </c>
      <c r="V1230">
        <v>1.9284635140234336E-2</v>
      </c>
      <c r="W1230">
        <v>0.10169169223490393</v>
      </c>
      <c r="X1230">
        <v>-8.877753851097987E-4</v>
      </c>
      <c r="Y1230">
        <v>4.1530859286588548E-2</v>
      </c>
    </row>
    <row r="1231" spans="1:25" x14ac:dyDescent="0.25">
      <c r="A1231" s="879"/>
      <c r="B1231" s="1133">
        <v>981</v>
      </c>
      <c r="C1231" s="883">
        <v>0.98174864401450679</v>
      </c>
      <c r="D1231" s="883">
        <v>1.0078858669550221</v>
      </c>
      <c r="E1231" s="883">
        <v>1.0003267192041478</v>
      </c>
      <c r="F1231" s="883">
        <v>0.95804030531118201</v>
      </c>
      <c r="G1231" s="883">
        <v>1.0323412798509912</v>
      </c>
      <c r="H1231" s="883">
        <v>1.0306605853233475</v>
      </c>
      <c r="I1231" s="883">
        <v>1.003105615025345</v>
      </c>
      <c r="K1231">
        <v>6.7669685322753743</v>
      </c>
      <c r="L1231">
        <v>0</v>
      </c>
      <c r="M1231">
        <v>1.0901850584652156E-2</v>
      </c>
      <c r="N1231">
        <v>0.20335063594063141</v>
      </c>
      <c r="O1231">
        <v>0.12385469171732308</v>
      </c>
      <c r="P1231">
        <v>8.3272860348655955E-2</v>
      </c>
      <c r="Q1231">
        <v>0</v>
      </c>
      <c r="R1231">
        <v>1.0901850584652156E-2</v>
      </c>
      <c r="S1231">
        <v>0.2787254128755482</v>
      </c>
      <c r="T1231">
        <v>5.9098469474932953</v>
      </c>
      <c r="U1231">
        <v>0</v>
      </c>
      <c r="V1231">
        <v>1.9256442977043872E-2</v>
      </c>
      <c r="W1231">
        <v>0.10701229471503192</v>
      </c>
      <c r="X1231">
        <v>-3.2426340426861002E-3</v>
      </c>
      <c r="Y1231">
        <v>4.4891880250530689E-2</v>
      </c>
    </row>
    <row r="1232" spans="1:25" x14ac:dyDescent="0.25">
      <c r="A1232" s="879"/>
      <c r="B1232" s="1133">
        <v>982</v>
      </c>
      <c r="C1232" s="883">
        <v>1.0325639353337366</v>
      </c>
      <c r="D1232" s="883">
        <v>1.0068673908292378</v>
      </c>
      <c r="E1232" s="883">
        <v>1.0217813976591998</v>
      </c>
      <c r="F1232" s="883">
        <v>1.0269660466765682</v>
      </c>
      <c r="G1232" s="883">
        <v>0.99665956017846336</v>
      </c>
      <c r="H1232" s="883">
        <v>1.0144292217812465</v>
      </c>
      <c r="I1232" s="883">
        <v>0.9826027109483223</v>
      </c>
      <c r="K1232">
        <v>6.7249126649389277</v>
      </c>
      <c r="L1232">
        <v>0</v>
      </c>
      <c r="M1232">
        <v>1.0016784821996019E-2</v>
      </c>
      <c r="N1232">
        <v>0.19287071334871589</v>
      </c>
      <c r="O1232">
        <v>0.1174167474590707</v>
      </c>
      <c r="P1232">
        <v>8.4371196728905015E-2</v>
      </c>
      <c r="Q1232">
        <v>0</v>
      </c>
      <c r="R1232">
        <v>1.0016784821996019E-2</v>
      </c>
      <c r="S1232">
        <v>0.2581861400909834</v>
      </c>
      <c r="T1232">
        <v>5.9123525178445702</v>
      </c>
      <c r="U1232">
        <v>0</v>
      </c>
      <c r="V1232">
        <v>1.8983165903462176E-2</v>
      </c>
      <c r="W1232">
        <v>0.10042637881249583</v>
      </c>
      <c r="X1232">
        <v>-9.4153222502284326E-4</v>
      </c>
      <c r="Y1232">
        <v>4.1247336975745771E-2</v>
      </c>
    </row>
    <row r="1233" spans="1:25" x14ac:dyDescent="0.25">
      <c r="A1233" s="879"/>
      <c r="B1233" s="1133">
        <v>983</v>
      </c>
      <c r="C1233" s="883">
        <v>1.0228150015288302</v>
      </c>
      <c r="D1233" s="883">
        <v>0.95709665958603019</v>
      </c>
      <c r="E1233" s="883">
        <v>0.99409829837452801</v>
      </c>
      <c r="F1233" s="883">
        <v>1.0093630942747891</v>
      </c>
      <c r="G1233" s="883">
        <v>0.98265719277477337</v>
      </c>
      <c r="H1233" s="883">
        <v>1.0133862265511708</v>
      </c>
      <c r="I1233" s="883">
        <v>1.0241191616021816</v>
      </c>
      <c r="K1233">
        <v>6.7485441614173469</v>
      </c>
      <c r="L1233">
        <v>0</v>
      </c>
      <c r="M1233">
        <v>1.057668810530232E-2</v>
      </c>
      <c r="N1233">
        <v>0.1954730179700512</v>
      </c>
      <c r="O1233">
        <v>0.1214822214356939</v>
      </c>
      <c r="P1233">
        <v>8.2830841688696408E-2</v>
      </c>
      <c r="Q1233">
        <v>0</v>
      </c>
      <c r="R1233">
        <v>1.057668810530232E-2</v>
      </c>
      <c r="S1233">
        <v>0.27207473859922238</v>
      </c>
      <c r="T1233">
        <v>5.9129696726686189</v>
      </c>
      <c r="U1233">
        <v>0</v>
      </c>
      <c r="V1233">
        <v>1.9033489204445E-2</v>
      </c>
      <c r="W1233">
        <v>0.10318578452327</v>
      </c>
      <c r="X1233">
        <v>-2.0585237099837563E-3</v>
      </c>
      <c r="Y1233">
        <v>4.3552919037331814E-2</v>
      </c>
    </row>
    <row r="1234" spans="1:25" x14ac:dyDescent="0.25">
      <c r="A1234" s="879"/>
      <c r="B1234" s="1133">
        <v>984</v>
      </c>
      <c r="C1234" s="883">
        <v>0.98946387390936352</v>
      </c>
      <c r="D1234" s="883">
        <v>1.005464175206668</v>
      </c>
      <c r="E1234" s="883">
        <v>0.99910129373872225</v>
      </c>
      <c r="F1234" s="883">
        <v>1.0438015836771872</v>
      </c>
      <c r="G1234" s="883">
        <v>0.99222721629781696</v>
      </c>
      <c r="H1234" s="883">
        <v>1.0116661821344994</v>
      </c>
      <c r="I1234" s="883">
        <v>0.96023835530760304</v>
      </c>
      <c r="K1234">
        <v>6.7467564601576155</v>
      </c>
      <c r="L1234">
        <v>0</v>
      </c>
      <c r="M1234">
        <v>1.0639823504288635E-2</v>
      </c>
      <c r="N1234">
        <v>0.19810310325465855</v>
      </c>
      <c r="O1234">
        <v>0.12303041102555216</v>
      </c>
      <c r="P1234">
        <v>8.3047859697882989E-2</v>
      </c>
      <c r="Q1234">
        <v>0</v>
      </c>
      <c r="R1234">
        <v>1.0639823504288635E-2</v>
      </c>
      <c r="S1234">
        <v>0.26302394918970817</v>
      </c>
      <c r="T1234">
        <v>5.9145505880642366</v>
      </c>
      <c r="U1234">
        <v>0</v>
      </c>
      <c r="V1234">
        <v>1.9213144296714862E-2</v>
      </c>
      <c r="W1234">
        <v>0.10431427834918422</v>
      </c>
      <c r="X1234">
        <v>-2.339773093000578E-3</v>
      </c>
      <c r="Y1234">
        <v>4.3812899372675372E-2</v>
      </c>
    </row>
    <row r="1235" spans="1:25" x14ac:dyDescent="0.25">
      <c r="A1235" s="879"/>
      <c r="B1235" s="1133">
        <v>985</v>
      </c>
      <c r="C1235" s="883">
        <v>0.97532386560521667</v>
      </c>
      <c r="D1235" s="883">
        <v>1.0164089611005147</v>
      </c>
      <c r="E1235" s="883">
        <v>0.99702634646351884</v>
      </c>
      <c r="F1235" s="883">
        <v>1.0069352996210155</v>
      </c>
      <c r="G1235" s="883">
        <v>1.0419511195617399</v>
      </c>
      <c r="H1235" s="883">
        <v>0.97199401748721037</v>
      </c>
      <c r="I1235" s="883">
        <v>0.99010435684016607</v>
      </c>
      <c r="K1235">
        <v>6.7452078744896458</v>
      </c>
      <c r="L1235">
        <v>0</v>
      </c>
      <c r="M1235">
        <v>1.0341554925804807E-2</v>
      </c>
      <c r="N1235">
        <v>0.19195856153182944</v>
      </c>
      <c r="O1235">
        <v>0.12431429602950748</v>
      </c>
      <c r="P1235">
        <v>8.3003538316501466E-2</v>
      </c>
      <c r="Q1235">
        <v>0</v>
      </c>
      <c r="R1235">
        <v>1.0341554925804807E-2</v>
      </c>
      <c r="S1235">
        <v>0.2712509894810311</v>
      </c>
      <c r="T1235">
        <v>5.9126746064888138</v>
      </c>
      <c r="U1235">
        <v>0</v>
      </c>
      <c r="V1235">
        <v>1.9293022246950845E-2</v>
      </c>
      <c r="W1235">
        <v>0.10118307085076456</v>
      </c>
      <c r="X1235">
        <v>-1.0548929120581055E-3</v>
      </c>
      <c r="Y1235">
        <v>4.2584682456306824E-2</v>
      </c>
    </row>
    <row r="1236" spans="1:25" x14ac:dyDescent="0.25">
      <c r="A1236" s="879"/>
      <c r="B1236" s="1133">
        <v>986</v>
      </c>
      <c r="C1236" s="883">
        <v>0.9877722803053921</v>
      </c>
      <c r="D1236" s="883">
        <v>0.97515081410223703</v>
      </c>
      <c r="E1236" s="883">
        <v>1.030477845132568</v>
      </c>
      <c r="F1236" s="883">
        <v>0.99550731078521237</v>
      </c>
      <c r="G1236" s="883">
        <v>1.0205724051880163</v>
      </c>
      <c r="H1236" s="883">
        <v>0.98356010554593043</v>
      </c>
      <c r="I1236" s="883">
        <v>0.98851889927736969</v>
      </c>
      <c r="K1236">
        <v>6.7506925826551534</v>
      </c>
      <c r="L1236">
        <v>0</v>
      </c>
      <c r="M1236">
        <v>1.0214447411346911E-2</v>
      </c>
      <c r="N1236">
        <v>0.19922200106936086</v>
      </c>
      <c r="O1236">
        <v>0.12415396855712217</v>
      </c>
      <c r="P1236">
        <v>8.5035327140156769E-2</v>
      </c>
      <c r="Q1236">
        <v>0</v>
      </c>
      <c r="R1236">
        <v>1.0214447411346911E-2</v>
      </c>
      <c r="S1236">
        <v>0.26893708463970439</v>
      </c>
      <c r="T1236">
        <v>5.9101517724996535</v>
      </c>
      <c r="U1236">
        <v>0</v>
      </c>
      <c r="V1236">
        <v>1.9222579804960824E-2</v>
      </c>
      <c r="W1236">
        <v>0.10329112985400077</v>
      </c>
      <c r="X1236">
        <v>-1.3825572458697414E-3</v>
      </c>
      <c r="Y1236">
        <v>4.2061276336063408E-2</v>
      </c>
    </row>
    <row r="1237" spans="1:25" x14ac:dyDescent="0.25">
      <c r="A1237" s="879"/>
      <c r="B1237" s="1133">
        <v>987</v>
      </c>
      <c r="C1237" s="883">
        <v>1.0106420378195227</v>
      </c>
      <c r="D1237" s="883">
        <v>0.97754050792682823</v>
      </c>
      <c r="E1237" s="883">
        <v>0.98091663750003344</v>
      </c>
      <c r="F1237" s="883">
        <v>0.97935260443058114</v>
      </c>
      <c r="G1237" s="883">
        <v>0.97863639650142931</v>
      </c>
      <c r="H1237" s="883">
        <v>0.96026083545862273</v>
      </c>
      <c r="I1237" s="883">
        <v>1.0086911724182117</v>
      </c>
      <c r="K1237">
        <v>6.724960290782704</v>
      </c>
      <c r="L1237">
        <v>0</v>
      </c>
      <c r="M1237">
        <v>1.0167665377692576E-2</v>
      </c>
      <c r="N1237">
        <v>0.18427628101199403</v>
      </c>
      <c r="O1237">
        <v>0.12215557996115994</v>
      </c>
      <c r="P1237">
        <v>8.1908325887152925E-2</v>
      </c>
      <c r="Q1237">
        <v>0</v>
      </c>
      <c r="R1237">
        <v>1.0167665377692576E-2</v>
      </c>
      <c r="S1237">
        <v>0.26589286015235414</v>
      </c>
      <c r="T1237">
        <v>5.912079059049276</v>
      </c>
      <c r="U1237">
        <v>0</v>
      </c>
      <c r="V1237">
        <v>1.9097688153738884E-2</v>
      </c>
      <c r="W1237">
        <v>9.7917459480655292E-2</v>
      </c>
      <c r="X1237">
        <v>-2.3559916198720156E-4</v>
      </c>
      <c r="Y1237">
        <v>4.1868636248366425E-2</v>
      </c>
    </row>
    <row r="1238" spans="1:25" x14ac:dyDescent="0.25">
      <c r="A1238" s="879"/>
      <c r="B1238" s="1133">
        <v>988</v>
      </c>
      <c r="C1238" s="883">
        <v>0.95216492145063913</v>
      </c>
      <c r="D1238" s="883">
        <v>0.97555140702821219</v>
      </c>
      <c r="E1238" s="883">
        <v>1.0356357242601688</v>
      </c>
      <c r="F1238" s="883">
        <v>0.9685487227234888</v>
      </c>
      <c r="G1238" s="883">
        <v>0.96436349642831742</v>
      </c>
      <c r="H1238" s="883">
        <v>0.99928618660072088</v>
      </c>
      <c r="I1238" s="883">
        <v>1.0217001811368125</v>
      </c>
      <c r="K1238">
        <v>6.7926706276759035</v>
      </c>
      <c r="L1238">
        <v>0</v>
      </c>
      <c r="M1238">
        <v>1.0715396506498021E-2</v>
      </c>
      <c r="N1238">
        <v>0.21059164479200801</v>
      </c>
      <c r="O1238">
        <v>0.12867158120930966</v>
      </c>
      <c r="P1238">
        <v>8.5626052434065264E-2</v>
      </c>
      <c r="Q1238">
        <v>0</v>
      </c>
      <c r="R1238">
        <v>1.0715396506498021E-2</v>
      </c>
      <c r="S1238">
        <v>0.28997234685721984</v>
      </c>
      <c r="T1238">
        <v>5.9083964571268606</v>
      </c>
      <c r="U1238">
        <v>0</v>
      </c>
      <c r="V1238">
        <v>1.9428973673028455E-2</v>
      </c>
      <c r="W1238">
        <v>0.10891038783518729</v>
      </c>
      <c r="X1238">
        <v>-3.0509117960594288E-3</v>
      </c>
      <c r="Y1238">
        <v>4.4124095544280692E-2</v>
      </c>
    </row>
    <row r="1239" spans="1:25" x14ac:dyDescent="0.25">
      <c r="A1239" s="879"/>
      <c r="B1239" s="1133">
        <v>989</v>
      </c>
      <c r="C1239" s="883">
        <v>0.98210251286325867</v>
      </c>
      <c r="D1239" s="883">
        <v>1.0122269562392006</v>
      </c>
      <c r="E1239" s="883">
        <v>0.9777698089609268</v>
      </c>
      <c r="F1239" s="883">
        <v>0.98504291359740848</v>
      </c>
      <c r="G1239" s="883">
        <v>0.98696682632736354</v>
      </c>
      <c r="H1239" s="883">
        <v>1.0134651958757808</v>
      </c>
      <c r="I1239" s="883">
        <v>0.99424282801141606</v>
      </c>
      <c r="K1239">
        <v>6.7558625852455911</v>
      </c>
      <c r="L1239">
        <v>0</v>
      </c>
      <c r="M1239">
        <v>1.0909006667089152E-2</v>
      </c>
      <c r="N1239">
        <v>0.19679118065666718</v>
      </c>
      <c r="O1239">
        <v>0.12402343728186503</v>
      </c>
      <c r="P1239">
        <v>8.1831223127040928E-2</v>
      </c>
      <c r="Q1239">
        <v>0</v>
      </c>
      <c r="R1239">
        <v>1.0909006667089152E-2</v>
      </c>
      <c r="S1239">
        <v>0.27444366367721834</v>
      </c>
      <c r="T1239">
        <v>5.912559848812152</v>
      </c>
      <c r="U1239">
        <v>0</v>
      </c>
      <c r="V1239">
        <v>1.9254442142200342E-2</v>
      </c>
      <c r="W1239">
        <v>0.10473234036051843</v>
      </c>
      <c r="X1239">
        <v>-2.6948985363392428E-3</v>
      </c>
      <c r="Y1239">
        <v>4.4921347724271053E-2</v>
      </c>
    </row>
    <row r="1240" spans="1:25" x14ac:dyDescent="0.25">
      <c r="A1240" s="879"/>
      <c r="B1240" s="1133">
        <v>990</v>
      </c>
      <c r="C1240" s="883">
        <v>1.0457372997830812</v>
      </c>
      <c r="D1240" s="883">
        <v>1.0099151645381925</v>
      </c>
      <c r="E1240" s="883">
        <v>0.97698000294911114</v>
      </c>
      <c r="F1240" s="883">
        <v>1.0242494862121958</v>
      </c>
      <c r="G1240" s="883">
        <v>1.0002427940841154</v>
      </c>
      <c r="H1240" s="883">
        <v>1.0297844861680716</v>
      </c>
      <c r="I1240" s="883">
        <v>0.95328788791876351</v>
      </c>
      <c r="K1240">
        <v>6.7095472806066097</v>
      </c>
      <c r="L1240">
        <v>0</v>
      </c>
      <c r="M1240">
        <v>1.0427518689228081E-2</v>
      </c>
      <c r="N1240">
        <v>0.1878851203792497</v>
      </c>
      <c r="O1240">
        <v>0.11659693160764843</v>
      </c>
      <c r="P1240">
        <v>8.1464437185861022E-2</v>
      </c>
      <c r="Q1240">
        <v>0</v>
      </c>
      <c r="R1240">
        <v>1.0427518689228081E-2</v>
      </c>
      <c r="S1240">
        <v>0.24854271301990388</v>
      </c>
      <c r="T1240">
        <v>5.9147228291578786</v>
      </c>
      <c r="U1240">
        <v>0</v>
      </c>
      <c r="V1240">
        <v>1.8916656477899259E-2</v>
      </c>
      <c r="W1240">
        <v>0.10003212544295066</v>
      </c>
      <c r="X1240">
        <v>-1.5521985978841093E-3</v>
      </c>
      <c r="Y1240">
        <v>4.2938665933104379E-2</v>
      </c>
    </row>
    <row r="1241" spans="1:25" x14ac:dyDescent="0.25">
      <c r="A1241" s="879"/>
      <c r="B1241" s="1133">
        <v>991</v>
      </c>
      <c r="C1241" s="883">
        <v>1.0245892316983041</v>
      </c>
      <c r="D1241" s="883">
        <v>1.0135919828049125</v>
      </c>
      <c r="E1241" s="883">
        <v>1.0378524882089617</v>
      </c>
      <c r="F1241" s="883">
        <v>0.9825571751182598</v>
      </c>
      <c r="G1241" s="883">
        <v>0.99950129901534368</v>
      </c>
      <c r="H1241" s="883">
        <v>0.97294038037506603</v>
      </c>
      <c r="I1241" s="883">
        <v>1.009989806333349</v>
      </c>
      <c r="K1241">
        <v>6.7192875891366848</v>
      </c>
      <c r="L1241">
        <v>0</v>
      </c>
      <c r="M1241">
        <v>9.5193107447415458E-3</v>
      </c>
      <c r="N1241">
        <v>0.18769849366626445</v>
      </c>
      <c r="O1241">
        <v>0.11771952620004723</v>
      </c>
      <c r="P1241">
        <v>8.5404336570655742E-2</v>
      </c>
      <c r="Q1241">
        <v>0</v>
      </c>
      <c r="R1241">
        <v>9.5193107447415458E-3</v>
      </c>
      <c r="S1241">
        <v>0.26357367864833575</v>
      </c>
      <c r="T1241">
        <v>5.9090240669088967</v>
      </c>
      <c r="U1241">
        <v>0</v>
      </c>
      <c r="V1241">
        <v>1.9024259471728672E-2</v>
      </c>
      <c r="W1241">
        <v>9.6965658756680437E-2</v>
      </c>
      <c r="X1241">
        <v>6.787416413724254E-4</v>
      </c>
      <c r="Y1241">
        <v>3.9198827272696711E-2</v>
      </c>
    </row>
    <row r="1242" spans="1:25" x14ac:dyDescent="0.25">
      <c r="A1242" s="879"/>
      <c r="B1242" s="1133">
        <v>992</v>
      </c>
      <c r="C1242" s="883">
        <v>0.9991164280938003</v>
      </c>
      <c r="D1242" s="883">
        <v>0.97895545525698013</v>
      </c>
      <c r="E1242" s="883">
        <v>0.97128489194696865</v>
      </c>
      <c r="F1242" s="883">
        <v>1.0125239060787332</v>
      </c>
      <c r="G1242" s="883">
        <v>1.0103035906532498</v>
      </c>
      <c r="H1242" s="883">
        <v>1.0085219442605777</v>
      </c>
      <c r="I1242" s="883">
        <v>0.97564250876570091</v>
      </c>
      <c r="K1242">
        <v>6.7438116948670315</v>
      </c>
      <c r="L1242">
        <v>0</v>
      </c>
      <c r="M1242">
        <v>1.0886139963474078E-2</v>
      </c>
      <c r="N1242">
        <v>0.1944975161786465</v>
      </c>
      <c r="O1242">
        <v>0.1236733399844869</v>
      </c>
      <c r="P1242">
        <v>8.1315945529057215E-2</v>
      </c>
      <c r="Q1242">
        <v>0</v>
      </c>
      <c r="R1242">
        <v>1.0886139963474078E-2</v>
      </c>
      <c r="S1242">
        <v>0.26460172498472673</v>
      </c>
      <c r="T1242">
        <v>5.9144007935527325</v>
      </c>
      <c r="U1242">
        <v>0</v>
      </c>
      <c r="V1242">
        <v>1.9159914813863362E-2</v>
      </c>
      <c r="W1242">
        <v>0.10384906170853636</v>
      </c>
      <c r="X1242">
        <v>-2.5137885939298258E-3</v>
      </c>
      <c r="Y1242">
        <v>4.4827186708905689E-2</v>
      </c>
    </row>
    <row r="1243" spans="1:25" x14ac:dyDescent="0.25">
      <c r="A1243" s="879"/>
      <c r="B1243" s="1133">
        <v>993</v>
      </c>
      <c r="C1243" s="883">
        <v>1.0052678244826321</v>
      </c>
      <c r="D1243" s="883">
        <v>1.0224647677935079</v>
      </c>
      <c r="E1243" s="883">
        <v>0.97986494213014397</v>
      </c>
      <c r="F1243" s="883">
        <v>1.0179704018284164</v>
      </c>
      <c r="G1243" s="883">
        <v>1.0308379163163719</v>
      </c>
      <c r="H1243" s="883">
        <v>0.95814325803139988</v>
      </c>
      <c r="I1243" s="883">
        <v>0.99997597923856352</v>
      </c>
      <c r="K1243">
        <v>6.7193076499715971</v>
      </c>
      <c r="L1243">
        <v>0</v>
      </c>
      <c r="M1243">
        <v>1.0014242760850896E-2</v>
      </c>
      <c r="N1243">
        <v>0.18121271401588041</v>
      </c>
      <c r="O1243">
        <v>0.12064038907915513</v>
      </c>
      <c r="P1243">
        <v>8.1851473041531619E-2</v>
      </c>
      <c r="Q1243">
        <v>0</v>
      </c>
      <c r="R1243">
        <v>1.0014242760850896E-2</v>
      </c>
      <c r="S1243">
        <v>0.26443031610143919</v>
      </c>
      <c r="T1243">
        <v>5.9142246695762264</v>
      </c>
      <c r="U1243">
        <v>0</v>
      </c>
      <c r="V1243">
        <v>1.9126525932268264E-2</v>
      </c>
      <c r="W1243">
        <v>9.6340306423218891E-2</v>
      </c>
      <c r="X1243">
        <v>2.4438658145566045E-4</v>
      </c>
      <c r="Y1243">
        <v>4.1236869220420178E-2</v>
      </c>
    </row>
    <row r="1244" spans="1:25" x14ac:dyDescent="0.25">
      <c r="A1244" s="879"/>
      <c r="B1244" s="1133">
        <v>994</v>
      </c>
      <c r="C1244" s="883">
        <v>1.0146001133600675</v>
      </c>
      <c r="D1244" s="883">
        <v>1.0080033231958154</v>
      </c>
      <c r="E1244" s="883">
        <v>0.99466599152004498</v>
      </c>
      <c r="F1244" s="883">
        <v>1.0020907557007741</v>
      </c>
      <c r="G1244" s="883">
        <v>1.0044837171472358</v>
      </c>
      <c r="H1244" s="883">
        <v>1.0027853035969998</v>
      </c>
      <c r="I1244" s="883">
        <v>0.98451555141725267</v>
      </c>
      <c r="K1244">
        <v>6.729119909171053</v>
      </c>
      <c r="L1244">
        <v>0</v>
      </c>
      <c r="M1244">
        <v>1.0313908139594746E-2</v>
      </c>
      <c r="N1244">
        <v>0.19077689889725633</v>
      </c>
      <c r="O1244">
        <v>0.11994294033392673</v>
      </c>
      <c r="P1244">
        <v>8.2729046524225483E-2</v>
      </c>
      <c r="Q1244">
        <v>0</v>
      </c>
      <c r="R1244">
        <v>1.0313908139594746E-2</v>
      </c>
      <c r="S1244">
        <v>0.26215062546988765</v>
      </c>
      <c r="T1244">
        <v>5.9125448915636012</v>
      </c>
      <c r="U1244">
        <v>0</v>
      </c>
      <c r="V1244">
        <v>1.9076644659557437E-2</v>
      </c>
      <c r="W1244">
        <v>0.10067835542684542</v>
      </c>
      <c r="X1244">
        <v>-1.2503316158876978E-3</v>
      </c>
      <c r="Y1244">
        <v>4.2470837911638304E-2</v>
      </c>
    </row>
    <row r="1245" spans="1:25" x14ac:dyDescent="0.25">
      <c r="A1245" s="879"/>
      <c r="B1245" s="1133">
        <v>995</v>
      </c>
      <c r="C1245" s="883">
        <v>1.0156273481443092</v>
      </c>
      <c r="D1245" s="883">
        <v>0.96971948187427892</v>
      </c>
      <c r="E1245" s="883">
        <v>1.0261697132235013</v>
      </c>
      <c r="F1245" s="883">
        <v>0.96811946393042703</v>
      </c>
      <c r="G1245" s="883">
        <v>1.0197554354506029</v>
      </c>
      <c r="H1245" s="883">
        <v>0.99386905610150211</v>
      </c>
      <c r="I1245" s="883">
        <v>0.98743874612834392</v>
      </c>
      <c r="K1245">
        <v>6.7339796933982612</v>
      </c>
      <c r="L1245">
        <v>0</v>
      </c>
      <c r="M1245">
        <v>1.010055144669457E-2</v>
      </c>
      <c r="N1245">
        <v>0.19574986029380756</v>
      </c>
      <c r="O1245">
        <v>0.12110048359639373</v>
      </c>
      <c r="P1245">
        <v>8.4655909487303768E-2</v>
      </c>
      <c r="Q1245">
        <v>0</v>
      </c>
      <c r="R1245">
        <v>1.010055144669457E-2</v>
      </c>
      <c r="S1245">
        <v>0.26228039237563289</v>
      </c>
      <c r="T1245">
        <v>5.9089210849331977</v>
      </c>
      <c r="U1245">
        <v>0</v>
      </c>
      <c r="V1245">
        <v>1.9071210073568382E-2</v>
      </c>
      <c r="W1245">
        <v>0.10170579643287218</v>
      </c>
      <c r="X1245">
        <v>-1.0973168208676051E-3</v>
      </c>
      <c r="Y1245">
        <v>4.1592273026351038E-2</v>
      </c>
    </row>
    <row r="1246" spans="1:25" x14ac:dyDescent="0.25">
      <c r="A1246" s="879"/>
      <c r="B1246" s="1133">
        <v>996</v>
      </c>
      <c r="C1246" s="883">
        <v>1.0158499750781336</v>
      </c>
      <c r="D1246" s="883">
        <v>1.0105198942531284</v>
      </c>
      <c r="E1246" s="883">
        <v>1.0316942774024069</v>
      </c>
      <c r="F1246" s="883">
        <v>0.9691309496685796</v>
      </c>
      <c r="G1246" s="883">
        <v>1.0038091650257281</v>
      </c>
      <c r="H1246" s="883">
        <v>0.99936591311434475</v>
      </c>
      <c r="I1246" s="883">
        <v>0.98357944488187288</v>
      </c>
      <c r="K1246">
        <v>6.7276871492303512</v>
      </c>
      <c r="L1246">
        <v>0</v>
      </c>
      <c r="M1246">
        <v>9.9282681801912704E-3</v>
      </c>
      <c r="N1246">
        <v>0.19398885267117044</v>
      </c>
      <c r="O1246">
        <v>0.1189914841571026</v>
      </c>
      <c r="P1246">
        <v>8.4984167883938241E-2</v>
      </c>
      <c r="Q1246">
        <v>0</v>
      </c>
      <c r="R1246">
        <v>9.9282681801912704E-3</v>
      </c>
      <c r="S1246">
        <v>0.26130633794952923</v>
      </c>
      <c r="T1246">
        <v>5.9086565985999506</v>
      </c>
      <c r="U1246">
        <v>0</v>
      </c>
      <c r="V1246">
        <v>1.907003371482463E-2</v>
      </c>
      <c r="W1246">
        <v>0.10051790943275987</v>
      </c>
      <c r="X1246">
        <v>-7.1107637909356952E-4</v>
      </c>
      <c r="Y1246">
        <v>4.0882841200168732E-2</v>
      </c>
    </row>
    <row r="1247" spans="1:25" x14ac:dyDescent="0.25">
      <c r="A1247" s="879"/>
      <c r="B1247" s="1133">
        <v>997</v>
      </c>
      <c r="C1247" s="883">
        <v>0.96960818690356076</v>
      </c>
      <c r="D1247" s="883">
        <v>0.98941667764291674</v>
      </c>
      <c r="E1247" s="883">
        <v>1.0051656799883941</v>
      </c>
      <c r="F1247" s="883">
        <v>1.0031501719913987</v>
      </c>
      <c r="G1247" s="883">
        <v>0.97352492770329335</v>
      </c>
      <c r="H1247" s="883">
        <v>1.0142752479315023</v>
      </c>
      <c r="I1247" s="883">
        <v>1.0264841079200944</v>
      </c>
      <c r="K1247">
        <v>6.7828008506081074</v>
      </c>
      <c r="L1247">
        <v>0</v>
      </c>
      <c r="M1247">
        <v>1.0903062878520622E-2</v>
      </c>
      <c r="N1247">
        <v>0.20483613685627647</v>
      </c>
      <c r="O1247">
        <v>0.12624260542256549</v>
      </c>
      <c r="P1247">
        <v>8.3723565378949039E-2</v>
      </c>
      <c r="Q1247">
        <v>0</v>
      </c>
      <c r="R1247">
        <v>1.0903062878520622E-2</v>
      </c>
      <c r="S1247">
        <v>0.28737986184128339</v>
      </c>
      <c r="T1247">
        <v>5.9120120966234548</v>
      </c>
      <c r="U1247">
        <v>0</v>
      </c>
      <c r="V1247">
        <v>1.932597173897084E-2</v>
      </c>
      <c r="W1247">
        <v>0.10753558350911152</v>
      </c>
      <c r="X1247">
        <v>-3.1518430234039781E-3</v>
      </c>
      <c r="Y1247">
        <v>4.4896872260900757E-2</v>
      </c>
    </row>
    <row r="1248" spans="1:25" x14ac:dyDescent="0.25">
      <c r="A1248" s="879"/>
      <c r="B1248" s="1133">
        <v>998</v>
      </c>
      <c r="C1248" s="883">
        <v>0.99696926297267419</v>
      </c>
      <c r="D1248" s="883">
        <v>1.0145155875459653</v>
      </c>
      <c r="E1248" s="883">
        <v>0.97654878688014191</v>
      </c>
      <c r="F1248" s="883">
        <v>1.0054919291226152</v>
      </c>
      <c r="G1248" s="883">
        <v>1.0238305529628862</v>
      </c>
      <c r="H1248" s="883">
        <v>0.98602478315377862</v>
      </c>
      <c r="I1248" s="883">
        <v>0.97212112246475091</v>
      </c>
      <c r="K1248">
        <v>6.7287990436924341</v>
      </c>
      <c r="L1248">
        <v>0</v>
      </c>
      <c r="M1248">
        <v>1.0456381874728559E-2</v>
      </c>
      <c r="N1248">
        <v>0.18828465358319005</v>
      </c>
      <c r="O1248">
        <v>0.12208625182379081</v>
      </c>
      <c r="P1248">
        <v>8.1602212960702761E-2</v>
      </c>
      <c r="Q1248">
        <v>0</v>
      </c>
      <c r="R1248">
        <v>1.0456381874728559E-2</v>
      </c>
      <c r="S1248">
        <v>0.26180508540596187</v>
      </c>
      <c r="T1248">
        <v>5.9137324256348105</v>
      </c>
      <c r="U1248">
        <v>0</v>
      </c>
      <c r="V1248">
        <v>1.9171666322275661E-2</v>
      </c>
      <c r="W1248">
        <v>0.10026651663187812</v>
      </c>
      <c r="X1248">
        <v>-1.2072880637130372E-3</v>
      </c>
      <c r="Y1248">
        <v>4.3057519393539856E-2</v>
      </c>
    </row>
    <row r="1249" spans="1:25" x14ac:dyDescent="0.25">
      <c r="A1249" s="879"/>
      <c r="B1249" s="1133">
        <v>999</v>
      </c>
      <c r="C1249" s="883">
        <v>1.0013089617855755</v>
      </c>
      <c r="D1249" s="883">
        <v>0.97983268980689509</v>
      </c>
      <c r="E1249" s="883">
        <v>0.98971659733210537</v>
      </c>
      <c r="F1249" s="883">
        <v>0.97265292084741739</v>
      </c>
      <c r="G1249" s="883">
        <v>1.0044624835658904</v>
      </c>
      <c r="H1249" s="883">
        <v>1.0304660614429941</v>
      </c>
      <c r="I1249" s="883">
        <v>0.99700360702197577</v>
      </c>
      <c r="K1249">
        <v>6.7561865161321064</v>
      </c>
      <c r="L1249">
        <v>0</v>
      </c>
      <c r="M1249">
        <v>1.0917564031443198E-2</v>
      </c>
      <c r="N1249">
        <v>0.2004665859582877</v>
      </c>
      <c r="O1249">
        <v>0.12301387136827888</v>
      </c>
      <c r="P1249">
        <v>8.2531230896467939E-2</v>
      </c>
      <c r="Q1249">
        <v>0</v>
      </c>
      <c r="R1249">
        <v>1.0917564031443198E-2</v>
      </c>
      <c r="S1249">
        <v>0.27190239085102325</v>
      </c>
      <c r="T1249">
        <v>5.9112297428887626</v>
      </c>
      <c r="U1249">
        <v>0</v>
      </c>
      <c r="V1249">
        <v>1.914796700920127E-2</v>
      </c>
      <c r="W1249">
        <v>0.10605307015023387</v>
      </c>
      <c r="X1249">
        <v>-3.1149284176728753E-3</v>
      </c>
      <c r="Y1249">
        <v>4.4956585427526924E-2</v>
      </c>
    </row>
    <row r="1250" spans="1:25" x14ac:dyDescent="0.25">
      <c r="A1250" s="879"/>
      <c r="B1250" s="1133">
        <v>1000</v>
      </c>
      <c r="C1250" s="883">
        <v>0.96436894016988062</v>
      </c>
      <c r="D1250" s="883">
        <v>0.98243452065668768</v>
      </c>
      <c r="E1250" s="883">
        <v>1.0092701416559915</v>
      </c>
      <c r="F1250" s="883">
        <v>1.0319145828035741</v>
      </c>
      <c r="G1250" s="883">
        <v>1.0095084093936304</v>
      </c>
      <c r="H1250" s="883">
        <v>0.99881304578265173</v>
      </c>
      <c r="I1250" s="883">
        <v>1.0012652075420707</v>
      </c>
      <c r="K1250">
        <v>6.776631095569094</v>
      </c>
      <c r="L1250">
        <v>0</v>
      </c>
      <c r="M1250">
        <v>1.0789209010867093E-2</v>
      </c>
      <c r="N1250">
        <v>0.20393279084304783</v>
      </c>
      <c r="O1250">
        <v>0.12720792348585441</v>
      </c>
      <c r="P1250">
        <v>8.39060953223522E-2</v>
      </c>
      <c r="Q1250">
        <v>0</v>
      </c>
      <c r="R1250">
        <v>1.0789209010867093E-2</v>
      </c>
      <c r="S1250">
        <v>0.28040547608580574</v>
      </c>
      <c r="T1250">
        <v>5.9133340542636113</v>
      </c>
      <c r="U1250">
        <v>0</v>
      </c>
      <c r="V1250">
        <v>1.9356517813289838E-2</v>
      </c>
      <c r="W1250">
        <v>0.10684396994280335</v>
      </c>
      <c r="X1250">
        <v>-2.7837744868075883E-3</v>
      </c>
      <c r="Y1250">
        <v>4.4428042299136529E-2</v>
      </c>
    </row>
    <row r="1251" spans="1:25" x14ac:dyDescent="0.25">
      <c r="A1251" s="879"/>
      <c r="B1251" s="1133">
        <v>1001</v>
      </c>
      <c r="C1251" s="883">
        <v>0.99001342970648776</v>
      </c>
      <c r="D1251" s="883">
        <v>1.0310147914515468</v>
      </c>
      <c r="E1251" s="883">
        <v>1.0355038842336912</v>
      </c>
      <c r="F1251" s="883">
        <v>1.0160884389722362</v>
      </c>
      <c r="G1251" s="883">
        <v>1.0026359764888704</v>
      </c>
      <c r="H1251" s="883">
        <v>0.96879218298212333</v>
      </c>
      <c r="I1251" s="883">
        <v>0.98104918519990814</v>
      </c>
      <c r="K1251">
        <v>6.7321132987856993</v>
      </c>
      <c r="L1251">
        <v>0</v>
      </c>
      <c r="M1251">
        <v>9.758554434794826E-3</v>
      </c>
      <c r="N1251">
        <v>0.19174929536756979</v>
      </c>
      <c r="O1251">
        <v>0.12104777637034564</v>
      </c>
      <c r="P1251">
        <v>8.5298838751395059E-2</v>
      </c>
      <c r="Q1251">
        <v>0</v>
      </c>
      <c r="R1251">
        <v>9.758554434794826E-3</v>
      </c>
      <c r="S1251">
        <v>0.26443514210338193</v>
      </c>
      <c r="T1251">
        <v>5.9109718555020851</v>
      </c>
      <c r="U1251">
        <v>0</v>
      </c>
      <c r="V1251">
        <v>1.9210085878960302E-2</v>
      </c>
      <c r="W1251">
        <v>9.9172205258923604E-2</v>
      </c>
      <c r="X1251">
        <v>4.4109348490171705E-5</v>
      </c>
      <c r="Y1251">
        <v>4.0183990204546743E-2</v>
      </c>
    </row>
    <row r="1252" spans="1:25" x14ac:dyDescent="0.25">
      <c r="A1252" s="879"/>
      <c r="B1252" s="1133">
        <v>1002</v>
      </c>
      <c r="C1252" s="883">
        <v>0.98610122606946982</v>
      </c>
      <c r="D1252" s="883">
        <v>1.0057940129135625</v>
      </c>
      <c r="E1252" s="883">
        <v>0.99353184669794758</v>
      </c>
      <c r="F1252" s="883">
        <v>1.0179558064832677</v>
      </c>
      <c r="G1252" s="883">
        <v>0.99087435001086821</v>
      </c>
      <c r="H1252" s="883">
        <v>0.9902711655254115</v>
      </c>
      <c r="I1252" s="883">
        <v>1.032734605225559</v>
      </c>
      <c r="K1252">
        <v>6.758833501950237</v>
      </c>
      <c r="L1252">
        <v>0</v>
      </c>
      <c r="M1252">
        <v>1.0499796554515977E-2</v>
      </c>
      <c r="N1252">
        <v>0.19388909481921471</v>
      </c>
      <c r="O1252">
        <v>0.12353916160639736</v>
      </c>
      <c r="P1252">
        <v>8.2933124212693984E-2</v>
      </c>
      <c r="Q1252">
        <v>0</v>
      </c>
      <c r="R1252">
        <v>1.0499796554515977E-2</v>
      </c>
      <c r="S1252">
        <v>0.28172591919650519</v>
      </c>
      <c r="T1252">
        <v>5.9134657374051676</v>
      </c>
      <c r="U1252">
        <v>0</v>
      </c>
      <c r="V1252">
        <v>1.923193253186662E-2</v>
      </c>
      <c r="W1252">
        <v>0.10237853716156918</v>
      </c>
      <c r="X1252">
        <v>-1.5662983005576751E-3</v>
      </c>
      <c r="Y1252">
        <v>4.3236293317379521E-2</v>
      </c>
    </row>
    <row r="1253" spans="1:25" x14ac:dyDescent="0.25">
      <c r="A1253" s="879"/>
      <c r="B1253" s="1133">
        <v>1003</v>
      </c>
      <c r="C1253" s="883">
        <v>0.9887802137044569</v>
      </c>
      <c r="D1253" s="883">
        <v>0.97733691745800499</v>
      </c>
      <c r="E1253" s="883">
        <v>0.98678832250379678</v>
      </c>
      <c r="F1253" s="883">
        <v>0.96417610156345956</v>
      </c>
      <c r="G1253" s="883">
        <v>1.0187330614057579</v>
      </c>
      <c r="H1253" s="883">
        <v>1.0049362385246026</v>
      </c>
      <c r="I1253" s="883">
        <v>0.99617731058096004</v>
      </c>
      <c r="K1253">
        <v>6.7546126840146803</v>
      </c>
      <c r="L1253">
        <v>0</v>
      </c>
      <c r="M1253">
        <v>1.0821394168851181E-2</v>
      </c>
      <c r="N1253">
        <v>0.1978398491712699</v>
      </c>
      <c r="O1253">
        <v>0.12475540663288653</v>
      </c>
      <c r="P1253">
        <v>8.2354451313040353E-2</v>
      </c>
      <c r="Q1253">
        <v>0</v>
      </c>
      <c r="R1253">
        <v>1.0821394168851181E-2</v>
      </c>
      <c r="S1253">
        <v>0.27269640444481075</v>
      </c>
      <c r="T1253">
        <v>5.9109341182721309</v>
      </c>
      <c r="U1253">
        <v>0</v>
      </c>
      <c r="V1253">
        <v>1.9216953784910576E-2</v>
      </c>
      <c r="W1253">
        <v>0.10481649879313114</v>
      </c>
      <c r="X1253">
        <v>-2.5615734484718904E-3</v>
      </c>
      <c r="Y1253">
        <v>4.4560575050970427E-2</v>
      </c>
    </row>
    <row r="1254" spans="1:25" x14ac:dyDescent="0.25">
      <c r="A1254" s="879"/>
      <c r="B1254" s="1133">
        <v>1004</v>
      </c>
      <c r="C1254" s="883">
        <v>0.95462193804912199</v>
      </c>
      <c r="D1254" s="883">
        <v>0.9887333881536694</v>
      </c>
      <c r="E1254" s="883">
        <v>1.0057918095671752</v>
      </c>
      <c r="F1254" s="883">
        <v>1.0205578869817522</v>
      </c>
      <c r="G1254" s="883">
        <v>0.97091866137123362</v>
      </c>
      <c r="H1254" s="883">
        <v>0.96907388313029519</v>
      </c>
      <c r="I1254" s="883">
        <v>1.0102528311642593</v>
      </c>
      <c r="K1254">
        <v>6.7720988803688753</v>
      </c>
      <c r="L1254">
        <v>0</v>
      </c>
      <c r="M1254">
        <v>1.0578042710727603E-2</v>
      </c>
      <c r="N1254">
        <v>0.19891432665636444</v>
      </c>
      <c r="O1254">
        <v>0.12824749889406323</v>
      </c>
      <c r="P1254">
        <v>8.3714091703022173E-2</v>
      </c>
      <c r="Q1254">
        <v>0</v>
      </c>
      <c r="R1254">
        <v>1.0578042710727603E-2</v>
      </c>
      <c r="S1254">
        <v>0.28275354213108861</v>
      </c>
      <c r="T1254">
        <v>5.912917390149917</v>
      </c>
      <c r="U1254">
        <v>0</v>
      </c>
      <c r="V1254">
        <v>1.9414237302150611E-2</v>
      </c>
      <c r="W1254">
        <v>0.10439433650484493</v>
      </c>
      <c r="X1254">
        <v>-1.8150400339405851E-3</v>
      </c>
      <c r="Y1254">
        <v>4.3558497061362354E-2</v>
      </c>
    </row>
    <row r="1255" spans="1:25" x14ac:dyDescent="0.25">
      <c r="A1255" s="879"/>
      <c r="B1255" s="1133">
        <v>1005</v>
      </c>
      <c r="C1255" s="883">
        <v>0.96190113458852544</v>
      </c>
      <c r="D1255" s="883">
        <v>1.0233178861092276</v>
      </c>
      <c r="E1255" s="883">
        <v>0.99789935297904575</v>
      </c>
      <c r="F1255" s="883">
        <v>0.99410373262081719</v>
      </c>
      <c r="G1255" s="883">
        <v>1.0168904467980218</v>
      </c>
      <c r="H1255" s="883">
        <v>1.0303233416736681</v>
      </c>
      <c r="I1255" s="883">
        <v>1.0364679005707906</v>
      </c>
      <c r="K1255">
        <v>6.7903301883872311</v>
      </c>
      <c r="L1255">
        <v>0</v>
      </c>
      <c r="M1255">
        <v>1.1074493730251354E-2</v>
      </c>
      <c r="N1255">
        <v>0.20582935960284338</v>
      </c>
      <c r="O1255">
        <v>0.12569109364413866</v>
      </c>
      <c r="P1255">
        <v>8.3350143734059065E-2</v>
      </c>
      <c r="Q1255">
        <v>0</v>
      </c>
      <c r="R1255">
        <v>1.1074493730251354E-2</v>
      </c>
      <c r="S1255">
        <v>0.29372221418310418</v>
      </c>
      <c r="T1255">
        <v>5.9119321865312697</v>
      </c>
      <c r="U1255">
        <v>0</v>
      </c>
      <c r="V1255">
        <v>1.9371020996449894E-2</v>
      </c>
      <c r="W1255">
        <v>0.10844741436240406</v>
      </c>
      <c r="X1255">
        <v>-3.6160386618152196E-3</v>
      </c>
      <c r="Y1255">
        <v>4.5602793994773808E-2</v>
      </c>
    </row>
    <row r="1256" spans="1:25" x14ac:dyDescent="0.25">
      <c r="A1256" s="879"/>
      <c r="B1256" s="1133">
        <v>1006</v>
      </c>
      <c r="C1256" s="883">
        <v>1.0184553481901335</v>
      </c>
      <c r="D1256" s="883">
        <v>1.015524716984872</v>
      </c>
      <c r="E1256" s="883">
        <v>1.0408213655005163</v>
      </c>
      <c r="F1256" s="883">
        <v>1.0217081772188161</v>
      </c>
      <c r="G1256" s="883">
        <v>1.0095621477867771</v>
      </c>
      <c r="H1256" s="883">
        <v>0.95252283766519852</v>
      </c>
      <c r="I1256" s="883">
        <v>1.0163393437362642</v>
      </c>
      <c r="K1256">
        <v>6.7191924028293073</v>
      </c>
      <c r="L1256">
        <v>0</v>
      </c>
      <c r="M1256">
        <v>9.3436634210150599E-3</v>
      </c>
      <c r="N1256">
        <v>0.18504488835338873</v>
      </c>
      <c r="O1256">
        <v>0.11828301823094607</v>
      </c>
      <c r="P1256">
        <v>8.5635321658583091E-2</v>
      </c>
      <c r="Q1256">
        <v>0</v>
      </c>
      <c r="R1256">
        <v>9.3436634210150599E-3</v>
      </c>
      <c r="S1256">
        <v>0.26490840053606346</v>
      </c>
      <c r="T1256">
        <v>5.9109653200530392</v>
      </c>
      <c r="U1256">
        <v>0</v>
      </c>
      <c r="V1256">
        <v>1.9056305173339384E-2</v>
      </c>
      <c r="W1256">
        <v>9.5456194766058891E-2</v>
      </c>
      <c r="X1256">
        <v>1.367411200240243E-3</v>
      </c>
      <c r="Y1256">
        <v>3.8475542857649196E-2</v>
      </c>
    </row>
    <row r="1257" spans="1:25" x14ac:dyDescent="0.25">
      <c r="A1257" s="879"/>
      <c r="B1257" s="1133">
        <v>1007</v>
      </c>
      <c r="C1257" s="883">
        <v>0.97947956916388879</v>
      </c>
      <c r="D1257" s="883">
        <v>1.0164281674667239</v>
      </c>
      <c r="E1257" s="883">
        <v>1.0219370743329683</v>
      </c>
      <c r="F1257" s="883">
        <v>0.99553111764055158</v>
      </c>
      <c r="G1257" s="883">
        <v>0.97000836536709389</v>
      </c>
      <c r="H1257" s="883">
        <v>1.0039067224621159</v>
      </c>
      <c r="I1257" s="883">
        <v>0.97511302213756257</v>
      </c>
      <c r="K1257">
        <v>6.7524039077430054</v>
      </c>
      <c r="L1257">
        <v>0</v>
      </c>
      <c r="M1257">
        <v>1.0406509957652268E-2</v>
      </c>
      <c r="N1257">
        <v>0.20042091787032842</v>
      </c>
      <c r="O1257">
        <v>0.12331028982620754</v>
      </c>
      <c r="P1257">
        <v>8.4509262677320798E-2</v>
      </c>
      <c r="Q1257">
        <v>0</v>
      </c>
      <c r="R1257">
        <v>1.0406509957652268E-2</v>
      </c>
      <c r="S1257">
        <v>0.26902706847571101</v>
      </c>
      <c r="T1257">
        <v>5.9106453384358826</v>
      </c>
      <c r="U1257">
        <v>0</v>
      </c>
      <c r="V1257">
        <v>1.9269307070060589E-2</v>
      </c>
      <c r="W1257">
        <v>0.10434971911722901</v>
      </c>
      <c r="X1257">
        <v>-1.9801514456258573E-3</v>
      </c>
      <c r="Y1257">
        <v>4.2852155715890024E-2</v>
      </c>
    </row>
    <row r="1258" spans="1:25" x14ac:dyDescent="0.25">
      <c r="A1258" s="879"/>
      <c r="B1258" s="1133">
        <v>1008</v>
      </c>
      <c r="C1258" s="883">
        <v>1.0021903822948206</v>
      </c>
      <c r="D1258" s="883">
        <v>0.95933200652942363</v>
      </c>
      <c r="E1258" s="883">
        <v>1.0407235076075703</v>
      </c>
      <c r="F1258" s="883">
        <v>0.99318274345791413</v>
      </c>
      <c r="G1258" s="883">
        <v>0.96885777090011105</v>
      </c>
      <c r="H1258" s="883">
        <v>0.99418496595486516</v>
      </c>
      <c r="I1258" s="883">
        <v>0.99206913280551146</v>
      </c>
      <c r="K1258">
        <v>6.7495818049932375</v>
      </c>
      <c r="L1258">
        <v>0</v>
      </c>
      <c r="M1258">
        <v>1.015621645634473E-2</v>
      </c>
      <c r="N1258">
        <v>0.20110787778134112</v>
      </c>
      <c r="O1258">
        <v>0.12297292248427061</v>
      </c>
      <c r="P1258">
        <v>8.564106397261867E-2</v>
      </c>
      <c r="Q1258">
        <v>0</v>
      </c>
      <c r="R1258">
        <v>1.015621645634473E-2</v>
      </c>
      <c r="S1258">
        <v>0.26721268785244745</v>
      </c>
      <c r="T1258">
        <v>5.9094304388241126</v>
      </c>
      <c r="U1258">
        <v>0</v>
      </c>
      <c r="V1258">
        <v>1.9143178604386298E-2</v>
      </c>
      <c r="W1258">
        <v>0.1037473150675237</v>
      </c>
      <c r="X1258">
        <v>-1.4951712215491568E-3</v>
      </c>
      <c r="Y1258">
        <v>4.1821491628088049E-2</v>
      </c>
    </row>
    <row r="1259" spans="1:25" x14ac:dyDescent="0.25">
      <c r="A1259" s="879"/>
      <c r="B1259" s="1133">
        <v>1009</v>
      </c>
      <c r="C1259" s="883">
        <v>0.96513335846005766</v>
      </c>
      <c r="D1259" s="883">
        <v>0.96362126935426462</v>
      </c>
      <c r="E1259" s="883">
        <v>0.99722779637113401</v>
      </c>
      <c r="F1259" s="883">
        <v>0.99916325339018042</v>
      </c>
      <c r="G1259" s="883">
        <v>0.97696275735677252</v>
      </c>
      <c r="H1259" s="883">
        <v>0.9732419861167122</v>
      </c>
      <c r="I1259" s="883">
        <v>1.006048763092021</v>
      </c>
      <c r="K1259">
        <v>6.7676905801699396</v>
      </c>
      <c r="L1259">
        <v>0</v>
      </c>
      <c r="M1259">
        <v>1.070416620611579E-2</v>
      </c>
      <c r="N1259">
        <v>0.19874862286085423</v>
      </c>
      <c r="O1259">
        <v>0.12833172699105916</v>
      </c>
      <c r="P1259">
        <v>8.3117019104533382E-2</v>
      </c>
      <c r="Q1259">
        <v>0</v>
      </c>
      <c r="R1259">
        <v>1.070416620611579E-2</v>
      </c>
      <c r="S1259">
        <v>0.27916316051381113</v>
      </c>
      <c r="T1259">
        <v>5.9122432753877652</v>
      </c>
      <c r="U1259">
        <v>0</v>
      </c>
      <c r="V1259">
        <v>1.9352040406332659E-2</v>
      </c>
      <c r="W1259">
        <v>0.10475167986425081</v>
      </c>
      <c r="X1259">
        <v>-2.0947961248875321E-3</v>
      </c>
      <c r="Y1259">
        <v>4.4077851166225611E-2</v>
      </c>
    </row>
    <row r="1260" spans="1:25" x14ac:dyDescent="0.25">
      <c r="A1260" s="879"/>
      <c r="B1260" s="1133">
        <v>1010</v>
      </c>
      <c r="C1260" s="883">
        <v>0.99714706133992126</v>
      </c>
      <c r="D1260" s="883">
        <v>1.0028413395211078</v>
      </c>
      <c r="E1260" s="883">
        <v>0.98304738069781084</v>
      </c>
      <c r="F1260" s="883">
        <v>1.0271243328504243</v>
      </c>
      <c r="G1260" s="883">
        <v>1.0290887052605828</v>
      </c>
      <c r="H1260" s="883">
        <v>1.0147032990319826</v>
      </c>
      <c r="I1260" s="883">
        <v>0.99027093689976575</v>
      </c>
      <c r="K1260">
        <v>6.7489114272517616</v>
      </c>
      <c r="L1260">
        <v>0</v>
      </c>
      <c r="M1260">
        <v>1.0750965146338795E-2</v>
      </c>
      <c r="N1260">
        <v>0.19546472758711583</v>
      </c>
      <c r="O1260">
        <v>0.12251011292444848</v>
      </c>
      <c r="P1260">
        <v>8.2122913223314137E-2</v>
      </c>
      <c r="Q1260">
        <v>0</v>
      </c>
      <c r="R1260">
        <v>1.0750965146338795E-2</v>
      </c>
      <c r="S1260">
        <v>0.26944366492423366</v>
      </c>
      <c r="T1260">
        <v>5.9145439010174981</v>
      </c>
      <c r="U1260">
        <v>0</v>
      </c>
      <c r="V1260">
        <v>1.9170691303841584E-2</v>
      </c>
      <c r="W1260">
        <v>0.10375191703413164</v>
      </c>
      <c r="X1260">
        <v>-2.3670616349911679E-3</v>
      </c>
      <c r="Y1260">
        <v>4.4270560872163106E-2</v>
      </c>
    </row>
    <row r="1261" spans="1:25" x14ac:dyDescent="0.25">
      <c r="A1261" s="879"/>
      <c r="B1261" s="1133">
        <v>1011</v>
      </c>
      <c r="C1261" s="883">
        <v>1.0036639482953453</v>
      </c>
      <c r="D1261" s="883">
        <v>0.99120567191587328</v>
      </c>
      <c r="E1261" s="883">
        <v>0.99850811264001171</v>
      </c>
      <c r="F1261" s="883">
        <v>1.0205896845858646</v>
      </c>
      <c r="G1261" s="883">
        <v>0.99559143103053216</v>
      </c>
      <c r="H1261" s="883">
        <v>0.95517085951505865</v>
      </c>
      <c r="I1261" s="883">
        <v>1.0043091472129431</v>
      </c>
      <c r="K1261">
        <v>6.7278103602382329</v>
      </c>
      <c r="L1261">
        <v>0</v>
      </c>
      <c r="M1261">
        <v>9.9694644107119531E-3</v>
      </c>
      <c r="N1261">
        <v>0.18545860818018731</v>
      </c>
      <c r="O1261">
        <v>0.12199576942607682</v>
      </c>
      <c r="P1261">
        <v>8.3033122364158482E-2</v>
      </c>
      <c r="Q1261">
        <v>0</v>
      </c>
      <c r="R1261">
        <v>9.9694644107119531E-3</v>
      </c>
      <c r="S1261">
        <v>0.26600376275437854</v>
      </c>
      <c r="T1261">
        <v>5.9133294442859698</v>
      </c>
      <c r="U1261">
        <v>0</v>
      </c>
      <c r="V1261">
        <v>1.9135192093677082E-2</v>
      </c>
      <c r="W1261">
        <v>9.7684909464126016E-2</v>
      </c>
      <c r="X1261">
        <v>1.1707172485951843E-4</v>
      </c>
      <c r="Y1261">
        <v>4.1052479944797216E-2</v>
      </c>
    </row>
    <row r="1262" spans="1:25" x14ac:dyDescent="0.25">
      <c r="A1262" s="879"/>
      <c r="B1262" s="1133">
        <v>1012</v>
      </c>
      <c r="C1262" s="883">
        <v>1.0360490336346289</v>
      </c>
      <c r="D1262" s="883">
        <v>1.0069903070063086</v>
      </c>
      <c r="E1262" s="883">
        <v>1.0030249838545038</v>
      </c>
      <c r="F1262" s="883">
        <v>0.99011353713542716</v>
      </c>
      <c r="G1262" s="883">
        <v>0.97881414673076639</v>
      </c>
      <c r="H1262" s="883">
        <v>1.0132925537816235</v>
      </c>
      <c r="I1262" s="883">
        <v>0.97094175384949444</v>
      </c>
      <c r="K1262">
        <v>6.7153419581932932</v>
      </c>
      <c r="L1262">
        <v>0</v>
      </c>
      <c r="M1262">
        <v>1.0136332620483244E-2</v>
      </c>
      <c r="N1262">
        <v>0.1898287590521556</v>
      </c>
      <c r="O1262">
        <v>0.11735637232607225</v>
      </c>
      <c r="P1262">
        <v>8.3129606549722165E-2</v>
      </c>
      <c r="Q1262">
        <v>0</v>
      </c>
      <c r="R1262">
        <v>1.0136332620483244E-2</v>
      </c>
      <c r="S1262">
        <v>0.25413221329417601</v>
      </c>
      <c r="T1262">
        <v>5.911428393282768</v>
      </c>
      <c r="U1262">
        <v>0</v>
      </c>
      <c r="V1262">
        <v>1.8965405868715732E-2</v>
      </c>
      <c r="W1262">
        <v>9.9762786942347609E-2</v>
      </c>
      <c r="X1262">
        <v>-1.0011926538659786E-3</v>
      </c>
      <c r="Y1262">
        <v>4.1739613531201286E-2</v>
      </c>
    </row>
    <row r="1263" spans="1:25" x14ac:dyDescent="0.25">
      <c r="A1263" s="879"/>
      <c r="B1263" s="1133">
        <v>1013</v>
      </c>
      <c r="C1263" s="883">
        <v>1.0353349546124426</v>
      </c>
      <c r="D1263" s="883">
        <v>0.99149017607979706</v>
      </c>
      <c r="E1263" s="883">
        <v>0.99369348624320641</v>
      </c>
      <c r="F1263" s="883">
        <v>0.98988102486739205</v>
      </c>
      <c r="G1263" s="883">
        <v>0.97736991710621857</v>
      </c>
      <c r="H1263" s="883">
        <v>1.0180776395091391</v>
      </c>
      <c r="I1263" s="883">
        <v>1.0116601331202071</v>
      </c>
      <c r="K1263">
        <v>6.7305712628846077</v>
      </c>
      <c r="L1263">
        <v>0</v>
      </c>
      <c r="M1263">
        <v>1.0343119134008835E-2</v>
      </c>
      <c r="N1263">
        <v>0.19104165593869898</v>
      </c>
      <c r="O1263">
        <v>0.11833760806103805</v>
      </c>
      <c r="P1263">
        <v>8.2703916728284324E-2</v>
      </c>
      <c r="Q1263">
        <v>0</v>
      </c>
      <c r="R1263">
        <v>1.0343119134008835E-2</v>
      </c>
      <c r="S1263">
        <v>0.26555917825232167</v>
      </c>
      <c r="T1263">
        <v>5.911939320025061</v>
      </c>
      <c r="U1263">
        <v>0</v>
      </c>
      <c r="V1263">
        <v>1.8969035070611477E-2</v>
      </c>
      <c r="W1263">
        <v>0.10086689596212373</v>
      </c>
      <c r="X1263">
        <v>-1.4374707408094922E-3</v>
      </c>
      <c r="Y1263">
        <v>4.2591123587272336E-2</v>
      </c>
    </row>
    <row r="1264" spans="1:25" x14ac:dyDescent="0.25">
      <c r="A1264" s="879"/>
      <c r="B1264" s="1133">
        <v>1014</v>
      </c>
      <c r="C1264" s="883">
        <v>0.97175710768179879</v>
      </c>
      <c r="D1264" s="883">
        <v>1.0036654597321351</v>
      </c>
      <c r="E1264" s="883">
        <v>1.0000426240259015</v>
      </c>
      <c r="F1264" s="883">
        <v>0.98022777809079153</v>
      </c>
      <c r="G1264" s="883">
        <v>0.99777979720625343</v>
      </c>
      <c r="H1264" s="883">
        <v>1.0268384092169065</v>
      </c>
      <c r="I1264" s="883">
        <v>0.96127218579626927</v>
      </c>
      <c r="K1264">
        <v>6.7630798721676832</v>
      </c>
      <c r="L1264">
        <v>0</v>
      </c>
      <c r="M1264">
        <v>1.0995561558944274E-2</v>
      </c>
      <c r="N1264">
        <v>0.20501231021789576</v>
      </c>
      <c r="O1264">
        <v>0.12534382827264123</v>
      </c>
      <c r="P1264">
        <v>8.3148909211551478E-2</v>
      </c>
      <c r="Q1264">
        <v>0</v>
      </c>
      <c r="R1264">
        <v>1.0995561558944274E-2</v>
      </c>
      <c r="S1264">
        <v>0.26953748336253447</v>
      </c>
      <c r="T1264">
        <v>5.9110619760128458</v>
      </c>
      <c r="U1264">
        <v>0</v>
      </c>
      <c r="V1264">
        <v>1.9313538266231764E-2</v>
      </c>
      <c r="W1264">
        <v>0.107901964618471</v>
      </c>
      <c r="X1264">
        <v>-3.5179031572218208E-3</v>
      </c>
      <c r="Y1264">
        <v>4.5277765362733993E-2</v>
      </c>
    </row>
    <row r="1265" spans="1:25" x14ac:dyDescent="0.25">
      <c r="A1265" s="879"/>
      <c r="B1265" s="1133">
        <v>1015</v>
      </c>
      <c r="C1265" s="883">
        <v>1.0127824564965577</v>
      </c>
      <c r="D1265" s="883">
        <v>1.0067598482747067</v>
      </c>
      <c r="E1265" s="883">
        <v>1.0024959766455315</v>
      </c>
      <c r="F1265" s="883">
        <v>0.99143057864002815</v>
      </c>
      <c r="G1265" s="883">
        <v>0.99886738148707077</v>
      </c>
      <c r="H1265" s="883">
        <v>0.97922975837751358</v>
      </c>
      <c r="I1265" s="883">
        <v>0.98629877303544056</v>
      </c>
      <c r="K1265">
        <v>6.7220298114236483</v>
      </c>
      <c r="L1265">
        <v>0</v>
      </c>
      <c r="M1265">
        <v>1.0026239348360284E-2</v>
      </c>
      <c r="N1265">
        <v>0.18761991291730876</v>
      </c>
      <c r="O1265">
        <v>0.12007315819655422</v>
      </c>
      <c r="P1265">
        <v>8.3191167842222982E-2</v>
      </c>
      <c r="Q1265">
        <v>0</v>
      </c>
      <c r="R1265">
        <v>1.0026239348360284E-2</v>
      </c>
      <c r="S1265">
        <v>0.26096561329822493</v>
      </c>
      <c r="T1265">
        <v>5.9115293733451386</v>
      </c>
      <c r="U1265">
        <v>0</v>
      </c>
      <c r="V1265">
        <v>1.908628798592751E-2</v>
      </c>
      <c r="W1265">
        <v>9.8627827020330364E-2</v>
      </c>
      <c r="X1265">
        <v>-3.4979821453125736E-4</v>
      </c>
      <c r="Y1265">
        <v>4.128626903247086E-2</v>
      </c>
    </row>
    <row r="1266" spans="1:25" x14ac:dyDescent="0.25">
      <c r="A1266" s="879"/>
      <c r="B1266" s="1133">
        <v>1016</v>
      </c>
      <c r="C1266" s="883">
        <v>0.9938806852563784</v>
      </c>
      <c r="D1266" s="883">
        <v>0.98913459353141842</v>
      </c>
      <c r="E1266" s="883">
        <v>0.98352700397600157</v>
      </c>
      <c r="F1266" s="883">
        <v>0.97611110394064904</v>
      </c>
      <c r="G1266" s="883">
        <v>0.99749804072573989</v>
      </c>
      <c r="H1266" s="883">
        <v>0.99789117561619334</v>
      </c>
      <c r="I1266" s="883">
        <v>1.0043740773972882</v>
      </c>
      <c r="K1266">
        <v>6.7483758498112634</v>
      </c>
      <c r="L1266">
        <v>0</v>
      </c>
      <c r="M1266">
        <v>1.0665844940644898E-2</v>
      </c>
      <c r="N1266">
        <v>0.19405515409159019</v>
      </c>
      <c r="O1266">
        <v>0.12358221728293818</v>
      </c>
      <c r="P1266">
        <v>8.2159926851923387E-2</v>
      </c>
      <c r="Q1266">
        <v>0</v>
      </c>
      <c r="R1266">
        <v>1.0665844940644898E-2</v>
      </c>
      <c r="S1266">
        <v>0.27272006614600974</v>
      </c>
      <c r="T1266">
        <v>5.9117597701282847</v>
      </c>
      <c r="U1266">
        <v>0</v>
      </c>
      <c r="V1266">
        <v>1.9188659263488405E-2</v>
      </c>
      <c r="W1266">
        <v>0.10297902052488092</v>
      </c>
      <c r="X1266">
        <v>-1.9890154938047053E-3</v>
      </c>
      <c r="Y1266">
        <v>4.3920051015947467E-2</v>
      </c>
    </row>
    <row r="1267" spans="1:25" x14ac:dyDescent="0.25">
      <c r="A1267" s="879"/>
      <c r="B1267" s="1133">
        <v>1017</v>
      </c>
      <c r="C1267" s="883">
        <v>0.99868222484154634</v>
      </c>
      <c r="D1267" s="883">
        <v>0.97500433846574375</v>
      </c>
      <c r="E1267" s="883">
        <v>0.98929516941143747</v>
      </c>
      <c r="F1267" s="883">
        <v>0.96863491396273915</v>
      </c>
      <c r="G1267" s="883">
        <v>1.0035166074800415</v>
      </c>
      <c r="H1267" s="883">
        <v>1.0199422112370482</v>
      </c>
      <c r="I1267" s="883">
        <v>1.0009430327444138</v>
      </c>
      <c r="K1267">
        <v>6.755696980483104</v>
      </c>
      <c r="L1267">
        <v>0</v>
      </c>
      <c r="M1267">
        <v>1.0861449850823397E-2</v>
      </c>
      <c r="N1267">
        <v>0.19931165274775944</v>
      </c>
      <c r="O1267">
        <v>0.12358932200918593</v>
      </c>
      <c r="P1267">
        <v>8.2513562206754501E-2</v>
      </c>
      <c r="Q1267">
        <v>0</v>
      </c>
      <c r="R1267">
        <v>1.0861449850823397E-2</v>
      </c>
      <c r="S1267">
        <v>0.27274769587926678</v>
      </c>
      <c r="T1267">
        <v>5.9110359898834348</v>
      </c>
      <c r="U1267">
        <v>0</v>
      </c>
      <c r="V1267">
        <v>1.9162287147097688E-2</v>
      </c>
      <c r="W1267">
        <v>0.1054642402016885</v>
      </c>
      <c r="X1267">
        <v>-2.8532868117695552E-3</v>
      </c>
      <c r="Y1267">
        <v>4.4725517219686414E-2</v>
      </c>
    </row>
    <row r="1268" spans="1:25" x14ac:dyDescent="0.25">
      <c r="A1268" s="879"/>
      <c r="B1268" s="1133">
        <v>1018</v>
      </c>
      <c r="C1268" s="883">
        <v>0.98331874211824644</v>
      </c>
      <c r="D1268" s="883">
        <v>1.0212944154798673</v>
      </c>
      <c r="E1268" s="883">
        <v>1.024407460591481</v>
      </c>
      <c r="F1268" s="883">
        <v>1.0071927596165404</v>
      </c>
      <c r="G1268" s="883">
        <v>1.0045661465604698</v>
      </c>
      <c r="H1268" s="883">
        <v>0.98785291734835534</v>
      </c>
      <c r="I1268" s="883">
        <v>1.0096879289312195</v>
      </c>
      <c r="K1268">
        <v>6.7527532609382632</v>
      </c>
      <c r="L1268">
        <v>0</v>
      </c>
      <c r="M1268">
        <v>1.0157286451267435E-2</v>
      </c>
      <c r="N1268">
        <v>0.19633709645001743</v>
      </c>
      <c r="O1268">
        <v>0.12254721583849072</v>
      </c>
      <c r="P1268">
        <v>8.4764049402658595E-2</v>
      </c>
      <c r="Q1268">
        <v>0</v>
      </c>
      <c r="R1268">
        <v>1.0157286451267435E-2</v>
      </c>
      <c r="S1268">
        <v>0.27589521492452085</v>
      </c>
      <c r="T1268">
        <v>5.9111333415110279</v>
      </c>
      <c r="U1268">
        <v>0</v>
      </c>
      <c r="V1268">
        <v>1.9247576354861091E-2</v>
      </c>
      <c r="W1268">
        <v>0.10209930711103817</v>
      </c>
      <c r="X1268">
        <v>-1.0964383310810319E-3</v>
      </c>
      <c r="Y1268">
        <v>4.1825897676727751E-2</v>
      </c>
    </row>
    <row r="1269" spans="1:25" x14ac:dyDescent="0.25">
      <c r="A1269" s="879"/>
      <c r="B1269" s="1133">
        <v>1019</v>
      </c>
      <c r="C1269" s="883">
        <v>0.97747007917321305</v>
      </c>
      <c r="D1269" s="883">
        <v>0.997481849276322</v>
      </c>
      <c r="E1269" s="883">
        <v>0.99182481668774414</v>
      </c>
      <c r="F1269" s="883">
        <v>1.0288518924682957</v>
      </c>
      <c r="G1269" s="883">
        <v>1.0237104249279201</v>
      </c>
      <c r="H1269" s="883">
        <v>0.96729864145245248</v>
      </c>
      <c r="I1269" s="883">
        <v>0.97362760415010452</v>
      </c>
      <c r="K1269">
        <v>6.7414741713418174</v>
      </c>
      <c r="L1269">
        <v>0</v>
      </c>
      <c r="M1269">
        <v>1.0399106687963722E-2</v>
      </c>
      <c r="N1269">
        <v>0.19154447739813993</v>
      </c>
      <c r="O1269">
        <v>0.12507705696353444</v>
      </c>
      <c r="P1269">
        <v>8.2624078825693462E-2</v>
      </c>
      <c r="Q1269">
        <v>0</v>
      </c>
      <c r="R1269">
        <v>1.0399106687963722E-2</v>
      </c>
      <c r="S1269">
        <v>0.26586404548275933</v>
      </c>
      <c r="T1269">
        <v>5.9141499322344098</v>
      </c>
      <c r="U1269">
        <v>0</v>
      </c>
      <c r="V1269">
        <v>1.9280749362270345E-2</v>
      </c>
      <c r="W1269">
        <v>0.10122655481259621</v>
      </c>
      <c r="X1269">
        <v>-1.1143941066291154E-3</v>
      </c>
      <c r="Y1269">
        <v>4.282167036904546E-2</v>
      </c>
    </row>
    <row r="1270" spans="1:25" x14ac:dyDescent="0.25">
      <c r="A1270" s="879"/>
      <c r="B1270" s="1133">
        <v>1020</v>
      </c>
      <c r="C1270" s="883">
        <v>1.0083956157318352</v>
      </c>
      <c r="D1270" s="883">
        <v>0.97851057645690054</v>
      </c>
      <c r="E1270" s="883">
        <v>1.0174324417602778</v>
      </c>
      <c r="F1270" s="883">
        <v>1.0308987373905127</v>
      </c>
      <c r="G1270" s="883">
        <v>0.97273053480607086</v>
      </c>
      <c r="H1270" s="883">
        <v>1.024360062375707</v>
      </c>
      <c r="I1270" s="883">
        <v>0.96736729621611961</v>
      </c>
      <c r="K1270">
        <v>6.7465343876936839</v>
      </c>
      <c r="L1270">
        <v>0</v>
      </c>
      <c r="M1270">
        <v>1.052480788291933E-2</v>
      </c>
      <c r="N1270">
        <v>0.20135298044058653</v>
      </c>
      <c r="O1270">
        <v>0.12169493401115969</v>
      </c>
      <c r="P1270">
        <v>8.415167011977967E-2</v>
      </c>
      <c r="Q1270">
        <v>0</v>
      </c>
      <c r="R1270">
        <v>1.052480788291933E-2</v>
      </c>
      <c r="S1270">
        <v>0.26147013661045859</v>
      </c>
      <c r="T1270">
        <v>5.9128142067326594</v>
      </c>
      <c r="U1270">
        <v>0</v>
      </c>
      <c r="V1270">
        <v>1.9109704960957364E-2</v>
      </c>
      <c r="W1270">
        <v>0.10506791225236659</v>
      </c>
      <c r="X1270">
        <v>-2.4664429501814176E-3</v>
      </c>
      <c r="Y1270">
        <v>4.333928551589402E-2</v>
      </c>
    </row>
    <row r="1271" spans="1:25" x14ac:dyDescent="0.25">
      <c r="A1271" s="879"/>
      <c r="B1271" s="1133">
        <v>1021</v>
      </c>
      <c r="C1271" s="883">
        <v>1.0312399189009693</v>
      </c>
      <c r="D1271" s="883">
        <v>0.98208878809209965</v>
      </c>
      <c r="E1271" s="883">
        <v>0.99910417626277714</v>
      </c>
      <c r="F1271" s="883">
        <v>0.98638182923678475</v>
      </c>
      <c r="G1271" s="883">
        <v>0.99247362043050358</v>
      </c>
      <c r="H1271" s="883">
        <v>1.0386202500058614</v>
      </c>
      <c r="I1271" s="883">
        <v>1.0265720659110429</v>
      </c>
      <c r="K1271">
        <v>6.74745565704709</v>
      </c>
      <c r="L1271">
        <v>0</v>
      </c>
      <c r="M1271">
        <v>1.0586923376524296E-2</v>
      </c>
      <c r="N1271">
        <v>0.19711899646742079</v>
      </c>
      <c r="O1271">
        <v>0.11916229351340965</v>
      </c>
      <c r="P1271">
        <v>8.3131784437742079E-2</v>
      </c>
      <c r="Q1271">
        <v>0</v>
      </c>
      <c r="R1271">
        <v>1.0586923376524296E-2</v>
      </c>
      <c r="S1271">
        <v>0.27260089946092725</v>
      </c>
      <c r="T1271">
        <v>5.9114472642502145</v>
      </c>
      <c r="U1271">
        <v>0</v>
      </c>
      <c r="V1271">
        <v>1.898994454624036E-2</v>
      </c>
      <c r="W1271">
        <v>0.10379593292907677</v>
      </c>
      <c r="X1271">
        <v>-2.3865246203628606E-3</v>
      </c>
      <c r="Y1271">
        <v>4.3595066062413569E-2</v>
      </c>
    </row>
    <row r="1272" spans="1:25" x14ac:dyDescent="0.25">
      <c r="A1272" s="879"/>
      <c r="B1272" s="1133">
        <v>1022</v>
      </c>
      <c r="C1272" s="883">
        <v>1.0017476228347966</v>
      </c>
      <c r="D1272" s="883">
        <v>1.019819362018449</v>
      </c>
      <c r="E1272" s="883">
        <v>0.99509803915157258</v>
      </c>
      <c r="F1272" s="883">
        <v>1.009582875448886</v>
      </c>
      <c r="G1272" s="883">
        <v>1.0062180278576676</v>
      </c>
      <c r="H1272" s="883">
        <v>1.024678688880637</v>
      </c>
      <c r="I1272" s="883">
        <v>1.000774195952971</v>
      </c>
      <c r="K1272">
        <v>6.7493420301265594</v>
      </c>
      <c r="L1272">
        <v>0</v>
      </c>
      <c r="M1272">
        <v>1.0617177110099216E-2</v>
      </c>
      <c r="N1272">
        <v>0.19651227007037572</v>
      </c>
      <c r="O1272">
        <v>0.12090883249731509</v>
      </c>
      <c r="P1272">
        <v>8.2891383644534689E-2</v>
      </c>
      <c r="Q1272">
        <v>0</v>
      </c>
      <c r="R1272">
        <v>1.0617177110099216E-2</v>
      </c>
      <c r="S1272">
        <v>0.27183050137409814</v>
      </c>
      <c r="T1272">
        <v>5.9129256586910799</v>
      </c>
      <c r="U1272">
        <v>0</v>
      </c>
      <c r="V1272">
        <v>1.914558288602048E-2</v>
      </c>
      <c r="W1272">
        <v>0.10368277658493667</v>
      </c>
      <c r="X1272">
        <v>-2.274621174109434E-3</v>
      </c>
      <c r="Y1272">
        <v>4.3719645552311254E-2</v>
      </c>
    </row>
    <row r="1273" spans="1:25" x14ac:dyDescent="0.25">
      <c r="A1273" s="879"/>
      <c r="B1273" s="1133">
        <v>1023</v>
      </c>
      <c r="C1273" s="883">
        <v>1.0143261260835417</v>
      </c>
      <c r="D1273" s="883">
        <v>1.0021214911255945</v>
      </c>
      <c r="E1273" s="883">
        <v>1.00072658752023</v>
      </c>
      <c r="F1273" s="883">
        <v>1.0149164351761457</v>
      </c>
      <c r="G1273" s="883">
        <v>0.96164302406229962</v>
      </c>
      <c r="H1273" s="883">
        <v>0.99258202445917376</v>
      </c>
      <c r="I1273" s="883">
        <v>0.99584818690646937</v>
      </c>
      <c r="K1273">
        <v>6.7307472870968308</v>
      </c>
      <c r="L1273">
        <v>0</v>
      </c>
      <c r="M1273">
        <v>1.0183303203042842E-2</v>
      </c>
      <c r="N1273">
        <v>0.19006022944234841</v>
      </c>
      <c r="O1273">
        <v>0.12014476903392939</v>
      </c>
      <c r="P1273">
        <v>8.3143950221617219E-2</v>
      </c>
      <c r="Q1273">
        <v>0</v>
      </c>
      <c r="R1273">
        <v>1.0183303203042842E-2</v>
      </c>
      <c r="S1273">
        <v>0.2643640050319383</v>
      </c>
      <c r="T1273">
        <v>5.9128981813330563</v>
      </c>
      <c r="U1273">
        <v>0</v>
      </c>
      <c r="V1273">
        <v>1.9078096048861133E-2</v>
      </c>
      <c r="W1273">
        <v>9.9998425980957956E-2</v>
      </c>
      <c r="X1273">
        <v>-8.7340002560675107E-4</v>
      </c>
      <c r="Y1273">
        <v>4.193303002972968E-2</v>
      </c>
    </row>
    <row r="1274" spans="1:25" x14ac:dyDescent="0.25">
      <c r="A1274" s="879"/>
      <c r="B1274" s="1133">
        <v>1024</v>
      </c>
      <c r="C1274" s="883">
        <v>1.0236051260128061</v>
      </c>
      <c r="D1274" s="883">
        <v>0.98606674419306162</v>
      </c>
      <c r="E1274" s="883">
        <v>0.99294689910580192</v>
      </c>
      <c r="F1274" s="883">
        <v>1.0414700594402106</v>
      </c>
      <c r="G1274" s="883">
        <v>0.99032342766710491</v>
      </c>
      <c r="H1274" s="883">
        <v>1.0011893154269829</v>
      </c>
      <c r="I1274" s="883">
        <v>0.99988317387696568</v>
      </c>
      <c r="K1274">
        <v>6.7326384627021705</v>
      </c>
      <c r="L1274">
        <v>0</v>
      </c>
      <c r="M1274">
        <v>1.0319033588383833E-2</v>
      </c>
      <c r="N1274">
        <v>0.19038598778854623</v>
      </c>
      <c r="O1274">
        <v>0.11997027452207282</v>
      </c>
      <c r="P1274">
        <v>8.2674272839872567E-2</v>
      </c>
      <c r="Q1274">
        <v>0</v>
      </c>
      <c r="R1274">
        <v>1.0319033588383833E-2</v>
      </c>
      <c r="S1274">
        <v>0.26396897114284762</v>
      </c>
      <c r="T1274">
        <v>5.9147693155394521</v>
      </c>
      <c r="U1274">
        <v>0</v>
      </c>
      <c r="V1274">
        <v>1.9029374941735004E-2</v>
      </c>
      <c r="W1274">
        <v>0.1005580937421351</v>
      </c>
      <c r="X1274">
        <v>-1.2097714119450481E-3</v>
      </c>
      <c r="Y1274">
        <v>4.2491943597455901E-2</v>
      </c>
    </row>
    <row r="1275" spans="1:25" x14ac:dyDescent="0.25">
      <c r="A1275" s="879"/>
      <c r="B1275" s="1133">
        <v>1025</v>
      </c>
      <c r="C1275" s="883">
        <v>1.0291085288217867</v>
      </c>
      <c r="D1275" s="883">
        <v>1.0087016967695681</v>
      </c>
      <c r="E1275" s="883">
        <v>1.0011801880724152</v>
      </c>
      <c r="F1275" s="883">
        <v>0.97402915865147788</v>
      </c>
      <c r="G1275" s="883">
        <v>1.0253934495806005</v>
      </c>
      <c r="H1275" s="883">
        <v>0.9921370648235962</v>
      </c>
      <c r="I1275" s="883">
        <v>1.0262445909108213</v>
      </c>
      <c r="K1275">
        <v>6.7252443040411887</v>
      </c>
      <c r="L1275">
        <v>0</v>
      </c>
      <c r="M1275">
        <v>1.0000485473939004E-2</v>
      </c>
      <c r="N1275">
        <v>0.18677359723978243</v>
      </c>
      <c r="O1275">
        <v>0.11810113414324418</v>
      </c>
      <c r="P1275">
        <v>8.3195805155187597E-2</v>
      </c>
      <c r="Q1275">
        <v>0</v>
      </c>
      <c r="R1275">
        <v>1.0000485473939004E-2</v>
      </c>
      <c r="S1275">
        <v>0.26841657692282661</v>
      </c>
      <c r="T1275">
        <v>5.9106630424788582</v>
      </c>
      <c r="U1275">
        <v>0</v>
      </c>
      <c r="V1275">
        <v>1.9000893385689884E-2</v>
      </c>
      <c r="W1275">
        <v>9.8247068628246267E-2</v>
      </c>
      <c r="X1275">
        <v>-3.3403307427062071E-4</v>
      </c>
      <c r="Y1275">
        <v>4.1180219161622796E-2</v>
      </c>
    </row>
    <row r="1276" spans="1:25" x14ac:dyDescent="0.25">
      <c r="A1276" s="879"/>
      <c r="B1276" s="1133">
        <v>1026</v>
      </c>
      <c r="C1276" s="883">
        <v>1.0054993925194555</v>
      </c>
      <c r="D1276" s="883">
        <v>0.99775485720757873</v>
      </c>
      <c r="E1276" s="883">
        <v>1.0057461560976775</v>
      </c>
      <c r="F1276" s="883">
        <v>1.0162783149492089</v>
      </c>
      <c r="G1276" s="883">
        <v>1.0305670134662668</v>
      </c>
      <c r="H1276" s="883">
        <v>0.98173653550296625</v>
      </c>
      <c r="I1276" s="883">
        <v>1.0333193019728828</v>
      </c>
      <c r="K1276">
        <v>6.7441121274788696</v>
      </c>
      <c r="L1276">
        <v>0</v>
      </c>
      <c r="M1276">
        <v>1.0134919833715889E-2</v>
      </c>
      <c r="N1276">
        <v>0.19056875851432983</v>
      </c>
      <c r="O1276">
        <v>0.12131756838540429</v>
      </c>
      <c r="P1276">
        <v>8.3609615948284199E-2</v>
      </c>
      <c r="Q1276">
        <v>0</v>
      </c>
      <c r="R1276">
        <v>1.0134919833715889E-2</v>
      </c>
      <c r="S1276">
        <v>0.27572009097027161</v>
      </c>
      <c r="T1276">
        <v>5.9126887127091274</v>
      </c>
      <c r="U1276">
        <v>0</v>
      </c>
      <c r="V1276">
        <v>1.9125276993749676E-2</v>
      </c>
      <c r="W1276">
        <v>0.1000166727347051</v>
      </c>
      <c r="X1276">
        <v>-6.6836470376223465E-4</v>
      </c>
      <c r="Y1276">
        <v>4.1733795926759985E-2</v>
      </c>
    </row>
    <row r="1277" spans="1:25" x14ac:dyDescent="0.25">
      <c r="A1277" s="879"/>
      <c r="B1277" s="1133">
        <v>1027</v>
      </c>
      <c r="C1277" s="883">
        <v>1.0036213513404251</v>
      </c>
      <c r="D1277" s="883">
        <v>1.0245981729454083</v>
      </c>
      <c r="E1277" s="883">
        <v>1.0168930148786048</v>
      </c>
      <c r="F1277" s="883">
        <v>1.0130902228943068</v>
      </c>
      <c r="G1277" s="883">
        <v>1.03780576672948</v>
      </c>
      <c r="H1277" s="883">
        <v>0.99941382663014744</v>
      </c>
      <c r="I1277" s="883">
        <v>0.96095864627414451</v>
      </c>
      <c r="K1277">
        <v>6.7284769056580975</v>
      </c>
      <c r="L1277">
        <v>0</v>
      </c>
      <c r="M1277">
        <v>1.0120737869658829E-2</v>
      </c>
      <c r="N1277">
        <v>0.19346813084810127</v>
      </c>
      <c r="O1277">
        <v>0.12005346649774948</v>
      </c>
      <c r="P1277">
        <v>8.4062076111630468E-2</v>
      </c>
      <c r="Q1277">
        <v>0</v>
      </c>
      <c r="R1277">
        <v>1.0120737869658829E-2</v>
      </c>
      <c r="S1277">
        <v>0.25826106213486738</v>
      </c>
      <c r="T1277">
        <v>5.9118828847586489</v>
      </c>
      <c r="U1277">
        <v>0</v>
      </c>
      <c r="V1277">
        <v>1.9135422633724791E-2</v>
      </c>
      <c r="W1277">
        <v>0.10098038211443308</v>
      </c>
      <c r="X1277">
        <v>-1.0419165641285632E-3</v>
      </c>
      <c r="Y1277">
        <v>4.1675397123068517E-2</v>
      </c>
    </row>
    <row r="1278" spans="1:25" x14ac:dyDescent="0.25">
      <c r="A1278" s="879"/>
      <c r="B1278" s="1133">
        <v>1028</v>
      </c>
      <c r="C1278" s="883">
        <v>1.0012890209956891</v>
      </c>
      <c r="D1278" s="883">
        <v>0.96813441203983719</v>
      </c>
      <c r="E1278" s="883">
        <v>1.0158733003063949</v>
      </c>
      <c r="F1278" s="883">
        <v>0.96120983055129006</v>
      </c>
      <c r="G1278" s="883">
        <v>1.0102524220434947</v>
      </c>
      <c r="H1278" s="883">
        <v>1.015303109919945</v>
      </c>
      <c r="I1278" s="883">
        <v>0.99927329490236971</v>
      </c>
      <c r="K1278">
        <v>6.7549195899346932</v>
      </c>
      <c r="L1278">
        <v>0</v>
      </c>
      <c r="M1278">
        <v>1.0568331355298789E-2</v>
      </c>
      <c r="N1278">
        <v>0.20171973658936726</v>
      </c>
      <c r="O1278">
        <v>0.12311219085249228</v>
      </c>
      <c r="P1278">
        <v>8.4137634733003286E-2</v>
      </c>
      <c r="Q1278">
        <v>0</v>
      </c>
      <c r="R1278">
        <v>1.0568331355298789E-2</v>
      </c>
      <c r="S1278">
        <v>0.27126911741394838</v>
      </c>
      <c r="T1278">
        <v>5.9091380741884922</v>
      </c>
      <c r="U1278">
        <v>0</v>
      </c>
      <c r="V1278">
        <v>1.9148075437049952E-2</v>
      </c>
      <c r="W1278">
        <v>0.10534027233625483</v>
      </c>
      <c r="X1278">
        <v>-2.4640190441761541E-3</v>
      </c>
      <c r="Y1278">
        <v>4.3518507428263339E-2</v>
      </c>
    </row>
    <row r="1279" spans="1:25" x14ac:dyDescent="0.25">
      <c r="A1279" s="879"/>
      <c r="B1279" s="1133">
        <v>1029</v>
      </c>
      <c r="C1279" s="883">
        <v>0.99442630260811715</v>
      </c>
      <c r="D1279" s="883">
        <v>0.96848328678221152</v>
      </c>
      <c r="E1279" s="883">
        <v>0.96261685225451177</v>
      </c>
      <c r="F1279" s="883">
        <v>1.0089644444097894</v>
      </c>
      <c r="G1279" s="883">
        <v>0.96783425263185996</v>
      </c>
      <c r="H1279" s="883">
        <v>0.98858920318531618</v>
      </c>
      <c r="I1279" s="883">
        <v>1.0315057120242901</v>
      </c>
      <c r="K1279">
        <v>6.755714036288798</v>
      </c>
      <c r="L1279">
        <v>0</v>
      </c>
      <c r="M1279">
        <v>1.0852432463074681E-2</v>
      </c>
      <c r="N1279">
        <v>0.19141525260409289</v>
      </c>
      <c r="O1279">
        <v>0.12495509555244527</v>
      </c>
      <c r="P1279">
        <v>8.0963309398110098E-2</v>
      </c>
      <c r="Q1279">
        <v>0</v>
      </c>
      <c r="R1279">
        <v>1.0852432463074681E-2</v>
      </c>
      <c r="S1279">
        <v>0.27920427866833347</v>
      </c>
      <c r="T1279">
        <v>5.9146794796084334</v>
      </c>
      <c r="U1279">
        <v>0</v>
      </c>
      <c r="V1279">
        <v>1.9185649673311728E-2</v>
      </c>
      <c r="W1279">
        <v>0.10265026064312721</v>
      </c>
      <c r="X1279">
        <v>-2.0276750810315877E-3</v>
      </c>
      <c r="Y1279">
        <v>4.4688385221972375E-2</v>
      </c>
    </row>
    <row r="1280" spans="1:25" x14ac:dyDescent="0.25">
      <c r="A1280" s="879"/>
      <c r="B1280" s="1133">
        <v>1030</v>
      </c>
      <c r="C1280" s="883">
        <v>1.0464297254150199</v>
      </c>
      <c r="D1280" s="883">
        <v>0.99976943224876536</v>
      </c>
      <c r="E1280" s="883">
        <v>1.0255294534335582</v>
      </c>
      <c r="F1280" s="883">
        <v>0.99658147248801188</v>
      </c>
      <c r="G1280" s="883">
        <v>0.96620044724553789</v>
      </c>
      <c r="H1280" s="883">
        <v>0.99964242225247801</v>
      </c>
      <c r="I1280" s="883">
        <v>1.0344427760994919</v>
      </c>
      <c r="K1280">
        <v>6.7237514082391963</v>
      </c>
      <c r="L1280">
        <v>0</v>
      </c>
      <c r="M1280">
        <v>9.7375200948178215E-3</v>
      </c>
      <c r="N1280">
        <v>0.18853569544641069</v>
      </c>
      <c r="O1280">
        <v>0.116121358705859</v>
      </c>
      <c r="P1280">
        <v>8.4698383676827582E-2</v>
      </c>
      <c r="Q1280">
        <v>0</v>
      </c>
      <c r="R1280">
        <v>9.7375200948178215E-3</v>
      </c>
      <c r="S1280">
        <v>0.26690750462727814</v>
      </c>
      <c r="T1280">
        <v>5.9104955046201555</v>
      </c>
      <c r="U1280">
        <v>0</v>
      </c>
      <c r="V1280">
        <v>1.8913206895603902E-2</v>
      </c>
      <c r="W1280">
        <v>9.7988357018252079E-2</v>
      </c>
      <c r="X1280">
        <v>-5.9772876849285888E-6</v>
      </c>
      <c r="Y1280">
        <v>4.0097374536494396E-2</v>
      </c>
    </row>
    <row r="1281" spans="1:25" x14ac:dyDescent="0.25">
      <c r="A1281" s="879"/>
      <c r="B1281" s="1133">
        <v>1031</v>
      </c>
      <c r="C1281" s="883">
        <v>1.0019700376687835</v>
      </c>
      <c r="D1281" s="883">
        <v>0.97467498305374789</v>
      </c>
      <c r="E1281" s="883">
        <v>0.99749966070571372</v>
      </c>
      <c r="F1281" s="883">
        <v>1.0195921309859013</v>
      </c>
      <c r="G1281" s="883">
        <v>0.97432285186508927</v>
      </c>
      <c r="H1281" s="883">
        <v>1.004183653359028</v>
      </c>
      <c r="I1281" s="883">
        <v>1.0002422523824936</v>
      </c>
      <c r="K1281">
        <v>6.7504491157674416</v>
      </c>
      <c r="L1281">
        <v>0</v>
      </c>
      <c r="M1281">
        <v>1.0584015334628721E-2</v>
      </c>
      <c r="N1281">
        <v>0.1965969138678331</v>
      </c>
      <c r="O1281">
        <v>0.12304589896959435</v>
      </c>
      <c r="P1281">
        <v>8.302578660349115E-2</v>
      </c>
      <c r="Q1281">
        <v>0</v>
      </c>
      <c r="R1281">
        <v>1.0584015334628721E-2</v>
      </c>
      <c r="S1281">
        <v>0.27018114937796989</v>
      </c>
      <c r="T1281">
        <v>5.9133321119774536</v>
      </c>
      <c r="U1281">
        <v>0</v>
      </c>
      <c r="V1281">
        <v>1.9144374858759697E-2</v>
      </c>
      <c r="W1281">
        <v>0.10360360417947556</v>
      </c>
      <c r="X1281">
        <v>-2.0638153306343087E-3</v>
      </c>
      <c r="Y1281">
        <v>4.3583091263499747E-2</v>
      </c>
    </row>
    <row r="1282" spans="1:25" x14ac:dyDescent="0.25">
      <c r="A1282" s="879"/>
      <c r="B1282" s="1133">
        <v>1032</v>
      </c>
      <c r="C1282" s="883">
        <v>0.99600494194968825</v>
      </c>
      <c r="D1282" s="883">
        <v>0.97952984129000276</v>
      </c>
      <c r="E1282" s="883">
        <v>0.95552451937788641</v>
      </c>
      <c r="F1282" s="883">
        <v>0.9887162150423755</v>
      </c>
      <c r="G1282" s="883">
        <v>0.99397075552001246</v>
      </c>
      <c r="H1282" s="883">
        <v>1.0185054321299756</v>
      </c>
      <c r="I1282" s="883">
        <v>1.0349369219300395</v>
      </c>
      <c r="K1282">
        <v>6.7635923841394767</v>
      </c>
      <c r="L1282">
        <v>0</v>
      </c>
      <c r="M1282">
        <v>1.1177700206901323E-2</v>
      </c>
      <c r="N1282">
        <v>0.19508542674962415</v>
      </c>
      <c r="O1282">
        <v>0.12432418085052814</v>
      </c>
      <c r="P1282">
        <v>8.0547962290477629E-2</v>
      </c>
      <c r="Q1282">
        <v>0</v>
      </c>
      <c r="R1282">
        <v>1.1177700206901323E-2</v>
      </c>
      <c r="S1282">
        <v>0.28251123213973151</v>
      </c>
      <c r="T1282">
        <v>5.9139667549443082</v>
      </c>
      <c r="U1282">
        <v>0</v>
      </c>
      <c r="V1282">
        <v>1.9176960571888377E-2</v>
      </c>
      <c r="W1282">
        <v>0.10499385149726846</v>
      </c>
      <c r="X1282">
        <v>-3.0417647999009005E-3</v>
      </c>
      <c r="Y1282">
        <v>4.6027779895550347E-2</v>
      </c>
    </row>
    <row r="1283" spans="1:25" x14ac:dyDescent="0.25">
      <c r="A1283" s="879"/>
      <c r="B1283" s="1133">
        <v>1033</v>
      </c>
      <c r="C1283" s="883">
        <v>1.0335544346155654</v>
      </c>
      <c r="D1283" s="883">
        <v>1.0039840120380272</v>
      </c>
      <c r="E1283" s="883">
        <v>0.99825975326701177</v>
      </c>
      <c r="F1283" s="883">
        <v>1.026959254194306</v>
      </c>
      <c r="G1283" s="883">
        <v>1.0064858722876577</v>
      </c>
      <c r="H1283" s="883">
        <v>0.98523092539471491</v>
      </c>
      <c r="I1283" s="883">
        <v>1.0015872430646244</v>
      </c>
      <c r="K1283">
        <v>6.7165936829757449</v>
      </c>
      <c r="L1283">
        <v>0</v>
      </c>
      <c r="M1283">
        <v>9.933333708196903E-3</v>
      </c>
      <c r="N1283">
        <v>0.1847184948862223</v>
      </c>
      <c r="O1283">
        <v>0.11786668875695797</v>
      </c>
      <c r="P1283">
        <v>8.2943206596468019E-2</v>
      </c>
      <c r="Q1283">
        <v>0</v>
      </c>
      <c r="R1283">
        <v>9.933333708196903E-3</v>
      </c>
      <c r="S1283">
        <v>0.26024914191979731</v>
      </c>
      <c r="T1283">
        <v>5.913687622154999</v>
      </c>
      <c r="U1283">
        <v>0</v>
      </c>
      <c r="V1283">
        <v>1.8978106143676451E-2</v>
      </c>
      <c r="W1283">
        <v>9.7307085784271663E-2</v>
      </c>
      <c r="X1283">
        <v>-6.0363409516592096E-5</v>
      </c>
      <c r="Y1283">
        <v>4.0903700142865561E-2</v>
      </c>
    </row>
    <row r="1284" spans="1:25" x14ac:dyDescent="0.25">
      <c r="A1284" s="879"/>
      <c r="B1284" s="1133">
        <v>1034</v>
      </c>
      <c r="C1284" s="883">
        <v>1.0289790928607228</v>
      </c>
      <c r="D1284" s="883">
        <v>1.0314788900304779</v>
      </c>
      <c r="E1284" s="883">
        <v>0.99493115420459721</v>
      </c>
      <c r="F1284" s="883">
        <v>0.99813221597548329</v>
      </c>
      <c r="G1284" s="883">
        <v>1.0155620505634486</v>
      </c>
      <c r="H1284" s="883">
        <v>1.0045529236485404</v>
      </c>
      <c r="I1284" s="883">
        <v>1.0199413311269117</v>
      </c>
      <c r="K1284">
        <v>6.7250975226451803</v>
      </c>
      <c r="L1284">
        <v>0</v>
      </c>
      <c r="M1284">
        <v>1.008548068911456E-2</v>
      </c>
      <c r="N1284">
        <v>0.18662499080196304</v>
      </c>
      <c r="O1284">
        <v>0.11717799358311996</v>
      </c>
      <c r="P1284">
        <v>8.2816150709793465E-2</v>
      </c>
      <c r="Q1284">
        <v>0</v>
      </c>
      <c r="R1284">
        <v>1.008548068911456E-2</v>
      </c>
      <c r="S1284">
        <v>0.26773280139636413</v>
      </c>
      <c r="T1284">
        <v>5.9123161185086532</v>
      </c>
      <c r="U1284">
        <v>0</v>
      </c>
      <c r="V1284">
        <v>1.9001559752358205E-2</v>
      </c>
      <c r="W1284">
        <v>9.8474279908066883E-2</v>
      </c>
      <c r="X1284">
        <v>-5.7658634427558636E-4</v>
      </c>
      <c r="Y1284">
        <v>4.1530214329131399E-2</v>
      </c>
    </row>
    <row r="1285" spans="1:25" x14ac:dyDescent="0.25">
      <c r="A1285" s="879"/>
      <c r="B1285" s="1133">
        <v>1035</v>
      </c>
      <c r="C1285" s="883">
        <v>0.97529568232042996</v>
      </c>
      <c r="D1285" s="883">
        <v>0.98336738716926408</v>
      </c>
      <c r="E1285" s="883">
        <v>1.0180734138753171</v>
      </c>
      <c r="F1285" s="883">
        <v>0.98416161490504717</v>
      </c>
      <c r="G1285" s="883">
        <v>1.0212313564456277</v>
      </c>
      <c r="H1285" s="883">
        <v>0.96978535035750224</v>
      </c>
      <c r="I1285" s="883">
        <v>0.96535299823745813</v>
      </c>
      <c r="K1285">
        <v>6.744363672178519</v>
      </c>
      <c r="L1285">
        <v>0</v>
      </c>
      <c r="M1285">
        <v>1.0274637094062481E-2</v>
      </c>
      <c r="N1285">
        <v>0.1967533955105551</v>
      </c>
      <c r="O1285">
        <v>0.12556360940509703</v>
      </c>
      <c r="P1285">
        <v>8.4202009767213384E-2</v>
      </c>
      <c r="Q1285">
        <v>0</v>
      </c>
      <c r="R1285">
        <v>1.0274637094062481E-2</v>
      </c>
      <c r="S1285">
        <v>0.26459632005348349</v>
      </c>
      <c r="T1285">
        <v>5.9102524611313338</v>
      </c>
      <c r="U1285">
        <v>0</v>
      </c>
      <c r="V1285">
        <v>1.9293183769253527E-2</v>
      </c>
      <c r="W1285">
        <v>0.10263536400165918</v>
      </c>
      <c r="X1285">
        <v>-1.2417981962024698E-3</v>
      </c>
      <c r="Y1285">
        <v>4.2309126736121971E-2</v>
      </c>
    </row>
    <row r="1286" spans="1:25" x14ac:dyDescent="0.25">
      <c r="A1286" s="879"/>
      <c r="B1286" s="1133">
        <v>1036</v>
      </c>
      <c r="C1286" s="883">
        <v>1.0171624425431867</v>
      </c>
      <c r="D1286" s="883">
        <v>1.020988701465011</v>
      </c>
      <c r="E1286" s="883">
        <v>0.97589631868455617</v>
      </c>
      <c r="F1286" s="883">
        <v>1.0320272073009165</v>
      </c>
      <c r="G1286" s="883">
        <v>1.006666653710073</v>
      </c>
      <c r="H1286" s="883">
        <v>1.0045889323714037</v>
      </c>
      <c r="I1286" s="883">
        <v>1.0034763506177822</v>
      </c>
      <c r="K1286">
        <v>6.7307825809397581</v>
      </c>
      <c r="L1286">
        <v>0</v>
      </c>
      <c r="M1286">
        <v>1.0419287472921319E-2</v>
      </c>
      <c r="N1286">
        <v>0.18743512077792626</v>
      </c>
      <c r="O1286">
        <v>0.11937027571081919</v>
      </c>
      <c r="P1286">
        <v>8.1641268234393757E-2</v>
      </c>
      <c r="Q1286">
        <v>0</v>
      </c>
      <c r="R1286">
        <v>1.0419287472921319E-2</v>
      </c>
      <c r="S1286">
        <v>0.26653778027805058</v>
      </c>
      <c r="T1286">
        <v>5.9152028159517389</v>
      </c>
      <c r="U1286">
        <v>0</v>
      </c>
      <c r="V1286">
        <v>1.9063109114733578E-2</v>
      </c>
      <c r="W1286">
        <v>9.9846782872325027E-2</v>
      </c>
      <c r="X1286">
        <v>-1.2193432496810171E-3</v>
      </c>
      <c r="Y1286">
        <v>4.290477124945502E-2</v>
      </c>
    </row>
    <row r="1287" spans="1:25" x14ac:dyDescent="0.25">
      <c r="A1287" s="879"/>
      <c r="B1287" s="1133">
        <v>1037</v>
      </c>
      <c r="C1287" s="883">
        <v>0.98844281432018555</v>
      </c>
      <c r="D1287" s="883">
        <v>0.95549298850900999</v>
      </c>
      <c r="E1287" s="883">
        <v>0.97850234373400802</v>
      </c>
      <c r="F1287" s="883">
        <v>0.98716356186687015</v>
      </c>
      <c r="G1287" s="883">
        <v>1.0245521552592682</v>
      </c>
      <c r="H1287" s="883">
        <v>1.0115436167184246</v>
      </c>
      <c r="I1287" s="883">
        <v>0.96518016824845065</v>
      </c>
      <c r="K1287">
        <v>6.753848470165182</v>
      </c>
      <c r="L1287">
        <v>0</v>
      </c>
      <c r="M1287">
        <v>1.108218320407422E-2</v>
      </c>
      <c r="N1287">
        <v>0.20013259487299986</v>
      </c>
      <c r="O1287">
        <v>0.12609010815123978</v>
      </c>
      <c r="P1287">
        <v>8.17554854635172E-2</v>
      </c>
      <c r="Q1287">
        <v>0</v>
      </c>
      <c r="R1287">
        <v>1.108218320407422E-2</v>
      </c>
      <c r="S1287">
        <v>0.26515328720863562</v>
      </c>
      <c r="T1287">
        <v>5.9126342301612311</v>
      </c>
      <c r="U1287">
        <v>0</v>
      </c>
      <c r="V1287">
        <v>1.9218835782274915E-2</v>
      </c>
      <c r="W1287">
        <v>0.10647155289577939</v>
      </c>
      <c r="X1287">
        <v>-3.2420822497993811E-3</v>
      </c>
      <c r="Y1287">
        <v>4.5634457879301059E-2</v>
      </c>
    </row>
    <row r="1288" spans="1:25" x14ac:dyDescent="0.25">
      <c r="A1288" s="879"/>
      <c r="B1288" s="1133">
        <v>1038</v>
      </c>
      <c r="C1288" s="883">
        <v>0.99431026473637296</v>
      </c>
      <c r="D1288" s="883">
        <v>1.0073244941839941</v>
      </c>
      <c r="E1288" s="883">
        <v>1.0001315716098034</v>
      </c>
      <c r="F1288" s="883">
        <v>0.97088003771176523</v>
      </c>
      <c r="G1288" s="883">
        <v>1.0017002279947123</v>
      </c>
      <c r="H1288" s="883">
        <v>0.95524357877598787</v>
      </c>
      <c r="I1288" s="883">
        <v>1.0215145869459299</v>
      </c>
      <c r="K1288">
        <v>6.7334747564130737</v>
      </c>
      <c r="L1288">
        <v>0</v>
      </c>
      <c r="M1288">
        <v>9.9805555400904727E-3</v>
      </c>
      <c r="N1288">
        <v>0.18611203999154879</v>
      </c>
      <c r="O1288">
        <v>0.12232089668043236</v>
      </c>
      <c r="P1288">
        <v>8.3192088674743273E-2</v>
      </c>
      <c r="Q1288">
        <v>0</v>
      </c>
      <c r="R1288">
        <v>9.9805555400904727E-3</v>
      </c>
      <c r="S1288">
        <v>0.2729796751022921</v>
      </c>
      <c r="T1288">
        <v>5.9105518023341901</v>
      </c>
      <c r="U1288">
        <v>0</v>
      </c>
      <c r="V1288">
        <v>1.9186289454211004E-2</v>
      </c>
      <c r="W1288">
        <v>9.7950058124133321E-2</v>
      </c>
      <c r="X1288">
        <v>8.3754810085567892E-5</v>
      </c>
      <c r="Y1288">
        <v>4.1098151241430535E-2</v>
      </c>
    </row>
    <row r="1289" spans="1:25" x14ac:dyDescent="0.25">
      <c r="A1289" s="879"/>
      <c r="B1289" s="1133">
        <v>1039</v>
      </c>
      <c r="C1289" s="883">
        <v>1.0440531910931756</v>
      </c>
      <c r="D1289" s="883">
        <v>0.9880754086178718</v>
      </c>
      <c r="E1289" s="883">
        <v>0.99095195923990043</v>
      </c>
      <c r="F1289" s="883">
        <v>1.000901340056956</v>
      </c>
      <c r="G1289" s="883">
        <v>0.99292287520347344</v>
      </c>
      <c r="H1289" s="883">
        <v>1.0291149785694464</v>
      </c>
      <c r="I1289" s="883">
        <v>1.0297335213718708</v>
      </c>
      <c r="K1289">
        <v>6.7347719005924498</v>
      </c>
      <c r="L1289">
        <v>0</v>
      </c>
      <c r="M1289">
        <v>1.0408161134462406E-2</v>
      </c>
      <c r="N1289">
        <v>0.19146335026286906</v>
      </c>
      <c r="O1289">
        <v>0.11756075950273019</v>
      </c>
      <c r="P1289">
        <v>8.2588226584758909E-2</v>
      </c>
      <c r="Q1289">
        <v>0</v>
      </c>
      <c r="R1289">
        <v>1.0408161134462406E-2</v>
      </c>
      <c r="S1289">
        <v>0.26911050010473381</v>
      </c>
      <c r="T1289">
        <v>5.9126878497577975</v>
      </c>
      <c r="U1289">
        <v>0</v>
      </c>
      <c r="V1289">
        <v>1.8925065605330468E-2</v>
      </c>
      <c r="W1289">
        <v>0.10122770747499542</v>
      </c>
      <c r="X1289">
        <v>-1.6505136688614659E-3</v>
      </c>
      <c r="Y1289">
        <v>4.2858954968095643E-2</v>
      </c>
    </row>
    <row r="1290" spans="1:25" x14ac:dyDescent="0.25">
      <c r="A1290" s="879"/>
      <c r="B1290" s="1133">
        <v>1040</v>
      </c>
      <c r="C1290" s="883">
        <v>0.99777148652433822</v>
      </c>
      <c r="D1290" s="883">
        <v>0.99834668220762657</v>
      </c>
      <c r="E1290" s="883">
        <v>1.0178037285113641</v>
      </c>
      <c r="F1290" s="883">
        <v>0.97404281766124456</v>
      </c>
      <c r="G1290" s="883">
        <v>1.0004194692529904</v>
      </c>
      <c r="H1290" s="883">
        <v>0.96235085844607116</v>
      </c>
      <c r="I1290" s="883">
        <v>1.0286996369218055</v>
      </c>
      <c r="K1290">
        <v>6.7391970716829155</v>
      </c>
      <c r="L1290">
        <v>0</v>
      </c>
      <c r="M1290">
        <v>9.9041888109132788E-3</v>
      </c>
      <c r="N1290">
        <v>0.18958386403183988</v>
      </c>
      <c r="O1290">
        <v>0.12200031897084768</v>
      </c>
      <c r="P1290">
        <v>8.4313986380397096E-2</v>
      </c>
      <c r="Q1290">
        <v>0</v>
      </c>
      <c r="R1290">
        <v>9.9041888109132788E-3</v>
      </c>
      <c r="S1290">
        <v>0.27474335495198843</v>
      </c>
      <c r="T1290">
        <v>5.9097211876647204</v>
      </c>
      <c r="U1290">
        <v>0</v>
      </c>
      <c r="V1290">
        <v>1.9167269806954556E-2</v>
      </c>
      <c r="W1290">
        <v>9.8908565694078299E-2</v>
      </c>
      <c r="X1290">
        <v>-2.5162461363367978E-5</v>
      </c>
      <c r="Y1290">
        <v>4.0783686643449925E-2</v>
      </c>
    </row>
    <row r="1291" spans="1:25" x14ac:dyDescent="0.25">
      <c r="A1291" s="879"/>
      <c r="B1291" s="1133">
        <v>1041</v>
      </c>
      <c r="C1291" s="883">
        <v>0.96262003393063578</v>
      </c>
      <c r="D1291" s="883">
        <v>1.0071402733203707</v>
      </c>
      <c r="E1291" s="883">
        <v>1.0013950178196231</v>
      </c>
      <c r="F1291" s="883">
        <v>0.98193443559425586</v>
      </c>
      <c r="G1291" s="883">
        <v>0.95839391540587349</v>
      </c>
      <c r="H1291" s="883">
        <v>0.97783040327117232</v>
      </c>
      <c r="I1291" s="883">
        <v>1.0142221950922874</v>
      </c>
      <c r="K1291">
        <v>6.7646056397965761</v>
      </c>
      <c r="L1291">
        <v>0</v>
      </c>
      <c r="M1291">
        <v>1.0542067501453201E-2</v>
      </c>
      <c r="N1291">
        <v>0.1969510954839408</v>
      </c>
      <c r="O1291">
        <v>0.12633250885396533</v>
      </c>
      <c r="P1291">
        <v>8.3404540929780044E-2</v>
      </c>
      <c r="Q1291">
        <v>0</v>
      </c>
      <c r="R1291">
        <v>1.0542067501453201E-2</v>
      </c>
      <c r="S1291">
        <v>0.28219377864722001</v>
      </c>
      <c r="T1291">
        <v>5.9110781715735854</v>
      </c>
      <c r="U1291">
        <v>0</v>
      </c>
      <c r="V1291">
        <v>1.9366788381181447E-2</v>
      </c>
      <c r="W1291">
        <v>0.10358961226662848</v>
      </c>
      <c r="X1291">
        <v>-1.7212138926469966E-3</v>
      </c>
      <c r="Y1291">
        <v>4.3410357552918923E-2</v>
      </c>
    </row>
    <row r="1292" spans="1:25" x14ac:dyDescent="0.25">
      <c r="A1292" s="879"/>
      <c r="B1292" s="1133">
        <v>1042</v>
      </c>
      <c r="C1292" s="883">
        <v>1.0155383399404165</v>
      </c>
      <c r="D1292" s="883">
        <v>0.96770573729960596</v>
      </c>
      <c r="E1292" s="883">
        <v>1.0084850729965931</v>
      </c>
      <c r="F1292" s="883">
        <v>0.9967304798311194</v>
      </c>
      <c r="G1292" s="883">
        <v>1.0137790581326318</v>
      </c>
      <c r="H1292" s="883">
        <v>1.017899898746244</v>
      </c>
      <c r="I1292" s="883">
        <v>0.98407296263885691</v>
      </c>
      <c r="K1292">
        <v>6.7430143929807427</v>
      </c>
      <c r="L1292">
        <v>0</v>
      </c>
      <c r="M1292">
        <v>1.0516423733337195E-2</v>
      </c>
      <c r="N1292">
        <v>0.1985458218016575</v>
      </c>
      <c r="O1292">
        <v>0.12154521007825202</v>
      </c>
      <c r="P1292">
        <v>8.3601653571461584E-2</v>
      </c>
      <c r="Q1292">
        <v>0</v>
      </c>
      <c r="R1292">
        <v>1.0516423733337195E-2</v>
      </c>
      <c r="S1292">
        <v>0.26362748426591232</v>
      </c>
      <c r="T1292">
        <v>5.9114773937765115</v>
      </c>
      <c r="U1292">
        <v>0</v>
      </c>
      <c r="V1292">
        <v>1.9071680536453525E-2</v>
      </c>
      <c r="W1292">
        <v>0.10406206046668116</v>
      </c>
      <c r="X1292">
        <v>-2.2216725964306835E-3</v>
      </c>
      <c r="Y1292">
        <v>4.3304761080237793E-2</v>
      </c>
    </row>
    <row r="1293" spans="1:25" x14ac:dyDescent="0.25">
      <c r="A1293" s="879"/>
      <c r="B1293" s="1133">
        <v>1043</v>
      </c>
      <c r="C1293" s="883">
        <v>0.98358575603420484</v>
      </c>
      <c r="D1293" s="883">
        <v>1.0350346966050765</v>
      </c>
      <c r="E1293" s="883">
        <v>0.9652769971992633</v>
      </c>
      <c r="F1293" s="883">
        <v>1.0199433795551143</v>
      </c>
      <c r="G1293" s="883">
        <v>1.0094758290864518</v>
      </c>
      <c r="H1293" s="883">
        <v>1.0265858620706771</v>
      </c>
      <c r="I1293" s="883">
        <v>1.0009679195891401</v>
      </c>
      <c r="K1293">
        <v>6.7583058916021717</v>
      </c>
      <c r="L1293">
        <v>0</v>
      </c>
      <c r="M1293">
        <v>1.1048410266819138E-2</v>
      </c>
      <c r="N1293">
        <v>0.19564347138473129</v>
      </c>
      <c r="O1293">
        <v>0.12296905710707688</v>
      </c>
      <c r="P1293">
        <v>8.1107828112604058E-2</v>
      </c>
      <c r="Q1293">
        <v>0</v>
      </c>
      <c r="R1293">
        <v>1.1048410266819138E-2</v>
      </c>
      <c r="S1293">
        <v>0.27687646051935577</v>
      </c>
      <c r="T1293">
        <v>5.9151290034374346</v>
      </c>
      <c r="U1293">
        <v>0</v>
      </c>
      <c r="V1293">
        <v>1.9246071296331546E-2</v>
      </c>
      <c r="W1293">
        <v>0.10477715522268666</v>
      </c>
      <c r="X1293">
        <v>-2.9385424130936072E-3</v>
      </c>
      <c r="Y1293">
        <v>4.5495386935043361E-2</v>
      </c>
    </row>
    <row r="1294" spans="1:25" x14ac:dyDescent="0.25">
      <c r="A1294" s="879"/>
      <c r="B1294" s="1133">
        <v>1044</v>
      </c>
      <c r="C1294" s="883">
        <v>1.0144562324384894</v>
      </c>
      <c r="D1294" s="883">
        <v>0.97260796614090395</v>
      </c>
      <c r="E1294" s="883">
        <v>0.9548071817278907</v>
      </c>
      <c r="F1294" s="883">
        <v>0.98423794628519778</v>
      </c>
      <c r="G1294" s="883">
        <v>1.0111503403440405</v>
      </c>
      <c r="H1294" s="883">
        <v>1.006225734292058</v>
      </c>
      <c r="I1294" s="883">
        <v>0.97729800740367045</v>
      </c>
      <c r="K1294">
        <v>6.7308202336494505</v>
      </c>
      <c r="L1294">
        <v>0</v>
      </c>
      <c r="M1294">
        <v>1.0881878460605517E-2</v>
      </c>
      <c r="N1294">
        <v>0.18972002325025022</v>
      </c>
      <c r="O1294">
        <v>0.12242277109340258</v>
      </c>
      <c r="P1294">
        <v>8.0218652240061999E-2</v>
      </c>
      <c r="Q1294">
        <v>0</v>
      </c>
      <c r="R1294">
        <v>1.0881878460605517E-2</v>
      </c>
      <c r="S1294">
        <v>0.26087365785951361</v>
      </c>
      <c r="T1294">
        <v>5.9137630598077688</v>
      </c>
      <c r="U1294">
        <v>0</v>
      </c>
      <c r="V1294">
        <v>1.9077406740376158E-2</v>
      </c>
      <c r="W1294">
        <v>0.1021432776670443</v>
      </c>
      <c r="X1294">
        <v>-2.2082536075842428E-3</v>
      </c>
      <c r="Y1294">
        <v>4.4809638598612186E-2</v>
      </c>
    </row>
    <row r="1295" spans="1:25" x14ac:dyDescent="0.25">
      <c r="A1295" s="879"/>
      <c r="B1295" s="1133">
        <v>1045</v>
      </c>
      <c r="C1295" s="883">
        <v>1.0163823568191201</v>
      </c>
      <c r="D1295" s="883">
        <v>1.0003434102409972</v>
      </c>
      <c r="E1295" s="883">
        <v>0.9989364640504077</v>
      </c>
      <c r="F1295" s="883">
        <v>0.98468818282381165</v>
      </c>
      <c r="G1295" s="883">
        <v>1.0008864407037186</v>
      </c>
      <c r="H1295" s="883">
        <v>1.0246291934932965</v>
      </c>
      <c r="I1295" s="883">
        <v>1.0140431301554478</v>
      </c>
      <c r="K1295">
        <v>6.7452920100863007</v>
      </c>
      <c r="L1295">
        <v>0</v>
      </c>
      <c r="M1295">
        <v>1.05152341926703E-2</v>
      </c>
      <c r="N1295">
        <v>0.19573556577911255</v>
      </c>
      <c r="O1295">
        <v>0.12001990681780664</v>
      </c>
      <c r="P1295">
        <v>8.3108811868741833E-2</v>
      </c>
      <c r="Q1295">
        <v>0</v>
      </c>
      <c r="R1295">
        <v>1.05152341926703E-2</v>
      </c>
      <c r="S1295">
        <v>0.27167716495004801</v>
      </c>
      <c r="T1295">
        <v>5.9113651477449833</v>
      </c>
      <c r="U1295">
        <v>0</v>
      </c>
      <c r="V1295">
        <v>1.9067222704108457E-2</v>
      </c>
      <c r="W1295">
        <v>0.10307605541340144</v>
      </c>
      <c r="X1295">
        <v>-2.057727955401897E-3</v>
      </c>
      <c r="Y1295">
        <v>4.329986276350186E-2</v>
      </c>
    </row>
    <row r="1296" spans="1:25" x14ac:dyDescent="0.25">
      <c r="A1296" s="879"/>
      <c r="B1296" s="1133">
        <v>1046</v>
      </c>
      <c r="C1296" s="883">
        <v>1.0132034487238892</v>
      </c>
      <c r="D1296" s="883">
        <v>1.0034398590273477</v>
      </c>
      <c r="E1296" s="883">
        <v>1.0000502993544618</v>
      </c>
      <c r="F1296" s="883">
        <v>0.97704835754246666</v>
      </c>
      <c r="G1296" s="883">
        <v>0.99408819728553255</v>
      </c>
      <c r="H1296" s="883">
        <v>0.98286304138369418</v>
      </c>
      <c r="I1296" s="883">
        <v>0.9875027327514545</v>
      </c>
      <c r="K1296">
        <v>6.7230873196702259</v>
      </c>
      <c r="L1296">
        <v>0</v>
      </c>
      <c r="M1296">
        <v>1.0095045466233589E-2</v>
      </c>
      <c r="N1296">
        <v>0.18822432260225344</v>
      </c>
      <c r="O1296">
        <v>0.1202271525479417</v>
      </c>
      <c r="P1296">
        <v>8.303677863918496E-2</v>
      </c>
      <c r="Q1296">
        <v>0</v>
      </c>
      <c r="R1296">
        <v>1.0095045466233589E-2</v>
      </c>
      <c r="S1296">
        <v>0.26153394717151834</v>
      </c>
      <c r="T1296">
        <v>5.9108897204813973</v>
      </c>
      <c r="U1296">
        <v>0</v>
      </c>
      <c r="V1296">
        <v>1.9084051391237828E-2</v>
      </c>
      <c r="W1296">
        <v>9.9065742737298873E-2</v>
      </c>
      <c r="X1296">
        <v>-5.4399627944824052E-4</v>
      </c>
      <c r="Y1296">
        <v>4.1569600378840707E-2</v>
      </c>
    </row>
    <row r="1297" spans="1:25" x14ac:dyDescent="0.25">
      <c r="A1297" s="879"/>
      <c r="B1297" s="1133">
        <v>1047</v>
      </c>
      <c r="C1297" s="883">
        <v>0.99985883438428946</v>
      </c>
      <c r="D1297" s="883">
        <v>0.95446463279939309</v>
      </c>
      <c r="E1297" s="883">
        <v>1.0193572823808033</v>
      </c>
      <c r="F1297" s="883">
        <v>0.99679087580108117</v>
      </c>
      <c r="G1297" s="883">
        <v>0.9805881577310458</v>
      </c>
      <c r="H1297" s="883">
        <v>1.0033964126686032</v>
      </c>
      <c r="I1297" s="883">
        <v>1.007579774003813</v>
      </c>
      <c r="K1297">
        <v>6.7585162132563319</v>
      </c>
      <c r="L1297">
        <v>0</v>
      </c>
      <c r="M1297">
        <v>1.0491290588536036E-2</v>
      </c>
      <c r="N1297">
        <v>0.20128414050037516</v>
      </c>
      <c r="O1297">
        <v>0.12392448606647428</v>
      </c>
      <c r="P1297">
        <v>8.4402156281271512E-2</v>
      </c>
      <c r="Q1297">
        <v>0</v>
      </c>
      <c r="R1297">
        <v>1.0491290588536036E-2</v>
      </c>
      <c r="S1297">
        <v>0.27293512111238499</v>
      </c>
      <c r="T1297">
        <v>5.9108613098280802</v>
      </c>
      <c r="U1297">
        <v>0</v>
      </c>
      <c r="V1297">
        <v>1.9155863341359269E-2</v>
      </c>
      <c r="W1297">
        <v>0.10493238537656656</v>
      </c>
      <c r="X1297">
        <v>-2.1805165136612082E-3</v>
      </c>
      <c r="Y1297">
        <v>4.3201267263479622E-2</v>
      </c>
    </row>
    <row r="1298" spans="1:25" x14ac:dyDescent="0.25">
      <c r="A1298" s="879"/>
      <c r="B1298" s="1133">
        <v>1048</v>
      </c>
      <c r="C1298" s="883">
        <v>1.0155998687739116</v>
      </c>
      <c r="D1298" s="883">
        <v>1.0088785890165421</v>
      </c>
      <c r="E1298" s="883">
        <v>0.98337738837223576</v>
      </c>
      <c r="F1298" s="883">
        <v>0.97928547992354331</v>
      </c>
      <c r="G1298" s="883">
        <v>0.983854752328161</v>
      </c>
      <c r="H1298" s="883">
        <v>1.0238287197545874</v>
      </c>
      <c r="I1298" s="883">
        <v>1.0171833939817876</v>
      </c>
      <c r="K1298">
        <v>6.7430489328875662</v>
      </c>
      <c r="L1298">
        <v>0</v>
      </c>
      <c r="M1298">
        <v>1.062016004423276E-2</v>
      </c>
      <c r="N1298">
        <v>0.19318108335714423</v>
      </c>
      <c r="O1298">
        <v>0.11998972672068535</v>
      </c>
      <c r="P1298">
        <v>8.2148860195664059E-2</v>
      </c>
      <c r="Q1298">
        <v>0</v>
      </c>
      <c r="R1298">
        <v>1.062016004423276E-2</v>
      </c>
      <c r="S1298">
        <v>0.27253362172577883</v>
      </c>
      <c r="T1298">
        <v>5.9119396342468242</v>
      </c>
      <c r="U1298">
        <v>0</v>
      </c>
      <c r="V1298">
        <v>1.9071355310075647E-2</v>
      </c>
      <c r="W1298">
        <v>0.10252284771535783</v>
      </c>
      <c r="X1298">
        <v>-2.070125128101394E-3</v>
      </c>
      <c r="Y1298">
        <v>4.3731928744130698E-2</v>
      </c>
    </row>
    <row r="1299" spans="1:25" x14ac:dyDescent="0.25">
      <c r="A1299" s="879"/>
      <c r="B1299" s="1133">
        <v>1049</v>
      </c>
      <c r="C1299" s="883">
        <v>1.0379058379661832</v>
      </c>
      <c r="D1299" s="883">
        <v>1.0363340362996076</v>
      </c>
      <c r="E1299" s="883">
        <v>1.0085520200128903</v>
      </c>
      <c r="F1299" s="883">
        <v>1.0045369366543935</v>
      </c>
      <c r="G1299" s="883">
        <v>1.0132363355644307</v>
      </c>
      <c r="H1299" s="883">
        <v>0.98642405573134906</v>
      </c>
      <c r="I1299" s="883">
        <v>0.98610830811608785</v>
      </c>
      <c r="K1299">
        <v>6.7040565731990727</v>
      </c>
      <c r="L1299">
        <v>0</v>
      </c>
      <c r="M1299">
        <v>9.6826688777903909E-3</v>
      </c>
      <c r="N1299">
        <v>0.18282298792212084</v>
      </c>
      <c r="O1299">
        <v>0.11570953122185455</v>
      </c>
      <c r="P1299">
        <v>8.3493677962994464E-2</v>
      </c>
      <c r="Q1299">
        <v>0</v>
      </c>
      <c r="R1299">
        <v>9.6826688777903909E-3</v>
      </c>
      <c r="S1299">
        <v>0.25500702004049441</v>
      </c>
      <c r="T1299">
        <v>5.911895424815528</v>
      </c>
      <c r="U1299">
        <v>0</v>
      </c>
      <c r="V1299">
        <v>1.895599230824364E-2</v>
      </c>
      <c r="W1299">
        <v>9.5818216244367788E-2</v>
      </c>
      <c r="X1299">
        <v>4.8221569553812122E-4</v>
      </c>
      <c r="Y1299">
        <v>3.9871506987928101E-2</v>
      </c>
    </row>
    <row r="1300" spans="1:25" x14ac:dyDescent="0.25">
      <c r="A1300" s="879"/>
      <c r="B1300" s="1133">
        <v>1050</v>
      </c>
      <c r="C1300" s="883">
        <v>0.99293335480917289</v>
      </c>
      <c r="D1300" s="883">
        <v>1.0125551957357231</v>
      </c>
      <c r="E1300" s="883">
        <v>0.99937833672247167</v>
      </c>
      <c r="F1300" s="883">
        <v>1.0286680618146304</v>
      </c>
      <c r="G1300" s="883">
        <v>0.98200032419508676</v>
      </c>
      <c r="H1300" s="883">
        <v>0.99059054433281313</v>
      </c>
      <c r="I1300" s="883">
        <v>1.0342047902586435</v>
      </c>
      <c r="K1300">
        <v>6.7542171042113273</v>
      </c>
      <c r="L1300">
        <v>0</v>
      </c>
      <c r="M1300">
        <v>1.0348068395984067E-2</v>
      </c>
      <c r="N1300">
        <v>0.19275000798882444</v>
      </c>
      <c r="O1300">
        <v>0.12225116295717883</v>
      </c>
      <c r="P1300">
        <v>8.3283358062597804E-2</v>
      </c>
      <c r="Q1300">
        <v>0</v>
      </c>
      <c r="R1300">
        <v>1.0348068395984067E-2</v>
      </c>
      <c r="S1300">
        <v>0.28016193192108613</v>
      </c>
      <c r="T1300">
        <v>5.9137171554911028</v>
      </c>
      <c r="U1300">
        <v>0</v>
      </c>
      <c r="V1300">
        <v>1.9193892534022115E-2</v>
      </c>
      <c r="W1300">
        <v>0.1014815545229671</v>
      </c>
      <c r="X1300">
        <v>-1.2334630336084634E-3</v>
      </c>
      <c r="Y1300">
        <v>4.261150376715056E-2</v>
      </c>
    </row>
    <row r="1301" spans="1:25" x14ac:dyDescent="0.25">
      <c r="A1301" s="879"/>
      <c r="B1301" s="1133">
        <v>1051</v>
      </c>
      <c r="C1301" s="883">
        <v>0.98022322680643015</v>
      </c>
      <c r="D1301" s="883">
        <v>1.0048729103661214</v>
      </c>
      <c r="E1301" s="883">
        <v>1.0389913731769189</v>
      </c>
      <c r="F1301" s="883">
        <v>0.97381326231316834</v>
      </c>
      <c r="G1301" s="883">
        <v>1.0160426997332082</v>
      </c>
      <c r="H1301" s="883">
        <v>0.97988036802990797</v>
      </c>
      <c r="I1301" s="883">
        <v>1.042422366029361</v>
      </c>
      <c r="K1301">
        <v>6.7634919420012496</v>
      </c>
      <c r="L1301">
        <v>0</v>
      </c>
      <c r="M1301">
        <v>1.0048234591536056E-2</v>
      </c>
      <c r="N1301">
        <v>0.19846125220744115</v>
      </c>
      <c r="O1301">
        <v>0.12345147961474105</v>
      </c>
      <c r="P1301">
        <v>8.5768603479868533E-2</v>
      </c>
      <c r="Q1301">
        <v>0</v>
      </c>
      <c r="R1301">
        <v>1.0048234591536056E-2</v>
      </c>
      <c r="S1301">
        <v>0.28512647135046215</v>
      </c>
      <c r="T1301">
        <v>5.9084854244365577</v>
      </c>
      <c r="U1301">
        <v>0</v>
      </c>
      <c r="V1301">
        <v>1.9265084481995126E-2</v>
      </c>
      <c r="W1301">
        <v>0.10246866433580613</v>
      </c>
      <c r="X1301">
        <v>-9.1187943448327996E-4</v>
      </c>
      <c r="Y1301">
        <v>4.1376841528861362E-2</v>
      </c>
    </row>
    <row r="1302" spans="1:25" x14ac:dyDescent="0.25">
      <c r="A1302" s="879"/>
      <c r="B1302" s="1133">
        <v>1052</v>
      </c>
      <c r="C1302" s="883">
        <v>1.0303501038654346</v>
      </c>
      <c r="D1302" s="883">
        <v>1.0072979039058525</v>
      </c>
      <c r="E1302" s="883">
        <v>0.99375953851290788</v>
      </c>
      <c r="F1302" s="883">
        <v>0.96998762813143369</v>
      </c>
      <c r="G1302" s="883">
        <v>1.0167694159731191</v>
      </c>
      <c r="H1302" s="883">
        <v>0.97561759192319908</v>
      </c>
      <c r="I1302" s="883">
        <v>0.98881412739716534</v>
      </c>
      <c r="K1302">
        <v>6.7075285470087653</v>
      </c>
      <c r="L1302">
        <v>0</v>
      </c>
      <c r="M1302">
        <v>9.8918807225569175E-3</v>
      </c>
      <c r="N1302">
        <v>0.18272498528962897</v>
      </c>
      <c r="O1302">
        <v>0.11815895615997629</v>
      </c>
      <c r="P1302">
        <v>8.2577582818194092E-2</v>
      </c>
      <c r="Q1302">
        <v>0</v>
      </c>
      <c r="R1302">
        <v>9.8918807225569175E-3</v>
      </c>
      <c r="S1302">
        <v>0.25682563703729983</v>
      </c>
      <c r="T1302">
        <v>5.910860432606909</v>
      </c>
      <c r="U1302">
        <v>0</v>
      </c>
      <c r="V1302">
        <v>1.8994509971587099E-2</v>
      </c>
      <c r="W1302">
        <v>9.6472655898068763E-2</v>
      </c>
      <c r="X1302">
        <v>1.8078310074388489E-4</v>
      </c>
      <c r="Y1302">
        <v>4.0733004126356484E-2</v>
      </c>
    </row>
    <row r="1303" spans="1:25" x14ac:dyDescent="0.25">
      <c r="A1303" s="879"/>
      <c r="B1303" s="1133">
        <v>1053</v>
      </c>
      <c r="C1303" s="883">
        <v>0.96975339085732282</v>
      </c>
      <c r="D1303" s="883">
        <v>1.0038870626855765</v>
      </c>
      <c r="E1303" s="883">
        <v>0.99153375618358353</v>
      </c>
      <c r="F1303" s="883">
        <v>0.96878335518163616</v>
      </c>
      <c r="G1303" s="883">
        <v>0.99066183414411479</v>
      </c>
      <c r="H1303" s="883">
        <v>0.98494689744595298</v>
      </c>
      <c r="I1303" s="883">
        <v>0.98923352205898585</v>
      </c>
      <c r="K1303">
        <v>6.7540925422084532</v>
      </c>
      <c r="L1303">
        <v>0</v>
      </c>
      <c r="M1303">
        <v>1.0646580326918984E-2</v>
      </c>
      <c r="N1303">
        <v>0.19601818006933547</v>
      </c>
      <c r="O1303">
        <v>0.12575555888239484</v>
      </c>
      <c r="P1303">
        <v>8.2670556023817052E-2</v>
      </c>
      <c r="Q1303">
        <v>0</v>
      </c>
      <c r="R1303">
        <v>1.0646580326918984E-2</v>
      </c>
      <c r="S1303">
        <v>0.27391198399373823</v>
      </c>
      <c r="T1303">
        <v>5.9109194611722131</v>
      </c>
      <c r="U1303">
        <v>0</v>
      </c>
      <c r="V1303">
        <v>1.9325129865348702E-2</v>
      </c>
      <c r="W1303">
        <v>0.10360582305567619</v>
      </c>
      <c r="X1303">
        <v>-1.9548736196678684E-3</v>
      </c>
      <c r="Y1303">
        <v>4.3840722765597563E-2</v>
      </c>
    </row>
    <row r="1304" spans="1:25" x14ac:dyDescent="0.25">
      <c r="A1304" s="879"/>
      <c r="B1304" s="1133">
        <v>1054</v>
      </c>
      <c r="C1304" s="883">
        <v>0.97833729398400027</v>
      </c>
      <c r="D1304" s="883">
        <v>1.0040352559385375</v>
      </c>
      <c r="E1304" s="883">
        <v>1.0013165559637327</v>
      </c>
      <c r="F1304" s="883">
        <v>0.99904401054531633</v>
      </c>
      <c r="G1304" s="883">
        <v>1.0181931386553593</v>
      </c>
      <c r="H1304" s="883">
        <v>0.97586472911917177</v>
      </c>
      <c r="I1304" s="883">
        <v>0.98700383598552932</v>
      </c>
      <c r="K1304">
        <v>6.7459791009012298</v>
      </c>
      <c r="L1304">
        <v>0</v>
      </c>
      <c r="M1304">
        <v>1.0366262146666328E-2</v>
      </c>
      <c r="N1304">
        <v>0.19364412176496618</v>
      </c>
      <c r="O1304">
        <v>0.12445806589575613</v>
      </c>
      <c r="P1304">
        <v>8.3247961944684465E-2</v>
      </c>
      <c r="Q1304">
        <v>0</v>
      </c>
      <c r="R1304">
        <v>1.0366262146666328E-2</v>
      </c>
      <c r="S1304">
        <v>0.27004996252584862</v>
      </c>
      <c r="T1304">
        <v>5.9120072138991517</v>
      </c>
      <c r="U1304">
        <v>0</v>
      </c>
      <c r="V1304">
        <v>1.9275805565083789E-2</v>
      </c>
      <c r="W1304">
        <v>0.10185422264271901</v>
      </c>
      <c r="X1304">
        <v>-1.244675731065878E-3</v>
      </c>
      <c r="Y1304">
        <v>4.2686422394093211E-2</v>
      </c>
    </row>
    <row r="1305" spans="1:25" x14ac:dyDescent="0.25">
      <c r="A1305" s="879"/>
      <c r="B1305" s="1133">
        <v>1055</v>
      </c>
      <c r="C1305" s="883">
        <v>1.0165018673639186</v>
      </c>
      <c r="D1305" s="883">
        <v>1.0187623153494554</v>
      </c>
      <c r="E1305" s="883">
        <v>1.0034041735396579</v>
      </c>
      <c r="F1305" s="883">
        <v>0.97775937372671495</v>
      </c>
      <c r="G1305" s="883">
        <v>0.98419699121048654</v>
      </c>
      <c r="H1305" s="883">
        <v>0.99412745987638329</v>
      </c>
      <c r="I1305" s="883">
        <v>0.98871334848893755</v>
      </c>
      <c r="K1305">
        <v>6.7230619653101362</v>
      </c>
      <c r="L1305">
        <v>0</v>
      </c>
      <c r="M1305">
        <v>1.0082201478650573E-2</v>
      </c>
      <c r="N1305">
        <v>0.18892108867078905</v>
      </c>
      <c r="O1305">
        <v>0.11905137623236636</v>
      </c>
      <c r="P1305">
        <v>8.324984380190914E-2</v>
      </c>
      <c r="Q1305">
        <v>0</v>
      </c>
      <c r="R1305">
        <v>1.0082201478650573E-2</v>
      </c>
      <c r="S1305">
        <v>0.2619020517203674</v>
      </c>
      <c r="T1305">
        <v>5.9107394024494528</v>
      </c>
      <c r="U1305">
        <v>0</v>
      </c>
      <c r="V1305">
        <v>1.9066592085228654E-2</v>
      </c>
      <c r="W1305">
        <v>9.926709794280697E-2</v>
      </c>
      <c r="X1305">
        <v>-6.5219871690295832E-4</v>
      </c>
      <c r="Y1305">
        <v>4.1516711124118401E-2</v>
      </c>
    </row>
    <row r="1306" spans="1:25" x14ac:dyDescent="0.25">
      <c r="A1306" s="879"/>
      <c r="B1306" s="1133">
        <v>1056</v>
      </c>
      <c r="C1306" s="883">
        <v>1.0022854003255373</v>
      </c>
      <c r="D1306" s="883">
        <v>0.98200636647073392</v>
      </c>
      <c r="E1306" s="883">
        <v>1.0384716005153307</v>
      </c>
      <c r="F1306" s="883">
        <v>1.004255706798163</v>
      </c>
      <c r="G1306" s="883">
        <v>1.03684333706899</v>
      </c>
      <c r="H1306" s="883">
        <v>0.98741149259026784</v>
      </c>
      <c r="I1306" s="883">
        <v>1.0330077916320279</v>
      </c>
      <c r="K1306">
        <v>6.7538671425753298</v>
      </c>
      <c r="L1306">
        <v>0</v>
      </c>
      <c r="M1306">
        <v>1.0005282896108631E-2</v>
      </c>
      <c r="N1306">
        <v>0.19746124435833279</v>
      </c>
      <c r="O1306">
        <v>0.12186083364702723</v>
      </c>
      <c r="P1306">
        <v>8.5649382136202962E-2</v>
      </c>
      <c r="Q1306">
        <v>0</v>
      </c>
      <c r="R1306">
        <v>1.0005282896108631E-2</v>
      </c>
      <c r="S1306">
        <v>0.27729099261167511</v>
      </c>
      <c r="T1306">
        <v>5.9101599215291474</v>
      </c>
      <c r="U1306">
        <v>0</v>
      </c>
      <c r="V1306">
        <v>1.9142662912342203E-2</v>
      </c>
      <c r="W1306">
        <v>0.10197825254086446</v>
      </c>
      <c r="X1306">
        <v>-8.7612125246986554E-4</v>
      </c>
      <c r="Y1306">
        <v>4.1199974092207998E-2</v>
      </c>
    </row>
    <row r="1307" spans="1:25" x14ac:dyDescent="0.25">
      <c r="A1307" s="879"/>
      <c r="B1307" s="1133">
        <v>1057</v>
      </c>
      <c r="C1307" s="883">
        <v>1.0137766875418046</v>
      </c>
      <c r="D1307" s="883">
        <v>0.99937096011405024</v>
      </c>
      <c r="E1307" s="883">
        <v>1.0160836425180637</v>
      </c>
      <c r="F1307" s="883">
        <v>0.96983393313765853</v>
      </c>
      <c r="G1307" s="883">
        <v>1.0100835526149234</v>
      </c>
      <c r="H1307" s="883">
        <v>1.0223592716028191</v>
      </c>
      <c r="I1307" s="883">
        <v>1.0152707524260389</v>
      </c>
      <c r="K1307">
        <v>6.7474993060765316</v>
      </c>
      <c r="L1307">
        <v>0</v>
      </c>
      <c r="M1307">
        <v>1.0366706828363253E-2</v>
      </c>
      <c r="N1307">
        <v>0.19793288812886994</v>
      </c>
      <c r="O1307">
        <v>0.12005703250884944</v>
      </c>
      <c r="P1307">
        <v>8.4173176818114342E-2</v>
      </c>
      <c r="Q1307">
        <v>0</v>
      </c>
      <c r="R1307">
        <v>1.0366706828363253E-2</v>
      </c>
      <c r="S1307">
        <v>0.2725313562692912</v>
      </c>
      <c r="T1307">
        <v>5.9095920255183829</v>
      </c>
      <c r="U1307">
        <v>0</v>
      </c>
      <c r="V1307">
        <v>1.9081008946677122E-2</v>
      </c>
      <c r="W1307">
        <v>0.10335201149936356</v>
      </c>
      <c r="X1307">
        <v>-1.9084471271864098E-3</v>
      </c>
      <c r="Y1307">
        <v>4.2688253514170757E-2</v>
      </c>
    </row>
    <row r="1308" spans="1:25" x14ac:dyDescent="0.25">
      <c r="A1308" s="879"/>
      <c r="B1308" s="1133">
        <v>1058</v>
      </c>
      <c r="C1308" s="883">
        <v>0.99051957444987204</v>
      </c>
      <c r="D1308" s="883">
        <v>0.99596138790757016</v>
      </c>
      <c r="E1308" s="883">
        <v>0.97720682902557277</v>
      </c>
      <c r="F1308" s="883">
        <v>1.0306226651541031</v>
      </c>
      <c r="G1308" s="883">
        <v>1.0032710569165073</v>
      </c>
      <c r="H1308" s="883">
        <v>1.031927456591246</v>
      </c>
      <c r="I1308" s="883">
        <v>1.0016940352330408</v>
      </c>
      <c r="K1308">
        <v>6.7647573693573326</v>
      </c>
      <c r="L1308">
        <v>0</v>
      </c>
      <c r="M1308">
        <v>1.1095458875261945E-2</v>
      </c>
      <c r="N1308">
        <v>0.19998750686316327</v>
      </c>
      <c r="O1308">
        <v>0.12377949485684205</v>
      </c>
      <c r="P1308">
        <v>8.1849495159313196E-2</v>
      </c>
      <c r="Q1308">
        <v>0</v>
      </c>
      <c r="R1308">
        <v>1.1095458875261945E-2</v>
      </c>
      <c r="S1308">
        <v>0.27608373600555869</v>
      </c>
      <c r="T1308">
        <v>5.9150549158390504</v>
      </c>
      <c r="U1308">
        <v>0</v>
      </c>
      <c r="V1308">
        <v>1.9207272056943406E-2</v>
      </c>
      <c r="W1308">
        <v>0.10646346390868168</v>
      </c>
      <c r="X1308">
        <v>-3.3576400624954778E-3</v>
      </c>
      <c r="Y1308">
        <v>4.5689124730270723E-2</v>
      </c>
    </row>
    <row r="1309" spans="1:25" x14ac:dyDescent="0.25">
      <c r="A1309" s="879"/>
      <c r="B1309" s="1133">
        <v>1059</v>
      </c>
      <c r="C1309" s="883">
        <v>1.0133882799340688</v>
      </c>
      <c r="D1309" s="883">
        <v>0.97504074498118964</v>
      </c>
      <c r="E1309" s="883">
        <v>0.98327663910457841</v>
      </c>
      <c r="F1309" s="883">
        <v>1.0284057484750015</v>
      </c>
      <c r="G1309" s="883">
        <v>1.014425843485792</v>
      </c>
      <c r="H1309" s="883">
        <v>0.98960548445769581</v>
      </c>
      <c r="I1309" s="883">
        <v>1.0067428920300217</v>
      </c>
      <c r="K1309">
        <v>6.7375190276300545</v>
      </c>
      <c r="L1309">
        <v>0</v>
      </c>
      <c r="M1309">
        <v>1.0439957542973582E-2</v>
      </c>
      <c r="N1309">
        <v>0.18987481601117109</v>
      </c>
      <c r="O1309">
        <v>0.12190567879535932</v>
      </c>
      <c r="P1309">
        <v>8.2110766129664045E-2</v>
      </c>
      <c r="Q1309">
        <v>0</v>
      </c>
      <c r="R1309">
        <v>1.0439957542973582E-2</v>
      </c>
      <c r="S1309">
        <v>0.26746475462837843</v>
      </c>
      <c r="T1309">
        <v>5.9146004964680658</v>
      </c>
      <c r="U1309">
        <v>0</v>
      </c>
      <c r="V1309">
        <v>1.9083070030200298E-2</v>
      </c>
      <c r="W1309">
        <v>0.1007732600366497</v>
      </c>
      <c r="X1309">
        <v>-1.2837013882289379E-3</v>
      </c>
      <c r="Y1309">
        <v>4.2989886918794927E-2</v>
      </c>
    </row>
    <row r="1310" spans="1:25" x14ac:dyDescent="0.25">
      <c r="A1310" s="879"/>
      <c r="B1310" s="1133">
        <v>1060</v>
      </c>
      <c r="C1310" s="883">
        <v>1.0035420815374287</v>
      </c>
      <c r="D1310" s="883">
        <v>1.0016657500072033</v>
      </c>
      <c r="E1310" s="883">
        <v>1.0030649202528403</v>
      </c>
      <c r="F1310" s="883">
        <v>0.96624344565792109</v>
      </c>
      <c r="G1310" s="883">
        <v>0.98661464392552156</v>
      </c>
      <c r="H1310" s="883">
        <v>1.0193897030692489</v>
      </c>
      <c r="I1310" s="883">
        <v>1.0159480760516615</v>
      </c>
      <c r="K1310">
        <v>6.7519740704504283</v>
      </c>
      <c r="L1310">
        <v>0</v>
      </c>
      <c r="M1310">
        <v>1.0551199444866325E-2</v>
      </c>
      <c r="N1310">
        <v>0.19760989026352621</v>
      </c>
      <c r="O1310">
        <v>0.12141426517090091</v>
      </c>
      <c r="P1310">
        <v>8.3399489024487808E-2</v>
      </c>
      <c r="Q1310">
        <v>0</v>
      </c>
      <c r="R1310">
        <v>1.0551199444866325E-2</v>
      </c>
      <c r="S1310">
        <v>0.27516305930972995</v>
      </c>
      <c r="T1310">
        <v>5.9101362011890766</v>
      </c>
      <c r="U1310">
        <v>0</v>
      </c>
      <c r="V1310">
        <v>1.9135851703911556E-2</v>
      </c>
      <c r="W1310">
        <v>0.10385003285804879</v>
      </c>
      <c r="X1310">
        <v>-2.1826803397257061E-3</v>
      </c>
      <c r="Y1310">
        <v>4.3447961270468835E-2</v>
      </c>
    </row>
    <row r="1311" spans="1:25" x14ac:dyDescent="0.25">
      <c r="A1311" s="879"/>
      <c r="B1311" s="1133">
        <v>1061</v>
      </c>
      <c r="C1311" s="883">
        <v>1.0096561453589488</v>
      </c>
      <c r="D1311" s="883">
        <v>0.99519916688321475</v>
      </c>
      <c r="E1311" s="883">
        <v>1.0182949968702111</v>
      </c>
      <c r="F1311" s="883">
        <v>1.011322998165576</v>
      </c>
      <c r="G1311" s="883">
        <v>0.98671373299592335</v>
      </c>
      <c r="H1311" s="883">
        <v>1.0073458552957499</v>
      </c>
      <c r="I1311" s="883">
        <v>1.0221579376860672</v>
      </c>
      <c r="K1311">
        <v>6.7496479464760588</v>
      </c>
      <c r="L1311">
        <v>0</v>
      </c>
      <c r="M1311">
        <v>1.0254686373451016E-2</v>
      </c>
      <c r="N1311">
        <v>0.19643573755640786</v>
      </c>
      <c r="O1311">
        <v>0.12070741874756927</v>
      </c>
      <c r="P1311">
        <v>8.4362320828385989E-2</v>
      </c>
      <c r="Q1311">
        <v>0</v>
      </c>
      <c r="R1311">
        <v>1.0254686373451016E-2</v>
      </c>
      <c r="S1311">
        <v>0.27411440514826851</v>
      </c>
      <c r="T1311">
        <v>5.9117072385016103</v>
      </c>
      <c r="U1311">
        <v>0</v>
      </c>
      <c r="V1311">
        <v>1.9102955413475616E-2</v>
      </c>
      <c r="W1311">
        <v>0.10245846713931157</v>
      </c>
      <c r="X1311">
        <v>-1.4675700787109168E-3</v>
      </c>
      <c r="Y1311">
        <v>4.2226973219739866E-2</v>
      </c>
    </row>
    <row r="1312" spans="1:25" x14ac:dyDescent="0.25">
      <c r="A1312" s="879"/>
      <c r="B1312" s="1133">
        <v>1062</v>
      </c>
      <c r="C1312" s="883">
        <v>0.99770287657392931</v>
      </c>
      <c r="D1312" s="883">
        <v>0.99932291498380721</v>
      </c>
      <c r="E1312" s="883">
        <v>1.0209987963028413</v>
      </c>
      <c r="F1312" s="883">
        <v>1.0339159949386509</v>
      </c>
      <c r="G1312" s="883">
        <v>0.97738574130585099</v>
      </c>
      <c r="H1312" s="883">
        <v>1.0237308065026585</v>
      </c>
      <c r="I1312" s="883">
        <v>1.0125125312187582</v>
      </c>
      <c r="K1312">
        <v>6.7628037869109674</v>
      </c>
      <c r="L1312">
        <v>0</v>
      </c>
      <c r="M1312">
        <v>1.0502787763308858E-2</v>
      </c>
      <c r="N1312">
        <v>0.20199462036567495</v>
      </c>
      <c r="O1312">
        <v>0.12190043776437803</v>
      </c>
      <c r="P1312">
        <v>8.45771475853829E-2</v>
      </c>
      <c r="Q1312">
        <v>0</v>
      </c>
      <c r="R1312">
        <v>1.0502787763308858E-2</v>
      </c>
      <c r="S1312">
        <v>0.27631020195940215</v>
      </c>
      <c r="T1312">
        <v>5.9127729101112259</v>
      </c>
      <c r="U1312">
        <v>0</v>
      </c>
      <c r="V1312">
        <v>1.9167645541246291E-2</v>
      </c>
      <c r="W1312">
        <v>0.10521766190997926</v>
      </c>
      <c r="X1312">
        <v>-2.385448909098923E-3</v>
      </c>
      <c r="Y1312">
        <v>4.3248610582773274E-2</v>
      </c>
    </row>
    <row r="1313" spans="1:25" x14ac:dyDescent="0.25">
      <c r="A1313" s="879"/>
      <c r="B1313" s="1133">
        <v>1063</v>
      </c>
      <c r="C1313" s="883">
        <v>0.9651606380053892</v>
      </c>
      <c r="D1313" s="883">
        <v>0.99133772900362327</v>
      </c>
      <c r="E1313" s="883">
        <v>0.99551523961887511</v>
      </c>
      <c r="F1313" s="883">
        <v>0.97157709872624876</v>
      </c>
      <c r="G1313" s="883">
        <v>1.0292214731603544</v>
      </c>
      <c r="H1313" s="883">
        <v>1.0213388807174322</v>
      </c>
      <c r="I1313" s="883">
        <v>1.0432383518989194</v>
      </c>
      <c r="K1313">
        <v>6.7909563339853873</v>
      </c>
      <c r="L1313">
        <v>0</v>
      </c>
      <c r="M1313">
        <v>1.1113724887896463E-2</v>
      </c>
      <c r="N1313">
        <v>0.20583004653269776</v>
      </c>
      <c r="O1313">
        <v>0.12691403387521044</v>
      </c>
      <c r="P1313">
        <v>8.319000304580218E-2</v>
      </c>
      <c r="Q1313">
        <v>0</v>
      </c>
      <c r="R1313">
        <v>1.1113724887896463E-2</v>
      </c>
      <c r="S1313">
        <v>0.29409796872219729</v>
      </c>
      <c r="T1313">
        <v>5.910848237477671</v>
      </c>
      <c r="U1313">
        <v>0</v>
      </c>
      <c r="V1313">
        <v>1.9351880753642744E-2</v>
      </c>
      <c r="W1313">
        <v>0.10857643097978444</v>
      </c>
      <c r="X1313">
        <v>-3.6166083206873481E-3</v>
      </c>
      <c r="Y1313">
        <v>4.5764340919070605E-2</v>
      </c>
    </row>
    <row r="1314" spans="1:25" x14ac:dyDescent="0.25">
      <c r="A1314" s="879"/>
      <c r="B1314" s="1133">
        <v>1064</v>
      </c>
      <c r="C1314" s="883">
        <v>1.0077049653361356</v>
      </c>
      <c r="D1314" s="883">
        <v>1.0427227477940202</v>
      </c>
      <c r="E1314" s="883">
        <v>0.97541313692505727</v>
      </c>
      <c r="F1314" s="883">
        <v>0.99753668670044737</v>
      </c>
      <c r="G1314" s="883">
        <v>1.0018193094175072</v>
      </c>
      <c r="H1314" s="883">
        <v>1.0061265029008217</v>
      </c>
      <c r="I1314" s="883">
        <v>0.9624190669833812</v>
      </c>
      <c r="K1314">
        <v>6.7208442929692573</v>
      </c>
      <c r="L1314">
        <v>0</v>
      </c>
      <c r="M1314">
        <v>1.0443074035114012E-2</v>
      </c>
      <c r="N1314">
        <v>0.18772835141536279</v>
      </c>
      <c r="O1314">
        <v>0.11948838194961355</v>
      </c>
      <c r="P1314">
        <v>8.1474801790646784E-2</v>
      </c>
      <c r="Q1314">
        <v>0</v>
      </c>
      <c r="R1314">
        <v>1.0443074035114012E-2</v>
      </c>
      <c r="S1314">
        <v>0.25797844796298469</v>
      </c>
      <c r="T1314">
        <v>5.9133646375103917</v>
      </c>
      <c r="U1314">
        <v>0</v>
      </c>
      <c r="V1314">
        <v>1.9113410231797873E-2</v>
      </c>
      <c r="W1314">
        <v>0.10002722704697083</v>
      </c>
      <c r="X1314">
        <v>-1.3336850172229299E-3</v>
      </c>
      <c r="Y1314">
        <v>4.3002720078714293E-2</v>
      </c>
    </row>
    <row r="1315" spans="1:25" x14ac:dyDescent="0.25">
      <c r="A1315" s="879"/>
      <c r="B1315" s="1133">
        <v>1065</v>
      </c>
      <c r="C1315" s="883">
        <v>0.99082359102215645</v>
      </c>
      <c r="D1315" s="883">
        <v>1.0110819509483839</v>
      </c>
      <c r="E1315" s="883">
        <v>1.0262928530168338</v>
      </c>
      <c r="F1315" s="883">
        <v>0.98001401056768411</v>
      </c>
      <c r="G1315" s="883">
        <v>0.99452112120568559</v>
      </c>
      <c r="H1315" s="883">
        <v>1.0194980224370929</v>
      </c>
      <c r="I1315" s="883">
        <v>0.98647444168092857</v>
      </c>
      <c r="K1315">
        <v>6.7541010295046</v>
      </c>
      <c r="L1315">
        <v>0</v>
      </c>
      <c r="M1315">
        <v>1.0430877153969245E-2</v>
      </c>
      <c r="N1315">
        <v>0.20218842108542023</v>
      </c>
      <c r="O1315">
        <v>0.12207295863934894</v>
      </c>
      <c r="P1315">
        <v>8.478726321549282E-2</v>
      </c>
      <c r="Q1315">
        <v>0</v>
      </c>
      <c r="R1315">
        <v>1.0430877153969245E-2</v>
      </c>
      <c r="S1315">
        <v>0.27056119972169301</v>
      </c>
      <c r="T1315">
        <v>5.9095565363595259</v>
      </c>
      <c r="U1315">
        <v>0</v>
      </c>
      <c r="V1315">
        <v>1.9205583312634878E-2</v>
      </c>
      <c r="W1315">
        <v>0.10504472504206229</v>
      </c>
      <c r="X1315">
        <v>-2.2681533647022681E-3</v>
      </c>
      <c r="Y1315">
        <v>4.2952495493124056E-2</v>
      </c>
    </row>
    <row r="1316" spans="1:25" x14ac:dyDescent="0.25">
      <c r="A1316" s="879"/>
      <c r="B1316" s="1133">
        <v>1066</v>
      </c>
      <c r="C1316" s="883">
        <v>0.99838842469943023</v>
      </c>
      <c r="D1316" s="883">
        <v>1.0297001344353953</v>
      </c>
      <c r="E1316" s="883">
        <v>0.99966713513056549</v>
      </c>
      <c r="F1316" s="883">
        <v>0.97108924017570741</v>
      </c>
      <c r="G1316" s="883">
        <v>0.98676258476154999</v>
      </c>
      <c r="H1316" s="883">
        <v>0.98679649619096621</v>
      </c>
      <c r="I1316" s="883">
        <v>0.99889220965142145</v>
      </c>
      <c r="K1316">
        <v>6.7328201051298597</v>
      </c>
      <c r="L1316">
        <v>0</v>
      </c>
      <c r="M1316">
        <v>1.0176134887896565E-2</v>
      </c>
      <c r="N1316">
        <v>0.18962857805975533</v>
      </c>
      <c r="O1316">
        <v>0.12076399487816523</v>
      </c>
      <c r="P1316">
        <v>8.3104595501895639E-2</v>
      </c>
      <c r="Q1316">
        <v>0</v>
      </c>
      <c r="R1316">
        <v>1.0176134887896565E-2</v>
      </c>
      <c r="S1316">
        <v>0.26861203645113196</v>
      </c>
      <c r="T1316">
        <v>5.9105891951233529</v>
      </c>
      <c r="U1316">
        <v>0</v>
      </c>
      <c r="V1316">
        <v>1.9163893537812789E-2</v>
      </c>
      <c r="W1316">
        <v>9.9823821862023931E-2</v>
      </c>
      <c r="X1316">
        <v>-7.6952246815119372E-4</v>
      </c>
      <c r="Y1316">
        <v>4.1903512183869833E-2</v>
      </c>
    </row>
    <row r="1317" spans="1:25" x14ac:dyDescent="0.25">
      <c r="A1317" s="879"/>
      <c r="B1317" s="1133">
        <v>1067</v>
      </c>
      <c r="C1317" s="883">
        <v>1.0018818232575033</v>
      </c>
      <c r="D1317" s="883">
        <v>0.99416238991363304</v>
      </c>
      <c r="E1317" s="883">
        <v>1.0160645323046207</v>
      </c>
      <c r="F1317" s="883">
        <v>0.96599972575050641</v>
      </c>
      <c r="G1317" s="883">
        <v>0.99216078452678702</v>
      </c>
      <c r="H1317" s="883">
        <v>0.99922869538590997</v>
      </c>
      <c r="I1317" s="883">
        <v>1.0118766748397501</v>
      </c>
      <c r="K1317">
        <v>6.746639034239811</v>
      </c>
      <c r="L1317">
        <v>0</v>
      </c>
      <c r="M1317">
        <v>1.0275604444180037E-2</v>
      </c>
      <c r="N1317">
        <v>0.19618791057033311</v>
      </c>
      <c r="O1317">
        <v>0.12173696065479699</v>
      </c>
      <c r="P1317">
        <v>8.4172275177181205E-2</v>
      </c>
      <c r="Q1317">
        <v>0</v>
      </c>
      <c r="R1317">
        <v>1.0275604444180037E-2</v>
      </c>
      <c r="S1317">
        <v>0.27269519588988211</v>
      </c>
      <c r="T1317">
        <v>5.9093859577370162</v>
      </c>
      <c r="U1317">
        <v>0</v>
      </c>
      <c r="V1317">
        <v>1.9144853923655898E-2</v>
      </c>
      <c r="W1317">
        <v>0.10244182541578996</v>
      </c>
      <c r="X1317">
        <v>-1.4390552405676832E-3</v>
      </c>
      <c r="Y1317">
        <v>4.2313110111724166E-2</v>
      </c>
    </row>
    <row r="1318" spans="1:25" x14ac:dyDescent="0.25">
      <c r="A1318" s="879"/>
      <c r="B1318" s="1133">
        <v>1068</v>
      </c>
      <c r="C1318" s="883">
        <v>0.9990815378365645</v>
      </c>
      <c r="D1318" s="883">
        <v>1.0274779369605864</v>
      </c>
      <c r="E1318" s="883">
        <v>0.95924837590785694</v>
      </c>
      <c r="F1318" s="883">
        <v>1.0185314317707255</v>
      </c>
      <c r="G1318" s="883">
        <v>0.97426219502640432</v>
      </c>
      <c r="H1318" s="883">
        <v>1.0287520526548672</v>
      </c>
      <c r="I1318" s="883">
        <v>0.98698182024219883</v>
      </c>
      <c r="K1318">
        <v>6.7447984685018501</v>
      </c>
      <c r="L1318">
        <v>0</v>
      </c>
      <c r="M1318">
        <v>1.099172068006448E-2</v>
      </c>
      <c r="N1318">
        <v>0.19290414852450272</v>
      </c>
      <c r="O1318">
        <v>0.12152694435323164</v>
      </c>
      <c r="P1318">
        <v>8.062691182814001E-2</v>
      </c>
      <c r="Q1318">
        <v>0</v>
      </c>
      <c r="R1318">
        <v>1.099172068006448E-2</v>
      </c>
      <c r="S1318">
        <v>0.2690366795775192</v>
      </c>
      <c r="T1318">
        <v>5.9153787782257492</v>
      </c>
      <c r="U1318">
        <v>0</v>
      </c>
      <c r="V1318">
        <v>1.9160105365717408E-2</v>
      </c>
      <c r="W1318">
        <v>0.10362470578554769</v>
      </c>
      <c r="X1318">
        <v>-2.7217544657223958E-3</v>
      </c>
      <c r="Y1318">
        <v>4.5261949307157968E-2</v>
      </c>
    </row>
    <row r="1319" spans="1:25" x14ac:dyDescent="0.25">
      <c r="A1319" s="879"/>
      <c r="B1319" s="1133">
        <v>1069</v>
      </c>
      <c r="C1319" s="883">
        <v>1.0318117848939945</v>
      </c>
      <c r="D1319" s="883">
        <v>0.99437274730451786</v>
      </c>
      <c r="E1319" s="883">
        <v>0.96519790864793298</v>
      </c>
      <c r="F1319" s="883">
        <v>1.034071590442674</v>
      </c>
      <c r="G1319" s="883">
        <v>0.99948397018357427</v>
      </c>
      <c r="H1319" s="883">
        <v>0.98114508012055368</v>
      </c>
      <c r="I1319" s="883">
        <v>1.0019198412693999</v>
      </c>
      <c r="K1319">
        <v>6.715546294459009</v>
      </c>
      <c r="L1319">
        <v>0</v>
      </c>
      <c r="M1319">
        <v>1.0240719972973895E-2</v>
      </c>
      <c r="N1319">
        <v>0.18131972060591581</v>
      </c>
      <c r="O1319">
        <v>0.11911735343834831</v>
      </c>
      <c r="P1319">
        <v>8.0894976139516628E-2</v>
      </c>
      <c r="Q1319">
        <v>0</v>
      </c>
      <c r="R1319">
        <v>1.0240719972973895E-2</v>
      </c>
      <c r="S1319">
        <v>0.2604338050624746</v>
      </c>
      <c r="T1319">
        <v>5.9158972441881073</v>
      </c>
      <c r="U1319">
        <v>0</v>
      </c>
      <c r="V1319">
        <v>1.8987014596893368E-2</v>
      </c>
      <c r="W1319">
        <v>9.7109917758860964E-2</v>
      </c>
      <c r="X1319">
        <v>-3.8319939960937773E-4</v>
      </c>
      <c r="Y1319">
        <v>4.2169462068501681E-2</v>
      </c>
    </row>
    <row r="1320" spans="1:25" x14ac:dyDescent="0.25">
      <c r="A1320" s="879"/>
      <c r="B1320" s="1133">
        <v>1070</v>
      </c>
      <c r="C1320" s="883">
        <v>0.99429436340425892</v>
      </c>
      <c r="D1320" s="883">
        <v>1.0437942342537148</v>
      </c>
      <c r="E1320" s="883">
        <v>0.98448921342060902</v>
      </c>
      <c r="F1320" s="883">
        <v>0.9784959397575379</v>
      </c>
      <c r="G1320" s="883">
        <v>0.98541501569042567</v>
      </c>
      <c r="H1320" s="883">
        <v>0.99471877128416097</v>
      </c>
      <c r="I1320" s="883">
        <v>0.99912950238583687</v>
      </c>
      <c r="K1320">
        <v>6.7354043886026078</v>
      </c>
      <c r="L1320">
        <v>0</v>
      </c>
      <c r="M1320">
        <v>1.0376908766493961E-2</v>
      </c>
      <c r="N1320">
        <v>0.18906787102228526</v>
      </c>
      <c r="O1320">
        <v>0.12088374395750338</v>
      </c>
      <c r="P1320">
        <v>8.2190475269910468E-2</v>
      </c>
      <c r="Q1320">
        <v>0</v>
      </c>
      <c r="R1320">
        <v>1.0376908766493961E-2</v>
      </c>
      <c r="S1320">
        <v>0.27037635767894314</v>
      </c>
      <c r="T1320">
        <v>5.9118354875596335</v>
      </c>
      <c r="U1320">
        <v>0</v>
      </c>
      <c r="V1320">
        <v>1.918637713867449E-2</v>
      </c>
      <c r="W1320">
        <v>0.10028417668610441</v>
      </c>
      <c r="X1320">
        <v>-1.1503639899652766E-3</v>
      </c>
      <c r="Y1320">
        <v>4.2730263279515721E-2</v>
      </c>
    </row>
    <row r="1321" spans="1:25" x14ac:dyDescent="0.25">
      <c r="A1321" s="879"/>
      <c r="B1321" s="1133">
        <v>1071</v>
      </c>
      <c r="C1321" s="883">
        <v>0.97447508978179675</v>
      </c>
      <c r="D1321" s="883">
        <v>0.98472061389007493</v>
      </c>
      <c r="E1321" s="883">
        <v>0.97576429556405619</v>
      </c>
      <c r="F1321" s="883">
        <v>1.0308977908254107</v>
      </c>
      <c r="G1321" s="883">
        <v>1.008183442942161</v>
      </c>
      <c r="H1321" s="883">
        <v>0.99645664463012129</v>
      </c>
      <c r="I1321" s="883">
        <v>0.96819281378492605</v>
      </c>
      <c r="K1321">
        <v>6.7550615203326307</v>
      </c>
      <c r="L1321">
        <v>0</v>
      </c>
      <c r="M1321">
        <v>1.0957332534065143E-2</v>
      </c>
      <c r="N1321">
        <v>0.19707552661606353</v>
      </c>
      <c r="O1321">
        <v>0.1264176211418637</v>
      </c>
      <c r="P1321">
        <v>8.1654928974483121E-2</v>
      </c>
      <c r="Q1321">
        <v>0</v>
      </c>
      <c r="R1321">
        <v>1.0957332534065143E-2</v>
      </c>
      <c r="S1321">
        <v>0.26802818772355008</v>
      </c>
      <c r="T1321">
        <v>5.9151490005189711</v>
      </c>
      <c r="U1321">
        <v>0</v>
      </c>
      <c r="V1321">
        <v>1.9297890794864523E-2</v>
      </c>
      <c r="W1321">
        <v>0.10498918384940974</v>
      </c>
      <c r="X1321">
        <v>-2.6711643293679775E-3</v>
      </c>
      <c r="Y1321">
        <v>4.5120345042794496E-2</v>
      </c>
    </row>
    <row r="1322" spans="1:25" x14ac:dyDescent="0.25">
      <c r="A1322" s="879"/>
      <c r="B1322" s="1133">
        <v>1072</v>
      </c>
      <c r="C1322" s="883">
        <v>0.98101247631488897</v>
      </c>
      <c r="D1322" s="883">
        <v>0.97804740215602726</v>
      </c>
      <c r="E1322" s="883">
        <v>0.98776873122498021</v>
      </c>
      <c r="F1322" s="883">
        <v>1.0049058888092766</v>
      </c>
      <c r="G1322" s="883">
        <v>0.99409812516005724</v>
      </c>
      <c r="H1322" s="883">
        <v>1.002669667188085</v>
      </c>
      <c r="I1322" s="883">
        <v>1.00761053419151</v>
      </c>
      <c r="K1322">
        <v>6.7648199146190251</v>
      </c>
      <c r="L1322">
        <v>0</v>
      </c>
      <c r="M1322">
        <v>1.086978853702711E-2</v>
      </c>
      <c r="N1322">
        <v>0.19901373035507014</v>
      </c>
      <c r="O1322">
        <v>0.12568790645236305</v>
      </c>
      <c r="P1322">
        <v>8.2512722882580269E-2</v>
      </c>
      <c r="Q1322">
        <v>0</v>
      </c>
      <c r="R1322">
        <v>1.086978853702711E-2</v>
      </c>
      <c r="S1322">
        <v>0.27778230648548174</v>
      </c>
      <c r="T1322">
        <v>5.9130813194338643</v>
      </c>
      <c r="U1322">
        <v>0</v>
      </c>
      <c r="V1322">
        <v>1.9260610019818117E-2</v>
      </c>
      <c r="W1322">
        <v>0.1053868332984314</v>
      </c>
      <c r="X1322">
        <v>-2.6653687538266634E-3</v>
      </c>
      <c r="Y1322">
        <v>4.475985444524249E-2</v>
      </c>
    </row>
    <row r="1323" spans="1:25" x14ac:dyDescent="0.25">
      <c r="A1323" s="879"/>
      <c r="B1323" s="1133">
        <v>1073</v>
      </c>
      <c r="C1323" s="883">
        <v>0.99340827014145183</v>
      </c>
      <c r="D1323" s="883">
        <v>0.98715598614672495</v>
      </c>
      <c r="E1323" s="883">
        <v>0.96357530209495734</v>
      </c>
      <c r="F1323" s="883">
        <v>1.029522744091113</v>
      </c>
      <c r="G1323" s="883">
        <v>0.9693572934953455</v>
      </c>
      <c r="H1323" s="883">
        <v>0.96267386948199896</v>
      </c>
      <c r="I1323" s="883">
        <v>1.0249553481938014</v>
      </c>
      <c r="K1323">
        <v>6.7418076963484026</v>
      </c>
      <c r="L1323">
        <v>0</v>
      </c>
      <c r="M1323">
        <v>1.0483776626312981E-2</v>
      </c>
      <c r="N1323">
        <v>0.18517636910979018</v>
      </c>
      <c r="O1323">
        <v>0.1241134665172173</v>
      </c>
      <c r="P1323">
        <v>8.0982805128061039E-2</v>
      </c>
      <c r="Q1323">
        <v>0</v>
      </c>
      <c r="R1323">
        <v>1.0483776626312981E-2</v>
      </c>
      <c r="S1323">
        <v>0.27498338853879245</v>
      </c>
      <c r="T1323">
        <v>5.9157392633917034</v>
      </c>
      <c r="U1323">
        <v>0</v>
      </c>
      <c r="V1323">
        <v>1.9191267745243858E-2</v>
      </c>
      <c r="W1323">
        <v>9.9256558763371167E-2</v>
      </c>
      <c r="X1323">
        <v>-8.0574895025400071E-4</v>
      </c>
      <c r="Y1323">
        <v>4.3170326104480496E-2</v>
      </c>
    </row>
    <row r="1324" spans="1:25" x14ac:dyDescent="0.25">
      <c r="A1324" s="879"/>
      <c r="B1324" s="1133">
        <v>1074</v>
      </c>
      <c r="C1324" s="883">
        <v>1.04244635052688</v>
      </c>
      <c r="D1324" s="883">
        <v>0.96541008874106526</v>
      </c>
      <c r="E1324" s="883">
        <v>0.99771622810434324</v>
      </c>
      <c r="F1324" s="883">
        <v>1.0433659403337336</v>
      </c>
      <c r="G1324" s="883">
        <v>0.9973150858749571</v>
      </c>
      <c r="H1324" s="883">
        <v>0.98259023069999274</v>
      </c>
      <c r="I1324" s="883">
        <v>1.0193220776115381</v>
      </c>
      <c r="K1324">
        <v>6.722413946388726</v>
      </c>
      <c r="L1324">
        <v>0</v>
      </c>
      <c r="M1324">
        <v>9.9932636388208561E-3</v>
      </c>
      <c r="N1324">
        <v>0.18568334222828839</v>
      </c>
      <c r="O1324">
        <v>0.11871700587077862</v>
      </c>
      <c r="P1324">
        <v>8.2953874669805278E-2</v>
      </c>
      <c r="Q1324">
        <v>0</v>
      </c>
      <c r="R1324">
        <v>9.9932636388208561E-3</v>
      </c>
      <c r="S1324">
        <v>0.26272666287876428</v>
      </c>
      <c r="T1324">
        <v>5.9146048132008762</v>
      </c>
      <c r="U1324">
        <v>0</v>
      </c>
      <c r="V1324">
        <v>1.8933114245095674E-2</v>
      </c>
      <c r="W1324">
        <v>9.7841782565878083E-2</v>
      </c>
      <c r="X1324">
        <v>-1.9713020080264223E-4</v>
      </c>
      <c r="Y1324">
        <v>4.1150480930044989E-2</v>
      </c>
    </row>
    <row r="1325" spans="1:25" x14ac:dyDescent="0.25">
      <c r="A1325" s="879"/>
      <c r="B1325" s="1133">
        <v>1075</v>
      </c>
      <c r="C1325" s="883">
        <v>1.0079217193458618</v>
      </c>
      <c r="D1325" s="883">
        <v>0.95843368107481763</v>
      </c>
      <c r="E1325" s="883">
        <v>0.95443946567795646</v>
      </c>
      <c r="F1325" s="883">
        <v>1.0079296801817546</v>
      </c>
      <c r="G1325" s="883">
        <v>1.0041555040069303</v>
      </c>
      <c r="H1325" s="883">
        <v>1.0124187313653066</v>
      </c>
      <c r="I1325" s="883">
        <v>0.96222754191838444</v>
      </c>
      <c r="K1325">
        <v>6.7377767685782475</v>
      </c>
      <c r="L1325">
        <v>0</v>
      </c>
      <c r="M1325">
        <v>1.1092985312569623E-2</v>
      </c>
      <c r="N1325">
        <v>0.19329487977201146</v>
      </c>
      <c r="O1325">
        <v>0.12394894630929718</v>
      </c>
      <c r="P1325">
        <v>8.0191564596219816E-2</v>
      </c>
      <c r="Q1325">
        <v>0</v>
      </c>
      <c r="R1325">
        <v>1.1092985312569623E-2</v>
      </c>
      <c r="S1325">
        <v>0.25923994480212709</v>
      </c>
      <c r="T1325">
        <v>5.9150640743315188</v>
      </c>
      <c r="U1325">
        <v>0</v>
      </c>
      <c r="V1325">
        <v>1.9112246821298178E-2</v>
      </c>
      <c r="W1325">
        <v>0.10408730562898161</v>
      </c>
      <c r="X1325">
        <v>-2.8411327225853411E-3</v>
      </c>
      <c r="Y1325">
        <v>4.5678939039381472E-2</v>
      </c>
    </row>
    <row r="1326" spans="1:25" x14ac:dyDescent="0.25">
      <c r="A1326" s="879"/>
      <c r="B1326" s="1133">
        <v>1076</v>
      </c>
      <c r="C1326" s="883">
        <v>0.98719150380797815</v>
      </c>
      <c r="D1326" s="883">
        <v>1.0013552742717002</v>
      </c>
      <c r="E1326" s="883">
        <v>1.0418712023987455</v>
      </c>
      <c r="F1326" s="883">
        <v>1.0250446064070498</v>
      </c>
      <c r="G1326" s="883">
        <v>0.98319418424756488</v>
      </c>
      <c r="H1326" s="883">
        <v>0.95371234969575025</v>
      </c>
      <c r="I1326" s="883">
        <v>0.9993140432018609</v>
      </c>
      <c r="K1326">
        <v>6.7395626042019732</v>
      </c>
      <c r="L1326">
        <v>0</v>
      </c>
      <c r="M1326">
        <v>9.7009129566196471E-3</v>
      </c>
      <c r="N1326">
        <v>0.19241809759874873</v>
      </c>
      <c r="O1326">
        <v>0.1226964644569546</v>
      </c>
      <c r="P1326">
        <v>8.5760678767359488E-2</v>
      </c>
      <c r="Q1326">
        <v>0</v>
      </c>
      <c r="R1326">
        <v>9.7009129566196471E-3</v>
      </c>
      <c r="S1326">
        <v>0.26894707975175897</v>
      </c>
      <c r="T1326">
        <v>5.9110841118959048</v>
      </c>
      <c r="U1326">
        <v>0</v>
      </c>
      <c r="V1326">
        <v>1.9225826764155528E-2</v>
      </c>
      <c r="W1326">
        <v>9.9208823149960296E-2</v>
      </c>
      <c r="X1326">
        <v>2.7488895990211302E-4</v>
      </c>
      <c r="Y1326">
        <v>3.9946632857222004E-2</v>
      </c>
    </row>
    <row r="1327" spans="1:25" x14ac:dyDescent="0.25">
      <c r="A1327" s="879"/>
      <c r="B1327" s="1133">
        <v>1077</v>
      </c>
      <c r="C1327" s="883">
        <v>1.010723225873192</v>
      </c>
      <c r="D1327" s="883">
        <v>1.01065725714594</v>
      </c>
      <c r="E1327" s="883">
        <v>0.96794994773034293</v>
      </c>
      <c r="F1327" s="883">
        <v>1.0078986142001882</v>
      </c>
      <c r="G1327" s="883">
        <v>1.0085214603265196</v>
      </c>
      <c r="H1327" s="883">
        <v>1.0296534265180868</v>
      </c>
      <c r="I1327" s="883">
        <v>1.0304783646357927</v>
      </c>
      <c r="K1327">
        <v>6.7522380207326957</v>
      </c>
      <c r="L1327">
        <v>0</v>
      </c>
      <c r="M1327">
        <v>1.0869134765014107E-2</v>
      </c>
      <c r="N1327">
        <v>0.19323446045720696</v>
      </c>
      <c r="O1327">
        <v>0.12076517644604565</v>
      </c>
      <c r="P1327">
        <v>8.1278315688942296E-2</v>
      </c>
      <c r="Q1327">
        <v>0</v>
      </c>
      <c r="R1327">
        <v>1.0869134765014107E-2</v>
      </c>
      <c r="S1327">
        <v>0.27793865095563158</v>
      </c>
      <c r="T1327">
        <v>5.914332482177012</v>
      </c>
      <c r="U1327">
        <v>0</v>
      </c>
      <c r="V1327">
        <v>1.9097254853861E-2</v>
      </c>
      <c r="W1327">
        <v>0.10334783508459586</v>
      </c>
      <c r="X1327">
        <v>-2.5133172590572029E-3</v>
      </c>
      <c r="Y1327">
        <v>4.4757162328460019E-2</v>
      </c>
    </row>
    <row r="1328" spans="1:25" x14ac:dyDescent="0.25">
      <c r="A1328" s="879"/>
      <c r="B1328" s="1133">
        <v>1078</v>
      </c>
      <c r="C1328" s="883">
        <v>1.0076418034047687</v>
      </c>
      <c r="D1328" s="883">
        <v>0.9613121617553031</v>
      </c>
      <c r="E1328" s="883">
        <v>0.97746194158418409</v>
      </c>
      <c r="F1328" s="883">
        <v>0.96802916230082625</v>
      </c>
      <c r="G1328" s="883">
        <v>1.022464565220097</v>
      </c>
      <c r="H1328" s="883">
        <v>1.0293648612441386</v>
      </c>
      <c r="I1328" s="883">
        <v>1.0107641586458804</v>
      </c>
      <c r="K1328">
        <v>6.7573713670634756</v>
      </c>
      <c r="L1328">
        <v>0</v>
      </c>
      <c r="M1328">
        <v>1.1043784070972085E-2</v>
      </c>
      <c r="N1328">
        <v>0.19913147937883166</v>
      </c>
      <c r="O1328">
        <v>0.12340707299235275</v>
      </c>
      <c r="P1328">
        <v>8.1792586254090693E-2</v>
      </c>
      <c r="Q1328">
        <v>0</v>
      </c>
      <c r="R1328">
        <v>1.1043784070972085E-2</v>
      </c>
      <c r="S1328">
        <v>0.27402639975734772</v>
      </c>
      <c r="T1328">
        <v>5.9116569636587997</v>
      </c>
      <c r="U1328">
        <v>0</v>
      </c>
      <c r="V1328">
        <v>1.9113749342789966E-2</v>
      </c>
      <c r="W1328">
        <v>0.10599420213566907</v>
      </c>
      <c r="X1328">
        <v>-3.2274235403850255E-3</v>
      </c>
      <c r="Y1328">
        <v>4.5476337083977379E-2</v>
      </c>
    </row>
    <row r="1329" spans="1:25" x14ac:dyDescent="0.25">
      <c r="A1329" s="879"/>
      <c r="B1329" s="1133">
        <v>1079</v>
      </c>
      <c r="C1329" s="883">
        <v>0.97782496664213214</v>
      </c>
      <c r="D1329" s="883">
        <v>1.0267940759025789</v>
      </c>
      <c r="E1329" s="883">
        <v>1.0284512963515728</v>
      </c>
      <c r="F1329" s="883">
        <v>0.96297390456345555</v>
      </c>
      <c r="G1329" s="883">
        <v>0.98247860271381826</v>
      </c>
      <c r="H1329" s="883">
        <v>0.96151306929958469</v>
      </c>
      <c r="I1329" s="883">
        <v>1.012901022286625</v>
      </c>
      <c r="K1329">
        <v>6.7439440182053723</v>
      </c>
      <c r="L1329">
        <v>0</v>
      </c>
      <c r="M1329">
        <v>9.884100172346328E-3</v>
      </c>
      <c r="N1329">
        <v>0.19220227286436009</v>
      </c>
      <c r="O1329">
        <v>0.12289363659194065</v>
      </c>
      <c r="P1329">
        <v>8.4980007949497643E-2</v>
      </c>
      <c r="Q1329">
        <v>0</v>
      </c>
      <c r="R1329">
        <v>9.884100172346328E-3</v>
      </c>
      <c r="S1329">
        <v>0.27574239703186554</v>
      </c>
      <c r="T1329">
        <v>5.9085115377843787</v>
      </c>
      <c r="U1329">
        <v>0</v>
      </c>
      <c r="V1329">
        <v>1.9278725168371459E-2</v>
      </c>
      <c r="W1329">
        <v>9.9750738048730178E-2</v>
      </c>
      <c r="X1329">
        <v>-1.1626243924838171E-4</v>
      </c>
      <c r="Y1329">
        <v>4.0700965205475594E-2</v>
      </c>
    </row>
    <row r="1330" spans="1:25" x14ac:dyDescent="0.25">
      <c r="A1330" s="879"/>
      <c r="B1330" s="1133">
        <v>1080</v>
      </c>
      <c r="C1330" s="883">
        <v>1.0036191067179829</v>
      </c>
      <c r="D1330" s="883">
        <v>1.0208118216496178</v>
      </c>
      <c r="E1330" s="883">
        <v>1.0057255718100486</v>
      </c>
      <c r="F1330" s="883">
        <v>1.0075779289270319</v>
      </c>
      <c r="G1330" s="883">
        <v>0.96319907932745952</v>
      </c>
      <c r="H1330" s="883">
        <v>0.96977603879985208</v>
      </c>
      <c r="I1330" s="883">
        <v>0.9776680260352536</v>
      </c>
      <c r="K1330">
        <v>6.7208963491970151</v>
      </c>
      <c r="L1330">
        <v>0</v>
      </c>
      <c r="M1330">
        <v>9.9327454046017442E-3</v>
      </c>
      <c r="N1330">
        <v>0.18676154259607805</v>
      </c>
      <c r="O1330">
        <v>0.12043957828162574</v>
      </c>
      <c r="P1330">
        <v>8.3391567339931444E-2</v>
      </c>
      <c r="Q1330">
        <v>0</v>
      </c>
      <c r="R1330">
        <v>9.9327454046017442E-3</v>
      </c>
      <c r="S1330">
        <v>0.26006970344981151</v>
      </c>
      <c r="T1330">
        <v>5.9122197267356578</v>
      </c>
      <c r="U1330">
        <v>0</v>
      </c>
      <c r="V1330">
        <v>1.9135434782444963E-2</v>
      </c>
      <c r="W1330">
        <v>9.8019521879188401E-2</v>
      </c>
      <c r="X1330">
        <v>-4.2003481099055651E-5</v>
      </c>
      <c r="Y1330">
        <v>4.0901277613374816E-2</v>
      </c>
    </row>
    <row r="1331" spans="1:25" x14ac:dyDescent="0.25">
      <c r="A1331" s="879"/>
      <c r="B1331" s="1133">
        <v>1081</v>
      </c>
      <c r="C1331" s="883">
        <v>1.0032489976424315</v>
      </c>
      <c r="D1331" s="883">
        <v>1.0377909178523805</v>
      </c>
      <c r="E1331" s="883">
        <v>1.0195280700453089</v>
      </c>
      <c r="F1331" s="883">
        <v>1.0266655473357522</v>
      </c>
      <c r="G1331" s="883">
        <v>0.98248498395622719</v>
      </c>
      <c r="H1331" s="883">
        <v>1.0034109323958955</v>
      </c>
      <c r="I1331" s="883">
        <v>1.0304950515248281</v>
      </c>
      <c r="K1331">
        <v>6.7479211967942208</v>
      </c>
      <c r="L1331">
        <v>0</v>
      </c>
      <c r="M1331">
        <v>1.0086210496006488E-2</v>
      </c>
      <c r="N1331">
        <v>0.19356123984501211</v>
      </c>
      <c r="O1331">
        <v>0.11943607356015017</v>
      </c>
      <c r="P1331">
        <v>8.4493970926279846E-2</v>
      </c>
      <c r="Q1331">
        <v>0</v>
      </c>
      <c r="R1331">
        <v>1.0086210496006488E-2</v>
      </c>
      <c r="S1331">
        <v>0.27731714442766614</v>
      </c>
      <c r="T1331">
        <v>5.9124655381325173</v>
      </c>
      <c r="U1331">
        <v>0</v>
      </c>
      <c r="V1331">
        <v>1.9137438692020125E-2</v>
      </c>
      <c r="W1331">
        <v>0.10089783287490359</v>
      </c>
      <c r="X1331">
        <v>-9.2126120834082543E-4</v>
      </c>
      <c r="Y1331">
        <v>4.1533219544011568E-2</v>
      </c>
    </row>
    <row r="1332" spans="1:25" x14ac:dyDescent="0.25">
      <c r="A1332" s="879"/>
      <c r="B1332" s="1133">
        <v>1082</v>
      </c>
      <c r="C1332" s="883">
        <v>0.99122584748619469</v>
      </c>
      <c r="D1332" s="883">
        <v>0.99098807575795789</v>
      </c>
      <c r="E1332" s="883">
        <v>1.007206183560257</v>
      </c>
      <c r="F1332" s="883">
        <v>0.98217207815840679</v>
      </c>
      <c r="G1332" s="883">
        <v>1.0125205707619178</v>
      </c>
      <c r="H1332" s="883">
        <v>0.98936898064703183</v>
      </c>
      <c r="I1332" s="883">
        <v>1.0344066984542166</v>
      </c>
      <c r="K1332">
        <v>6.7572856813201607</v>
      </c>
      <c r="L1332">
        <v>0</v>
      </c>
      <c r="M1332">
        <v>1.037778506638142E-2</v>
      </c>
      <c r="N1332">
        <v>0.19555773064423365</v>
      </c>
      <c r="O1332">
        <v>0.12337218384498291</v>
      </c>
      <c r="P1332">
        <v>8.3745065079074824E-2</v>
      </c>
      <c r="Q1332">
        <v>0</v>
      </c>
      <c r="R1332">
        <v>1.037778506638142E-2</v>
      </c>
      <c r="S1332">
        <v>0.28080805455582514</v>
      </c>
      <c r="T1332">
        <v>5.9107631333325079</v>
      </c>
      <c r="U1332">
        <v>0</v>
      </c>
      <c r="V1332">
        <v>1.9203350459718167E-2</v>
      </c>
      <c r="W1332">
        <v>0.10256085021792266</v>
      </c>
      <c r="X1332">
        <v>-1.4585585405854878E-3</v>
      </c>
      <c r="Y1332">
        <v>4.2733871726476719E-2</v>
      </c>
    </row>
    <row r="1333" spans="1:25" x14ac:dyDescent="0.25">
      <c r="A1333" s="879"/>
      <c r="B1333" s="1133">
        <v>1083</v>
      </c>
      <c r="C1333" s="883">
        <v>1.0086220167655318</v>
      </c>
      <c r="D1333" s="883">
        <v>1.0029287278951793</v>
      </c>
      <c r="E1333" s="883">
        <v>1.0209222292779596</v>
      </c>
      <c r="F1333" s="883">
        <v>0.99750668395801112</v>
      </c>
      <c r="G1333" s="883">
        <v>0.97256263701912538</v>
      </c>
      <c r="H1333" s="883">
        <v>1.0295173907705029</v>
      </c>
      <c r="I1333" s="883">
        <v>0.98683997695219872</v>
      </c>
      <c r="K1333">
        <v>6.7474353803003586</v>
      </c>
      <c r="L1333">
        <v>0</v>
      </c>
      <c r="M1333">
        <v>1.0432405140940583E-2</v>
      </c>
      <c r="N1333">
        <v>0.2006182655585666</v>
      </c>
      <c r="O1333">
        <v>0.12040860661653369</v>
      </c>
      <c r="P1333">
        <v>8.441656706481597E-2</v>
      </c>
      <c r="Q1333">
        <v>0</v>
      </c>
      <c r="R1333">
        <v>1.0432405140940583E-2</v>
      </c>
      <c r="S1333">
        <v>0.26688326155816533</v>
      </c>
      <c r="T1333">
        <v>5.9108102973775072</v>
      </c>
      <c r="U1333">
        <v>0</v>
      </c>
      <c r="V1333">
        <v>1.9108491446223543E-2</v>
      </c>
      <c r="W1333">
        <v>0.10450466771299249</v>
      </c>
      <c r="X1333">
        <v>-2.2735645059469107E-3</v>
      </c>
      <c r="Y1333">
        <v>4.295878747150049E-2</v>
      </c>
    </row>
    <row r="1334" spans="1:25" x14ac:dyDescent="0.25">
      <c r="A1334" s="879"/>
      <c r="B1334" s="1133">
        <v>1084</v>
      </c>
      <c r="C1334" s="883">
        <v>0.97991269612415333</v>
      </c>
      <c r="D1334" s="883">
        <v>1.0345975528369569</v>
      </c>
      <c r="E1334" s="883">
        <v>0.96841570044778635</v>
      </c>
      <c r="F1334" s="883">
        <v>0.96116804245111509</v>
      </c>
      <c r="G1334" s="883">
        <v>0.99339989917593419</v>
      </c>
      <c r="H1334" s="883">
        <v>0.98872816855833501</v>
      </c>
      <c r="I1334" s="883">
        <v>0.96098190546225937</v>
      </c>
      <c r="K1334">
        <v>6.7320046942853384</v>
      </c>
      <c r="L1334">
        <v>0</v>
      </c>
      <c r="M1334">
        <v>1.0653647289788478E-2</v>
      </c>
      <c r="N1334">
        <v>0.18953450819521439</v>
      </c>
      <c r="O1334">
        <v>0.12339260036828846</v>
      </c>
      <c r="P1334">
        <v>8.1086170340257321E-2</v>
      </c>
      <c r="Q1334">
        <v>0</v>
      </c>
      <c r="R1334">
        <v>1.0653647289788478E-2</v>
      </c>
      <c r="S1334">
        <v>0.26337339470362409</v>
      </c>
      <c r="T1334">
        <v>5.9117804214760969</v>
      </c>
      <c r="U1334">
        <v>0</v>
      </c>
      <c r="V1334">
        <v>1.9266846937594416E-2</v>
      </c>
      <c r="W1334">
        <v>0.10134523318539519</v>
      </c>
      <c r="X1334">
        <v>-1.6443041819581255E-3</v>
      </c>
      <c r="Y1334">
        <v>4.3869823260821644E-2</v>
      </c>
    </row>
    <row r="1335" spans="1:25" x14ac:dyDescent="0.25">
      <c r="A1335" s="879"/>
      <c r="B1335" s="1133">
        <v>1085</v>
      </c>
      <c r="C1335" s="883">
        <v>1.0008334374601162</v>
      </c>
      <c r="D1335" s="883">
        <v>0.9948129830309731</v>
      </c>
      <c r="E1335" s="883">
        <v>0.97662421636820829</v>
      </c>
      <c r="F1335" s="883">
        <v>1.0306193030374953</v>
      </c>
      <c r="G1335" s="883">
        <v>0.99981884465451398</v>
      </c>
      <c r="H1335" s="883">
        <v>0.99971962804939629</v>
      </c>
      <c r="I1335" s="883">
        <v>0.98725920882077278</v>
      </c>
      <c r="K1335">
        <v>6.740703227544687</v>
      </c>
      <c r="L1335">
        <v>0</v>
      </c>
      <c r="M1335">
        <v>1.0649045875800667E-2</v>
      </c>
      <c r="N1335">
        <v>0.19177535775662158</v>
      </c>
      <c r="O1335">
        <v>0.12257126888775638</v>
      </c>
      <c r="P1335">
        <v>8.1683795433891704E-2</v>
      </c>
      <c r="Q1335">
        <v>0</v>
      </c>
      <c r="R1335">
        <v>1.0649045875800667E-2</v>
      </c>
      <c r="S1335">
        <v>0.26631198918784282</v>
      </c>
      <c r="T1335">
        <v>5.9150867398121809</v>
      </c>
      <c r="U1335">
        <v>0</v>
      </c>
      <c r="V1335">
        <v>1.915055384504202E-2</v>
      </c>
      <c r="W1335">
        <v>0.10212154574794566</v>
      </c>
      <c r="X1335">
        <v>-1.8488985836325222E-3</v>
      </c>
      <c r="Y1335">
        <v>4.3850875457040993E-2</v>
      </c>
    </row>
    <row r="1336" spans="1:25" x14ac:dyDescent="0.25">
      <c r="A1336" s="879"/>
      <c r="B1336" s="1133">
        <v>1086</v>
      </c>
      <c r="C1336" s="883">
        <v>0.99943267567022875</v>
      </c>
      <c r="D1336" s="883">
        <v>0.98837376688001322</v>
      </c>
      <c r="E1336" s="883">
        <v>1.044379938789235</v>
      </c>
      <c r="F1336" s="883">
        <v>1.0273465371568868</v>
      </c>
      <c r="G1336" s="883">
        <v>0.99009987422983059</v>
      </c>
      <c r="H1336" s="883">
        <v>1.0120461178214777</v>
      </c>
      <c r="I1336" s="883">
        <v>1.0081348902810587</v>
      </c>
      <c r="K1336">
        <v>6.7595879287254919</v>
      </c>
      <c r="L1336">
        <v>0</v>
      </c>
      <c r="M1336">
        <v>1.0202695273487727E-2</v>
      </c>
      <c r="N1336">
        <v>0.20312211202888539</v>
      </c>
      <c r="O1336">
        <v>0.12177967304260551</v>
      </c>
      <c r="P1336">
        <v>8.5981793530834849E-2</v>
      </c>
      <c r="Q1336">
        <v>0</v>
      </c>
      <c r="R1336">
        <v>1.0202695273487727E-2</v>
      </c>
      <c r="S1336">
        <v>0.2736873426850685</v>
      </c>
      <c r="T1336">
        <v>5.9110614578873539</v>
      </c>
      <c r="U1336">
        <v>0</v>
      </c>
      <c r="V1336">
        <v>1.9158188246200299E-2</v>
      </c>
      <c r="W1336">
        <v>0.10459957787023154</v>
      </c>
      <c r="X1336">
        <v>-1.8150996898527035E-3</v>
      </c>
      <c r="Y1336">
        <v>4.2012883124161855E-2</v>
      </c>
    </row>
    <row r="1337" spans="1:25" x14ac:dyDescent="0.25">
      <c r="A1337" s="879"/>
      <c r="B1337" s="1133">
        <v>1087</v>
      </c>
      <c r="C1337" s="883">
        <v>0.98283140176753891</v>
      </c>
      <c r="D1337" s="883">
        <v>0.97767565902532716</v>
      </c>
      <c r="E1337" s="883">
        <v>1.0434835617429468</v>
      </c>
      <c r="F1337" s="883">
        <v>1.039113670041959</v>
      </c>
      <c r="G1337" s="883">
        <v>1.0408624774618265</v>
      </c>
      <c r="H1337" s="883">
        <v>1.00100396932435</v>
      </c>
      <c r="I1337" s="883">
        <v>0.97842763767134611</v>
      </c>
      <c r="K1337">
        <v>6.7616896960278217</v>
      </c>
      <c r="L1337">
        <v>0</v>
      </c>
      <c r="M1337">
        <v>1.0317923964517335E-2</v>
      </c>
      <c r="N1337">
        <v>0.20514444123963305</v>
      </c>
      <c r="O1337">
        <v>0.12439454645395019</v>
      </c>
      <c r="P1337">
        <v>8.5874167224435E-2</v>
      </c>
      <c r="Q1337">
        <v>0</v>
      </c>
      <c r="R1337">
        <v>1.0317923964517335E-2</v>
      </c>
      <c r="S1337">
        <v>0.26917979080520454</v>
      </c>
      <c r="T1337">
        <v>5.9117495028629321</v>
      </c>
      <c r="U1337">
        <v>0</v>
      </c>
      <c r="V1337">
        <v>1.9250325420260485E-2</v>
      </c>
      <c r="W1337">
        <v>0.10568719705489894</v>
      </c>
      <c r="X1337">
        <v>-2.0776493973708146E-3</v>
      </c>
      <c r="Y1337">
        <v>4.2487374363879338E-2</v>
      </c>
    </row>
    <row r="1338" spans="1:25" x14ac:dyDescent="0.25">
      <c r="A1338" s="879"/>
      <c r="B1338" s="1133">
        <v>1088</v>
      </c>
      <c r="C1338" s="883">
        <v>1.0100444839316722</v>
      </c>
      <c r="D1338" s="883">
        <v>1.015473500908322</v>
      </c>
      <c r="E1338" s="883">
        <v>1.0135005650396869</v>
      </c>
      <c r="F1338" s="883">
        <v>0.97715781235547505</v>
      </c>
      <c r="G1338" s="883">
        <v>0.95700492607334331</v>
      </c>
      <c r="H1338" s="883">
        <v>0.96379180324161196</v>
      </c>
      <c r="I1338" s="883">
        <v>0.97957072285879143</v>
      </c>
      <c r="K1338">
        <v>6.714661634361736</v>
      </c>
      <c r="L1338">
        <v>0</v>
      </c>
      <c r="M1338">
        <v>9.7640808513990759E-3</v>
      </c>
      <c r="N1338">
        <v>0.18571559786964056</v>
      </c>
      <c r="O1338">
        <v>0.11978063205982684</v>
      </c>
      <c r="P1338">
        <v>8.3827916964097512E-2</v>
      </c>
      <c r="Q1338">
        <v>0</v>
      </c>
      <c r="R1338">
        <v>9.7640808513990759E-3</v>
      </c>
      <c r="S1338">
        <v>0.25842978993383908</v>
      </c>
      <c r="T1338">
        <v>5.9101349558145655</v>
      </c>
      <c r="U1338">
        <v>0</v>
      </c>
      <c r="V1338">
        <v>1.9100879436287778E-2</v>
      </c>
      <c r="W1338">
        <v>9.7096400040530842E-2</v>
      </c>
      <c r="X1338">
        <v>3.687152384903113E-4</v>
      </c>
      <c r="Y1338">
        <v>4.0206747004457567E-2</v>
      </c>
    </row>
    <row r="1339" spans="1:25" x14ac:dyDescent="0.25">
      <c r="A1339" s="879"/>
      <c r="B1339" s="1133">
        <v>1089</v>
      </c>
      <c r="C1339" s="883">
        <v>0.97180891209544418</v>
      </c>
      <c r="D1339" s="883">
        <v>0.99892967170422764</v>
      </c>
      <c r="E1339" s="883">
        <v>0.96602152103737859</v>
      </c>
      <c r="F1339" s="883">
        <v>1.01245680667243</v>
      </c>
      <c r="G1339" s="883">
        <v>0.99987593375972716</v>
      </c>
      <c r="H1339" s="883">
        <v>1.0019318095559882</v>
      </c>
      <c r="I1339" s="883">
        <v>0.97291641626351877</v>
      </c>
      <c r="K1339">
        <v>6.7558671765869516</v>
      </c>
      <c r="L1339">
        <v>0</v>
      </c>
      <c r="M1339">
        <v>1.1073709673748537E-2</v>
      </c>
      <c r="N1339">
        <v>0.1963084294516981</v>
      </c>
      <c r="O1339">
        <v>0.12622536145332003</v>
      </c>
      <c r="P1339">
        <v>8.1065825616967471E-2</v>
      </c>
      <c r="Q1339">
        <v>0</v>
      </c>
      <c r="R1339">
        <v>1.1073709673748537E-2</v>
      </c>
      <c r="S1339">
        <v>0.27043026901911238</v>
      </c>
      <c r="T1339">
        <v>5.914683770823812</v>
      </c>
      <c r="U1339">
        <v>0</v>
      </c>
      <c r="V1339">
        <v>1.9313239209074958E-2</v>
      </c>
      <c r="W1339">
        <v>0.10509385857359657</v>
      </c>
      <c r="X1339">
        <v>-2.8531429502843975E-3</v>
      </c>
      <c r="Y1339">
        <v>4.5599565389652048E-2</v>
      </c>
    </row>
    <row r="1340" spans="1:25" x14ac:dyDescent="0.25">
      <c r="A1340" s="879"/>
      <c r="B1340" s="1133">
        <v>1090</v>
      </c>
      <c r="C1340" s="883">
        <v>1.0210194023141888</v>
      </c>
      <c r="D1340" s="883">
        <v>1.0121670976160302</v>
      </c>
      <c r="E1340" s="883">
        <v>1.0123530929852151</v>
      </c>
      <c r="F1340" s="883">
        <v>0.99043172717254002</v>
      </c>
      <c r="G1340" s="883">
        <v>0.99858259637180358</v>
      </c>
      <c r="H1340" s="883">
        <v>1.0208166605832425</v>
      </c>
      <c r="I1340" s="883">
        <v>0.98845126255671267</v>
      </c>
      <c r="K1340">
        <v>6.7329190279565365</v>
      </c>
      <c r="L1340">
        <v>0</v>
      </c>
      <c r="M1340">
        <v>1.0255212942636214E-2</v>
      </c>
      <c r="N1340">
        <v>0.19472607949110804</v>
      </c>
      <c r="O1340">
        <v>0.11866887944840945</v>
      </c>
      <c r="P1340">
        <v>8.3829989032687333E-2</v>
      </c>
      <c r="Q1340">
        <v>0</v>
      </c>
      <c r="R1340">
        <v>1.0255212942636214E-2</v>
      </c>
      <c r="S1340">
        <v>0.26317113900422345</v>
      </c>
      <c r="T1340">
        <v>5.9109174588369724</v>
      </c>
      <c r="U1340">
        <v>0</v>
      </c>
      <c r="V1340">
        <v>1.9042862760127427E-2</v>
      </c>
      <c r="W1340">
        <v>0.1018650158187428</v>
      </c>
      <c r="X1340">
        <v>-1.5315379736567662E-3</v>
      </c>
      <c r="Y1340">
        <v>4.2229141537918666E-2</v>
      </c>
    </row>
    <row r="1341" spans="1:25" x14ac:dyDescent="0.25">
      <c r="A1341" s="879"/>
      <c r="B1341" s="1133">
        <v>1091</v>
      </c>
      <c r="C1341" s="883">
        <v>1.0004718865870292</v>
      </c>
      <c r="D1341" s="883">
        <v>0.99398893954258538</v>
      </c>
      <c r="E1341" s="883">
        <v>0.96151121044660992</v>
      </c>
      <c r="F1341" s="883">
        <v>1.0121483240284495</v>
      </c>
      <c r="G1341" s="883">
        <v>0.97702392114649728</v>
      </c>
      <c r="H1341" s="883">
        <v>0.9773854789008023</v>
      </c>
      <c r="I1341" s="883">
        <v>0.97836733726046332</v>
      </c>
      <c r="K1341">
        <v>6.7275406071717807</v>
      </c>
      <c r="L1341">
        <v>0</v>
      </c>
      <c r="M1341">
        <v>1.0556588566072287E-2</v>
      </c>
      <c r="N1341">
        <v>0.1858915595358987</v>
      </c>
      <c r="O1341">
        <v>0.12293566086021514</v>
      </c>
      <c r="P1341">
        <v>8.0671243158326564E-2</v>
      </c>
      <c r="Q1341">
        <v>0</v>
      </c>
      <c r="R1341">
        <v>1.0556588566072287E-2</v>
      </c>
      <c r="S1341">
        <v>0.26192807750444913</v>
      </c>
      <c r="T1341">
        <v>5.9149114392450421</v>
      </c>
      <c r="U1341">
        <v>0</v>
      </c>
      <c r="V1341">
        <v>1.9152522314857395E-2</v>
      </c>
      <c r="W1341">
        <v>9.9743679310397307E-2</v>
      </c>
      <c r="X1341">
        <v>-1.1637274697762932E-3</v>
      </c>
      <c r="Y1341">
        <v>4.347015271236717E-2</v>
      </c>
    </row>
    <row r="1342" spans="1:25" x14ac:dyDescent="0.25">
      <c r="A1342" s="879"/>
      <c r="B1342" s="1133">
        <v>1092</v>
      </c>
      <c r="C1342" s="883">
        <v>1.0351811881433199</v>
      </c>
      <c r="D1342" s="883">
        <v>0.99491030416809234</v>
      </c>
      <c r="E1342" s="883">
        <v>0.99634636024659118</v>
      </c>
      <c r="F1342" s="883">
        <v>1.0115250978387411</v>
      </c>
      <c r="G1342" s="883">
        <v>0.99033620655412369</v>
      </c>
      <c r="H1342" s="883">
        <v>0.99651506659464895</v>
      </c>
      <c r="I1342" s="883">
        <v>1.0247491861087923</v>
      </c>
      <c r="K1342">
        <v>6.7266331173903735</v>
      </c>
      <c r="L1342">
        <v>0</v>
      </c>
      <c r="M1342">
        <v>1.0087240417442774E-2</v>
      </c>
      <c r="N1342">
        <v>0.18704943716650482</v>
      </c>
      <c r="O1342">
        <v>0.11814426741668885</v>
      </c>
      <c r="P1342">
        <v>8.2903292802132253E-2</v>
      </c>
      <c r="Q1342">
        <v>0</v>
      </c>
      <c r="R1342">
        <v>1.0087240417442774E-2</v>
      </c>
      <c r="S1342">
        <v>0.26698580332392657</v>
      </c>
      <c r="T1342">
        <v>5.9129607594755473</v>
      </c>
      <c r="U1342">
        <v>0</v>
      </c>
      <c r="V1342">
        <v>1.8969817221305543E-2</v>
      </c>
      <c r="W1342">
        <v>9.8628774421327919E-2</v>
      </c>
      <c r="X1342">
        <v>-5.4649501423404713E-4</v>
      </c>
      <c r="Y1342">
        <v>4.1537460577167007E-2</v>
      </c>
    </row>
    <row r="1343" spans="1:25" x14ac:dyDescent="0.25">
      <c r="A1343" s="879"/>
      <c r="B1343" s="1133">
        <v>1093</v>
      </c>
      <c r="C1343" s="883">
        <v>0.99676804117147322</v>
      </c>
      <c r="D1343" s="883">
        <v>0.98803505002385472</v>
      </c>
      <c r="E1343" s="883">
        <v>0.99704193847765721</v>
      </c>
      <c r="F1343" s="883">
        <v>1.019107025702374</v>
      </c>
      <c r="G1343" s="883">
        <v>1.0100413300125346</v>
      </c>
      <c r="H1343" s="883">
        <v>1.0375232292796739</v>
      </c>
      <c r="I1343" s="883">
        <v>1.0312860975865592</v>
      </c>
      <c r="K1343">
        <v>6.7734703065677166</v>
      </c>
      <c r="L1343">
        <v>0</v>
      </c>
      <c r="M1343">
        <v>1.0932893738812359E-2</v>
      </c>
      <c r="N1343">
        <v>0.20293960234674707</v>
      </c>
      <c r="O1343">
        <v>0.12302496289205199</v>
      </c>
      <c r="P1343">
        <v>8.3170577021683179E-2</v>
      </c>
      <c r="Q1343">
        <v>0</v>
      </c>
      <c r="R1343">
        <v>1.0932893738812359E-2</v>
      </c>
      <c r="S1343">
        <v>0.28313739683527334</v>
      </c>
      <c r="T1343">
        <v>5.9133315563166029</v>
      </c>
      <c r="U1343">
        <v>0</v>
      </c>
      <c r="V1343">
        <v>1.917277021075069E-2</v>
      </c>
      <c r="W1343">
        <v>0.10697044612525358</v>
      </c>
      <c r="X1343">
        <v>-3.2967156145344758E-3</v>
      </c>
      <c r="Y1343">
        <v>4.5019710433886952E-2</v>
      </c>
    </row>
    <row r="1344" spans="1:25" x14ac:dyDescent="0.25">
      <c r="A1344" s="879"/>
      <c r="B1344" s="1133">
        <v>1094</v>
      </c>
      <c r="C1344" s="883">
        <v>1.0204208020044354</v>
      </c>
      <c r="D1344" s="883">
        <v>1.0215835063779861</v>
      </c>
      <c r="E1344" s="883">
        <v>0.98225794554222745</v>
      </c>
      <c r="F1344" s="883">
        <v>1.0160217992915539</v>
      </c>
      <c r="G1344" s="883">
        <v>0.97414673845915201</v>
      </c>
      <c r="H1344" s="883">
        <v>0.99503891694550217</v>
      </c>
      <c r="I1344" s="883">
        <v>0.96347902008209541</v>
      </c>
      <c r="K1344">
        <v>6.7137217340627133</v>
      </c>
      <c r="L1344">
        <v>0</v>
      </c>
      <c r="M1344">
        <v>1.0227853340365101E-2</v>
      </c>
      <c r="N1344">
        <v>0.18573633048443075</v>
      </c>
      <c r="O1344">
        <v>0.11884674042082609</v>
      </c>
      <c r="P1344">
        <v>8.186348937711152E-2</v>
      </c>
      <c r="Q1344">
        <v>0</v>
      </c>
      <c r="R1344">
        <v>1.0227853340365101E-2</v>
      </c>
      <c r="S1344">
        <v>0.25425957216386291</v>
      </c>
      <c r="T1344">
        <v>5.9139873410401398</v>
      </c>
      <c r="U1344">
        <v>0</v>
      </c>
      <c r="V1344">
        <v>1.9045994961530616E-2</v>
      </c>
      <c r="W1344">
        <v>9.8627056860490378E-2</v>
      </c>
      <c r="X1344">
        <v>-7.612708112722424E-4</v>
      </c>
      <c r="Y1344">
        <v>4.2116479565593896E-2</v>
      </c>
    </row>
    <row r="1345" spans="1:25" x14ac:dyDescent="0.25">
      <c r="A1345" s="879"/>
      <c r="B1345" s="1133">
        <v>1095</v>
      </c>
      <c r="C1345" s="883">
        <v>0.98537073682006837</v>
      </c>
      <c r="D1345" s="883">
        <v>1.0145819184605782</v>
      </c>
      <c r="E1345" s="883">
        <v>0.99703492031992891</v>
      </c>
      <c r="F1345" s="883">
        <v>1.0181769702106152</v>
      </c>
      <c r="G1345" s="883">
        <v>1.0224392501340125</v>
      </c>
      <c r="H1345" s="883">
        <v>0.99791195993749737</v>
      </c>
      <c r="I1345" s="883">
        <v>1.0260360855500488</v>
      </c>
      <c r="K1345">
        <v>6.7592451911632736</v>
      </c>
      <c r="L1345">
        <v>0</v>
      </c>
      <c r="M1345">
        <v>1.0517073184823519E-2</v>
      </c>
      <c r="N1345">
        <v>0.19521898822041914</v>
      </c>
      <c r="O1345">
        <v>0.12313520618563516</v>
      </c>
      <c r="P1345">
        <v>8.3138707753123278E-2</v>
      </c>
      <c r="Q1345">
        <v>0</v>
      </c>
      <c r="R1345">
        <v>1.0517073184823519E-2</v>
      </c>
      <c r="S1345">
        <v>0.28077299576554687</v>
      </c>
      <c r="T1345">
        <v>5.913281684633283</v>
      </c>
      <c r="U1345">
        <v>0</v>
      </c>
      <c r="V1345">
        <v>1.9236030973082976E-2</v>
      </c>
      <c r="W1345">
        <v>0.10290123216167558</v>
      </c>
      <c r="X1345">
        <v>-1.747089935354309E-3</v>
      </c>
      <c r="Y1345">
        <v>4.330743540586042E-2</v>
      </c>
    </row>
    <row r="1346" spans="1:25" x14ac:dyDescent="0.25">
      <c r="A1346" s="879"/>
      <c r="B1346" s="1133">
        <v>1096</v>
      </c>
      <c r="C1346" s="883">
        <v>1.0305383433896083</v>
      </c>
      <c r="D1346" s="883">
        <v>0.9952102404250045</v>
      </c>
      <c r="E1346" s="883">
        <v>0.95505505389082745</v>
      </c>
      <c r="F1346" s="883">
        <v>0.95822414363386987</v>
      </c>
      <c r="G1346" s="883">
        <v>0.9568486332402385</v>
      </c>
      <c r="H1346" s="883">
        <v>0.96632348610496266</v>
      </c>
      <c r="I1346" s="883">
        <v>0.98637571321978024</v>
      </c>
      <c r="K1346">
        <v>6.7014219183916532</v>
      </c>
      <c r="L1346">
        <v>0</v>
      </c>
      <c r="M1346">
        <v>1.0184286646302058E-2</v>
      </c>
      <c r="N1346">
        <v>0.17762329723041898</v>
      </c>
      <c r="O1346">
        <v>0.11940554531414144</v>
      </c>
      <c r="P1346">
        <v>8.0143334478182782E-2</v>
      </c>
      <c r="Q1346">
        <v>0</v>
      </c>
      <c r="R1346">
        <v>1.0184286646302058E-2</v>
      </c>
      <c r="S1346">
        <v>0.25534646672593819</v>
      </c>
      <c r="T1346">
        <v>5.9123429002973396</v>
      </c>
      <c r="U1346">
        <v>0</v>
      </c>
      <c r="V1346">
        <v>1.8993543502688323E-2</v>
      </c>
      <c r="W1346">
        <v>9.5618536355658854E-2</v>
      </c>
      <c r="X1346">
        <v>1.121481325824822E-5</v>
      </c>
      <c r="Y1346">
        <v>4.1937079674024734E-2</v>
      </c>
    </row>
    <row r="1347" spans="1:25" x14ac:dyDescent="0.25">
      <c r="A1347" s="879"/>
      <c r="B1347" s="1133">
        <v>1097</v>
      </c>
      <c r="C1347" s="883">
        <v>0.96921074178675704</v>
      </c>
      <c r="D1347" s="883">
        <v>1.0296471072887683</v>
      </c>
      <c r="E1347" s="883">
        <v>0.99601499854105224</v>
      </c>
      <c r="F1347" s="883">
        <v>1.0091936576108007</v>
      </c>
      <c r="G1347" s="883">
        <v>1.040798445422366</v>
      </c>
      <c r="H1347" s="883">
        <v>1.0203886249929628</v>
      </c>
      <c r="I1347" s="883">
        <v>1.0114354562046768</v>
      </c>
      <c r="K1347">
        <v>6.7728495016569887</v>
      </c>
      <c r="L1347">
        <v>0</v>
      </c>
      <c r="M1347">
        <v>1.0874191857555381E-2</v>
      </c>
      <c r="N1347">
        <v>0.20154302229121918</v>
      </c>
      <c r="O1347">
        <v>0.12447182657390896</v>
      </c>
      <c r="P1347">
        <v>8.3105479206768654E-2</v>
      </c>
      <c r="Q1347">
        <v>0</v>
      </c>
      <c r="R1347">
        <v>1.0874191857555381E-2</v>
      </c>
      <c r="S1347">
        <v>0.28343038055057507</v>
      </c>
      <c r="T1347">
        <v>5.9128533094622329</v>
      </c>
      <c r="U1347">
        <v>0</v>
      </c>
      <c r="V1347">
        <v>1.9328277364189749E-2</v>
      </c>
      <c r="W1347">
        <v>0.10628857367172963</v>
      </c>
      <c r="X1347">
        <v>-2.9493539990569392E-3</v>
      </c>
      <c r="Y1347">
        <v>4.4777986535416064E-2</v>
      </c>
    </row>
    <row r="1348" spans="1:25" x14ac:dyDescent="0.25">
      <c r="A1348" s="879"/>
      <c r="B1348" s="1133">
        <v>1098</v>
      </c>
      <c r="C1348" s="883">
        <v>1.0370221964331165</v>
      </c>
      <c r="D1348" s="883">
        <v>1.0013022072028068</v>
      </c>
      <c r="E1348" s="883">
        <v>1.0240836565020115</v>
      </c>
      <c r="F1348" s="883">
        <v>0.99000477956166166</v>
      </c>
      <c r="G1348" s="883">
        <v>1.0287075608868663</v>
      </c>
      <c r="H1348" s="883">
        <v>0.97979980562848923</v>
      </c>
      <c r="I1348" s="883">
        <v>1.0063821831219231</v>
      </c>
      <c r="K1348">
        <v>6.7141749032076978</v>
      </c>
      <c r="L1348">
        <v>0</v>
      </c>
      <c r="M1348">
        <v>9.6366941684195781E-3</v>
      </c>
      <c r="N1348">
        <v>0.18618503821776342</v>
      </c>
      <c r="O1348">
        <v>0.11712941254363234</v>
      </c>
      <c r="P1348">
        <v>8.451320817814198E-2</v>
      </c>
      <c r="Q1348">
        <v>0</v>
      </c>
      <c r="R1348">
        <v>9.6366941684195781E-3</v>
      </c>
      <c r="S1348">
        <v>0.26019116647510798</v>
      </c>
      <c r="T1348">
        <v>5.9102234424594959</v>
      </c>
      <c r="U1348">
        <v>0</v>
      </c>
      <c r="V1348">
        <v>1.8960467958631277E-2</v>
      </c>
      <c r="W1348">
        <v>9.6835446757968513E-2</v>
      </c>
      <c r="X1348">
        <v>4.5452929902032815E-4</v>
      </c>
      <c r="Y1348">
        <v>3.9682191317932318E-2</v>
      </c>
    </row>
    <row r="1349" spans="1:25" x14ac:dyDescent="0.25">
      <c r="A1349" s="879"/>
      <c r="B1349" s="1133">
        <v>1099</v>
      </c>
      <c r="C1349" s="883">
        <v>0.9819961384490038</v>
      </c>
      <c r="D1349" s="883">
        <v>0.97530303843733879</v>
      </c>
      <c r="E1349" s="883">
        <v>0.96783716401343312</v>
      </c>
      <c r="F1349" s="883">
        <v>1.0300897322908</v>
      </c>
      <c r="G1349" s="883">
        <v>0.98444747433999635</v>
      </c>
      <c r="H1349" s="883">
        <v>0.99697110577383041</v>
      </c>
      <c r="I1349" s="883">
        <v>1.0398543682633179</v>
      </c>
      <c r="K1349">
        <v>6.7708973746873244</v>
      </c>
      <c r="L1349">
        <v>0</v>
      </c>
      <c r="M1349">
        <v>1.0999603007162502E-2</v>
      </c>
      <c r="N1349">
        <v>0.19552121099471467</v>
      </c>
      <c r="O1349">
        <v>0.12608322016259757</v>
      </c>
      <c r="P1349">
        <v>8.1391815827098535E-2</v>
      </c>
      <c r="Q1349">
        <v>0</v>
      </c>
      <c r="R1349">
        <v>1.0999603007162502E-2</v>
      </c>
      <c r="S1349">
        <v>0.28580519427612133</v>
      </c>
      <c r="T1349">
        <v>5.9155384989976403</v>
      </c>
      <c r="U1349">
        <v>0</v>
      </c>
      <c r="V1349">
        <v>1.9255043449699912E-2</v>
      </c>
      <c r="W1349">
        <v>0.1045767956062756</v>
      </c>
      <c r="X1349">
        <v>-2.5688119539771094E-3</v>
      </c>
      <c r="Y1349">
        <v>4.5294407327145694E-2</v>
      </c>
    </row>
    <row r="1350" spans="1:25" x14ac:dyDescent="0.25">
      <c r="A1350" s="879"/>
      <c r="B1350" s="1133">
        <v>1100</v>
      </c>
      <c r="C1350" s="883">
        <v>1.01437031293767</v>
      </c>
      <c r="D1350" s="883">
        <v>1.0045018056206692</v>
      </c>
      <c r="E1350" s="883">
        <v>0.99514589654525187</v>
      </c>
      <c r="F1350" s="883">
        <v>0.9700908746566419</v>
      </c>
      <c r="G1350" s="883">
        <v>1.0149366661281902</v>
      </c>
      <c r="H1350" s="883">
        <v>0.98687170466908347</v>
      </c>
      <c r="I1350" s="883">
        <v>0.99544002538070187</v>
      </c>
      <c r="K1350">
        <v>6.7249817541551362</v>
      </c>
      <c r="L1350">
        <v>0</v>
      </c>
      <c r="M1350">
        <v>1.0163412241558575E-2</v>
      </c>
      <c r="N1350">
        <v>0.18812692398436248</v>
      </c>
      <c r="O1350">
        <v>0.12012838831319377</v>
      </c>
      <c r="P1350">
        <v>8.2756273480482659E-2</v>
      </c>
      <c r="Q1350">
        <v>0</v>
      </c>
      <c r="R1350">
        <v>1.0163412241558575E-2</v>
      </c>
      <c r="S1350">
        <v>0.26368513948751127</v>
      </c>
      <c r="T1350">
        <v>5.9107885637133091</v>
      </c>
      <c r="U1350">
        <v>0</v>
      </c>
      <c r="V1350">
        <v>1.9077861925375136E-2</v>
      </c>
      <c r="W1350">
        <v>9.9256180304871336E-2</v>
      </c>
      <c r="X1350">
        <v>-6.8869964476229019E-4</v>
      </c>
      <c r="Y1350">
        <v>4.1851122590796631E-2</v>
      </c>
    </row>
    <row r="1351" spans="1:25" x14ac:dyDescent="0.25">
      <c r="A1351" s="879"/>
      <c r="B1351" s="1133">
        <v>1101</v>
      </c>
      <c r="C1351" s="883">
        <v>0.97621901685276524</v>
      </c>
      <c r="D1351" s="883">
        <v>0.97797850439094325</v>
      </c>
      <c r="E1351" s="883">
        <v>0.98132768567798168</v>
      </c>
      <c r="F1351" s="883">
        <v>1.0324097972618609</v>
      </c>
      <c r="G1351" s="883">
        <v>1.0196933804294961</v>
      </c>
      <c r="H1351" s="883">
        <v>1.0305691461246991</v>
      </c>
      <c r="I1351" s="883">
        <v>0.98790334312825512</v>
      </c>
      <c r="K1351">
        <v>6.7751530609178809</v>
      </c>
      <c r="L1351">
        <v>0</v>
      </c>
      <c r="M1351">
        <v>1.1290683633592568E-2</v>
      </c>
      <c r="N1351">
        <v>0.2047544131105421</v>
      </c>
      <c r="O1351">
        <v>0.12643243232488738</v>
      </c>
      <c r="P1351">
        <v>8.2112533958016085E-2</v>
      </c>
      <c r="Q1351">
        <v>0</v>
      </c>
      <c r="R1351">
        <v>1.1290683633592568E-2</v>
      </c>
      <c r="S1351">
        <v>0.27636285068124777</v>
      </c>
      <c r="T1351">
        <v>5.914924602052408</v>
      </c>
      <c r="U1351">
        <v>0</v>
      </c>
      <c r="V1351">
        <v>1.9287896863674794E-2</v>
      </c>
      <c r="W1351">
        <v>0.10877638590642742</v>
      </c>
      <c r="X1351">
        <v>-3.9910795156937913E-3</v>
      </c>
      <c r="Y1351">
        <v>4.6493025536364613E-2</v>
      </c>
    </row>
    <row r="1352" spans="1:25" x14ac:dyDescent="0.25">
      <c r="A1352" s="879"/>
      <c r="B1352" s="1133">
        <v>1102</v>
      </c>
      <c r="C1352" s="883">
        <v>1.0344040608577789</v>
      </c>
      <c r="D1352" s="883">
        <v>1.0363808497720819</v>
      </c>
      <c r="E1352" s="883">
        <v>1.0037961856622362</v>
      </c>
      <c r="F1352" s="883">
        <v>0.99155385186310874</v>
      </c>
      <c r="G1352" s="883">
        <v>1.0286285588647843</v>
      </c>
      <c r="H1352" s="883">
        <v>1.0074106253247734</v>
      </c>
      <c r="I1352" s="883">
        <v>0.99638440220801616</v>
      </c>
      <c r="K1352">
        <v>6.7158309210677691</v>
      </c>
      <c r="L1352">
        <v>0</v>
      </c>
      <c r="M1352">
        <v>9.9632906872793529E-3</v>
      </c>
      <c r="N1352">
        <v>0.18680135496714012</v>
      </c>
      <c r="O1352">
        <v>0.11618433154748667</v>
      </c>
      <c r="P1352">
        <v>8.3262774372345957E-2</v>
      </c>
      <c r="Q1352">
        <v>0</v>
      </c>
      <c r="R1352">
        <v>9.9632906872793529E-3</v>
      </c>
      <c r="S1352">
        <v>0.2604052005962737</v>
      </c>
      <c r="T1352">
        <v>5.9114627466569969</v>
      </c>
      <c r="U1352">
        <v>0</v>
      </c>
      <c r="V1352">
        <v>1.8973773725319262E-2</v>
      </c>
      <c r="W1352">
        <v>9.8134221387033899E-2</v>
      </c>
      <c r="X1352">
        <v>-4.2053983541055149E-4</v>
      </c>
      <c r="Y1352">
        <v>4.1027057650583593E-2</v>
      </c>
    </row>
    <row r="1353" spans="1:25" x14ac:dyDescent="0.25">
      <c r="A1353" s="879"/>
      <c r="B1353" s="1133">
        <v>1103</v>
      </c>
      <c r="C1353" s="883">
        <v>0.96632453092429782</v>
      </c>
      <c r="D1353" s="883">
        <v>0.98505867367043809</v>
      </c>
      <c r="E1353" s="883">
        <v>1.0135145411235675</v>
      </c>
      <c r="F1353" s="883">
        <v>1.0131505856009488</v>
      </c>
      <c r="G1353" s="883">
        <v>1.0066246138393158</v>
      </c>
      <c r="H1353" s="883">
        <v>0.9984351246336084</v>
      </c>
      <c r="I1353" s="883">
        <v>1.0025309371920457</v>
      </c>
      <c r="K1353">
        <v>6.7741619463419633</v>
      </c>
      <c r="L1353">
        <v>0</v>
      </c>
      <c r="M1353">
        <v>1.0711164839156679E-2</v>
      </c>
      <c r="N1353">
        <v>0.20373361908263118</v>
      </c>
      <c r="O1353">
        <v>0.12673184613039409</v>
      </c>
      <c r="P1353">
        <v>8.4152122775298863E-2</v>
      </c>
      <c r="Q1353">
        <v>0</v>
      </c>
      <c r="R1353">
        <v>1.0711164839156679E-2</v>
      </c>
      <c r="S1353">
        <v>0.28013335348118984</v>
      </c>
      <c r="T1353">
        <v>5.9120788906587327</v>
      </c>
      <c r="U1353">
        <v>0</v>
      </c>
      <c r="V1353">
        <v>1.9345077503169789E-2</v>
      </c>
      <c r="W1353">
        <v>0.10651590204424517</v>
      </c>
      <c r="X1353">
        <v>-2.6355356250753297E-3</v>
      </c>
      <c r="Y1353">
        <v>4.4106670291377742E-2</v>
      </c>
    </row>
    <row r="1354" spans="1:25" x14ac:dyDescent="0.25">
      <c r="A1354" s="879"/>
      <c r="B1354" s="1133">
        <v>1104</v>
      </c>
      <c r="C1354" s="883">
        <v>1.0032210836998958</v>
      </c>
      <c r="D1354" s="883">
        <v>0.9839925050129843</v>
      </c>
      <c r="E1354" s="883">
        <v>0.99388535864709593</v>
      </c>
      <c r="F1354" s="883">
        <v>1.0207898359843808</v>
      </c>
      <c r="G1354" s="883">
        <v>0.99254861014070772</v>
      </c>
      <c r="H1354" s="883">
        <v>0.96936140655169611</v>
      </c>
      <c r="I1354" s="883">
        <v>1.0009084481962514</v>
      </c>
      <c r="K1354">
        <v>6.7337954664987816</v>
      </c>
      <c r="L1354">
        <v>0</v>
      </c>
      <c r="M1354">
        <v>1.0194841859731837E-2</v>
      </c>
      <c r="N1354">
        <v>0.1883564721930043</v>
      </c>
      <c r="O1354">
        <v>0.12249346328729403</v>
      </c>
      <c r="P1354">
        <v>8.2754448359805055E-2</v>
      </c>
      <c r="Q1354">
        <v>0</v>
      </c>
      <c r="R1354">
        <v>1.0194841859731837E-2</v>
      </c>
      <c r="S1354">
        <v>0.26661819577520618</v>
      </c>
      <c r="T1354">
        <v>5.9135991619590813</v>
      </c>
      <c r="U1354">
        <v>0</v>
      </c>
      <c r="V1354">
        <v>1.9137589888554234E-2</v>
      </c>
      <c r="W1354">
        <v>9.9439662325302755E-2</v>
      </c>
      <c r="X1354">
        <v>-5.8407145363966264E-4</v>
      </c>
      <c r="Y1354">
        <v>4.1980544164170623E-2</v>
      </c>
    </row>
    <row r="1355" spans="1:25" x14ac:dyDescent="0.25">
      <c r="A1355" s="879"/>
      <c r="B1355" s="1133">
        <v>1105</v>
      </c>
      <c r="C1355" s="883">
        <v>0.97982094836023059</v>
      </c>
      <c r="D1355" s="883">
        <v>0.99463998069203674</v>
      </c>
      <c r="E1355" s="883">
        <v>1.0133848055411629</v>
      </c>
      <c r="F1355" s="883">
        <v>1.0124209390251058</v>
      </c>
      <c r="G1355" s="883">
        <v>1.0138686672296773</v>
      </c>
      <c r="H1355" s="883">
        <v>1.0200939656374752</v>
      </c>
      <c r="I1355" s="883">
        <v>1.0287654358468881</v>
      </c>
      <c r="K1355">
        <v>6.7782386333254099</v>
      </c>
      <c r="L1355">
        <v>0</v>
      </c>
      <c r="M1355">
        <v>1.0749328827274755E-2</v>
      </c>
      <c r="N1355">
        <v>0.20442026960141624</v>
      </c>
      <c r="O1355">
        <v>0.12450570382329437</v>
      </c>
      <c r="P1355">
        <v>8.4215778901964231E-2</v>
      </c>
      <c r="Q1355">
        <v>0</v>
      </c>
      <c r="R1355">
        <v>1.0749328827274755E-2</v>
      </c>
      <c r="S1355">
        <v>0.28554900226463814</v>
      </c>
      <c r="T1355">
        <v>5.9120468559408215</v>
      </c>
      <c r="U1355">
        <v>0</v>
      </c>
      <c r="V1355">
        <v>1.9267367877257111E-2</v>
      </c>
      <c r="W1355">
        <v>0.10688174485644361</v>
      </c>
      <c r="X1355">
        <v>-2.9119127419425092E-3</v>
      </c>
      <c r="Y1355">
        <v>4.4263822801511324E-2</v>
      </c>
    </row>
    <row r="1356" spans="1:25" x14ac:dyDescent="0.25">
      <c r="A1356" s="879"/>
      <c r="B1356" s="1133">
        <v>1106</v>
      </c>
      <c r="C1356" s="883">
        <v>0.96741770057446319</v>
      </c>
      <c r="D1356" s="883">
        <v>1.0080132102594745</v>
      </c>
      <c r="E1356" s="883">
        <v>0.98719000577100624</v>
      </c>
      <c r="F1356" s="883">
        <v>0.9990376400424299</v>
      </c>
      <c r="G1356" s="883">
        <v>0.98739600241515924</v>
      </c>
      <c r="H1356" s="883">
        <v>0.96729951472006126</v>
      </c>
      <c r="I1356" s="883">
        <v>1.0106969568037167</v>
      </c>
      <c r="K1356">
        <v>6.7551692959920002</v>
      </c>
      <c r="L1356">
        <v>0</v>
      </c>
      <c r="M1356">
        <v>1.0502405575859923E-2</v>
      </c>
      <c r="N1356">
        <v>0.19212241335187957</v>
      </c>
      <c r="O1356">
        <v>0.12593596152051609</v>
      </c>
      <c r="P1356">
        <v>8.2486364797117157E-2</v>
      </c>
      <c r="Q1356">
        <v>0</v>
      </c>
      <c r="R1356">
        <v>1.0502405575859923E-2</v>
      </c>
      <c r="S1356">
        <v>0.27875147367175068</v>
      </c>
      <c r="T1356">
        <v>5.9127962416252506</v>
      </c>
      <c r="U1356">
        <v>0</v>
      </c>
      <c r="V1356">
        <v>1.9338702556251589E-2</v>
      </c>
      <c r="W1356">
        <v>0.1017669622219497</v>
      </c>
      <c r="X1356">
        <v>-1.2758605556006516E-3</v>
      </c>
      <c r="Y1356">
        <v>4.3247036802885393E-2</v>
      </c>
    </row>
    <row r="1357" spans="1:25" x14ac:dyDescent="0.25">
      <c r="A1357" s="879"/>
      <c r="B1357" s="1133">
        <v>1107</v>
      </c>
      <c r="C1357" s="883">
        <v>1.0167623733958846</v>
      </c>
      <c r="D1357" s="883">
        <v>1.0197480242251999</v>
      </c>
      <c r="E1357" s="883">
        <v>1.030149086560987</v>
      </c>
      <c r="F1357" s="883">
        <v>0.98049236326841427</v>
      </c>
      <c r="G1357" s="883">
        <v>1.0291106366961376</v>
      </c>
      <c r="H1357" s="883">
        <v>1.004278495937549</v>
      </c>
      <c r="I1357" s="883">
        <v>1.0180551935611919</v>
      </c>
      <c r="K1357">
        <v>6.7370873660725348</v>
      </c>
      <c r="L1357">
        <v>0</v>
      </c>
      <c r="M1357">
        <v>9.9428612243622639E-3</v>
      </c>
      <c r="N1357">
        <v>0.19383078291683378</v>
      </c>
      <c r="O1357">
        <v>0.11848186545627948</v>
      </c>
      <c r="P1357">
        <v>8.5024451330085279E-2</v>
      </c>
      <c r="Q1357">
        <v>0</v>
      </c>
      <c r="R1357">
        <v>9.9428612243622639E-3</v>
      </c>
      <c r="S1357">
        <v>0.27059274478481193</v>
      </c>
      <c r="T1357">
        <v>5.9093597334800432</v>
      </c>
      <c r="U1357">
        <v>0</v>
      </c>
      <c r="V1357">
        <v>1.9065217992068752E-2</v>
      </c>
      <c r="W1357">
        <v>0.10051213913840178</v>
      </c>
      <c r="X1357">
        <v>-7.2250178458478143E-4</v>
      </c>
      <c r="Y1357">
        <v>4.0942932758599858E-2</v>
      </c>
    </row>
    <row r="1358" spans="1:25" x14ac:dyDescent="0.25">
      <c r="A1358" s="879"/>
      <c r="B1358" s="1133">
        <v>1108</v>
      </c>
      <c r="C1358" s="883">
        <v>1.0028746183232453</v>
      </c>
      <c r="D1358" s="883">
        <v>0.9752188602670474</v>
      </c>
      <c r="E1358" s="883">
        <v>0.97018148816374095</v>
      </c>
      <c r="F1358" s="883">
        <v>1.0063911488372252</v>
      </c>
      <c r="G1358" s="883">
        <v>0.96216669973540292</v>
      </c>
      <c r="H1358" s="883">
        <v>1.0194792047656187</v>
      </c>
      <c r="I1358" s="883">
        <v>0.96130459121958367</v>
      </c>
      <c r="K1358">
        <v>6.7418188401995724</v>
      </c>
      <c r="L1358">
        <v>0</v>
      </c>
      <c r="M1358">
        <v>1.0991719884251346E-2</v>
      </c>
      <c r="N1358">
        <v>0.19606240537320077</v>
      </c>
      <c r="O1358">
        <v>0.12341902846064229</v>
      </c>
      <c r="P1358">
        <v>8.1192463317802319E-2</v>
      </c>
      <c r="Q1358">
        <v>0</v>
      </c>
      <c r="R1358">
        <v>1.0991719884251346E-2</v>
      </c>
      <c r="S1358">
        <v>0.26077519775945129</v>
      </c>
      <c r="T1358">
        <v>5.9141294191330829</v>
      </c>
      <c r="U1358">
        <v>0</v>
      </c>
      <c r="V1358">
        <v>1.9139467227073419E-2</v>
      </c>
      <c r="W1358">
        <v>0.104742683412042</v>
      </c>
      <c r="X1358">
        <v>-2.9037705138691698E-3</v>
      </c>
      <c r="Y1358">
        <v>4.526194603014113E-2</v>
      </c>
    </row>
    <row r="1359" spans="1:25" x14ac:dyDescent="0.25">
      <c r="A1359" s="879"/>
      <c r="B1359" s="1133">
        <v>1109</v>
      </c>
      <c r="C1359" s="883">
        <v>0.98649011647126195</v>
      </c>
      <c r="D1359" s="883">
        <v>0.98270235124797822</v>
      </c>
      <c r="E1359" s="883">
        <v>0.99210927950587435</v>
      </c>
      <c r="F1359" s="883">
        <v>1.0392848794059182</v>
      </c>
      <c r="G1359" s="883">
        <v>1.0169654912980215</v>
      </c>
      <c r="H1359" s="883">
        <v>0.98362004598223818</v>
      </c>
      <c r="I1359" s="883">
        <v>1.0240015352724459</v>
      </c>
      <c r="K1359">
        <v>6.7589411214015174</v>
      </c>
      <c r="L1359">
        <v>0</v>
      </c>
      <c r="M1359">
        <v>1.0542498843264209E-2</v>
      </c>
      <c r="N1359">
        <v>0.19426756439647636</v>
      </c>
      <c r="O1359">
        <v>0.12467021600752314</v>
      </c>
      <c r="P1359">
        <v>8.2820998782223515E-2</v>
      </c>
      <c r="Q1359">
        <v>0</v>
      </c>
      <c r="R1359">
        <v>1.0542498843264209E-2</v>
      </c>
      <c r="S1359">
        <v>0.2788108705858493</v>
      </c>
      <c r="T1359">
        <v>5.9146979629324301</v>
      </c>
      <c r="U1359">
        <v>0</v>
      </c>
      <c r="V1359">
        <v>1.9229753121420404E-2</v>
      </c>
      <c r="W1359">
        <v>0.10265108882658287</v>
      </c>
      <c r="X1359">
        <v>-1.6194669927087951E-3</v>
      </c>
      <c r="Y1359">
        <v>4.3412133741720677E-2</v>
      </c>
    </row>
    <row r="1360" spans="1:25" x14ac:dyDescent="0.25">
      <c r="A1360" s="879"/>
      <c r="B1360" s="1133">
        <v>1110</v>
      </c>
      <c r="C1360" s="883">
        <v>0.97848349855439731</v>
      </c>
      <c r="D1360" s="883">
        <v>1.0185704784127081</v>
      </c>
      <c r="E1360" s="883">
        <v>1.0121864708910633</v>
      </c>
      <c r="F1360" s="883">
        <v>0.99629868162103774</v>
      </c>
      <c r="G1360" s="883">
        <v>0.98949102744492134</v>
      </c>
      <c r="H1360" s="883">
        <v>1.0383652992413122</v>
      </c>
      <c r="I1360" s="883">
        <v>1.0173315918879886</v>
      </c>
      <c r="K1360">
        <v>6.7776917751603154</v>
      </c>
      <c r="L1360">
        <v>0</v>
      </c>
      <c r="M1360">
        <v>1.0857215495131398E-2</v>
      </c>
      <c r="N1360">
        <v>0.20610607275283951</v>
      </c>
      <c r="O1360">
        <v>0.12351877743379368</v>
      </c>
      <c r="P1360">
        <v>8.4112417652475693E-2</v>
      </c>
      <c r="Q1360">
        <v>0</v>
      </c>
      <c r="R1360">
        <v>1.0857215495131398E-2</v>
      </c>
      <c r="S1360">
        <v>0.28427286033333116</v>
      </c>
      <c r="T1360">
        <v>5.9112439394876128</v>
      </c>
      <c r="U1360">
        <v>0</v>
      </c>
      <c r="V1360">
        <v>1.9274972948848577E-2</v>
      </c>
      <c r="W1360">
        <v>0.10782699030668681</v>
      </c>
      <c r="X1360">
        <v>-3.3723366519132353E-3</v>
      </c>
      <c r="Y1360">
        <v>4.4708080896633952E-2</v>
      </c>
    </row>
    <row r="1361" spans="1:25" x14ac:dyDescent="0.25">
      <c r="A1361" s="879"/>
      <c r="B1361" s="1133">
        <v>1111</v>
      </c>
      <c r="C1361" s="883">
        <v>1.0132519953225092</v>
      </c>
      <c r="D1361" s="883">
        <v>0.98338107462326652</v>
      </c>
      <c r="E1361" s="883">
        <v>1.0235427550604352</v>
      </c>
      <c r="F1361" s="883">
        <v>0.97882739566072074</v>
      </c>
      <c r="G1361" s="883">
        <v>0.99164692093083906</v>
      </c>
      <c r="H1361" s="883">
        <v>1.0280099306863646</v>
      </c>
      <c r="I1361" s="883">
        <v>0.99766656320781377</v>
      </c>
      <c r="K1361">
        <v>6.7495924561324312</v>
      </c>
      <c r="L1361">
        <v>0</v>
      </c>
      <c r="M1361">
        <v>1.043337381267498E-2</v>
      </c>
      <c r="N1361">
        <v>0.20141604638873142</v>
      </c>
      <c r="O1361">
        <v>0.12075649920330328</v>
      </c>
      <c r="P1361">
        <v>8.4588788662610104E-2</v>
      </c>
      <c r="Q1361">
        <v>0</v>
      </c>
      <c r="R1361">
        <v>1.043337381267498E-2</v>
      </c>
      <c r="S1361">
        <v>0.26866270280355825</v>
      </c>
      <c r="T1361">
        <v>5.9096507148847994</v>
      </c>
      <c r="U1361">
        <v>0</v>
      </c>
      <c r="V1361">
        <v>1.9083793598475111E-2</v>
      </c>
      <c r="W1361">
        <v>0.10478501611378102</v>
      </c>
      <c r="X1361">
        <v>-2.3138818121139753E-3</v>
      </c>
      <c r="Y1361">
        <v>4.296277628928561E-2</v>
      </c>
    </row>
    <row r="1362" spans="1:25" x14ac:dyDescent="0.25">
      <c r="A1362" s="879"/>
      <c r="B1362" s="1133">
        <v>1112</v>
      </c>
      <c r="C1362" s="883">
        <v>1.0017958561155991</v>
      </c>
      <c r="D1362" s="883">
        <v>0.99789955507723105</v>
      </c>
      <c r="E1362" s="883">
        <v>0.98129859272034903</v>
      </c>
      <c r="F1362" s="883">
        <v>0.97551423961409722</v>
      </c>
      <c r="G1362" s="883">
        <v>1.0154336444826648</v>
      </c>
      <c r="H1362" s="883">
        <v>0.97119465225368939</v>
      </c>
      <c r="I1362" s="883">
        <v>0.98900559401233146</v>
      </c>
      <c r="K1362">
        <v>6.726074339882115</v>
      </c>
      <c r="L1362">
        <v>0</v>
      </c>
      <c r="M1362">
        <v>1.0279588054953324E-2</v>
      </c>
      <c r="N1362">
        <v>0.18641034022436798</v>
      </c>
      <c r="O1362">
        <v>0.12221525864447172</v>
      </c>
      <c r="P1362">
        <v>8.1902962827377926E-2</v>
      </c>
      <c r="Q1362">
        <v>0</v>
      </c>
      <c r="R1362">
        <v>1.0279588054953324E-2</v>
      </c>
      <c r="S1362">
        <v>0.26384713418708922</v>
      </c>
      <c r="T1362">
        <v>5.9118505060675632</v>
      </c>
      <c r="U1362">
        <v>0</v>
      </c>
      <c r="V1362">
        <v>1.9145320865507267E-2</v>
      </c>
      <c r="W1362">
        <v>9.9032484912666446E-2</v>
      </c>
      <c r="X1362">
        <v>-6.5918175876421715E-4</v>
      </c>
      <c r="Y1362">
        <v>4.2329513911832276E-2</v>
      </c>
    </row>
    <row r="1363" spans="1:25" x14ac:dyDescent="0.25">
      <c r="A1363" s="879"/>
      <c r="B1363" s="1133">
        <v>1113</v>
      </c>
      <c r="C1363" s="883">
        <v>1.0390951530442871</v>
      </c>
      <c r="D1363" s="883">
        <v>1.0039274960881721</v>
      </c>
      <c r="E1363" s="883">
        <v>0.98706109760537697</v>
      </c>
      <c r="F1363" s="883">
        <v>1.0066765150425827</v>
      </c>
      <c r="G1363" s="883">
        <v>1.0108880410008807</v>
      </c>
      <c r="H1363" s="883">
        <v>0.9774772369143746</v>
      </c>
      <c r="I1363" s="883">
        <v>0.97049578064424347</v>
      </c>
      <c r="K1363">
        <v>6.6997805128511274</v>
      </c>
      <c r="L1363">
        <v>0</v>
      </c>
      <c r="M1363">
        <v>9.8991371585704559E-3</v>
      </c>
      <c r="N1363">
        <v>0.18105210183833303</v>
      </c>
      <c r="O1363">
        <v>0.11744176059079064</v>
      </c>
      <c r="P1363">
        <v>8.2098900276651093E-2</v>
      </c>
      <c r="Q1363">
        <v>0</v>
      </c>
      <c r="R1363">
        <v>9.8991371585704559E-3</v>
      </c>
      <c r="S1363">
        <v>0.25012697088325414</v>
      </c>
      <c r="T1363">
        <v>5.9132163036129199</v>
      </c>
      <c r="U1363">
        <v>0</v>
      </c>
      <c r="V1363">
        <v>1.8949980436703959E-2</v>
      </c>
      <c r="W1363">
        <v>9.5909206667587621E-2</v>
      </c>
      <c r="X1363">
        <v>2.2240370662613023E-4</v>
      </c>
      <c r="Y1363">
        <v>4.0762884838262771E-2</v>
      </c>
    </row>
    <row r="1364" spans="1:25" x14ac:dyDescent="0.25">
      <c r="A1364" s="879"/>
      <c r="B1364" s="1133">
        <v>1114</v>
      </c>
      <c r="C1364" s="883">
        <v>1.0395115414295601</v>
      </c>
      <c r="D1364" s="883">
        <v>0.99888452588082011</v>
      </c>
      <c r="E1364" s="883">
        <v>0.99163774640990565</v>
      </c>
      <c r="F1364" s="883">
        <v>1.0144086114662529</v>
      </c>
      <c r="G1364" s="883">
        <v>1.0071429027813152</v>
      </c>
      <c r="H1364" s="883">
        <v>1.0026433433313822</v>
      </c>
      <c r="I1364" s="883">
        <v>1.0371445398712198</v>
      </c>
      <c r="K1364">
        <v>6.7283885498224736</v>
      </c>
      <c r="L1364">
        <v>0</v>
      </c>
      <c r="M1364">
        <v>1.0131309501620712E-2</v>
      </c>
      <c r="N1364">
        <v>0.18656009289429676</v>
      </c>
      <c r="O1364">
        <v>0.11754931752844057</v>
      </c>
      <c r="P1364">
        <v>8.2647629237534326E-2</v>
      </c>
      <c r="Q1364">
        <v>0</v>
      </c>
      <c r="R1364">
        <v>1.0131309501620712E-2</v>
      </c>
      <c r="S1364">
        <v>0.26961857975992798</v>
      </c>
      <c r="T1364">
        <v>5.9133797067978149</v>
      </c>
      <c r="U1364">
        <v>0</v>
      </c>
      <c r="V1364">
        <v>1.8947878885319781E-2</v>
      </c>
      <c r="W1364">
        <v>9.8601621146246571E-2</v>
      </c>
      <c r="X1364">
        <v>-6.3520564891384628E-4</v>
      </c>
      <c r="Y1364">
        <v>4.1718929221807186E-2</v>
      </c>
    </row>
    <row r="1365" spans="1:25" x14ac:dyDescent="0.25">
      <c r="A1365" s="879"/>
      <c r="B1365" s="1133">
        <v>1115</v>
      </c>
      <c r="C1365" s="883">
        <v>1.0183534269335781</v>
      </c>
      <c r="D1365" s="883">
        <v>0.97415621508415973</v>
      </c>
      <c r="E1365" s="883">
        <v>1.0138778456471913</v>
      </c>
      <c r="F1365" s="883">
        <v>1.0297957199555146</v>
      </c>
      <c r="G1365" s="883">
        <v>0.95962274119925217</v>
      </c>
      <c r="H1365" s="883">
        <v>0.99853015667196376</v>
      </c>
      <c r="I1365" s="883">
        <v>1.0272117503291616</v>
      </c>
      <c r="K1365">
        <v>6.7461077273868755</v>
      </c>
      <c r="L1365">
        <v>0</v>
      </c>
      <c r="M1365">
        <v>1.0210249665098779E-2</v>
      </c>
      <c r="N1365">
        <v>0.19431032213029639</v>
      </c>
      <c r="O1365">
        <v>0.12078671998692053</v>
      </c>
      <c r="P1365">
        <v>8.4079486942102738E-2</v>
      </c>
      <c r="Q1365">
        <v>0</v>
      </c>
      <c r="R1365">
        <v>1.0210249665098779E-2</v>
      </c>
      <c r="S1365">
        <v>0.27249279049046204</v>
      </c>
      <c r="T1365">
        <v>5.9129575443519391</v>
      </c>
      <c r="U1365">
        <v>0</v>
      </c>
      <c r="V1365">
        <v>1.9056840908669825E-2</v>
      </c>
      <c r="W1365">
        <v>0.10157099318733072</v>
      </c>
      <c r="X1365">
        <v>-1.1909613750306178E-3</v>
      </c>
      <c r="Y1365">
        <v>4.2043990764184573E-2</v>
      </c>
    </row>
    <row r="1366" spans="1:25" x14ac:dyDescent="0.25">
      <c r="A1366" s="879"/>
      <c r="B1366" s="1133">
        <v>1116</v>
      </c>
      <c r="C1366" s="883">
        <v>0.99216900827736021</v>
      </c>
      <c r="D1366" s="883">
        <v>1.0115577776683433</v>
      </c>
      <c r="E1366" s="883">
        <v>1.0371109762919466</v>
      </c>
      <c r="F1366" s="883">
        <v>0.97404315499263217</v>
      </c>
      <c r="G1366" s="883">
        <v>1.0289360459263801</v>
      </c>
      <c r="H1366" s="883">
        <v>0.96868011664383891</v>
      </c>
      <c r="I1366" s="883">
        <v>0.98379447164296008</v>
      </c>
      <c r="K1366">
        <v>6.7326740522427579</v>
      </c>
      <c r="L1366">
        <v>0</v>
      </c>
      <c r="M1366">
        <v>9.8021143113952384E-3</v>
      </c>
      <c r="N1366">
        <v>0.19306310160183818</v>
      </c>
      <c r="O1366">
        <v>0.12167805583678264</v>
      </c>
      <c r="P1366">
        <v>8.5370849142764368E-2</v>
      </c>
      <c r="Q1366">
        <v>0</v>
      </c>
      <c r="R1366">
        <v>9.8021143113952384E-3</v>
      </c>
      <c r="S1366">
        <v>0.26474626323552974</v>
      </c>
      <c r="T1366">
        <v>5.9086074025066351</v>
      </c>
      <c r="U1366">
        <v>0</v>
      </c>
      <c r="V1366">
        <v>1.9198122243937382E-2</v>
      </c>
      <c r="W1366">
        <v>9.9773210679009572E-2</v>
      </c>
      <c r="X1366">
        <v>-1.2631502675659894E-4</v>
      </c>
      <c r="Y1366">
        <v>4.0363362023018254E-2</v>
      </c>
    </row>
    <row r="1367" spans="1:25" x14ac:dyDescent="0.25">
      <c r="A1367" s="879"/>
      <c r="B1367" s="1133">
        <v>1117</v>
      </c>
      <c r="C1367" s="883">
        <v>0.97942383065620919</v>
      </c>
      <c r="D1367" s="883">
        <v>1.0094386356309288</v>
      </c>
      <c r="E1367" s="883">
        <v>1.0183953274211617</v>
      </c>
      <c r="F1367" s="883">
        <v>0.98447743287972711</v>
      </c>
      <c r="G1367" s="883">
        <v>1.0269225870487935</v>
      </c>
      <c r="H1367" s="883">
        <v>0.98079139101639801</v>
      </c>
      <c r="I1367" s="883">
        <v>0.98542109485840768</v>
      </c>
      <c r="K1367">
        <v>6.7464347487335132</v>
      </c>
      <c r="L1367">
        <v>0</v>
      </c>
      <c r="M1367">
        <v>1.0229223389181598E-2</v>
      </c>
      <c r="N1367">
        <v>0.19597706408552046</v>
      </c>
      <c r="O1367">
        <v>0.12372630607642461</v>
      </c>
      <c r="P1367">
        <v>8.4292038294939572E-2</v>
      </c>
      <c r="Q1367">
        <v>0</v>
      </c>
      <c r="R1367">
        <v>1.0229223389181598E-2</v>
      </c>
      <c r="S1367">
        <v>0.26976474223778152</v>
      </c>
      <c r="T1367">
        <v>5.910251112741248</v>
      </c>
      <c r="U1367">
        <v>0</v>
      </c>
      <c r="V1367">
        <v>1.9269623819116864E-2</v>
      </c>
      <c r="W1367">
        <v>0.10221417350846035</v>
      </c>
      <c r="X1367">
        <v>-1.1824332127441882E-3</v>
      </c>
      <c r="Y1367">
        <v>4.2122121182760625E-2</v>
      </c>
    </row>
    <row r="1368" spans="1:25" x14ac:dyDescent="0.25">
      <c r="A1368" s="879"/>
      <c r="B1368" s="1133">
        <v>1118</v>
      </c>
      <c r="C1368" s="883">
        <v>0.99052539552346353</v>
      </c>
      <c r="D1368" s="883">
        <v>1.027133860979188</v>
      </c>
      <c r="E1368" s="883">
        <v>1.0179470381464801</v>
      </c>
      <c r="F1368" s="883">
        <v>1.0410807917960132</v>
      </c>
      <c r="G1368" s="883">
        <v>1.0141691137539746</v>
      </c>
      <c r="H1368" s="883">
        <v>0.97353902284272642</v>
      </c>
      <c r="I1368" s="883">
        <v>1.0238836261237261</v>
      </c>
      <c r="K1368">
        <v>6.745937997291219</v>
      </c>
      <c r="L1368">
        <v>0</v>
      </c>
      <c r="M1368">
        <v>9.9692958908572538E-3</v>
      </c>
      <c r="N1368">
        <v>0.19087059580000096</v>
      </c>
      <c r="O1368">
        <v>0.12150062109709212</v>
      </c>
      <c r="P1368">
        <v>8.4393603799507888E-2</v>
      </c>
      <c r="Q1368">
        <v>0</v>
      </c>
      <c r="R1368">
        <v>9.9692958908572538E-3</v>
      </c>
      <c r="S1368">
        <v>0.27629578210077854</v>
      </c>
      <c r="T1368">
        <v>5.913334879981675</v>
      </c>
      <c r="U1368">
        <v>0</v>
      </c>
      <c r="V1368">
        <v>1.9207239712442516E-2</v>
      </c>
      <c r="W1368">
        <v>9.9572836206952939E-2</v>
      </c>
      <c r="X1368">
        <v>-2.8934741725974999E-4</v>
      </c>
      <c r="Y1368">
        <v>4.1051786010030983E-2</v>
      </c>
    </row>
    <row r="1369" spans="1:25" x14ac:dyDescent="0.25">
      <c r="A1369" s="879"/>
      <c r="B1369" s="1133">
        <v>1119</v>
      </c>
      <c r="C1369" s="883">
        <v>0.97867672433417341</v>
      </c>
      <c r="D1369" s="883">
        <v>1.0157943105752627</v>
      </c>
      <c r="E1369" s="883">
        <v>0.97263456992860342</v>
      </c>
      <c r="F1369" s="883">
        <v>1.0122360904397791</v>
      </c>
      <c r="G1369" s="883">
        <v>0.97263730278192595</v>
      </c>
      <c r="H1369" s="883">
        <v>1.0246863115669147</v>
      </c>
      <c r="I1369" s="883">
        <v>0.99222271772094917</v>
      </c>
      <c r="K1369">
        <v>6.7626483909922914</v>
      </c>
      <c r="L1369">
        <v>0</v>
      </c>
      <c r="M1369">
        <v>1.1101297010077173E-2</v>
      </c>
      <c r="N1369">
        <v>0.19873943790577459</v>
      </c>
      <c r="O1369">
        <v>0.12437908356585363</v>
      </c>
      <c r="P1369">
        <v>8.1549106929524842E-2</v>
      </c>
      <c r="Q1369">
        <v>0</v>
      </c>
      <c r="R1369">
        <v>1.1101297010077173E-2</v>
      </c>
      <c r="S1369">
        <v>0.27586456655889013</v>
      </c>
      <c r="T1369">
        <v>5.9143114863245048</v>
      </c>
      <c r="U1369">
        <v>0</v>
      </c>
      <c r="V1369">
        <v>1.9273872934515747E-2</v>
      </c>
      <c r="W1369">
        <v>0.10604204959390105</v>
      </c>
      <c r="X1369">
        <v>-3.2243779509662403E-3</v>
      </c>
      <c r="Y1369">
        <v>4.571316513029057E-2</v>
      </c>
    </row>
    <row r="1370" spans="1:25" x14ac:dyDescent="0.25">
      <c r="A1370" s="879"/>
      <c r="B1370" s="1133">
        <v>1120</v>
      </c>
      <c r="C1370" s="883">
        <v>0.97260719779519755</v>
      </c>
      <c r="D1370" s="883">
        <v>0.99287926210730337</v>
      </c>
      <c r="E1370" s="883">
        <v>1.0100608614280191</v>
      </c>
      <c r="F1370" s="883">
        <v>1.0457332012957148</v>
      </c>
      <c r="G1370" s="883">
        <v>0.97296644199980376</v>
      </c>
      <c r="H1370" s="883">
        <v>1.0213930692473978</v>
      </c>
      <c r="I1370" s="883">
        <v>1.0018985644233684</v>
      </c>
      <c r="K1370">
        <v>6.7785199992302436</v>
      </c>
      <c r="L1370">
        <v>0</v>
      </c>
      <c r="M1370">
        <v>1.0882674288235016E-2</v>
      </c>
      <c r="N1370">
        <v>0.20594036205925473</v>
      </c>
      <c r="O1370">
        <v>0.12558266306218677</v>
      </c>
      <c r="P1370">
        <v>8.3963138791851175E-2</v>
      </c>
      <c r="Q1370">
        <v>0</v>
      </c>
      <c r="R1370">
        <v>1.0882674288235016E-2</v>
      </c>
      <c r="S1370">
        <v>0.2802949565865484</v>
      </c>
      <c r="T1370">
        <v>5.9140358480725181</v>
      </c>
      <c r="U1370">
        <v>0</v>
      </c>
      <c r="V1370">
        <v>1.930863488341017E-2</v>
      </c>
      <c r="W1370">
        <v>0.10785357650850298</v>
      </c>
      <c r="X1370">
        <v>-3.2720964091692115E-3</v>
      </c>
      <c r="Y1370">
        <v>4.4812915675138419E-2</v>
      </c>
    </row>
    <row r="1371" spans="1:25" x14ac:dyDescent="0.25">
      <c r="A1371" s="879"/>
      <c r="B1371" s="1133">
        <v>1121</v>
      </c>
      <c r="C1371" s="883">
        <v>1.0062548631194397</v>
      </c>
      <c r="D1371" s="883">
        <v>0.98173708979315444</v>
      </c>
      <c r="E1371" s="883">
        <v>1.008974790328558</v>
      </c>
      <c r="F1371" s="883">
        <v>1.0210785140571257</v>
      </c>
      <c r="G1371" s="883">
        <v>1.0199640899055362</v>
      </c>
      <c r="H1371" s="883">
        <v>0.99455313204913143</v>
      </c>
      <c r="I1371" s="883">
        <v>0.95714773834371403</v>
      </c>
      <c r="K1371">
        <v>6.7315336521157674</v>
      </c>
      <c r="L1371">
        <v>0</v>
      </c>
      <c r="M1371">
        <v>1.0301796451961312E-2</v>
      </c>
      <c r="N1371">
        <v>0.19463481218425999</v>
      </c>
      <c r="O1371">
        <v>0.12195302315851173</v>
      </c>
      <c r="P1371">
        <v>8.3554422591102934E-2</v>
      </c>
      <c r="Q1371">
        <v>0</v>
      </c>
      <c r="R1371">
        <v>1.0301796451961312E-2</v>
      </c>
      <c r="S1371">
        <v>0.25651413906936021</v>
      </c>
      <c r="T1371">
        <v>5.9127652829410779</v>
      </c>
      <c r="U1371">
        <v>0</v>
      </c>
      <c r="V1371">
        <v>1.912120643709133E-2</v>
      </c>
      <c r="W1371">
        <v>0.10198749859966402</v>
      </c>
      <c r="X1371">
        <v>-1.4176970030660707E-3</v>
      </c>
      <c r="Y1371">
        <v>4.2420964137763868E-2</v>
      </c>
    </row>
    <row r="1372" spans="1:25" x14ac:dyDescent="0.25">
      <c r="A1372" s="879"/>
      <c r="B1372" s="1133">
        <v>1122</v>
      </c>
      <c r="C1372" s="883">
        <v>0.99607692413105686</v>
      </c>
      <c r="D1372" s="883">
        <v>0.9962804773380286</v>
      </c>
      <c r="E1372" s="883">
        <v>1.0154497779511418</v>
      </c>
      <c r="F1372" s="883">
        <v>1.0043551076373114</v>
      </c>
      <c r="G1372" s="883">
        <v>1.0320334666620716</v>
      </c>
      <c r="H1372" s="883">
        <v>1.0289259709684684</v>
      </c>
      <c r="I1372" s="883">
        <v>1.0086624735937477</v>
      </c>
      <c r="K1372">
        <v>6.7634628000274555</v>
      </c>
      <c r="L1372">
        <v>0</v>
      </c>
      <c r="M1372">
        <v>1.0638683641060255E-2</v>
      </c>
      <c r="N1372">
        <v>0.20293534178149064</v>
      </c>
      <c r="O1372">
        <v>0.12235388952223482</v>
      </c>
      <c r="P1372">
        <v>8.4210588355077623E-2</v>
      </c>
      <c r="Q1372">
        <v>0</v>
      </c>
      <c r="R1372">
        <v>1.0638683641060255E-2</v>
      </c>
      <c r="S1372">
        <v>0.27622990076657411</v>
      </c>
      <c r="T1372">
        <v>5.9114933455141969</v>
      </c>
      <c r="U1372">
        <v>0</v>
      </c>
      <c r="V1372">
        <v>1.9176565026184259E-2</v>
      </c>
      <c r="W1372">
        <v>0.10599722527030082</v>
      </c>
      <c r="X1372">
        <v>-2.7422618273960872E-3</v>
      </c>
      <c r="Y1372">
        <v>4.3808205618788995E-2</v>
      </c>
    </row>
    <row r="1373" spans="1:25" x14ac:dyDescent="0.25">
      <c r="A1373" s="879"/>
      <c r="B1373" s="1133">
        <v>1123</v>
      </c>
      <c r="C1373" s="883">
        <v>0.97175542304032159</v>
      </c>
      <c r="D1373" s="883">
        <v>1.0201696665862219</v>
      </c>
      <c r="E1373" s="883">
        <v>0.99627868024458921</v>
      </c>
      <c r="F1373" s="883">
        <v>1.0210841861464492</v>
      </c>
      <c r="G1373" s="883">
        <v>0.97563298763345219</v>
      </c>
      <c r="H1373" s="883">
        <v>0.98147592151986029</v>
      </c>
      <c r="I1373" s="883">
        <v>0.98935051530353535</v>
      </c>
      <c r="K1373">
        <v>6.7514453831420846</v>
      </c>
      <c r="L1373">
        <v>0</v>
      </c>
      <c r="M1373">
        <v>1.0471063940492235E-2</v>
      </c>
      <c r="N1373">
        <v>0.19414727009469337</v>
      </c>
      <c r="O1373">
        <v>0.12460089458826387</v>
      </c>
      <c r="P1373">
        <v>8.2989709905320119E-2</v>
      </c>
      <c r="Q1373">
        <v>0</v>
      </c>
      <c r="R1373">
        <v>1.0471063940492235E-2</v>
      </c>
      <c r="S1373">
        <v>0.27290912372498249</v>
      </c>
      <c r="T1373">
        <v>5.9134811791228143</v>
      </c>
      <c r="U1373">
        <v>0</v>
      </c>
      <c r="V1373">
        <v>1.931354799188615E-2</v>
      </c>
      <c r="W1373">
        <v>0.10237481705956672</v>
      </c>
      <c r="X1373">
        <v>-1.4891368724908208E-3</v>
      </c>
      <c r="Y1373">
        <v>4.3117977527044382E-2</v>
      </c>
    </row>
    <row r="1374" spans="1:25" x14ac:dyDescent="0.25">
      <c r="A1374" s="879"/>
      <c r="B1374" s="1133">
        <v>1124</v>
      </c>
      <c r="C1374" s="883">
        <v>1.0069215239249263</v>
      </c>
      <c r="D1374" s="883">
        <v>0.9975240932709919</v>
      </c>
      <c r="E1374" s="883">
        <v>0.96925974270282622</v>
      </c>
      <c r="F1374" s="883">
        <v>0.96356397951454498</v>
      </c>
      <c r="G1374" s="883">
        <v>0.99090062375545329</v>
      </c>
      <c r="H1374" s="883">
        <v>0.9871026575428421</v>
      </c>
      <c r="I1374" s="883">
        <v>1.0061764378032831</v>
      </c>
      <c r="K1374">
        <v>6.7317771806508988</v>
      </c>
      <c r="L1374">
        <v>0</v>
      </c>
      <c r="M1374">
        <v>1.0506070856336404E-2</v>
      </c>
      <c r="N1374">
        <v>0.18714344345657102</v>
      </c>
      <c r="O1374">
        <v>0.12183299408195745</v>
      </c>
      <c r="P1374">
        <v>8.1206163093161379E-2</v>
      </c>
      <c r="Q1374">
        <v>0</v>
      </c>
      <c r="R1374">
        <v>1.0506070856336404E-2</v>
      </c>
      <c r="S1374">
        <v>0.26854428572132166</v>
      </c>
      <c r="T1374">
        <v>5.9118640356258947</v>
      </c>
      <c r="U1374">
        <v>0</v>
      </c>
      <c r="V1374">
        <v>1.9117619470373728E-2</v>
      </c>
      <c r="W1374">
        <v>0.10002424193423011</v>
      </c>
      <c r="X1374">
        <v>-1.217732508103283E-3</v>
      </c>
      <c r="Y1374">
        <v>4.3262129775491938E-2</v>
      </c>
    </row>
    <row r="1375" spans="1:25" x14ac:dyDescent="0.25">
      <c r="A1375" s="879"/>
      <c r="B1375" s="1133">
        <v>1125</v>
      </c>
      <c r="C1375" s="883">
        <v>0.9991244402315631</v>
      </c>
      <c r="D1375" s="883">
        <v>0.97208490315489582</v>
      </c>
      <c r="E1375" s="883">
        <v>0.98848027432014995</v>
      </c>
      <c r="F1375" s="883">
        <v>0.96777927043683498</v>
      </c>
      <c r="G1375" s="883">
        <v>0.99433172423991423</v>
      </c>
      <c r="H1375" s="883">
        <v>0.97760933103657499</v>
      </c>
      <c r="I1375" s="883">
        <v>1.0396213764591615</v>
      </c>
      <c r="K1375">
        <v>6.7494443504058159</v>
      </c>
      <c r="L1375">
        <v>0</v>
      </c>
      <c r="M1375">
        <v>1.042683452147143E-2</v>
      </c>
      <c r="N1375">
        <v>0.19110525766137593</v>
      </c>
      <c r="O1375">
        <v>0.12369826570712915</v>
      </c>
      <c r="P1375">
        <v>8.2545177700074315E-2</v>
      </c>
      <c r="Q1375">
        <v>0</v>
      </c>
      <c r="R1375">
        <v>1.042683452147143E-2</v>
      </c>
      <c r="S1375">
        <v>0.27899369509433264</v>
      </c>
      <c r="T1375">
        <v>5.9110350103018439</v>
      </c>
      <c r="U1375">
        <v>0</v>
      </c>
      <c r="V1375">
        <v>1.9159871057747205E-2</v>
      </c>
      <c r="W1375">
        <v>0.10116300795595427</v>
      </c>
      <c r="X1375">
        <v>-1.1917837247003935E-3</v>
      </c>
      <c r="Y1375">
        <v>4.2935848652059828E-2</v>
      </c>
    </row>
    <row r="1376" spans="1:25" x14ac:dyDescent="0.25">
      <c r="A1376" s="879"/>
      <c r="B1376" s="1133">
        <v>1126</v>
      </c>
      <c r="C1376" s="883">
        <v>1.0019932968716774</v>
      </c>
      <c r="D1376" s="883">
        <v>0.97249957252888475</v>
      </c>
      <c r="E1376" s="883">
        <v>1.0094368426105664</v>
      </c>
      <c r="F1376" s="883">
        <v>0.99733525583706473</v>
      </c>
      <c r="G1376" s="883">
        <v>0.96835952818205417</v>
      </c>
      <c r="H1376" s="883">
        <v>0.99420641082457151</v>
      </c>
      <c r="I1376" s="883">
        <v>0.97283685902111905</v>
      </c>
      <c r="K1376">
        <v>6.7392135807255817</v>
      </c>
      <c r="L1376">
        <v>0</v>
      </c>
      <c r="M1376">
        <v>1.0379808957007327E-2</v>
      </c>
      <c r="N1376">
        <v>0.19624292007888122</v>
      </c>
      <c r="O1376">
        <v>0.12292693524122648</v>
      </c>
      <c r="P1376">
        <v>8.3638597008849722E-2</v>
      </c>
      <c r="Q1376">
        <v>0</v>
      </c>
      <c r="R1376">
        <v>1.0379808957007327E-2</v>
      </c>
      <c r="S1376">
        <v>0.26189188274108605</v>
      </c>
      <c r="T1376">
        <v>5.9114561141739852</v>
      </c>
      <c r="U1376">
        <v>0</v>
      </c>
      <c r="V1376">
        <v>1.9144248559351068E-2</v>
      </c>
      <c r="W1376">
        <v>0.10280663244348701</v>
      </c>
      <c r="X1376">
        <v>-1.6359552691204934E-3</v>
      </c>
      <c r="Y1376">
        <v>4.2742205747835084E-2</v>
      </c>
    </row>
    <row r="1377" spans="1:25" x14ac:dyDescent="0.25">
      <c r="A1377" s="879"/>
      <c r="B1377" s="1133">
        <v>1127</v>
      </c>
      <c r="C1377" s="883">
        <v>0.97951357426301944</v>
      </c>
      <c r="D1377" s="883">
        <v>1.016175708277512</v>
      </c>
      <c r="E1377" s="883">
        <v>0.97743138953445818</v>
      </c>
      <c r="F1377" s="883">
        <v>1.0182356031052648</v>
      </c>
      <c r="G1377" s="883">
        <v>1.0060391049359998</v>
      </c>
      <c r="H1377" s="883">
        <v>1.0049305987243695</v>
      </c>
      <c r="I1377" s="883">
        <v>1.0228806480955166</v>
      </c>
      <c r="K1377">
        <v>6.7634430778416377</v>
      </c>
      <c r="L1377">
        <v>0</v>
      </c>
      <c r="M1377">
        <v>1.0830861887680909E-2</v>
      </c>
      <c r="N1377">
        <v>0.19528340607524444</v>
      </c>
      <c r="O1377">
        <v>0.12416409212057722</v>
      </c>
      <c r="P1377">
        <v>8.1936301958068641E-2</v>
      </c>
      <c r="Q1377">
        <v>0</v>
      </c>
      <c r="R1377">
        <v>1.0830861887680909E-2</v>
      </c>
      <c r="S1377">
        <v>0.28221868099730707</v>
      </c>
      <c r="T1377">
        <v>5.9143729045397135</v>
      </c>
      <c r="U1377">
        <v>0</v>
      </c>
      <c r="V1377">
        <v>1.9269113844646888E-2</v>
      </c>
      <c r="W1377">
        <v>0.10394753185661333</v>
      </c>
      <c r="X1377">
        <v>-2.3485149824550183E-3</v>
      </c>
      <c r="Y1377">
        <v>4.4599561431920128E-2</v>
      </c>
    </row>
    <row r="1378" spans="1:25" x14ac:dyDescent="0.25">
      <c r="A1378" s="879"/>
      <c r="B1378" s="1133">
        <v>1128</v>
      </c>
      <c r="C1378" s="883">
        <v>1.0186058882499935</v>
      </c>
      <c r="D1378" s="883">
        <v>1.000454386085186</v>
      </c>
      <c r="E1378" s="883">
        <v>0.98668264722586574</v>
      </c>
      <c r="F1378" s="883">
        <v>0.99971816332228158</v>
      </c>
      <c r="G1378" s="883">
        <v>1.0047755697649035</v>
      </c>
      <c r="H1378" s="883">
        <v>0.97492291912687412</v>
      </c>
      <c r="I1378" s="883">
        <v>0.99799691030426219</v>
      </c>
      <c r="K1378">
        <v>6.7197828524318215</v>
      </c>
      <c r="L1378">
        <v>0</v>
      </c>
      <c r="M1378">
        <v>1.0090160278054464E-2</v>
      </c>
      <c r="N1378">
        <v>0.18444231407650036</v>
      </c>
      <c r="O1378">
        <v>0.11997720800201088</v>
      </c>
      <c r="P1378">
        <v>8.2231743422523026E-2</v>
      </c>
      <c r="Q1378">
        <v>0</v>
      </c>
      <c r="R1378">
        <v>1.0090160278054464E-2</v>
      </c>
      <c r="S1378">
        <v>0.26218297098012627</v>
      </c>
      <c r="T1378">
        <v>5.9128611700140157</v>
      </c>
      <c r="U1378">
        <v>0</v>
      </c>
      <c r="V1378">
        <v>1.9055514075952646E-2</v>
      </c>
      <c r="W1378">
        <v>9.772357705090963E-2</v>
      </c>
      <c r="X1378">
        <v>-2.4112923366333765E-4</v>
      </c>
      <c r="Y1378">
        <v>4.1549484043450144E-2</v>
      </c>
    </row>
    <row r="1379" spans="1:25" x14ac:dyDescent="0.25">
      <c r="A1379" s="879"/>
      <c r="B1379" s="1133">
        <v>1129</v>
      </c>
      <c r="C1379" s="883">
        <v>0.99755532218021303</v>
      </c>
      <c r="D1379" s="883">
        <v>0.9884074845827171</v>
      </c>
      <c r="E1379" s="883">
        <v>0.99175151031822539</v>
      </c>
      <c r="F1379" s="883">
        <v>0.96547645861943243</v>
      </c>
      <c r="G1379" s="883">
        <v>0.9963930607417073</v>
      </c>
      <c r="H1379" s="883">
        <v>0.98520814274287272</v>
      </c>
      <c r="I1379" s="883">
        <v>1.0419983647065534</v>
      </c>
      <c r="K1379">
        <v>6.7512854414580259</v>
      </c>
      <c r="L1379">
        <v>0</v>
      </c>
      <c r="M1379">
        <v>1.0419770423364881E-2</v>
      </c>
      <c r="N1379">
        <v>0.19190423435263171</v>
      </c>
      <c r="O1379">
        <v>0.12300891672537845</v>
      </c>
      <c r="P1379">
        <v>8.2769502402775988E-2</v>
      </c>
      <c r="Q1379">
        <v>0</v>
      </c>
      <c r="R1379">
        <v>1.0419770423364881E-2</v>
      </c>
      <c r="S1379">
        <v>0.2806616039676153</v>
      </c>
      <c r="T1379">
        <v>5.9107285937184582</v>
      </c>
      <c r="U1379">
        <v>0</v>
      </c>
      <c r="V1379">
        <v>1.9168453780562533E-2</v>
      </c>
      <c r="W1379">
        <v>0.101420382228972</v>
      </c>
      <c r="X1379">
        <v>-1.2830056717902663E-3</v>
      </c>
      <c r="Y1379">
        <v>4.2906759953419651E-2</v>
      </c>
    </row>
    <row r="1380" spans="1:25" x14ac:dyDescent="0.25">
      <c r="A1380" s="879"/>
      <c r="B1380" s="1133">
        <v>1130</v>
      </c>
      <c r="C1380" s="883">
        <v>1.0028998453938773</v>
      </c>
      <c r="D1380" s="883">
        <v>1.0117209507222718</v>
      </c>
      <c r="E1380" s="883">
        <v>0.99571597451045479</v>
      </c>
      <c r="F1380" s="883">
        <v>1.0264183066629247</v>
      </c>
      <c r="G1380" s="883">
        <v>1.0322826408221761</v>
      </c>
      <c r="H1380" s="883">
        <v>0.97325798172648392</v>
      </c>
      <c r="I1380" s="883">
        <v>1.0323747496911491</v>
      </c>
      <c r="K1380">
        <v>6.7394053521465285</v>
      </c>
      <c r="L1380">
        <v>0</v>
      </c>
      <c r="M1380">
        <v>1.0101780939438153E-2</v>
      </c>
      <c r="N1380">
        <v>0.18714415666443732</v>
      </c>
      <c r="O1380">
        <v>0.12114421571156291</v>
      </c>
      <c r="P1380">
        <v>8.2987038915212821E-2</v>
      </c>
      <c r="Q1380">
        <v>0</v>
      </c>
      <c r="R1380">
        <v>1.0101780939438153E-2</v>
      </c>
      <c r="S1380">
        <v>0.27521492364350408</v>
      </c>
      <c r="T1380">
        <v>5.9138009775550984</v>
      </c>
      <c r="U1380">
        <v>0</v>
      </c>
      <c r="V1380">
        <v>1.9139330489250823E-2</v>
      </c>
      <c r="W1380">
        <v>9.8709667223568748E-2</v>
      </c>
      <c r="X1380">
        <v>-3.3229391473137517E-4</v>
      </c>
      <c r="Y1380">
        <v>4.159733585862755E-2</v>
      </c>
    </row>
    <row r="1381" spans="1:25" x14ac:dyDescent="0.25">
      <c r="A1381" s="879"/>
      <c r="B1381" s="1133">
        <v>1131</v>
      </c>
      <c r="C1381" s="883">
        <v>0.99671126736024873</v>
      </c>
      <c r="D1381" s="883">
        <v>1.0140700746628375</v>
      </c>
      <c r="E1381" s="883">
        <v>0.99330119489227486</v>
      </c>
      <c r="F1381" s="883">
        <v>1.0221420431201313</v>
      </c>
      <c r="G1381" s="883">
        <v>1.001509920142025</v>
      </c>
      <c r="H1381" s="883">
        <v>1.041386243640871</v>
      </c>
      <c r="I1381" s="883">
        <v>0.95666448751064437</v>
      </c>
      <c r="K1381">
        <v>6.748850282807477</v>
      </c>
      <c r="L1381">
        <v>0</v>
      </c>
      <c r="M1381">
        <v>1.0888157270645816E-2</v>
      </c>
      <c r="N1381">
        <v>0.20099183286826847</v>
      </c>
      <c r="O1381">
        <v>0.12182839835562835</v>
      </c>
      <c r="P1381">
        <v>8.2667630438351639E-2</v>
      </c>
      <c r="Q1381">
        <v>0</v>
      </c>
      <c r="R1381">
        <v>1.0888157270645816E-2</v>
      </c>
      <c r="S1381">
        <v>0.26271927478494123</v>
      </c>
      <c r="T1381">
        <v>5.9137048784537267</v>
      </c>
      <c r="U1381">
        <v>0</v>
      </c>
      <c r="V1381">
        <v>1.9173081748456638E-2</v>
      </c>
      <c r="W1381">
        <v>0.10614115996657338</v>
      </c>
      <c r="X1381">
        <v>-3.2114674292414748E-3</v>
      </c>
      <c r="Y1381">
        <v>4.4835493620771619E-2</v>
      </c>
    </row>
    <row r="1382" spans="1:25" x14ac:dyDescent="0.25">
      <c r="A1382" s="879"/>
      <c r="B1382" s="1133">
        <v>1132</v>
      </c>
      <c r="C1382" s="883">
        <v>1.017633927826187</v>
      </c>
      <c r="D1382" s="883">
        <v>0.99620247808654061</v>
      </c>
      <c r="E1382" s="883">
        <v>1.0219266239916094</v>
      </c>
      <c r="F1382" s="883">
        <v>0.97661606045712313</v>
      </c>
      <c r="G1382" s="883">
        <v>1.0185473432029299</v>
      </c>
      <c r="H1382" s="883">
        <v>1.0437253845847703</v>
      </c>
      <c r="I1382" s="883">
        <v>0.98145865213722072</v>
      </c>
      <c r="K1382">
        <v>6.7454261458010283</v>
      </c>
      <c r="L1382">
        <v>0</v>
      </c>
      <c r="M1382">
        <v>1.0503733369226326E-2</v>
      </c>
      <c r="N1382">
        <v>0.20229023490335465</v>
      </c>
      <c r="O1382">
        <v>0.11964525041030369</v>
      </c>
      <c r="P1382">
        <v>8.4429480559643166E-2</v>
      </c>
      <c r="Q1382">
        <v>0</v>
      </c>
      <c r="R1382">
        <v>1.0503733369226326E-2</v>
      </c>
      <c r="S1382">
        <v>0.26444584295943058</v>
      </c>
      <c r="T1382">
        <v>5.9096240719487731</v>
      </c>
      <c r="U1382">
        <v>0</v>
      </c>
      <c r="V1382">
        <v>1.9060625911367656E-2</v>
      </c>
      <c r="W1382">
        <v>0.10532352608243327</v>
      </c>
      <c r="X1382">
        <v>-2.6453913939086461E-3</v>
      </c>
      <c r="Y1382">
        <v>4.3252504419629842E-2</v>
      </c>
    </row>
    <row r="1383" spans="1:25" x14ac:dyDescent="0.25">
      <c r="A1383" s="879"/>
      <c r="B1383" s="1133">
        <v>1133</v>
      </c>
      <c r="C1383" s="883">
        <v>0.96718744702128934</v>
      </c>
      <c r="D1383" s="883">
        <v>1.0167361236821086</v>
      </c>
      <c r="E1383" s="883">
        <v>1.0275886666105911</v>
      </c>
      <c r="F1383" s="883">
        <v>0.99153370741194469</v>
      </c>
      <c r="G1383" s="883">
        <v>1.0408815016365911</v>
      </c>
      <c r="H1383" s="883">
        <v>0.9894883067678738</v>
      </c>
      <c r="I1383" s="883">
        <v>1.0298932015758764</v>
      </c>
      <c r="K1383">
        <v>6.7714321911988433</v>
      </c>
      <c r="L1383">
        <v>0</v>
      </c>
      <c r="M1383">
        <v>1.0334773336890512E-2</v>
      </c>
      <c r="N1383">
        <v>0.20070975056667256</v>
      </c>
      <c r="O1383">
        <v>0.12475227578997305</v>
      </c>
      <c r="P1383">
        <v>8.5093259907847579E-2</v>
      </c>
      <c r="Q1383">
        <v>0</v>
      </c>
      <c r="R1383">
        <v>1.0334773336890512E-2</v>
      </c>
      <c r="S1383">
        <v>0.28632170131601598</v>
      </c>
      <c r="T1383">
        <v>5.9101040964533347</v>
      </c>
      <c r="U1383">
        <v>0</v>
      </c>
      <c r="V1383">
        <v>1.9340044108839025E-2</v>
      </c>
      <c r="W1383">
        <v>0.10421014721127589</v>
      </c>
      <c r="X1383">
        <v>-1.6558412353577521E-3</v>
      </c>
      <c r="Y1383">
        <v>4.2556757080235597E-2</v>
      </c>
    </row>
    <row r="1384" spans="1:25" x14ac:dyDescent="0.25">
      <c r="A1384" s="879"/>
      <c r="B1384" s="1133">
        <v>1134</v>
      </c>
      <c r="C1384" s="883">
        <v>0.96456509107284005</v>
      </c>
      <c r="D1384" s="883">
        <v>1.0236419915530421</v>
      </c>
      <c r="E1384" s="883">
        <v>1.0175385400258041</v>
      </c>
      <c r="F1384" s="883">
        <v>0.97855521548204794</v>
      </c>
      <c r="G1384" s="883">
        <v>1.0298914062406046</v>
      </c>
      <c r="H1384" s="883">
        <v>0.97074184679173448</v>
      </c>
      <c r="I1384" s="883">
        <v>1.008970630361161</v>
      </c>
      <c r="K1384">
        <v>6.7568802110845017</v>
      </c>
      <c r="L1384">
        <v>0</v>
      </c>
      <c r="M1384">
        <v>1.0226736998948651E-2</v>
      </c>
      <c r="N1384">
        <v>0.19568122026051696</v>
      </c>
      <c r="O1384">
        <v>0.12494869197567002</v>
      </c>
      <c r="P1384">
        <v>8.4366023606549795E-2</v>
      </c>
      <c r="Q1384">
        <v>0</v>
      </c>
      <c r="R1384">
        <v>1.0226736998948651E-2</v>
      </c>
      <c r="S1384">
        <v>0.2793550989242175</v>
      </c>
      <c r="T1384">
        <v>5.9099801384960733</v>
      </c>
      <c r="U1384">
        <v>0</v>
      </c>
      <c r="V1384">
        <v>1.9355368226940669E-2</v>
      </c>
      <c r="W1384">
        <v>0.1021029916487054</v>
      </c>
      <c r="X1384">
        <v>-1.0212047245172951E-3</v>
      </c>
      <c r="Y1384">
        <v>4.2111882670342327E-2</v>
      </c>
    </row>
    <row r="1385" spans="1:25" x14ac:dyDescent="0.25">
      <c r="A1385" s="879"/>
      <c r="B1385" s="1133">
        <v>1135</v>
      </c>
      <c r="C1385" s="883">
        <v>1.0160599242333495</v>
      </c>
      <c r="D1385" s="883">
        <v>1.0153637433419569</v>
      </c>
      <c r="E1385" s="883">
        <v>0.98582043066842928</v>
      </c>
      <c r="F1385" s="883">
        <v>0.99345974318927011</v>
      </c>
      <c r="G1385" s="883">
        <v>1.0264186841593534</v>
      </c>
      <c r="H1385" s="883">
        <v>1.0264280722282784</v>
      </c>
      <c r="I1385" s="883">
        <v>1.0128536579521319</v>
      </c>
      <c r="K1385">
        <v>6.7423343474083239</v>
      </c>
      <c r="L1385">
        <v>0</v>
      </c>
      <c r="M1385">
        <v>1.059056045834829E-2</v>
      </c>
      <c r="N1385">
        <v>0.19334196418111016</v>
      </c>
      <c r="O1385">
        <v>0.11958394749953467</v>
      </c>
      <c r="P1385">
        <v>8.2296418323707085E-2</v>
      </c>
      <c r="Q1385">
        <v>0</v>
      </c>
      <c r="R1385">
        <v>1.059056045834829E-2</v>
      </c>
      <c r="S1385">
        <v>0.27142955391761553</v>
      </c>
      <c r="T1385">
        <v>5.9125706669271727</v>
      </c>
      <c r="U1385">
        <v>0</v>
      </c>
      <c r="V1385">
        <v>1.906892481765218E-2</v>
      </c>
      <c r="W1385">
        <v>0.10248302465746914</v>
      </c>
      <c r="X1385">
        <v>-2.0501958339256719E-3</v>
      </c>
      <c r="Y1385">
        <v>4.361004291798834E-2</v>
      </c>
    </row>
    <row r="1386" spans="1:25" x14ac:dyDescent="0.25">
      <c r="A1386" s="879"/>
      <c r="B1386" s="1133">
        <v>1136</v>
      </c>
      <c r="C1386" s="883">
        <v>0.99116299259240315</v>
      </c>
      <c r="D1386" s="883">
        <v>0.98881044938526164</v>
      </c>
      <c r="E1386" s="883">
        <v>0.97115043857040051</v>
      </c>
      <c r="F1386" s="883">
        <v>0.98971145006413053</v>
      </c>
      <c r="G1386" s="883">
        <v>0.97466765388287124</v>
      </c>
      <c r="H1386" s="883">
        <v>0.99477600539854505</v>
      </c>
      <c r="I1386" s="883">
        <v>0.95663633480739507</v>
      </c>
      <c r="K1386">
        <v>6.7355745814265564</v>
      </c>
      <c r="L1386">
        <v>0</v>
      </c>
      <c r="M1386">
        <v>1.0778823420992139E-2</v>
      </c>
      <c r="N1386">
        <v>0.1925417040518082</v>
      </c>
      <c r="O1386">
        <v>0.12416976747002344</v>
      </c>
      <c r="P1386">
        <v>8.1233895941672671E-2</v>
      </c>
      <c r="Q1386">
        <v>0</v>
      </c>
      <c r="R1386">
        <v>1.0778823420992139E-2</v>
      </c>
      <c r="S1386">
        <v>0.26016799467434482</v>
      </c>
      <c r="T1386">
        <v>5.9131747228918314</v>
      </c>
      <c r="U1386">
        <v>0</v>
      </c>
      <c r="V1386">
        <v>1.9203699236399745E-2</v>
      </c>
      <c r="W1386">
        <v>0.10281173102318768</v>
      </c>
      <c r="X1386">
        <v>-2.1142101513084905E-3</v>
      </c>
      <c r="Y1386">
        <v>4.4385276288597557E-2</v>
      </c>
    </row>
    <row r="1387" spans="1:25" x14ac:dyDescent="0.25">
      <c r="A1387" s="879"/>
      <c r="B1387" s="1133">
        <v>1137</v>
      </c>
      <c r="C1387" s="883">
        <v>1.037043299921637</v>
      </c>
      <c r="D1387" s="883">
        <v>0.99675746113355601</v>
      </c>
      <c r="E1387" s="883">
        <v>1.0049185616605998</v>
      </c>
      <c r="F1387" s="883">
        <v>0.97210640190932174</v>
      </c>
      <c r="G1387" s="883">
        <v>1.0013274890327246</v>
      </c>
      <c r="H1387" s="883">
        <v>1.0387837482628735</v>
      </c>
      <c r="I1387" s="883">
        <v>0.97304190042265581</v>
      </c>
      <c r="K1387">
        <v>6.7260270159918871</v>
      </c>
      <c r="L1387">
        <v>0</v>
      </c>
      <c r="M1387">
        <v>1.0409638618559956E-2</v>
      </c>
      <c r="N1387">
        <v>0.19549460476761144</v>
      </c>
      <c r="O1387">
        <v>0.11768951242313258</v>
      </c>
      <c r="P1387">
        <v>8.3269508785667759E-2</v>
      </c>
      <c r="Q1387">
        <v>0</v>
      </c>
      <c r="R1387">
        <v>1.0409638618559956E-2</v>
      </c>
      <c r="S1387">
        <v>0.25679925134047549</v>
      </c>
      <c r="T1387">
        <v>5.9103484961302755</v>
      </c>
      <c r="U1387">
        <v>0</v>
      </c>
      <c r="V1387">
        <v>1.8960360980415245E-2</v>
      </c>
      <c r="W1387">
        <v>0.1026440042173099</v>
      </c>
      <c r="X1387">
        <v>-2.0437616376310537E-3</v>
      </c>
      <c r="Y1387">
        <v>4.2865038984626985E-2</v>
      </c>
    </row>
    <row r="1388" spans="1:25" x14ac:dyDescent="0.25">
      <c r="A1388" s="879"/>
      <c r="B1388" s="1133">
        <v>1138</v>
      </c>
      <c r="C1388" s="883">
        <v>0.96038166542953596</v>
      </c>
      <c r="D1388" s="883">
        <v>0.97196181908100787</v>
      </c>
      <c r="E1388" s="883">
        <v>0.9742749098558372</v>
      </c>
      <c r="F1388" s="883">
        <v>0.98132444177254052</v>
      </c>
      <c r="G1388" s="883">
        <v>0.95612477911553773</v>
      </c>
      <c r="H1388" s="883">
        <v>0.98087577561446748</v>
      </c>
      <c r="I1388" s="883">
        <v>0.98973837251602326</v>
      </c>
      <c r="K1388">
        <v>6.7650843480559706</v>
      </c>
      <c r="L1388">
        <v>0</v>
      </c>
      <c r="M1388">
        <v>1.1019927941844483E-2</v>
      </c>
      <c r="N1388">
        <v>0.19776369258866902</v>
      </c>
      <c r="O1388">
        <v>0.12897270504602448</v>
      </c>
      <c r="P1388">
        <v>8.1640874638067282E-2</v>
      </c>
      <c r="Q1388">
        <v>0</v>
      </c>
      <c r="R1388">
        <v>1.1019927941844483E-2</v>
      </c>
      <c r="S1388">
        <v>0.27661943561935343</v>
      </c>
      <c r="T1388">
        <v>5.9125504893134222</v>
      </c>
      <c r="U1388">
        <v>0</v>
      </c>
      <c r="V1388">
        <v>1.9379987923428769E-2</v>
      </c>
      <c r="W1388">
        <v>0.10543455314978677</v>
      </c>
      <c r="X1388">
        <v>-2.6554920132489594E-3</v>
      </c>
      <c r="Y1388">
        <v>4.5378101790462588E-2</v>
      </c>
    </row>
    <row r="1389" spans="1:25" x14ac:dyDescent="0.25">
      <c r="A1389" s="879"/>
      <c r="B1389" s="1133">
        <v>1139</v>
      </c>
      <c r="C1389" s="883">
        <v>1.0264580096655289</v>
      </c>
      <c r="D1389" s="883">
        <v>0.9822792127220964</v>
      </c>
      <c r="E1389" s="883">
        <v>1.0030656516159966</v>
      </c>
      <c r="F1389" s="883">
        <v>0.97944140855944806</v>
      </c>
      <c r="G1389" s="883">
        <v>1.0015337319416298</v>
      </c>
      <c r="H1389" s="883">
        <v>0.98283838308228222</v>
      </c>
      <c r="I1389" s="883">
        <v>1.0221659359617781</v>
      </c>
      <c r="K1389">
        <v>6.7276980789732157</v>
      </c>
      <c r="L1389">
        <v>0</v>
      </c>
      <c r="M1389">
        <v>1.0029387957300892E-2</v>
      </c>
      <c r="N1389">
        <v>0.18783726067541079</v>
      </c>
      <c r="O1389">
        <v>0.11963526609657396</v>
      </c>
      <c r="P1389">
        <v>8.3303533126839746E-2</v>
      </c>
      <c r="Q1389">
        <v>0</v>
      </c>
      <c r="R1389">
        <v>1.0029387957300892E-2</v>
      </c>
      <c r="S1389">
        <v>0.26742321885504039</v>
      </c>
      <c r="T1389">
        <v>5.9108493787430652</v>
      </c>
      <c r="U1389">
        <v>0</v>
      </c>
      <c r="V1389">
        <v>1.9014572394301071E-2</v>
      </c>
      <c r="W1389">
        <v>9.8714181717681246E-2</v>
      </c>
      <c r="X1389">
        <v>-3.7856707935117934E-4</v>
      </c>
      <c r="Y1389">
        <v>4.1299234443656789E-2</v>
      </c>
    </row>
    <row r="1390" spans="1:25" x14ac:dyDescent="0.25">
      <c r="A1390" s="879"/>
      <c r="B1390" s="1133">
        <v>1140</v>
      </c>
      <c r="C1390" s="883">
        <v>0.97775972021071211</v>
      </c>
      <c r="D1390" s="883">
        <v>1.0225758693331519</v>
      </c>
      <c r="E1390" s="883">
        <v>0.99355443017866707</v>
      </c>
      <c r="F1390" s="883">
        <v>0.97883850345282841</v>
      </c>
      <c r="G1390" s="883">
        <v>1.0112002960247315</v>
      </c>
      <c r="H1390" s="883">
        <v>0.98628039944459556</v>
      </c>
      <c r="I1390" s="883">
        <v>1.0138090998834259</v>
      </c>
      <c r="K1390">
        <v>6.7527830406673894</v>
      </c>
      <c r="L1390">
        <v>0</v>
      </c>
      <c r="M1390">
        <v>1.0472044632143379E-2</v>
      </c>
      <c r="N1390">
        <v>0.19338310122052291</v>
      </c>
      <c r="O1390">
        <v>0.12377071640699126</v>
      </c>
      <c r="P1390">
        <v>8.2862370007139835E-2</v>
      </c>
      <c r="Q1390">
        <v>0</v>
      </c>
      <c r="R1390">
        <v>1.0472044632143379E-2</v>
      </c>
      <c r="S1390">
        <v>0.27837764295885681</v>
      </c>
      <c r="T1390">
        <v>5.9113502558610627</v>
      </c>
      <c r="U1390">
        <v>0</v>
      </c>
      <c r="V1390">
        <v>1.9279097208289877E-2</v>
      </c>
      <c r="W1390">
        <v>0.10211021097321946</v>
      </c>
      <c r="X1390">
        <v>-1.4723698094022181E-3</v>
      </c>
      <c r="Y1390">
        <v>4.3122015840707205E-2</v>
      </c>
    </row>
    <row r="1391" spans="1:25" x14ac:dyDescent="0.25">
      <c r="A1391" s="879"/>
      <c r="B1391" s="1133">
        <v>1141</v>
      </c>
      <c r="C1391" s="883">
        <v>1.0087507309364192</v>
      </c>
      <c r="D1391" s="883">
        <v>1.0048724877809032</v>
      </c>
      <c r="E1391" s="883">
        <v>0.97189062156958295</v>
      </c>
      <c r="F1391" s="883">
        <v>1.0093281494517252</v>
      </c>
      <c r="G1391" s="883">
        <v>1.0171367765637602</v>
      </c>
      <c r="H1391" s="883">
        <v>1.0126743562551983</v>
      </c>
      <c r="I1391" s="883">
        <v>1.0217043795986369</v>
      </c>
      <c r="K1391">
        <v>6.7461219152064986</v>
      </c>
      <c r="L1391">
        <v>0</v>
      </c>
      <c r="M1391">
        <v>1.0700386608586363E-2</v>
      </c>
      <c r="N1391">
        <v>0.19135074741016034</v>
      </c>
      <c r="O1391">
        <v>0.12120748325663522</v>
      </c>
      <c r="P1391">
        <v>8.1481380803817352E-2</v>
      </c>
      <c r="Q1391">
        <v>0</v>
      </c>
      <c r="R1391">
        <v>1.0700386608586363E-2</v>
      </c>
      <c r="S1391">
        <v>0.27456437480189039</v>
      </c>
      <c r="T1391">
        <v>5.9141949249293058</v>
      </c>
      <c r="U1391">
        <v>0</v>
      </c>
      <c r="V1391">
        <v>1.9107801778187699E-2</v>
      </c>
      <c r="W1391">
        <v>0.10213780191012001</v>
      </c>
      <c r="X1391">
        <v>-1.9848871399641174E-3</v>
      </c>
      <c r="Y1391">
        <v>4.4062287456342719E-2</v>
      </c>
    </row>
    <row r="1392" spans="1:25" x14ac:dyDescent="0.25">
      <c r="A1392" s="879"/>
      <c r="B1392" s="1133">
        <v>1142</v>
      </c>
      <c r="C1392" s="883">
        <v>1.0100097459222701</v>
      </c>
      <c r="D1392" s="883">
        <v>1.0474602239575836</v>
      </c>
      <c r="E1392" s="883">
        <v>0.98981767191634806</v>
      </c>
      <c r="F1392" s="883">
        <v>0.98717115101055619</v>
      </c>
      <c r="G1392" s="883">
        <v>0.98475384110272546</v>
      </c>
      <c r="H1392" s="883">
        <v>0.97948588398915615</v>
      </c>
      <c r="I1392" s="883">
        <v>1.0082444761139129</v>
      </c>
      <c r="K1392">
        <v>6.7213610785248763</v>
      </c>
      <c r="L1392">
        <v>0</v>
      </c>
      <c r="M1392">
        <v>9.997363796782217E-3</v>
      </c>
      <c r="N1392">
        <v>0.18359752533465143</v>
      </c>
      <c r="O1392">
        <v>0.11873962282370211</v>
      </c>
      <c r="P1392">
        <v>8.2484415504517114E-2</v>
      </c>
      <c r="Q1392">
        <v>0</v>
      </c>
      <c r="R1392">
        <v>9.997363796782217E-3</v>
      </c>
      <c r="S1392">
        <v>0.26717141233155156</v>
      </c>
      <c r="T1392">
        <v>5.9120088533866211</v>
      </c>
      <c r="U1392">
        <v>0</v>
      </c>
      <c r="V1392">
        <v>1.9101065073442666E-2</v>
      </c>
      <c r="W1392">
        <v>9.7123915583716636E-2</v>
      </c>
      <c r="X1392">
        <v>-3.3096164056481829E-5</v>
      </c>
      <c r="Y1392">
        <v>4.1167364650728969E-2</v>
      </c>
    </row>
    <row r="1393" spans="1:25" x14ac:dyDescent="0.25">
      <c r="A1393" s="879"/>
      <c r="B1393" s="1133">
        <v>1143</v>
      </c>
      <c r="C1393" s="883">
        <v>0.96791216103570643</v>
      </c>
      <c r="D1393" s="883">
        <v>0.97391813866504651</v>
      </c>
      <c r="E1393" s="883">
        <v>0.98728114793828137</v>
      </c>
      <c r="F1393" s="883">
        <v>1.0020090110009019</v>
      </c>
      <c r="G1393" s="883">
        <v>0.98007760883239059</v>
      </c>
      <c r="H1393" s="883">
        <v>0.96301234593862062</v>
      </c>
      <c r="I1393" s="883">
        <v>1.0000469474616227</v>
      </c>
      <c r="K1393">
        <v>6.7568323494646538</v>
      </c>
      <c r="L1393">
        <v>0</v>
      </c>
      <c r="M1393">
        <v>1.0604888924215412E-2</v>
      </c>
      <c r="N1393">
        <v>0.19402338097638841</v>
      </c>
      <c r="O1393">
        <v>0.12761429602547369</v>
      </c>
      <c r="P1393">
        <v>8.2451901707236458E-2</v>
      </c>
      <c r="Q1393">
        <v>0</v>
      </c>
      <c r="R1393">
        <v>1.0604888924215412E-2</v>
      </c>
      <c r="S1393">
        <v>0.27556870542230749</v>
      </c>
      <c r="T1393">
        <v>5.9129517976829149</v>
      </c>
      <c r="U1393">
        <v>0</v>
      </c>
      <c r="V1393">
        <v>1.9335823781832392E-2</v>
      </c>
      <c r="W1393">
        <v>0.10276922579127264</v>
      </c>
      <c r="X1393">
        <v>-1.5518269128363047E-3</v>
      </c>
      <c r="Y1393">
        <v>4.3669044990057311E-2</v>
      </c>
    </row>
    <row r="1394" spans="1:25" x14ac:dyDescent="0.25">
      <c r="A1394" s="879"/>
      <c r="B1394" s="1133">
        <v>1144</v>
      </c>
      <c r="C1394" s="883">
        <v>1.0081098495004686</v>
      </c>
      <c r="D1394" s="883">
        <v>1.0394504332357939</v>
      </c>
      <c r="E1394" s="883">
        <v>1.0126870634562302</v>
      </c>
      <c r="F1394" s="883">
        <v>1.0071373898005096</v>
      </c>
      <c r="G1394" s="883">
        <v>0.98610460237438058</v>
      </c>
      <c r="H1394" s="883">
        <v>1.0174617703720641</v>
      </c>
      <c r="I1394" s="883">
        <v>0.98735921313436514</v>
      </c>
      <c r="K1394">
        <v>6.7361710909728219</v>
      </c>
      <c r="L1394">
        <v>0</v>
      </c>
      <c r="M1394">
        <v>1.0232253352366327E-2</v>
      </c>
      <c r="N1394">
        <v>0.19438618637931573</v>
      </c>
      <c r="O1394">
        <v>0.11891041290727589</v>
      </c>
      <c r="P1394">
        <v>8.3897681427725856E-2</v>
      </c>
      <c r="Q1394">
        <v>0</v>
      </c>
      <c r="R1394">
        <v>1.0232253352366327E-2</v>
      </c>
      <c r="S1394">
        <v>0.26567785270716715</v>
      </c>
      <c r="T1394">
        <v>5.9118010991053183</v>
      </c>
      <c r="U1394">
        <v>0</v>
      </c>
      <c r="V1394">
        <v>1.9111237452695017E-2</v>
      </c>
      <c r="W1394">
        <v>0.10167043257329142</v>
      </c>
      <c r="X1394">
        <v>-1.4184096118121583E-3</v>
      </c>
      <c r="Y1394">
        <v>4.213459803184199E-2</v>
      </c>
    </row>
    <row r="1395" spans="1:25" x14ac:dyDescent="0.25">
      <c r="A1395" s="879"/>
      <c r="B1395" s="1133">
        <v>1145</v>
      </c>
      <c r="C1395" s="883">
        <v>1.0247875599434053</v>
      </c>
      <c r="D1395" s="883">
        <v>0.97259997594411784</v>
      </c>
      <c r="E1395" s="883">
        <v>1.0421366414864914</v>
      </c>
      <c r="F1395" s="883">
        <v>1.010166215697383</v>
      </c>
      <c r="G1395" s="883">
        <v>1.0117580480841095</v>
      </c>
      <c r="H1395" s="883">
        <v>0.99324722134552912</v>
      </c>
      <c r="I1395" s="883">
        <v>0.98334676844764779</v>
      </c>
      <c r="K1395">
        <v>6.7295284821719221</v>
      </c>
      <c r="L1395">
        <v>0</v>
      </c>
      <c r="M1395">
        <v>9.8523894545011446E-3</v>
      </c>
      <c r="N1395">
        <v>0.19549926682867641</v>
      </c>
      <c r="O1395">
        <v>0.11957572341511861</v>
      </c>
      <c r="P1395">
        <v>8.5622859953340888E-2</v>
      </c>
      <c r="Q1395">
        <v>0</v>
      </c>
      <c r="R1395">
        <v>9.8523894545011446E-3</v>
      </c>
      <c r="S1395">
        <v>0.25879827208853351</v>
      </c>
      <c r="T1395">
        <v>5.9102650436072999</v>
      </c>
      <c r="U1395">
        <v>0</v>
      </c>
      <c r="V1395">
        <v>1.9023229733163297E-2</v>
      </c>
      <c r="W1395">
        <v>0.1007843818850639</v>
      </c>
      <c r="X1395">
        <v>-6.1068145295984592E-4</v>
      </c>
      <c r="Y1395">
        <v>4.0570386113686484E-2</v>
      </c>
    </row>
    <row r="1396" spans="1:25" x14ac:dyDescent="0.25">
      <c r="A1396" s="879"/>
      <c r="B1396" s="1133">
        <v>1146</v>
      </c>
      <c r="C1396" s="883">
        <v>1.042895298016802</v>
      </c>
      <c r="D1396" s="883">
        <v>1.0264584261629643</v>
      </c>
      <c r="E1396" s="883">
        <v>1.0029909314948964</v>
      </c>
      <c r="F1396" s="883">
        <v>0.96701682407559597</v>
      </c>
      <c r="G1396" s="883">
        <v>0.97825415262745408</v>
      </c>
      <c r="H1396" s="883">
        <v>0.98708682494510447</v>
      </c>
      <c r="I1396" s="883">
        <v>1.0251677102314927</v>
      </c>
      <c r="K1396">
        <v>6.7104999381528909</v>
      </c>
      <c r="L1396">
        <v>0</v>
      </c>
      <c r="M1396">
        <v>9.7295821261727741E-3</v>
      </c>
      <c r="N1396">
        <v>0.18220212559226742</v>
      </c>
      <c r="O1396">
        <v>0.11569700572055273</v>
      </c>
      <c r="P1396">
        <v>8.3242430793659422E-2</v>
      </c>
      <c r="Q1396">
        <v>0</v>
      </c>
      <c r="R1396">
        <v>9.7295821261727741E-3</v>
      </c>
      <c r="S1396">
        <v>0.26397218093236507</v>
      </c>
      <c r="T1396">
        <v>5.9101821630707683</v>
      </c>
      <c r="U1396">
        <v>0</v>
      </c>
      <c r="V1396">
        <v>1.8930862977262458E-2</v>
      </c>
      <c r="W1396">
        <v>9.5756296110575276E-2</v>
      </c>
      <c r="X1396">
        <v>4.5218556091703056E-4</v>
      </c>
      <c r="Y1396">
        <v>4.0064687394519828E-2</v>
      </c>
    </row>
    <row r="1397" spans="1:25" x14ac:dyDescent="0.25">
      <c r="A1397" s="879"/>
      <c r="B1397" s="1133">
        <v>1147</v>
      </c>
      <c r="C1397" s="883">
        <v>0.96375349130561216</v>
      </c>
      <c r="D1397" s="883">
        <v>0.96279486368860967</v>
      </c>
      <c r="E1397" s="883">
        <v>1.0144730662929253</v>
      </c>
      <c r="F1397" s="883">
        <v>0.99467390722888127</v>
      </c>
      <c r="G1397" s="883">
        <v>0.95294617194726239</v>
      </c>
      <c r="H1397" s="883">
        <v>0.97196966086136116</v>
      </c>
      <c r="I1397" s="883">
        <v>0.99411458596666502</v>
      </c>
      <c r="K1397">
        <v>6.766331967155212</v>
      </c>
      <c r="L1397">
        <v>0</v>
      </c>
      <c r="M1397">
        <v>1.0549190970007429E-2</v>
      </c>
      <c r="N1397">
        <v>0.20093760759252616</v>
      </c>
      <c r="O1397">
        <v>0.12821818478946345</v>
      </c>
      <c r="P1397">
        <v>8.414449166495537E-2</v>
      </c>
      <c r="Q1397">
        <v>0</v>
      </c>
      <c r="R1397">
        <v>1.0549190970007429E-2</v>
      </c>
      <c r="S1397">
        <v>0.2761599579569069</v>
      </c>
      <c r="T1397">
        <v>5.9110259690091187</v>
      </c>
      <c r="U1397">
        <v>0</v>
      </c>
      <c r="V1397">
        <v>1.9360127826879753E-2</v>
      </c>
      <c r="W1397">
        <v>0.10500438010452603</v>
      </c>
      <c r="X1397">
        <v>-1.9584425176632286E-3</v>
      </c>
      <c r="Y1397">
        <v>4.3439690728495108E-2</v>
      </c>
    </row>
    <row r="1398" spans="1:25" x14ac:dyDescent="0.25">
      <c r="A1398" s="879"/>
      <c r="B1398" s="1133">
        <v>1148</v>
      </c>
      <c r="C1398" s="883">
        <v>0.96220465490155793</v>
      </c>
      <c r="D1398" s="883">
        <v>0.9598391328914575</v>
      </c>
      <c r="E1398" s="883">
        <v>0.96118519932694479</v>
      </c>
      <c r="F1398" s="883">
        <v>0.98478476464529607</v>
      </c>
      <c r="G1398" s="883">
        <v>1.0057163481453761</v>
      </c>
      <c r="H1398" s="883">
        <v>1.028053723756216</v>
      </c>
      <c r="I1398" s="883">
        <v>1.0244617223043793</v>
      </c>
      <c r="K1398">
        <v>6.7947823561968734</v>
      </c>
      <c r="L1398">
        <v>0</v>
      </c>
      <c r="M1398">
        <v>1.1723117135090782E-2</v>
      </c>
      <c r="N1398">
        <v>0.20633306149360739</v>
      </c>
      <c r="O1398">
        <v>0.12963126962865459</v>
      </c>
      <c r="P1398">
        <v>8.100878639299311E-2</v>
      </c>
      <c r="Q1398">
        <v>0</v>
      </c>
      <c r="R1398">
        <v>1.1723117135090782E-2</v>
      </c>
      <c r="S1398">
        <v>0.29071152254319488</v>
      </c>
      <c r="T1398">
        <v>5.91344934306154</v>
      </c>
      <c r="U1398">
        <v>0</v>
      </c>
      <c r="V1398">
        <v>1.9369233208886269E-2</v>
      </c>
      <c r="W1398">
        <v>0.11073017114149558</v>
      </c>
      <c r="X1398">
        <v>-4.7247409987376116E-3</v>
      </c>
      <c r="Y1398">
        <v>4.8273709725240331E-2</v>
      </c>
    </row>
    <row r="1399" spans="1:25" x14ac:dyDescent="0.25">
      <c r="A1399" s="879"/>
      <c r="B1399" s="1133">
        <v>1149</v>
      </c>
      <c r="C1399" s="883">
        <v>1.0031052282283608</v>
      </c>
      <c r="D1399" s="883">
        <v>0.99941883987931857</v>
      </c>
      <c r="E1399" s="883">
        <v>1.0098556466348718</v>
      </c>
      <c r="F1399" s="883">
        <v>0.99104028101247588</v>
      </c>
      <c r="G1399" s="883">
        <v>1.0068983349568634</v>
      </c>
      <c r="H1399" s="883">
        <v>1.0090910592910936</v>
      </c>
      <c r="I1399" s="883">
        <v>1.0025001900372996</v>
      </c>
      <c r="K1399">
        <v>6.7469168293279553</v>
      </c>
      <c r="L1399">
        <v>0</v>
      </c>
      <c r="M1399">
        <v>1.0397302043192041E-2</v>
      </c>
      <c r="N1399">
        <v>0.19669556306587549</v>
      </c>
      <c r="O1399">
        <v>0.12144901952524555</v>
      </c>
      <c r="P1399">
        <v>8.377880720254266E-2</v>
      </c>
      <c r="Q1399">
        <v>0</v>
      </c>
      <c r="R1399">
        <v>1.0397302043192041E-2</v>
      </c>
      <c r="S1399">
        <v>0.27070445604616111</v>
      </c>
      <c r="T1399">
        <v>5.9110922106488797</v>
      </c>
      <c r="U1399">
        <v>0</v>
      </c>
      <c r="V1399">
        <v>1.9138217512414082E-2</v>
      </c>
      <c r="W1399">
        <v>0.10302241469653695</v>
      </c>
      <c r="X1399">
        <v>-1.7780985327934924E-3</v>
      </c>
      <c r="Y1399">
        <v>4.2814239163090469E-2</v>
      </c>
    </row>
    <row r="1400" spans="1:25" x14ac:dyDescent="0.25">
      <c r="A1400" s="879"/>
      <c r="B1400" s="1133">
        <v>1150</v>
      </c>
      <c r="C1400" s="883">
        <v>0.96118814261994678</v>
      </c>
      <c r="D1400" s="883">
        <v>0.98149522672359302</v>
      </c>
      <c r="E1400" s="883">
        <v>0.97153072851792843</v>
      </c>
      <c r="F1400" s="883">
        <v>0.99554638758141734</v>
      </c>
      <c r="G1400" s="883">
        <v>1.0031567601237072</v>
      </c>
      <c r="H1400" s="883">
        <v>0.9761285595295589</v>
      </c>
      <c r="I1400" s="883">
        <v>0.97491613582300762</v>
      </c>
      <c r="K1400">
        <v>6.7569132019516243</v>
      </c>
      <c r="L1400">
        <v>0</v>
      </c>
      <c r="M1400">
        <v>1.0937749414707191E-2</v>
      </c>
      <c r="N1400">
        <v>0.1954909341929546</v>
      </c>
      <c r="O1400">
        <v>0.12841553889835858</v>
      </c>
      <c r="P1400">
        <v>8.1414967855703138E-2</v>
      </c>
      <c r="Q1400">
        <v>0</v>
      </c>
      <c r="R1400">
        <v>1.0937749414707191E-2</v>
      </c>
      <c r="S1400">
        <v>0.27168836163899418</v>
      </c>
      <c r="T1400">
        <v>5.9134694430306389</v>
      </c>
      <c r="U1400">
        <v>0</v>
      </c>
      <c r="V1400">
        <v>1.937522508482812E-2</v>
      </c>
      <c r="W1400">
        <v>0.10436658972954341</v>
      </c>
      <c r="X1400">
        <v>-2.3475637223401239E-3</v>
      </c>
      <c r="Y1400">
        <v>4.5039705242943755E-2</v>
      </c>
    </row>
    <row r="1401" spans="1:25" x14ac:dyDescent="0.25">
      <c r="A1401" s="879"/>
      <c r="B1401" s="1133">
        <v>1151</v>
      </c>
      <c r="C1401" s="883">
        <v>0.96374179651670344</v>
      </c>
      <c r="D1401" s="883">
        <v>0.99939555139824277</v>
      </c>
      <c r="E1401" s="883">
        <v>1.015614197035547</v>
      </c>
      <c r="F1401" s="883">
        <v>0.96322571037395011</v>
      </c>
      <c r="G1401" s="883">
        <v>1.0210255018566214</v>
      </c>
      <c r="H1401" s="883">
        <v>1.0013907784842848</v>
      </c>
      <c r="I1401" s="883">
        <v>1.0253973575983615</v>
      </c>
      <c r="K1401">
        <v>6.778460609915733</v>
      </c>
      <c r="L1401">
        <v>0</v>
      </c>
      <c r="M1401">
        <v>1.0685535701168414E-2</v>
      </c>
      <c r="N1401">
        <v>0.20387865406188951</v>
      </c>
      <c r="O1401">
        <v>0.12629802804348667</v>
      </c>
      <c r="P1401">
        <v>8.4345083074618341E-2</v>
      </c>
      <c r="Q1401">
        <v>0</v>
      </c>
      <c r="R1401">
        <v>1.0685535701168414E-2</v>
      </c>
      <c r="S1401">
        <v>0.28743491320392739</v>
      </c>
      <c r="T1401">
        <v>5.9092617691222209</v>
      </c>
      <c r="U1401">
        <v>0</v>
      </c>
      <c r="V1401">
        <v>1.9360196469170657E-2</v>
      </c>
      <c r="W1401">
        <v>0.1064812961107707</v>
      </c>
      <c r="X1401">
        <v>-2.6004642333090316E-3</v>
      </c>
      <c r="Y1401">
        <v>4.4001134062958559E-2</v>
      </c>
    </row>
    <row r="1402" spans="1:25" x14ac:dyDescent="0.25">
      <c r="A1402" s="879"/>
      <c r="B1402" s="1133">
        <v>1152</v>
      </c>
      <c r="C1402" s="883">
        <v>1.0352800305851446</v>
      </c>
      <c r="D1402" s="883">
        <v>1.0036509334763257</v>
      </c>
      <c r="E1402" s="883">
        <v>1.0156178450861928</v>
      </c>
      <c r="F1402" s="883">
        <v>1.0241167644905318</v>
      </c>
      <c r="G1402" s="883">
        <v>1.0043521892622922</v>
      </c>
      <c r="H1402" s="883">
        <v>1.0059466343571652</v>
      </c>
      <c r="I1402" s="883">
        <v>1.0104271326041476</v>
      </c>
      <c r="K1402">
        <v>6.7271614052024349</v>
      </c>
      <c r="L1402">
        <v>0</v>
      </c>
      <c r="M1402">
        <v>9.9742168628225158E-3</v>
      </c>
      <c r="N1402">
        <v>0.19030780896410468</v>
      </c>
      <c r="O1402">
        <v>0.11737107112143744</v>
      </c>
      <c r="P1402">
        <v>8.4067455664038407E-2</v>
      </c>
      <c r="Q1402">
        <v>0</v>
      </c>
      <c r="R1402">
        <v>9.9742168628225158E-3</v>
      </c>
      <c r="S1402">
        <v>0.26404360467921645</v>
      </c>
      <c r="T1402">
        <v>5.9125514646832498</v>
      </c>
      <c r="U1402">
        <v>0</v>
      </c>
      <c r="V1402">
        <v>1.8969314421271304E-2</v>
      </c>
      <c r="W1402">
        <v>9.9393365978471884E-2</v>
      </c>
      <c r="X1402">
        <v>-6.1473000603895142E-4</v>
      </c>
      <c r="Y1402">
        <v>4.1072049696683578E-2</v>
      </c>
    </row>
    <row r="1403" spans="1:25" x14ac:dyDescent="0.25">
      <c r="A1403" s="879"/>
      <c r="B1403" s="1133">
        <v>1153</v>
      </c>
      <c r="C1403" s="883">
        <v>0.9822753281756561</v>
      </c>
      <c r="D1403" s="883">
        <v>1.0248128403053836</v>
      </c>
      <c r="E1403" s="883">
        <v>0.9989400510926193</v>
      </c>
      <c r="F1403" s="883">
        <v>0.96748106297715175</v>
      </c>
      <c r="G1403" s="883">
        <v>1.0268440137667649</v>
      </c>
      <c r="H1403" s="883">
        <v>0.96130808966189207</v>
      </c>
      <c r="I1403" s="883">
        <v>1.007983325505315</v>
      </c>
      <c r="K1403">
        <v>6.7372993822618348</v>
      </c>
      <c r="L1403">
        <v>0</v>
      </c>
      <c r="M1403">
        <v>1.0102853999527242E-2</v>
      </c>
      <c r="N1403">
        <v>0.18806032436773332</v>
      </c>
      <c r="O1403">
        <v>0.1229925329070502</v>
      </c>
      <c r="P1403">
        <v>8.311820731012963E-2</v>
      </c>
      <c r="Q1403">
        <v>0</v>
      </c>
      <c r="R1403">
        <v>1.0102853999527242E-2</v>
      </c>
      <c r="S1403">
        <v>0.27310480834252832</v>
      </c>
      <c r="T1403">
        <v>5.9104350118075937</v>
      </c>
      <c r="U1403">
        <v>0</v>
      </c>
      <c r="V1403">
        <v>1.9253465538864277E-2</v>
      </c>
      <c r="W1403">
        <v>9.9034029870875284E-2</v>
      </c>
      <c r="X1403">
        <v>-3.0075241201300097E-4</v>
      </c>
      <c r="Y1403">
        <v>4.1601754529076863E-2</v>
      </c>
    </row>
    <row r="1404" spans="1:25" x14ac:dyDescent="0.25">
      <c r="A1404" s="879"/>
      <c r="B1404" s="1133">
        <v>1154</v>
      </c>
      <c r="C1404" s="883">
        <v>0.99258988009700355</v>
      </c>
      <c r="D1404" s="883">
        <v>0.99313318197599787</v>
      </c>
      <c r="E1404" s="883">
        <v>1.0121476763976041</v>
      </c>
      <c r="F1404" s="883">
        <v>1.0038142144386792</v>
      </c>
      <c r="G1404" s="883">
        <v>1.0176349218014831</v>
      </c>
      <c r="H1404" s="883">
        <v>1.0131068285027653</v>
      </c>
      <c r="I1404" s="883">
        <v>1.008669123008392</v>
      </c>
      <c r="K1404">
        <v>6.7599559319610929</v>
      </c>
      <c r="L1404">
        <v>0</v>
      </c>
      <c r="M1404">
        <v>1.0556631574726525E-2</v>
      </c>
      <c r="N1404">
        <v>0.20038848292950018</v>
      </c>
      <c r="O1404">
        <v>0.12300214863673443</v>
      </c>
      <c r="P1404">
        <v>8.3998680485915467E-2</v>
      </c>
      <c r="Q1404">
        <v>0</v>
      </c>
      <c r="R1404">
        <v>1.0556631574726525E-2</v>
      </c>
      <c r="S1404">
        <v>0.27571275608950896</v>
      </c>
      <c r="T1404">
        <v>5.9116522272511851</v>
      </c>
      <c r="U1404">
        <v>0</v>
      </c>
      <c r="V1404">
        <v>1.9195792434562868E-2</v>
      </c>
      <c r="W1404">
        <v>0.10483777094937864</v>
      </c>
      <c r="X1404">
        <v>-2.3022566300411724E-3</v>
      </c>
      <c r="Y1404">
        <v>4.3470329814350069E-2</v>
      </c>
    </row>
    <row r="1405" spans="1:25" x14ac:dyDescent="0.25">
      <c r="A1405" s="879"/>
      <c r="B1405" s="1133">
        <v>1155</v>
      </c>
      <c r="C1405" s="883">
        <v>0.96123679810192852</v>
      </c>
      <c r="D1405" s="883">
        <v>1.0192181046193014</v>
      </c>
      <c r="E1405" s="883">
        <v>1.0141535587349892</v>
      </c>
      <c r="F1405" s="883">
        <v>1.0066693651530505</v>
      </c>
      <c r="G1405" s="883">
        <v>0.99781198377142832</v>
      </c>
      <c r="H1405" s="883">
        <v>0.97762924026947207</v>
      </c>
      <c r="I1405" s="883">
        <v>1.0408876145087176</v>
      </c>
      <c r="K1405">
        <v>6.7733464548344591</v>
      </c>
      <c r="L1405">
        <v>0</v>
      </c>
      <c r="M1405">
        <v>1.0384846737765813E-2</v>
      </c>
      <c r="N1405">
        <v>0.19771372164961962</v>
      </c>
      <c r="O1405">
        <v>0.12566471534063844</v>
      </c>
      <c r="P1405">
        <v>8.4319970362816202E-2</v>
      </c>
      <c r="Q1405">
        <v>0</v>
      </c>
      <c r="R1405">
        <v>1.0384846737765813E-2</v>
      </c>
      <c r="S1405">
        <v>0.28991982762188911</v>
      </c>
      <c r="T1405">
        <v>5.91169229817279</v>
      </c>
      <c r="U1405">
        <v>0</v>
      </c>
      <c r="V1405">
        <v>1.9374937994192213E-2</v>
      </c>
      <c r="W1405">
        <v>0.10333596766888221</v>
      </c>
      <c r="X1405">
        <v>-1.4379344086807068E-3</v>
      </c>
      <c r="Y1405">
        <v>4.2762950432306997E-2</v>
      </c>
    </row>
    <row r="1406" spans="1:25" x14ac:dyDescent="0.25">
      <c r="A1406" s="879"/>
      <c r="B1406" s="1133">
        <v>1156</v>
      </c>
      <c r="C1406" s="883">
        <v>1.0124480323433023</v>
      </c>
      <c r="D1406" s="883">
        <v>1.0058888225140985</v>
      </c>
      <c r="E1406" s="883">
        <v>1.0404935566543103</v>
      </c>
      <c r="F1406" s="883">
        <v>1.006380694693245</v>
      </c>
      <c r="G1406" s="883">
        <v>0.98600428489279679</v>
      </c>
      <c r="H1406" s="883">
        <v>0.97331230607815655</v>
      </c>
      <c r="I1406" s="883">
        <v>0.98020370399298384</v>
      </c>
      <c r="K1406">
        <v>6.7225979151687172</v>
      </c>
      <c r="L1406">
        <v>0</v>
      </c>
      <c r="M1406">
        <v>9.6463030991686145E-3</v>
      </c>
      <c r="N1406">
        <v>0.19094598551644804</v>
      </c>
      <c r="O1406">
        <v>0.11944563607197362</v>
      </c>
      <c r="P1406">
        <v>8.5522148826916708E-2</v>
      </c>
      <c r="Q1406">
        <v>0</v>
      </c>
      <c r="R1406">
        <v>9.6463030991686145E-3</v>
      </c>
      <c r="S1406">
        <v>0.25897028860497978</v>
      </c>
      <c r="T1406">
        <v>5.9101566699338832</v>
      </c>
      <c r="U1406">
        <v>0</v>
      </c>
      <c r="V1406">
        <v>1.9088065998250303E-2</v>
      </c>
      <c r="W1406">
        <v>9.8516074086081082E-2</v>
      </c>
      <c r="X1406">
        <v>2.3128694575103153E-4</v>
      </c>
      <c r="Y1406">
        <v>3.9721759184430917E-2</v>
      </c>
    </row>
    <row r="1407" spans="1:25" x14ac:dyDescent="0.25">
      <c r="A1407" s="879"/>
      <c r="B1407" s="1133">
        <v>1157</v>
      </c>
      <c r="C1407" s="883">
        <v>1.0165279331695471</v>
      </c>
      <c r="D1407" s="883">
        <v>0.96522028654745706</v>
      </c>
      <c r="E1407" s="883">
        <v>0.98338441527948517</v>
      </c>
      <c r="F1407" s="883">
        <v>1.0258272776687025</v>
      </c>
      <c r="G1407" s="883">
        <v>0.97158041424194441</v>
      </c>
      <c r="H1407" s="883">
        <v>1.0186162764243585</v>
      </c>
      <c r="I1407" s="883">
        <v>0.97484107028618316</v>
      </c>
      <c r="K1407">
        <v>6.7399046938558218</v>
      </c>
      <c r="L1407">
        <v>0</v>
      </c>
      <c r="M1407">
        <v>1.0758412442327123E-2</v>
      </c>
      <c r="N1407">
        <v>0.19569793908468847</v>
      </c>
      <c r="O1407">
        <v>0.12202025117418296</v>
      </c>
      <c r="P1407">
        <v>8.2029266539552934E-2</v>
      </c>
      <c r="Q1407">
        <v>0</v>
      </c>
      <c r="R1407">
        <v>1.0758412442327123E-2</v>
      </c>
      <c r="S1407">
        <v>0.26095291215529065</v>
      </c>
      <c r="T1407">
        <v>5.9144551529222156</v>
      </c>
      <c r="U1407">
        <v>0</v>
      </c>
      <c r="V1407">
        <v>1.90664545640153E-2</v>
      </c>
      <c r="W1407">
        <v>0.10385819958998578</v>
      </c>
      <c r="X1407">
        <v>-2.4767096855847588E-3</v>
      </c>
      <c r="Y1407">
        <v>4.4301227511473765E-2</v>
      </c>
    </row>
    <row r="1408" spans="1:25" x14ac:dyDescent="0.25">
      <c r="A1408" s="879"/>
      <c r="B1408" s="1133">
        <v>1158</v>
      </c>
      <c r="C1408" s="883">
        <v>1.0215596399167071</v>
      </c>
      <c r="D1408" s="883">
        <v>1.0458166611137203</v>
      </c>
      <c r="E1408" s="883">
        <v>1.0029096806648445</v>
      </c>
      <c r="F1408" s="883">
        <v>1.0035474319087798</v>
      </c>
      <c r="G1408" s="883">
        <v>0.98812639700631166</v>
      </c>
      <c r="H1408" s="883">
        <v>0.96727198192178399</v>
      </c>
      <c r="I1408" s="883">
        <v>1.0002023013589709</v>
      </c>
      <c r="K1408">
        <v>6.7090750258748706</v>
      </c>
      <c r="L1408">
        <v>0</v>
      </c>
      <c r="M1408">
        <v>9.6566042161241403E-3</v>
      </c>
      <c r="N1408">
        <v>0.1808137350722101</v>
      </c>
      <c r="O1408">
        <v>0.1172354224199775</v>
      </c>
      <c r="P1408">
        <v>8.3225046612251483E-2</v>
      </c>
      <c r="Q1408">
        <v>0</v>
      </c>
      <c r="R1408">
        <v>9.6566042161241403E-3</v>
      </c>
      <c r="S1408">
        <v>0.26097197909911285</v>
      </c>
      <c r="T1408">
        <v>5.9121608615796326</v>
      </c>
      <c r="U1408">
        <v>0</v>
      </c>
      <c r="V1408">
        <v>1.9040039095398326E-2</v>
      </c>
      <c r="W1408">
        <v>9.5030457672541715E-2</v>
      </c>
      <c r="X1408">
        <v>8.3330697321705785E-4</v>
      </c>
      <c r="Y1408">
        <v>3.9764177350523323E-2</v>
      </c>
    </row>
    <row r="1409" spans="1:25" x14ac:dyDescent="0.25">
      <c r="A1409" s="879"/>
      <c r="B1409" s="1133">
        <v>1159</v>
      </c>
      <c r="C1409" s="883">
        <v>0.99154416180933735</v>
      </c>
      <c r="D1409" s="883">
        <v>1.0098952056726176</v>
      </c>
      <c r="E1409" s="883">
        <v>0.9990952982625978</v>
      </c>
      <c r="F1409" s="883">
        <v>1.007311329962435</v>
      </c>
      <c r="G1409" s="883">
        <v>1.0064344443835702</v>
      </c>
      <c r="H1409" s="883">
        <v>1.0152721388348369</v>
      </c>
      <c r="I1409" s="883">
        <v>0.96205809877147408</v>
      </c>
      <c r="K1409">
        <v>6.7443332633333117</v>
      </c>
      <c r="L1409">
        <v>0</v>
      </c>
      <c r="M1409">
        <v>1.0635357458792636E-2</v>
      </c>
      <c r="N1409">
        <v>0.19801819089739783</v>
      </c>
      <c r="O1409">
        <v>0.12255664700687571</v>
      </c>
      <c r="P1409">
        <v>8.3024047699715955E-2</v>
      </c>
      <c r="Q1409">
        <v>0</v>
      </c>
      <c r="R1409">
        <v>1.0635357458792636E-2</v>
      </c>
      <c r="S1409">
        <v>0.26325410047217046</v>
      </c>
      <c r="T1409">
        <v>5.9125788653080633</v>
      </c>
      <c r="U1409">
        <v>0</v>
      </c>
      <c r="V1409">
        <v>1.9201584838489407E-2</v>
      </c>
      <c r="W1409">
        <v>0.10426987700664064</v>
      </c>
      <c r="X1409">
        <v>-2.3645588882882959E-3</v>
      </c>
      <c r="Y1409">
        <v>4.379450899224932E-2</v>
      </c>
    </row>
    <row r="1410" spans="1:25" x14ac:dyDescent="0.25">
      <c r="A1410" s="879"/>
      <c r="B1410" s="1133">
        <v>1160</v>
      </c>
      <c r="C1410" s="883">
        <v>1.0161466125423753</v>
      </c>
      <c r="D1410" s="883">
        <v>1.019857870836653</v>
      </c>
      <c r="E1410" s="883">
        <v>0.9923193232067844</v>
      </c>
      <c r="F1410" s="883">
        <v>1.010116706835481</v>
      </c>
      <c r="G1410" s="883">
        <v>1.0050288587213829</v>
      </c>
      <c r="H1410" s="883">
        <v>1.0222141380499357</v>
      </c>
      <c r="I1410" s="883">
        <v>1.0050882864789317</v>
      </c>
      <c r="K1410">
        <v>6.7391893667303178</v>
      </c>
      <c r="L1410">
        <v>0</v>
      </c>
      <c r="M1410">
        <v>1.0466745109519926E-2</v>
      </c>
      <c r="N1410">
        <v>0.19293170458400608</v>
      </c>
      <c r="O1410">
        <v>0.11924441898033343</v>
      </c>
      <c r="P1410">
        <v>8.2678960015373032E-2</v>
      </c>
      <c r="Q1410">
        <v>0</v>
      </c>
      <c r="R1410">
        <v>1.0466745109519926E-2</v>
      </c>
      <c r="S1410">
        <v>0.26890079547057238</v>
      </c>
      <c r="T1410">
        <v>5.9131097242104058</v>
      </c>
      <c r="U1410">
        <v>0</v>
      </c>
      <c r="V1410">
        <v>1.9068467086071968E-2</v>
      </c>
      <c r="W1410">
        <v>0.10193455203687603</v>
      </c>
      <c r="X1410">
        <v>-1.7794490031495453E-3</v>
      </c>
      <c r="Y1410">
        <v>4.3100193349823658E-2</v>
      </c>
    </row>
    <row r="1411" spans="1:25" x14ac:dyDescent="0.25">
      <c r="A1411" s="879"/>
      <c r="B1411" s="1133">
        <v>1161</v>
      </c>
      <c r="C1411" s="883">
        <v>0.99319477691592228</v>
      </c>
      <c r="D1411" s="883">
        <v>1.0169946654997886</v>
      </c>
      <c r="E1411" s="883">
        <v>0.99012663118496103</v>
      </c>
      <c r="F1411" s="883">
        <v>1.0049454866539431</v>
      </c>
      <c r="G1411" s="883">
        <v>1.0065289888388025</v>
      </c>
      <c r="H1411" s="883">
        <v>1.0029167597204838</v>
      </c>
      <c r="I1411" s="883">
        <v>0.9894627328986999</v>
      </c>
      <c r="K1411">
        <v>6.7435969581568553</v>
      </c>
      <c r="L1411">
        <v>0</v>
      </c>
      <c r="M1411">
        <v>1.0539263965493803E-2</v>
      </c>
      <c r="N1411">
        <v>0.19363797887313425</v>
      </c>
      <c r="O1411">
        <v>0.1221782424650754</v>
      </c>
      <c r="P1411">
        <v>8.2542757220760724E-2</v>
      </c>
      <c r="Q1411">
        <v>0</v>
      </c>
      <c r="R1411">
        <v>1.0539263965493803E-2</v>
      </c>
      <c r="S1411">
        <v>0.2690640686662773</v>
      </c>
      <c r="T1411">
        <v>5.9129523892631806</v>
      </c>
      <c r="U1411">
        <v>0</v>
      </c>
      <c r="V1411">
        <v>1.9192447381036731E-2</v>
      </c>
      <c r="W1411">
        <v>0.1024195796393654</v>
      </c>
      <c r="X1411">
        <v>-1.7893184428307181E-3</v>
      </c>
      <c r="Y1411">
        <v>4.339881309084892E-2</v>
      </c>
    </row>
    <row r="1412" spans="1:25" x14ac:dyDescent="0.25">
      <c r="A1412" s="879"/>
      <c r="B1412" s="1133">
        <v>1162</v>
      </c>
      <c r="C1412" s="883">
        <v>0.99805544127862755</v>
      </c>
      <c r="D1412" s="883">
        <v>0.96006684543267373</v>
      </c>
      <c r="E1412" s="883">
        <v>1.0483923550520278</v>
      </c>
      <c r="F1412" s="883">
        <v>0.97927253572011086</v>
      </c>
      <c r="G1412" s="883">
        <v>0.98145422960572981</v>
      </c>
      <c r="H1412" s="883">
        <v>1.0104961031164155</v>
      </c>
      <c r="I1412" s="883">
        <v>0.95781378760015645</v>
      </c>
      <c r="K1412">
        <v>6.749481966255324</v>
      </c>
      <c r="L1412">
        <v>0</v>
      </c>
      <c r="M1412">
        <v>1.0292691087757044E-2</v>
      </c>
      <c r="N1412">
        <v>0.20613131419114394</v>
      </c>
      <c r="O1412">
        <v>0.12329518104304861</v>
      </c>
      <c r="P1412">
        <v>8.601109960741779E-2</v>
      </c>
      <c r="Q1412">
        <v>0</v>
      </c>
      <c r="R1412">
        <v>1.0292691087757044E-2</v>
      </c>
      <c r="S1412">
        <v>0.26056167791497153</v>
      </c>
      <c r="T1412">
        <v>5.9082296165115178</v>
      </c>
      <c r="U1412">
        <v>0</v>
      </c>
      <c r="V1412">
        <v>1.9165715311595E-2</v>
      </c>
      <c r="W1412">
        <v>0.10594184128543455</v>
      </c>
      <c r="X1412">
        <v>-2.2379494784687788E-3</v>
      </c>
      <c r="Y1412">
        <v>4.2383469868665105E-2</v>
      </c>
    </row>
    <row r="1413" spans="1:25" x14ac:dyDescent="0.25">
      <c r="A1413" s="879"/>
      <c r="B1413" s="1133">
        <v>1163</v>
      </c>
      <c r="C1413" s="883">
        <v>1.0036836314484083</v>
      </c>
      <c r="D1413" s="883">
        <v>0.98297162908240188</v>
      </c>
      <c r="E1413" s="883">
        <v>0.99405823373588043</v>
      </c>
      <c r="F1413" s="883">
        <v>0.9597007081081157</v>
      </c>
      <c r="G1413" s="883">
        <v>0.99847923001765782</v>
      </c>
      <c r="H1413" s="883">
        <v>1.0174490814401209</v>
      </c>
      <c r="I1413" s="883">
        <v>0.99684635747556238</v>
      </c>
      <c r="K1413">
        <v>6.7483160245295686</v>
      </c>
      <c r="L1413">
        <v>0</v>
      </c>
      <c r="M1413">
        <v>1.0698796543724978E-2</v>
      </c>
      <c r="N1413">
        <v>0.1977180235195542</v>
      </c>
      <c r="O1413">
        <v>0.1224846192420241</v>
      </c>
      <c r="P1413">
        <v>8.2765733801815705E-2</v>
      </c>
      <c r="Q1413">
        <v>0</v>
      </c>
      <c r="R1413">
        <v>1.0698796543724978E-2</v>
      </c>
      <c r="S1413">
        <v>0.269958792797731</v>
      </c>
      <c r="T1413">
        <v>5.910287769866355</v>
      </c>
      <c r="U1413">
        <v>0</v>
      </c>
      <c r="V1413">
        <v>1.9135085572601084E-2</v>
      </c>
      <c r="W1413">
        <v>0.10437295393654998</v>
      </c>
      <c r="X1413">
        <v>-2.4626940593236346E-3</v>
      </c>
      <c r="Y1413">
        <v>4.4055739852264526E-2</v>
      </c>
    </row>
    <row r="1414" spans="1:25" x14ac:dyDescent="0.25">
      <c r="A1414" s="879"/>
      <c r="B1414" s="1133">
        <v>1164</v>
      </c>
      <c r="C1414" s="883">
        <v>1.0328811224681356</v>
      </c>
      <c r="D1414" s="883">
        <v>1.0342524881028832</v>
      </c>
      <c r="E1414" s="883">
        <v>1.0194123125115706</v>
      </c>
      <c r="F1414" s="883">
        <v>1.0077881885775632</v>
      </c>
      <c r="G1414" s="883">
        <v>0.99591489624151652</v>
      </c>
      <c r="H1414" s="883">
        <v>0.98876850716084175</v>
      </c>
      <c r="I1414" s="883">
        <v>0.96702120137672409</v>
      </c>
      <c r="K1414">
        <v>6.7046239730066324</v>
      </c>
      <c r="L1414">
        <v>0</v>
      </c>
      <c r="M1414">
        <v>9.6689809401674168E-3</v>
      </c>
      <c r="N1414">
        <v>0.18552254822507008</v>
      </c>
      <c r="O1414">
        <v>0.1161702829823443</v>
      </c>
      <c r="P1414">
        <v>8.4120204107332716E-2</v>
      </c>
      <c r="Q1414">
        <v>0</v>
      </c>
      <c r="R1414">
        <v>9.6689809401674168E-3</v>
      </c>
      <c r="S1414">
        <v>0.25152512161937723</v>
      </c>
      <c r="T1414">
        <v>5.9114523004437789</v>
      </c>
      <c r="U1414">
        <v>0</v>
      </c>
      <c r="V1414">
        <v>1.898154456266056E-2</v>
      </c>
      <c r="W1414">
        <v>9.6713012971025775E-2</v>
      </c>
      <c r="X1414">
        <v>3.2381559788048349E-4</v>
      </c>
      <c r="Y1414">
        <v>3.9815142497158763E-2</v>
      </c>
    </row>
    <row r="1415" spans="1:25" x14ac:dyDescent="0.25">
      <c r="A1415" s="879"/>
      <c r="B1415" s="1133">
        <v>1165</v>
      </c>
      <c r="C1415" s="883">
        <v>0.99279996615508348</v>
      </c>
      <c r="D1415" s="883">
        <v>0.9710931112720671</v>
      </c>
      <c r="E1415" s="883">
        <v>1.016588592161757</v>
      </c>
      <c r="F1415" s="883">
        <v>0.98630516099322041</v>
      </c>
      <c r="G1415" s="883">
        <v>0.99783648233493694</v>
      </c>
      <c r="H1415" s="883">
        <v>0.99272996889146126</v>
      </c>
      <c r="I1415" s="883">
        <v>0.99713224185035776</v>
      </c>
      <c r="K1415">
        <v>6.7522010665460064</v>
      </c>
      <c r="L1415">
        <v>0</v>
      </c>
      <c r="M1415">
        <v>1.0401582335363193E-2</v>
      </c>
      <c r="N1415">
        <v>0.19874721311647964</v>
      </c>
      <c r="O1415">
        <v>0.12399965056553319</v>
      </c>
      <c r="P1415">
        <v>8.4194615358554326E-2</v>
      </c>
      <c r="Q1415">
        <v>0</v>
      </c>
      <c r="R1415">
        <v>1.0401582335363193E-2</v>
      </c>
      <c r="S1415">
        <v>0.27080411158164996</v>
      </c>
      <c r="T1415">
        <v>5.9104531209225737</v>
      </c>
      <c r="U1415">
        <v>0</v>
      </c>
      <c r="V1415">
        <v>1.9194630205646383E-2</v>
      </c>
      <c r="W1415">
        <v>0.10375136842900136</v>
      </c>
      <c r="X1415">
        <v>-1.7755082778232493E-3</v>
      </c>
      <c r="Y1415">
        <v>4.2831864644387672E-2</v>
      </c>
    </row>
    <row r="1416" spans="1:25" x14ac:dyDescent="0.25">
      <c r="A1416" s="879"/>
      <c r="B1416" s="1133">
        <v>1166</v>
      </c>
      <c r="C1416" s="883">
        <v>0.96586805105880058</v>
      </c>
      <c r="D1416" s="883">
        <v>1.0220179861035488</v>
      </c>
      <c r="E1416" s="883">
        <v>0.99143575157084762</v>
      </c>
      <c r="F1416" s="883">
        <v>1.0079108836749902</v>
      </c>
      <c r="G1416" s="883">
        <v>1.0220163075607112</v>
      </c>
      <c r="H1416" s="883">
        <v>1.0196291403637869</v>
      </c>
      <c r="I1416" s="883">
        <v>1.0159621366759652</v>
      </c>
      <c r="K1416">
        <v>6.7773745388762627</v>
      </c>
      <c r="L1416">
        <v>0</v>
      </c>
      <c r="M1416">
        <v>1.0982272749950752E-2</v>
      </c>
      <c r="N1416">
        <v>0.20216936502764904</v>
      </c>
      <c r="O1416">
        <v>0.12536252315279911</v>
      </c>
      <c r="P1416">
        <v>8.284952423580598E-2</v>
      </c>
      <c r="Q1416">
        <v>0</v>
      </c>
      <c r="R1416">
        <v>1.0982272749950752E-2</v>
      </c>
      <c r="S1416">
        <v>0.28568058108495226</v>
      </c>
      <c r="T1416">
        <v>5.9130397637609482</v>
      </c>
      <c r="U1416">
        <v>0</v>
      </c>
      <c r="V1416">
        <v>1.9347743789966114E-2</v>
      </c>
      <c r="W1416">
        <v>0.10686226410172957</v>
      </c>
      <c r="X1416">
        <v>-3.1602706902063328E-3</v>
      </c>
      <c r="Y1416">
        <v>4.5223044412618499E-2</v>
      </c>
    </row>
    <row r="1417" spans="1:25" x14ac:dyDescent="0.25">
      <c r="A1417" s="879"/>
      <c r="B1417" s="1133">
        <v>1167</v>
      </c>
      <c r="C1417" s="883">
        <v>1.0385827137703363</v>
      </c>
      <c r="D1417" s="883">
        <v>1.0116372829043594</v>
      </c>
      <c r="E1417" s="883">
        <v>1.0083054561989642</v>
      </c>
      <c r="F1417" s="883">
        <v>0.99065167734761062</v>
      </c>
      <c r="G1417" s="883">
        <v>0.9970837919455976</v>
      </c>
      <c r="H1417" s="883">
        <v>1.0239265011261478</v>
      </c>
      <c r="I1417" s="883">
        <v>0.98742069366809093</v>
      </c>
      <c r="K1417">
        <v>6.7217317215237733</v>
      </c>
      <c r="L1417">
        <v>0</v>
      </c>
      <c r="M1417">
        <v>1.0150637223461073E-2</v>
      </c>
      <c r="N1417">
        <v>0.19158896389367377</v>
      </c>
      <c r="O1417">
        <v>0.11675957788221711</v>
      </c>
      <c r="P1417">
        <v>8.3518430903523441E-2</v>
      </c>
      <c r="Q1417">
        <v>0</v>
      </c>
      <c r="R1417">
        <v>1.0150637223461073E-2</v>
      </c>
      <c r="S1417">
        <v>0.25872686519896509</v>
      </c>
      <c r="T1417">
        <v>5.9111590994901881</v>
      </c>
      <c r="U1417">
        <v>0</v>
      </c>
      <c r="V1417">
        <v>1.8952569078978545E-2</v>
      </c>
      <c r="W1417">
        <v>0.10042475143716317</v>
      </c>
      <c r="X1417">
        <v>-1.1970537010784182E-3</v>
      </c>
      <c r="Y1417">
        <v>4.179851734013957E-2</v>
      </c>
    </row>
    <row r="1418" spans="1:25" x14ac:dyDescent="0.25">
      <c r="A1418" s="879"/>
      <c r="B1418" s="1133">
        <v>1168</v>
      </c>
      <c r="C1418" s="883">
        <v>1.0194901866752994</v>
      </c>
      <c r="D1418" s="883">
        <v>0.96929804326258939</v>
      </c>
      <c r="E1418" s="883">
        <v>0.99464658746218859</v>
      </c>
      <c r="F1418" s="883">
        <v>1.0145421069146554</v>
      </c>
      <c r="G1418" s="883">
        <v>1.008541357171604</v>
      </c>
      <c r="H1418" s="883">
        <v>1.0345261287215244</v>
      </c>
      <c r="I1418" s="883">
        <v>0.99291620319200413</v>
      </c>
      <c r="K1418">
        <v>6.748601586887605</v>
      </c>
      <c r="L1418">
        <v>0</v>
      </c>
      <c r="M1418">
        <v>1.0768681865599228E-2</v>
      </c>
      <c r="N1418">
        <v>0.19918314410098534</v>
      </c>
      <c r="O1418">
        <v>0.12125221969842975</v>
      </c>
      <c r="P1418">
        <v>8.2794107233679443E-2</v>
      </c>
      <c r="Q1418">
        <v>0</v>
      </c>
      <c r="R1418">
        <v>1.0768681865599228E-2</v>
      </c>
      <c r="S1418">
        <v>0.26647043313193691</v>
      </c>
      <c r="T1418">
        <v>5.9132189378930722</v>
      </c>
      <c r="U1418">
        <v>0</v>
      </c>
      <c r="V1418">
        <v>1.9050871749677886E-2</v>
      </c>
      <c r="W1418">
        <v>0.10511558351784679</v>
      </c>
      <c r="X1418">
        <v>-2.8272256066459449E-3</v>
      </c>
      <c r="Y1418">
        <v>4.4343515168619098E-2</v>
      </c>
    </row>
    <row r="1419" spans="1:25" x14ac:dyDescent="0.25">
      <c r="A1419" s="879"/>
      <c r="B1419" s="1133">
        <v>1169</v>
      </c>
      <c r="C1419" s="883">
        <v>0.98938296904734224</v>
      </c>
      <c r="D1419" s="883">
        <v>1.002276989333365</v>
      </c>
      <c r="E1419" s="883">
        <v>0.98888924306671144</v>
      </c>
      <c r="F1419" s="883">
        <v>0.98534787439176885</v>
      </c>
      <c r="G1419" s="883">
        <v>0.96546531948138725</v>
      </c>
      <c r="H1419" s="883">
        <v>0.98571149047139428</v>
      </c>
      <c r="I1419" s="883">
        <v>0.96042952351675437</v>
      </c>
      <c r="K1419">
        <v>6.7330698296901197</v>
      </c>
      <c r="L1419">
        <v>0</v>
      </c>
      <c r="M1419">
        <v>1.0474776682037747E-2</v>
      </c>
      <c r="N1419">
        <v>0.1921004038998326</v>
      </c>
      <c r="O1419">
        <v>0.12338951103045197</v>
      </c>
      <c r="P1419">
        <v>8.2341456492194168E-2</v>
      </c>
      <c r="Q1419">
        <v>0</v>
      </c>
      <c r="R1419">
        <v>1.0474776682037747E-2</v>
      </c>
      <c r="S1419">
        <v>0.26074014965768177</v>
      </c>
      <c r="T1419">
        <v>5.9119619175155877</v>
      </c>
      <c r="U1419">
        <v>0</v>
      </c>
      <c r="V1419">
        <v>1.9213594839759807E-2</v>
      </c>
      <c r="W1419">
        <v>0.10166904852731949</v>
      </c>
      <c r="X1419">
        <v>-1.4795182085919904E-3</v>
      </c>
      <c r="Y1419">
        <v>4.3133265935885449E-2</v>
      </c>
    </row>
    <row r="1420" spans="1:25" x14ac:dyDescent="0.25">
      <c r="A1420" s="879"/>
      <c r="B1420" s="1133">
        <v>1170</v>
      </c>
      <c r="C1420" s="883">
        <v>1.0005560468457579</v>
      </c>
      <c r="D1420" s="883">
        <v>1.0153935753843308</v>
      </c>
      <c r="E1420" s="883">
        <v>0.98781078403856415</v>
      </c>
      <c r="F1420" s="883">
        <v>1.0128405126065112</v>
      </c>
      <c r="G1420" s="883">
        <v>0.99041342997348758</v>
      </c>
      <c r="H1420" s="883">
        <v>1.0040434968690219</v>
      </c>
      <c r="I1420" s="883">
        <v>0.97262327664566639</v>
      </c>
      <c r="K1420">
        <v>6.734706005670561</v>
      </c>
      <c r="L1420">
        <v>0</v>
      </c>
      <c r="M1420">
        <v>1.050174257645348E-2</v>
      </c>
      <c r="N1420">
        <v>0.19228720849487171</v>
      </c>
      <c r="O1420">
        <v>0.12139869192301037</v>
      </c>
      <c r="P1420">
        <v>8.2318753378586587E-2</v>
      </c>
      <c r="Q1420">
        <v>0</v>
      </c>
      <c r="R1420">
        <v>1.050174257645348E-2</v>
      </c>
      <c r="S1420">
        <v>0.26265261444416033</v>
      </c>
      <c r="T1420">
        <v>5.9135078758193105</v>
      </c>
      <c r="U1420">
        <v>0</v>
      </c>
      <c r="V1420">
        <v>1.9152063975878826E-2</v>
      </c>
      <c r="W1420">
        <v>0.10182269643653766</v>
      </c>
      <c r="X1420">
        <v>-1.6782054911350711E-3</v>
      </c>
      <c r="Y1420">
        <v>4.3244306689339165E-2</v>
      </c>
    </row>
    <row r="1421" spans="1:25" x14ac:dyDescent="0.25">
      <c r="A1421" s="879"/>
      <c r="B1421" s="1133">
        <v>1171</v>
      </c>
      <c r="C1421" s="883">
        <v>0.98896403289878454</v>
      </c>
      <c r="D1421" s="883">
        <v>0.98871399533310156</v>
      </c>
      <c r="E1421" s="883">
        <v>0.9997035101056152</v>
      </c>
      <c r="F1421" s="883">
        <v>1.0217299686613672</v>
      </c>
      <c r="G1421" s="883">
        <v>1.0192020721145674</v>
      </c>
      <c r="H1421" s="883">
        <v>1.0013343317049157</v>
      </c>
      <c r="I1421" s="883">
        <v>1.0171321024145472</v>
      </c>
      <c r="K1421">
        <v>6.760940142628292</v>
      </c>
      <c r="L1421">
        <v>0</v>
      </c>
      <c r="M1421">
        <v>1.0607000648875696E-2</v>
      </c>
      <c r="N1421">
        <v>0.19766825711863922</v>
      </c>
      <c r="O1421">
        <v>0.12391107605345179</v>
      </c>
      <c r="P1421">
        <v>8.3268913985875825E-2</v>
      </c>
      <c r="Q1421">
        <v>0</v>
      </c>
      <c r="R1421">
        <v>1.0607000648875696E-2</v>
      </c>
      <c r="S1421">
        <v>0.27792581019471496</v>
      </c>
      <c r="T1421">
        <v>5.9133239263033461</v>
      </c>
      <c r="U1421">
        <v>0</v>
      </c>
      <c r="V1421">
        <v>1.9215928990767239E-2</v>
      </c>
      <c r="W1421">
        <v>0.10405417045388007</v>
      </c>
      <c r="X1421">
        <v>-2.1056811687213692E-3</v>
      </c>
      <c r="Y1421">
        <v>4.3677740696335364E-2</v>
      </c>
    </row>
    <row r="1422" spans="1:25" x14ac:dyDescent="0.25">
      <c r="A1422" s="879"/>
      <c r="B1422" s="1133">
        <v>1172</v>
      </c>
      <c r="C1422" s="883">
        <v>1.0032302903763386</v>
      </c>
      <c r="D1422" s="883">
        <v>1.0332463954519144</v>
      </c>
      <c r="E1422" s="883">
        <v>1.0195150326490914</v>
      </c>
      <c r="F1422" s="883">
        <v>1.0404839568890827</v>
      </c>
      <c r="G1422" s="883">
        <v>1.0140965801906412</v>
      </c>
      <c r="H1422" s="883">
        <v>1.0117662805815251</v>
      </c>
      <c r="I1422" s="883">
        <v>0.99594231568203007</v>
      </c>
      <c r="K1422">
        <v>6.7433137733393309</v>
      </c>
      <c r="L1422">
        <v>0</v>
      </c>
      <c r="M1422">
        <v>1.0189614293779667E-2</v>
      </c>
      <c r="N1422">
        <v>0.19554185764983434</v>
      </c>
      <c r="O1422">
        <v>0.11964839686842652</v>
      </c>
      <c r="P1422">
        <v>8.4387979984490352E-2</v>
      </c>
      <c r="Q1422">
        <v>0</v>
      </c>
      <c r="R1422">
        <v>1.0189614293779667E-2</v>
      </c>
      <c r="S1422">
        <v>0.26883489661293847</v>
      </c>
      <c r="T1422">
        <v>5.9132128388358884</v>
      </c>
      <c r="U1422">
        <v>0</v>
      </c>
      <c r="V1422">
        <v>1.9137540019442283E-2</v>
      </c>
      <c r="W1422">
        <v>0.10193092595007144</v>
      </c>
      <c r="X1422">
        <v>-1.3396805598184735E-3</v>
      </c>
      <c r="Y1422">
        <v>4.1959017978051634E-2</v>
      </c>
    </row>
    <row r="1423" spans="1:25" x14ac:dyDescent="0.25">
      <c r="A1423" s="879"/>
      <c r="B1423" s="1133">
        <v>1173</v>
      </c>
      <c r="C1423" s="883">
        <v>0.97768090689760156</v>
      </c>
      <c r="D1423" s="883">
        <v>1.0078666328826504</v>
      </c>
      <c r="E1423" s="883">
        <v>0.97690768138980288</v>
      </c>
      <c r="F1423" s="883">
        <v>0.9741171824260364</v>
      </c>
      <c r="G1423" s="883">
        <v>0.99334140337849675</v>
      </c>
      <c r="H1423" s="883">
        <v>1.0428388611030346</v>
      </c>
      <c r="I1423" s="883">
        <v>1.0125453440551375</v>
      </c>
      <c r="K1423">
        <v>6.7763232520428245</v>
      </c>
      <c r="L1423">
        <v>0</v>
      </c>
      <c r="M1423">
        <v>1.1305304031194554E-2</v>
      </c>
      <c r="N1423">
        <v>0.20367937115508455</v>
      </c>
      <c r="O1423">
        <v>0.12481594563823534</v>
      </c>
      <c r="P1423">
        <v>8.1891380460591065E-2</v>
      </c>
      <c r="Q1423">
        <v>0</v>
      </c>
      <c r="R1423">
        <v>1.1305304031194554E-2</v>
      </c>
      <c r="S1423">
        <v>0.2836618743940772</v>
      </c>
      <c r="T1423">
        <v>5.9120165240246569</v>
      </c>
      <c r="U1423">
        <v>0</v>
      </c>
      <c r="V1423">
        <v>1.9279546673777091E-2</v>
      </c>
      <c r="W1423">
        <v>0.10844509189083773</v>
      </c>
      <c r="X1423">
        <v>-4.0197119257954295E-3</v>
      </c>
      <c r="Y1423">
        <v>4.6553229731355818E-2</v>
      </c>
    </row>
    <row r="1424" spans="1:25" x14ac:dyDescent="0.25">
      <c r="A1424" s="879"/>
      <c r="B1424" s="1133">
        <v>1174</v>
      </c>
      <c r="C1424" s="883">
        <v>0.98091258815049753</v>
      </c>
      <c r="D1424" s="883">
        <v>1.0071634506277367</v>
      </c>
      <c r="E1424" s="883">
        <v>1.0008744865417127</v>
      </c>
      <c r="F1424" s="883">
        <v>0.97670810442771983</v>
      </c>
      <c r="G1424" s="883">
        <v>1.0000125245322393</v>
      </c>
      <c r="H1424" s="883">
        <v>1.0173054990631656</v>
      </c>
      <c r="I1424" s="883">
        <v>1.0132106751603078</v>
      </c>
      <c r="K1424">
        <v>6.7662796901846258</v>
      </c>
      <c r="L1424">
        <v>0</v>
      </c>
      <c r="M1424">
        <v>1.0767911135474402E-2</v>
      </c>
      <c r="N1424">
        <v>0.20101533480688588</v>
      </c>
      <c r="O1424">
        <v>0.12398537638016374</v>
      </c>
      <c r="P1424">
        <v>8.3344075171768006E-2</v>
      </c>
      <c r="Q1424">
        <v>0</v>
      </c>
      <c r="R1424">
        <v>1.0767911135474402E-2</v>
      </c>
      <c r="S1424">
        <v>0.28048593076861483</v>
      </c>
      <c r="T1424">
        <v>5.9108250087745278</v>
      </c>
      <c r="U1424">
        <v>0</v>
      </c>
      <c r="V1424">
        <v>1.926117591400768E-2</v>
      </c>
      <c r="W1424">
        <v>0.10575458741232199</v>
      </c>
      <c r="X1424">
        <v>-2.7321404828213095E-3</v>
      </c>
      <c r="Y1424">
        <v>4.4340341439149916E-2</v>
      </c>
    </row>
    <row r="1425" spans="1:25" x14ac:dyDescent="0.25">
      <c r="A1425" s="879"/>
      <c r="B1425" s="1133">
        <v>1175</v>
      </c>
      <c r="C1425" s="883">
        <v>1.0074084634678744</v>
      </c>
      <c r="D1425" s="883">
        <v>0.98821400538177218</v>
      </c>
      <c r="E1425" s="883">
        <v>0.99971808293678932</v>
      </c>
      <c r="F1425" s="883">
        <v>1.0074770590576354</v>
      </c>
      <c r="G1425" s="883">
        <v>0.97568631261493077</v>
      </c>
      <c r="H1425" s="883">
        <v>1.0111220486581198</v>
      </c>
      <c r="I1425" s="883">
        <v>1.0241743617498502</v>
      </c>
      <c r="K1425">
        <v>6.7527621473471688</v>
      </c>
      <c r="L1425">
        <v>0</v>
      </c>
      <c r="M1425">
        <v>1.0516726404429211E-2</v>
      </c>
      <c r="N1425">
        <v>0.1959901700507255</v>
      </c>
      <c r="O1425">
        <v>0.12166675622427933</v>
      </c>
      <c r="P1425">
        <v>8.3228008798496469E-2</v>
      </c>
      <c r="Q1425">
        <v>0</v>
      </c>
      <c r="R1425">
        <v>1.0516726404429211E-2</v>
      </c>
      <c r="S1425">
        <v>0.27567449153146117</v>
      </c>
      <c r="T1425">
        <v>5.9125528383092893</v>
      </c>
      <c r="U1425">
        <v>0</v>
      </c>
      <c r="V1425">
        <v>1.9115002493618062E-2</v>
      </c>
      <c r="W1425">
        <v>0.10317006506918867</v>
      </c>
      <c r="X1425">
        <v>-1.941192555816376E-3</v>
      </c>
      <c r="Y1425">
        <v>4.3306007425921257E-2</v>
      </c>
    </row>
    <row r="1426" spans="1:25" x14ac:dyDescent="0.25">
      <c r="A1426" s="879"/>
      <c r="B1426" s="1133">
        <v>1176</v>
      </c>
      <c r="C1426" s="883">
        <v>1.0201466423917458</v>
      </c>
      <c r="D1426" s="883">
        <v>1.0236203375886253</v>
      </c>
      <c r="E1426" s="883">
        <v>1.0066359748708988</v>
      </c>
      <c r="F1426" s="883">
        <v>1.026552180964486</v>
      </c>
      <c r="G1426" s="883">
        <v>1.0028591182759592</v>
      </c>
      <c r="H1426" s="883">
        <v>1.0225142045873452</v>
      </c>
      <c r="I1426" s="883">
        <v>0.99366113529413813</v>
      </c>
      <c r="K1426">
        <v>6.7349308417173956</v>
      </c>
      <c r="L1426">
        <v>0</v>
      </c>
      <c r="M1426">
        <v>1.0282938632591235E-2</v>
      </c>
      <c r="N1426">
        <v>0.19360692051105541</v>
      </c>
      <c r="O1426">
        <v>0.11834155675699927</v>
      </c>
      <c r="P1426">
        <v>8.3524452948020689E-2</v>
      </c>
      <c r="Q1426">
        <v>0</v>
      </c>
      <c r="R1426">
        <v>1.0282938632591235E-2</v>
      </c>
      <c r="S1426">
        <v>0.26481558856828158</v>
      </c>
      <c r="T1426">
        <v>5.9131935567890244</v>
      </c>
      <c r="U1426">
        <v>0</v>
      </c>
      <c r="V1426">
        <v>1.9047430740576816E-2</v>
      </c>
      <c r="W1426">
        <v>0.10156641869082833</v>
      </c>
      <c r="X1426">
        <v>-1.5083942815552272E-3</v>
      </c>
      <c r="Y1426">
        <v>4.23433109941646E-2</v>
      </c>
    </row>
    <row r="1427" spans="1:25" x14ac:dyDescent="0.25">
      <c r="A1427" s="879"/>
      <c r="B1427" s="1133">
        <v>1177</v>
      </c>
      <c r="C1427" s="883">
        <v>0.98723603336838672</v>
      </c>
      <c r="D1427" s="883">
        <v>0.99297469187809728</v>
      </c>
      <c r="E1427" s="883">
        <v>0.98718195763350869</v>
      </c>
      <c r="F1427" s="883">
        <v>0.98545934734846963</v>
      </c>
      <c r="G1427" s="883">
        <v>0.97480447893438404</v>
      </c>
      <c r="H1427" s="883">
        <v>0.97138536533055531</v>
      </c>
      <c r="I1427" s="883">
        <v>0.98252084108561322</v>
      </c>
      <c r="K1427">
        <v>6.7366150591521237</v>
      </c>
      <c r="L1427">
        <v>0</v>
      </c>
      <c r="M1427">
        <v>1.0401871145013652E-2</v>
      </c>
      <c r="N1427">
        <v>0.19028104782087765</v>
      </c>
      <c r="O1427">
        <v>0.12415223628161258</v>
      </c>
      <c r="P1427">
        <v>8.2306183250161785E-2</v>
      </c>
      <c r="Q1427">
        <v>0</v>
      </c>
      <c r="R1427">
        <v>1.0401871145013652E-2</v>
      </c>
      <c r="S1427">
        <v>0.26605488736359922</v>
      </c>
      <c r="T1427">
        <v>5.9120627315620444</v>
      </c>
      <c r="U1427">
        <v>0</v>
      </c>
      <c r="V1427">
        <v>1.9225577676593761E-2</v>
      </c>
      <c r="W1427">
        <v>0.10079199856266716</v>
      </c>
      <c r="X1427">
        <v>-1.0926572765539014E-3</v>
      </c>
      <c r="Y1427">
        <v>4.2833053911122076E-2</v>
      </c>
    </row>
    <row r="1428" spans="1:25" x14ac:dyDescent="0.25">
      <c r="A1428" s="879"/>
      <c r="B1428" s="1133">
        <v>1178</v>
      </c>
      <c r="C1428" s="883">
        <v>0.9946465209115064</v>
      </c>
      <c r="D1428" s="883">
        <v>1.0011288365823927</v>
      </c>
      <c r="E1428" s="883">
        <v>0.97148786266373999</v>
      </c>
      <c r="F1428" s="883">
        <v>0.97207971721542397</v>
      </c>
      <c r="G1428" s="883">
        <v>1.034042106306847</v>
      </c>
      <c r="H1428" s="883">
        <v>0.97853040262647784</v>
      </c>
      <c r="I1428" s="883">
        <v>1.0074290151782959</v>
      </c>
      <c r="K1428">
        <v>6.7373633763927598</v>
      </c>
      <c r="L1428">
        <v>0</v>
      </c>
      <c r="M1428">
        <v>1.0506682665621209E-2</v>
      </c>
      <c r="N1428">
        <v>0.18777450673413756</v>
      </c>
      <c r="O1428">
        <v>0.12311736363096146</v>
      </c>
      <c r="P1428">
        <v>8.1388724559427028E-2</v>
      </c>
      <c r="Q1428">
        <v>0</v>
      </c>
      <c r="R1428">
        <v>1.0506682665621209E-2</v>
      </c>
      <c r="S1428">
        <v>0.27134804633637249</v>
      </c>
      <c r="T1428">
        <v>5.9122030070768838</v>
      </c>
      <c r="U1428">
        <v>0</v>
      </c>
      <c r="V1428">
        <v>1.9184435898606571E-2</v>
      </c>
      <c r="W1428">
        <v>0.10024918587571342</v>
      </c>
      <c r="X1428">
        <v>-1.1665428165716393E-3</v>
      </c>
      <c r="Y1428">
        <v>4.3264649097228776E-2</v>
      </c>
    </row>
    <row r="1429" spans="1:25" x14ac:dyDescent="0.25">
      <c r="A1429" s="879"/>
      <c r="B1429" s="1133">
        <v>1179</v>
      </c>
      <c r="C1429" s="883">
        <v>1.0141777865738457</v>
      </c>
      <c r="D1429" s="883">
        <v>1.0262066306923203</v>
      </c>
      <c r="E1429" s="883">
        <v>1.01231261347142</v>
      </c>
      <c r="F1429" s="883">
        <v>0.97282782858379624</v>
      </c>
      <c r="G1429" s="883">
        <v>1.0067820532104204</v>
      </c>
      <c r="H1429" s="883">
        <v>1.0135504454408042</v>
      </c>
      <c r="I1429" s="883">
        <v>1.0189388384095679</v>
      </c>
      <c r="K1429">
        <v>6.7395402735822465</v>
      </c>
      <c r="L1429">
        <v>0</v>
      </c>
      <c r="M1429">
        <v>1.0191003834516071E-2</v>
      </c>
      <c r="N1429">
        <v>0.19349528274344976</v>
      </c>
      <c r="O1429">
        <v>0.11881367276362764</v>
      </c>
      <c r="P1429">
        <v>8.3938499531544392E-2</v>
      </c>
      <c r="Q1429">
        <v>0</v>
      </c>
      <c r="R1429">
        <v>1.0191003834516071E-2</v>
      </c>
      <c r="S1429">
        <v>0.27229465435688055</v>
      </c>
      <c r="T1429">
        <v>5.9099685843312448</v>
      </c>
      <c r="U1429">
        <v>0</v>
      </c>
      <c r="V1429">
        <v>1.9078882173076739E-2</v>
      </c>
      <c r="W1429">
        <v>0.10122318669174354</v>
      </c>
      <c r="X1429">
        <v>-1.2372288687941494E-3</v>
      </c>
      <c r="Y1429">
        <v>4.1964739859475131E-2</v>
      </c>
    </row>
    <row r="1430" spans="1:25" x14ac:dyDescent="0.25">
      <c r="A1430" s="879"/>
      <c r="B1430" s="1133">
        <v>1180</v>
      </c>
      <c r="C1430" s="883">
        <v>0.98054994501644177</v>
      </c>
      <c r="D1430" s="883">
        <v>0.99812735754606574</v>
      </c>
      <c r="E1430" s="883">
        <v>1.0245952185265799</v>
      </c>
      <c r="F1430" s="883">
        <v>1.0021860511179046</v>
      </c>
      <c r="G1430" s="883">
        <v>0.99266075437633372</v>
      </c>
      <c r="H1430" s="883">
        <v>1.0106492900754249</v>
      </c>
      <c r="I1430" s="883">
        <v>0.96280060674205792</v>
      </c>
      <c r="K1430">
        <v>6.7550327617137729</v>
      </c>
      <c r="L1430">
        <v>0</v>
      </c>
      <c r="M1430">
        <v>1.0522179147291951E-2</v>
      </c>
      <c r="N1430">
        <v>0.20344683587656695</v>
      </c>
      <c r="O1430">
        <v>0.12402274232024778</v>
      </c>
      <c r="P1430">
        <v>8.4639173433200418E-2</v>
      </c>
      <c r="Q1430">
        <v>0</v>
      </c>
      <c r="R1430">
        <v>1.0522179147291951E-2</v>
      </c>
      <c r="S1430">
        <v>0.26614736265254135</v>
      </c>
      <c r="T1430">
        <v>5.9108520641197293</v>
      </c>
      <c r="U1430">
        <v>0</v>
      </c>
      <c r="V1430">
        <v>1.9263231357173349E-2</v>
      </c>
      <c r="W1430">
        <v>0.10578675055371231</v>
      </c>
      <c r="X1430">
        <v>-2.4538594498806567E-3</v>
      </c>
      <c r="Y1430">
        <v>4.3328460850477965E-2</v>
      </c>
    </row>
    <row r="1431" spans="1:25" x14ac:dyDescent="0.25">
      <c r="A1431" s="879"/>
      <c r="B1431" s="1133">
        <v>1181</v>
      </c>
      <c r="C1431" s="883">
        <v>1.0040685537040432</v>
      </c>
      <c r="D1431" s="883">
        <v>0.99165145004507371</v>
      </c>
      <c r="E1431" s="883">
        <v>1.0330457875427552</v>
      </c>
      <c r="F1431" s="883">
        <v>0.9820860927026559</v>
      </c>
      <c r="G1431" s="883">
        <v>0.99467513903821025</v>
      </c>
      <c r="H1431" s="883">
        <v>1.0237588047685562</v>
      </c>
      <c r="I1431" s="883">
        <v>0.96656910914692673</v>
      </c>
      <c r="K1431">
        <v>6.7452726214198844</v>
      </c>
      <c r="L1431">
        <v>0</v>
      </c>
      <c r="M1431">
        <v>1.0361062039108682E-2</v>
      </c>
      <c r="N1431">
        <v>0.20285000812737569</v>
      </c>
      <c r="O1431">
        <v>0.12127308207883807</v>
      </c>
      <c r="P1431">
        <v>8.5090307273417196E-2</v>
      </c>
      <c r="Q1431">
        <v>0</v>
      </c>
      <c r="R1431">
        <v>1.0361062039108682E-2</v>
      </c>
      <c r="S1431">
        <v>0.26220520187987917</v>
      </c>
      <c r="T1431">
        <v>5.9092780409294834</v>
      </c>
      <c r="U1431">
        <v>0</v>
      </c>
      <c r="V1431">
        <v>1.91330032939049E-2</v>
      </c>
      <c r="W1431">
        <v>0.10503983472145988</v>
      </c>
      <c r="X1431">
        <v>-2.2618661612310237E-3</v>
      </c>
      <c r="Y1431">
        <v>4.266500927675547E-2</v>
      </c>
    </row>
    <row r="1432" spans="1:25" x14ac:dyDescent="0.25">
      <c r="A1432" s="879"/>
      <c r="B1432" s="1133">
        <v>1182</v>
      </c>
      <c r="C1432" s="883">
        <v>1.0198414430671849</v>
      </c>
      <c r="D1432" s="883">
        <v>1.0003494884400643</v>
      </c>
      <c r="E1432" s="883">
        <v>1.0012840324620775</v>
      </c>
      <c r="F1432" s="883">
        <v>0.95821561583907378</v>
      </c>
      <c r="G1432" s="883">
        <v>0.9958274764315892</v>
      </c>
      <c r="H1432" s="883">
        <v>1.0028846583702131</v>
      </c>
      <c r="I1432" s="883">
        <v>1.0063580910302854</v>
      </c>
      <c r="K1432">
        <v>6.7310728663385877</v>
      </c>
      <c r="L1432">
        <v>0</v>
      </c>
      <c r="M1432">
        <v>1.0236132538746133E-2</v>
      </c>
      <c r="N1432">
        <v>0.19120405914028155</v>
      </c>
      <c r="O1432">
        <v>0.11956940175023903</v>
      </c>
      <c r="P1432">
        <v>8.3168230615422972E-2</v>
      </c>
      <c r="Q1432">
        <v>0</v>
      </c>
      <c r="R1432">
        <v>1.0236132538746133E-2</v>
      </c>
      <c r="S1432">
        <v>0.26668531192631917</v>
      </c>
      <c r="T1432">
        <v>5.9098026127272174</v>
      </c>
      <c r="U1432">
        <v>0</v>
      </c>
      <c r="V1432">
        <v>1.904902998317122E-2</v>
      </c>
      <c r="W1432">
        <v>0.10057240587694177</v>
      </c>
      <c r="X1432">
        <v>-1.1287575118936106E-3</v>
      </c>
      <c r="Y1432">
        <v>4.2150571830884602E-2</v>
      </c>
    </row>
    <row r="1433" spans="1:25" x14ac:dyDescent="0.25">
      <c r="A1433" s="879"/>
      <c r="B1433" s="1133">
        <v>1183</v>
      </c>
      <c r="C1433" s="883">
        <v>1.0114740036931644</v>
      </c>
      <c r="D1433" s="883">
        <v>1.0145693648085528</v>
      </c>
      <c r="E1433" s="883">
        <v>0.98805710705619865</v>
      </c>
      <c r="F1433" s="883">
        <v>0.98835244642635312</v>
      </c>
      <c r="G1433" s="883">
        <v>1.0076150453399386</v>
      </c>
      <c r="H1433" s="883">
        <v>1.0217406462589036</v>
      </c>
      <c r="I1433" s="883">
        <v>0.99584110656367553</v>
      </c>
      <c r="K1433">
        <v>6.7391447808574574</v>
      </c>
      <c r="L1433">
        <v>0</v>
      </c>
      <c r="M1433">
        <v>1.0572893252911102E-2</v>
      </c>
      <c r="N1433">
        <v>0.19366070097311558</v>
      </c>
      <c r="O1433">
        <v>0.12012280420739015</v>
      </c>
      <c r="P1433">
        <v>8.2382212331976068E-2</v>
      </c>
      <c r="Q1433">
        <v>0</v>
      </c>
      <c r="R1433">
        <v>1.0572893252911102E-2</v>
      </c>
      <c r="S1433">
        <v>0.26766012766600483</v>
      </c>
      <c r="T1433">
        <v>5.9121705439930201</v>
      </c>
      <c r="U1433">
        <v>0</v>
      </c>
      <c r="V1433">
        <v>1.9093251255489292E-2</v>
      </c>
      <c r="W1433">
        <v>0.10253740156906327</v>
      </c>
      <c r="X1433">
        <v>-2.0195536492460947E-3</v>
      </c>
      <c r="Y1433">
        <v>4.3537292510643338E-2</v>
      </c>
    </row>
    <row r="1434" spans="1:25" x14ac:dyDescent="0.25">
      <c r="A1434" s="879"/>
      <c r="B1434" s="1133">
        <v>1184</v>
      </c>
      <c r="C1434" s="883">
        <v>0.96008430678253998</v>
      </c>
      <c r="D1434" s="883">
        <v>0.98348151440789777</v>
      </c>
      <c r="E1434" s="883">
        <v>0.98146161934053777</v>
      </c>
      <c r="F1434" s="883">
        <v>1.0150473871590651</v>
      </c>
      <c r="G1434" s="883">
        <v>1.0157798164238039</v>
      </c>
      <c r="H1434" s="883">
        <v>0.97165960160395792</v>
      </c>
      <c r="I1434" s="883">
        <v>1.0187559257347427</v>
      </c>
      <c r="K1434">
        <v>6.7699157697907086</v>
      </c>
      <c r="L1434">
        <v>0</v>
      </c>
      <c r="M1434">
        <v>1.0796920432700516E-2</v>
      </c>
      <c r="N1434">
        <v>0.19583901899918402</v>
      </c>
      <c r="O1434">
        <v>0.12826636817155995</v>
      </c>
      <c r="P1434">
        <v>8.2207712427838392E-2</v>
      </c>
      <c r="Q1434">
        <v>0</v>
      </c>
      <c r="R1434">
        <v>1.0796920432700516E-2</v>
      </c>
      <c r="S1434">
        <v>0.28377933284824108</v>
      </c>
      <c r="T1434">
        <v>5.9139786231260834</v>
      </c>
      <c r="U1434">
        <v>0</v>
      </c>
      <c r="V1434">
        <v>1.9381746063132789E-2</v>
      </c>
      <c r="W1434">
        <v>0.10403308357378434</v>
      </c>
      <c r="X1434">
        <v>-2.0299119807757004E-3</v>
      </c>
      <c r="Y1434">
        <v>4.4459796561664641E-2</v>
      </c>
    </row>
    <row r="1435" spans="1:25" x14ac:dyDescent="0.25">
      <c r="A1435" s="879"/>
      <c r="B1435" s="1133">
        <v>1185</v>
      </c>
      <c r="C1435" s="883">
        <v>1.0285799156622564</v>
      </c>
      <c r="D1435" s="883">
        <v>0.98526816792721561</v>
      </c>
      <c r="E1435" s="883">
        <v>0.99562663118982997</v>
      </c>
      <c r="F1435" s="883">
        <v>0.97383651097881285</v>
      </c>
      <c r="G1435" s="883">
        <v>0.97934429373961529</v>
      </c>
      <c r="H1435" s="883">
        <v>1.0063525329478442</v>
      </c>
      <c r="I1435" s="883">
        <v>0.96417746108744617</v>
      </c>
      <c r="K1435">
        <v>6.7183659312976527</v>
      </c>
      <c r="L1435">
        <v>0</v>
      </c>
      <c r="M1435">
        <v>1.0301539933365703E-2</v>
      </c>
      <c r="N1435">
        <v>0.19081959662319845</v>
      </c>
      <c r="O1435">
        <v>0.11937975240963619</v>
      </c>
      <c r="P1435">
        <v>8.2655582977999756E-2</v>
      </c>
      <c r="Q1435">
        <v>0</v>
      </c>
      <c r="R1435">
        <v>1.0301539933365703E-2</v>
      </c>
      <c r="S1435">
        <v>0.25378294876095225</v>
      </c>
      <c r="T1435">
        <v>5.9109641206564518</v>
      </c>
      <c r="U1435">
        <v>0</v>
      </c>
      <c r="V1435">
        <v>1.9003615866292047E-2</v>
      </c>
      <c r="W1435">
        <v>0.10065276135362018</v>
      </c>
      <c r="X1435">
        <v>-1.3123551903482782E-3</v>
      </c>
      <c r="Y1435">
        <v>4.2419907839845755E-2</v>
      </c>
    </row>
    <row r="1436" spans="1:25" x14ac:dyDescent="0.25">
      <c r="A1436" s="879"/>
      <c r="B1436" s="1133">
        <v>1186</v>
      </c>
      <c r="C1436" s="883">
        <v>0.9675836304559523</v>
      </c>
      <c r="D1436" s="883">
        <v>0.99999279885861803</v>
      </c>
      <c r="E1436" s="883">
        <v>0.96865441444135947</v>
      </c>
      <c r="F1436" s="883">
        <v>0.98852385358911588</v>
      </c>
      <c r="G1436" s="883">
        <v>0.98574683190074819</v>
      </c>
      <c r="H1436" s="883">
        <v>0.95974209956852319</v>
      </c>
      <c r="I1436" s="883">
        <v>1.0159029639439823</v>
      </c>
      <c r="K1436">
        <v>6.7527053956328604</v>
      </c>
      <c r="L1436">
        <v>0</v>
      </c>
      <c r="M1436">
        <v>1.0624505378490471E-2</v>
      </c>
      <c r="N1436">
        <v>0.18908307048149633</v>
      </c>
      <c r="O1436">
        <v>0.12667246457794024</v>
      </c>
      <c r="P1436">
        <v>8.1331306190908989E-2</v>
      </c>
      <c r="Q1436">
        <v>0</v>
      </c>
      <c r="R1436">
        <v>1.0624505378490471E-2</v>
      </c>
      <c r="S1436">
        <v>0.2794304567341826</v>
      </c>
      <c r="T1436">
        <v>5.913246553002975</v>
      </c>
      <c r="U1436">
        <v>0</v>
      </c>
      <c r="V1436">
        <v>1.9337736175875458E-2</v>
      </c>
      <c r="W1436">
        <v>0.1010917061072583</v>
      </c>
      <c r="X1436">
        <v>-1.2377196949386153E-3</v>
      </c>
      <c r="Y1436">
        <v>4.3749822057163282E-2</v>
      </c>
    </row>
    <row r="1437" spans="1:25" x14ac:dyDescent="0.25">
      <c r="A1437" s="879"/>
      <c r="B1437" s="1133">
        <v>1187</v>
      </c>
      <c r="C1437" s="883">
        <v>0.97717007957976287</v>
      </c>
      <c r="D1437" s="883">
        <v>1.0044583464322918</v>
      </c>
      <c r="E1437" s="883">
        <v>1.0133987481442392</v>
      </c>
      <c r="F1437" s="883">
        <v>1.0156011886109788</v>
      </c>
      <c r="G1437" s="883">
        <v>1.0295699048547011</v>
      </c>
      <c r="H1437" s="883">
        <v>1.018327608804567</v>
      </c>
      <c r="I1437" s="883">
        <v>0.978561073233565</v>
      </c>
      <c r="K1437">
        <v>6.7635361212807288</v>
      </c>
      <c r="L1437">
        <v>0</v>
      </c>
      <c r="M1437">
        <v>1.071451984897095E-2</v>
      </c>
      <c r="N1437">
        <v>0.20376251098825932</v>
      </c>
      <c r="O1437">
        <v>0.12435362772364082</v>
      </c>
      <c r="P1437">
        <v>8.4036859061749319E-2</v>
      </c>
      <c r="Q1437">
        <v>0</v>
      </c>
      <c r="R1437">
        <v>1.071451984897095E-2</v>
      </c>
      <c r="S1437">
        <v>0.27207787766093661</v>
      </c>
      <c r="T1437">
        <v>5.9122178947178847</v>
      </c>
      <c r="U1437">
        <v>0</v>
      </c>
      <c r="V1437">
        <v>1.9282461635529234E-2</v>
      </c>
      <c r="W1437">
        <v>0.10653710013276983</v>
      </c>
      <c r="X1437">
        <v>-2.8526962646625623E-3</v>
      </c>
      <c r="Y1437">
        <v>4.4120485624623437E-2</v>
      </c>
    </row>
    <row r="1438" spans="1:25" x14ac:dyDescent="0.25">
      <c r="A1438" s="879"/>
      <c r="B1438" s="1133">
        <v>1188</v>
      </c>
      <c r="C1438" s="883">
        <v>0.97407170777738383</v>
      </c>
      <c r="D1438" s="883">
        <v>1.0033359786455909</v>
      </c>
      <c r="E1438" s="883">
        <v>0.97054865876761631</v>
      </c>
      <c r="F1438" s="883">
        <v>1.0187880227280171</v>
      </c>
      <c r="G1438" s="883">
        <v>0.97723316643876357</v>
      </c>
      <c r="H1438" s="883">
        <v>1.0346770061618793</v>
      </c>
      <c r="I1438" s="883">
        <v>1.0169943809974329</v>
      </c>
      <c r="K1438">
        <v>6.7798141590142791</v>
      </c>
      <c r="L1438">
        <v>0</v>
      </c>
      <c r="M1438">
        <v>1.1342779756758929E-2</v>
      </c>
      <c r="N1438">
        <v>0.20243468709209084</v>
      </c>
      <c r="O1438">
        <v>0.12562500099884269</v>
      </c>
      <c r="P1438">
        <v>8.1546201564708445E-2</v>
      </c>
      <c r="Q1438">
        <v>0</v>
      </c>
      <c r="R1438">
        <v>1.1342779756758929E-2</v>
      </c>
      <c r="S1438">
        <v>0.28520488671941546</v>
      </c>
      <c r="T1438">
        <v>5.9147796659251108</v>
      </c>
      <c r="U1438">
        <v>0</v>
      </c>
      <c r="V1438">
        <v>1.9300207554028184E-2</v>
      </c>
      <c r="W1438">
        <v>0.10812699705817051</v>
      </c>
      <c r="X1438">
        <v>-3.911035996884118E-3</v>
      </c>
      <c r="Y1438">
        <v>4.6707548098799449E-2</v>
      </c>
    </row>
    <row r="1439" spans="1:25" x14ac:dyDescent="0.25">
      <c r="A1439" s="879"/>
      <c r="B1439" s="1133">
        <v>1189</v>
      </c>
      <c r="C1439" s="883">
        <v>0.99165591735425695</v>
      </c>
      <c r="D1439" s="883">
        <v>1.000549500741273</v>
      </c>
      <c r="E1439" s="883">
        <v>0.96723691093691455</v>
      </c>
      <c r="F1439" s="883">
        <v>0.96087625261653253</v>
      </c>
      <c r="G1439" s="883">
        <v>1.0028215172547583</v>
      </c>
      <c r="H1439" s="883">
        <v>1.029515112770123</v>
      </c>
      <c r="I1439" s="883">
        <v>0.97382086653717159</v>
      </c>
      <c r="K1439">
        <v>6.7494899993653616</v>
      </c>
      <c r="L1439">
        <v>0</v>
      </c>
      <c r="M1439">
        <v>1.1131322430756842E-2</v>
      </c>
      <c r="N1439">
        <v>0.19768626532253186</v>
      </c>
      <c r="O1439">
        <v>0.12359635763096803</v>
      </c>
      <c r="P1439">
        <v>8.1069513500089257E-2</v>
      </c>
      <c r="Q1439">
        <v>0</v>
      </c>
      <c r="R1439">
        <v>1.1131322430756842E-2</v>
      </c>
      <c r="S1439">
        <v>0.26780249477093143</v>
      </c>
      <c r="T1439">
        <v>5.911828725274165</v>
      </c>
      <c r="U1439">
        <v>0</v>
      </c>
      <c r="V1439">
        <v>1.9200965223305146E-2</v>
      </c>
      <c r="W1439">
        <v>0.10576674616697158</v>
      </c>
      <c r="X1439">
        <v>-3.2978729919258148E-3</v>
      </c>
      <c r="Y1439">
        <v>4.5836804468323784E-2</v>
      </c>
    </row>
    <row r="1440" spans="1:25" x14ac:dyDescent="0.25">
      <c r="A1440" s="879"/>
      <c r="B1440" s="1133">
        <v>1190</v>
      </c>
      <c r="C1440" s="883">
        <v>1.042052273919345</v>
      </c>
      <c r="D1440" s="883">
        <v>0.95914924050636918</v>
      </c>
      <c r="E1440" s="883">
        <v>1.0045823852238971</v>
      </c>
      <c r="F1440" s="883">
        <v>0.98876128943126795</v>
      </c>
      <c r="G1440" s="883">
        <v>0.98376741913705645</v>
      </c>
      <c r="H1440" s="883">
        <v>1.0272772939920976</v>
      </c>
      <c r="I1440" s="883">
        <v>1.0050258153566041</v>
      </c>
      <c r="K1440">
        <v>6.7350582986072203</v>
      </c>
      <c r="L1440">
        <v>0</v>
      </c>
      <c r="M1440">
        <v>1.0418221959070518E-2</v>
      </c>
      <c r="N1440">
        <v>0.19555841548445818</v>
      </c>
      <c r="O1440">
        <v>0.1189457628433679</v>
      </c>
      <c r="P1440">
        <v>8.3348546469572432E-2</v>
      </c>
      <c r="Q1440">
        <v>0</v>
      </c>
      <c r="R1440">
        <v>1.0418221959070518E-2</v>
      </c>
      <c r="S1440">
        <v>0.26335218198152471</v>
      </c>
      <c r="T1440">
        <v>5.9112674791434916</v>
      </c>
      <c r="U1440">
        <v>0</v>
      </c>
      <c r="V1440">
        <v>1.893509195905041E-2</v>
      </c>
      <c r="W1440">
        <v>0.10269461876358531</v>
      </c>
      <c r="X1440">
        <v>-1.9441816909080375E-3</v>
      </c>
      <c r="Y1440">
        <v>4.2900383653071826E-2</v>
      </c>
    </row>
    <row r="1441" spans="1:25" x14ac:dyDescent="0.25">
      <c r="A1441" s="879"/>
      <c r="B1441" s="1133">
        <v>1191</v>
      </c>
      <c r="C1441" s="883">
        <v>0.97130551843249668</v>
      </c>
      <c r="D1441" s="883">
        <v>1.0039333359321541</v>
      </c>
      <c r="E1441" s="883">
        <v>1.0259845929987947</v>
      </c>
      <c r="F1441" s="883">
        <v>1.0106440532170862</v>
      </c>
      <c r="G1441" s="883">
        <v>0.96265700573371915</v>
      </c>
      <c r="H1441" s="883">
        <v>0.9952193857954531</v>
      </c>
      <c r="I1441" s="883">
        <v>1.0297980270134137</v>
      </c>
      <c r="K1441">
        <v>6.7740125131901339</v>
      </c>
      <c r="L1441">
        <v>0</v>
      </c>
      <c r="M1441">
        <v>1.0421506607157028E-2</v>
      </c>
      <c r="N1441">
        <v>0.20191473222313738</v>
      </c>
      <c r="O1441">
        <v>0.12488591277297292</v>
      </c>
      <c r="P1441">
        <v>8.5000130158761983E-2</v>
      </c>
      <c r="Q1441">
        <v>0</v>
      </c>
      <c r="R1441">
        <v>1.0421506607157028E-2</v>
      </c>
      <c r="S1441">
        <v>0.28577556072390081</v>
      </c>
      <c r="T1441">
        <v>5.9112289494452011</v>
      </c>
      <c r="U1441">
        <v>0</v>
      </c>
      <c r="V1441">
        <v>1.9316146557295095E-2</v>
      </c>
      <c r="W1441">
        <v>0.10491842350814377</v>
      </c>
      <c r="X1441">
        <v>-1.9412514485263931E-3</v>
      </c>
      <c r="Y1441">
        <v>4.2913909249246505E-2</v>
      </c>
    </row>
    <row r="1442" spans="1:25" x14ac:dyDescent="0.25">
      <c r="A1442" s="879"/>
      <c r="B1442" s="1133">
        <v>1192</v>
      </c>
      <c r="C1442" s="883">
        <v>1.0034831871568277</v>
      </c>
      <c r="D1442" s="883">
        <v>0.99815418772307896</v>
      </c>
      <c r="E1442" s="883">
        <v>0.99522017916361749</v>
      </c>
      <c r="F1442" s="883">
        <v>0.98175033563790381</v>
      </c>
      <c r="G1442" s="883">
        <v>0.99576346457797338</v>
      </c>
      <c r="H1442" s="883">
        <v>0.96851124253702725</v>
      </c>
      <c r="I1442" s="883">
        <v>1.016562727627472</v>
      </c>
      <c r="K1442">
        <v>6.732827171828359</v>
      </c>
      <c r="L1442">
        <v>0</v>
      </c>
      <c r="M1442">
        <v>1.0109295865565821E-2</v>
      </c>
      <c r="N1442">
        <v>0.18714581964638002</v>
      </c>
      <c r="O1442">
        <v>0.12173862057183335</v>
      </c>
      <c r="P1442">
        <v>8.2861142790155246E-2</v>
      </c>
      <c r="Q1442">
        <v>0</v>
      </c>
      <c r="R1442">
        <v>1.0109295865565821E-2</v>
      </c>
      <c r="S1442">
        <v>0.27050803302696491</v>
      </c>
      <c r="T1442">
        <v>5.9114145672059717</v>
      </c>
      <c r="U1442">
        <v>0</v>
      </c>
      <c r="V1442">
        <v>1.9136170530264E-2</v>
      </c>
      <c r="W1442">
        <v>9.8734897792380719E-2</v>
      </c>
      <c r="X1442">
        <v>-3.4036072240542921E-4</v>
      </c>
      <c r="Y1442">
        <v>4.1628280986814301E-2</v>
      </c>
    </row>
    <row r="1443" spans="1:25" x14ac:dyDescent="0.25">
      <c r="A1443" s="879"/>
      <c r="B1443" s="1133">
        <v>1193</v>
      </c>
      <c r="C1443" s="883">
        <v>0.9681481900770299</v>
      </c>
      <c r="D1443" s="883">
        <v>0.99860303367192282</v>
      </c>
      <c r="E1443" s="883">
        <v>0.97568592154090161</v>
      </c>
      <c r="F1443" s="883">
        <v>1.0071345405140932</v>
      </c>
      <c r="G1443" s="883">
        <v>0.97552408529519341</v>
      </c>
      <c r="H1443" s="883">
        <v>0.97809599937493341</v>
      </c>
      <c r="I1443" s="883">
        <v>1.0276722240382028</v>
      </c>
      <c r="K1443">
        <v>6.7650258500071603</v>
      </c>
      <c r="L1443">
        <v>0</v>
      </c>
      <c r="M1443">
        <v>1.0761716532580711E-2</v>
      </c>
      <c r="N1443">
        <v>0.193534718737049</v>
      </c>
      <c r="O1443">
        <v>0.12653472390085471</v>
      </c>
      <c r="P1443">
        <v>8.1848499789590898E-2</v>
      </c>
      <c r="Q1443">
        <v>0</v>
      </c>
      <c r="R1443">
        <v>1.0761716532580711E-2</v>
      </c>
      <c r="S1443">
        <v>0.28436516568496067</v>
      </c>
      <c r="T1443">
        <v>5.9138685749752513</v>
      </c>
      <c r="U1443">
        <v>0</v>
      </c>
      <c r="V1443">
        <v>1.9334450645371655E-2</v>
      </c>
      <c r="W1443">
        <v>0.10310692199860345</v>
      </c>
      <c r="X1443">
        <v>-1.8820388915538613E-3</v>
      </c>
      <c r="Y1443">
        <v>4.4314833167031914E-2</v>
      </c>
    </row>
    <row r="1444" spans="1:25" x14ac:dyDescent="0.25">
      <c r="A1444" s="879"/>
      <c r="B1444" s="1133">
        <v>1194</v>
      </c>
      <c r="C1444" s="883">
        <v>0.98945895535356543</v>
      </c>
      <c r="D1444" s="883">
        <v>1.0027342808881592</v>
      </c>
      <c r="E1444" s="883">
        <v>1.0333527264619398</v>
      </c>
      <c r="F1444" s="883">
        <v>0.97071534710403207</v>
      </c>
      <c r="G1444" s="883">
        <v>0.96572357756797123</v>
      </c>
      <c r="H1444" s="883">
        <v>0.98405691786097094</v>
      </c>
      <c r="I1444" s="883">
        <v>0.95437934885602549</v>
      </c>
      <c r="K1444">
        <v>6.7337633719109435</v>
      </c>
      <c r="L1444">
        <v>0</v>
      </c>
      <c r="M1444">
        <v>1.0055598815281602E-2</v>
      </c>
      <c r="N1444">
        <v>0.19695893770269476</v>
      </c>
      <c r="O1444">
        <v>0.12251192514127866</v>
      </c>
      <c r="P1444">
        <v>8.5057844042028125E-2</v>
      </c>
      <c r="Q1444">
        <v>0</v>
      </c>
      <c r="R1444">
        <v>1.0055598815281602E-2</v>
      </c>
      <c r="S1444">
        <v>0.25899680812111558</v>
      </c>
      <c r="T1444">
        <v>5.9086460535954153</v>
      </c>
      <c r="U1444">
        <v>0</v>
      </c>
      <c r="V1444">
        <v>1.921317168506791E-2</v>
      </c>
      <c r="W1444">
        <v>0.10197398301244007</v>
      </c>
      <c r="X1444">
        <v>-1.002517480560455E-3</v>
      </c>
      <c r="Y1444">
        <v>4.1407166091462541E-2</v>
      </c>
    </row>
    <row r="1445" spans="1:25" x14ac:dyDescent="0.25">
      <c r="A1445" s="879"/>
      <c r="B1445" s="1133">
        <v>1195</v>
      </c>
      <c r="C1445" s="883">
        <v>1.0042269377183728</v>
      </c>
      <c r="D1445" s="883">
        <v>0.99578128611313654</v>
      </c>
      <c r="E1445" s="883">
        <v>0.96684394362113524</v>
      </c>
      <c r="F1445" s="883">
        <v>1.0474315801319762</v>
      </c>
      <c r="G1445" s="883">
        <v>1.0098315325709224</v>
      </c>
      <c r="H1445" s="883">
        <v>1.0075144955786031</v>
      </c>
      <c r="I1445" s="883">
        <v>0.97635197101668014</v>
      </c>
      <c r="K1445">
        <v>6.7382408740674746</v>
      </c>
      <c r="L1445">
        <v>0</v>
      </c>
      <c r="M1445">
        <v>1.0782803238945997E-2</v>
      </c>
      <c r="N1445">
        <v>0.19138502835565221</v>
      </c>
      <c r="O1445">
        <v>0.12228982571301497</v>
      </c>
      <c r="P1445">
        <v>8.1044636245506646E-2</v>
      </c>
      <c r="Q1445">
        <v>0</v>
      </c>
      <c r="R1445">
        <v>1.0782803238945997E-2</v>
      </c>
      <c r="S1445">
        <v>0.26316947873843194</v>
      </c>
      <c r="T1445">
        <v>5.9165302179384387</v>
      </c>
      <c r="U1445">
        <v>0</v>
      </c>
      <c r="V1445">
        <v>1.9132146961941709E-2</v>
      </c>
      <c r="W1445">
        <v>0.1024156945906524</v>
      </c>
      <c r="X1445">
        <v>-2.1278189467134573E-3</v>
      </c>
      <c r="Y1445">
        <v>4.4401664470550342E-2</v>
      </c>
    </row>
    <row r="1446" spans="1:25" x14ac:dyDescent="0.25">
      <c r="A1446" s="879"/>
      <c r="B1446" s="1133">
        <v>1196</v>
      </c>
      <c r="C1446" s="883">
        <v>1.0125130162294451</v>
      </c>
      <c r="D1446" s="883">
        <v>0.99942901706219611</v>
      </c>
      <c r="E1446" s="883">
        <v>1.0004306105988208</v>
      </c>
      <c r="F1446" s="883">
        <v>1.0077537562616417</v>
      </c>
      <c r="G1446" s="883">
        <v>0.98760102219870993</v>
      </c>
      <c r="H1446" s="883">
        <v>0.99006846013648819</v>
      </c>
      <c r="I1446" s="883">
        <v>1.0006615304775206</v>
      </c>
      <c r="K1446">
        <v>6.7323981663100723</v>
      </c>
      <c r="L1446">
        <v>0</v>
      </c>
      <c r="M1446">
        <v>1.0190071396046678E-2</v>
      </c>
      <c r="N1446">
        <v>0.19010317840229235</v>
      </c>
      <c r="O1446">
        <v>0.12049498916743812</v>
      </c>
      <c r="P1446">
        <v>8.3141238694360201E-2</v>
      </c>
      <c r="Q1446">
        <v>0</v>
      </c>
      <c r="R1446">
        <v>1.0190071396046678E-2</v>
      </c>
      <c r="S1446">
        <v>0.2659085058674861</v>
      </c>
      <c r="T1446">
        <v>5.912527740560102</v>
      </c>
      <c r="U1446">
        <v>0</v>
      </c>
      <c r="V1446">
        <v>1.9087720410480444E-2</v>
      </c>
      <c r="W1446">
        <v>0.1000357230867555</v>
      </c>
      <c r="X1446">
        <v>-8.6183012267471181E-4</v>
      </c>
      <c r="Y1446">
        <v>4.1960900243826017E-2</v>
      </c>
    </row>
    <row r="1447" spans="1:25" x14ac:dyDescent="0.25">
      <c r="A1447" s="879"/>
      <c r="B1447" s="1133">
        <v>1197</v>
      </c>
      <c r="C1447" s="883">
        <v>0.9895621216060646</v>
      </c>
      <c r="D1447" s="883">
        <v>1.0187031302831759</v>
      </c>
      <c r="E1447" s="883">
        <v>1.0049652705597896</v>
      </c>
      <c r="F1447" s="883">
        <v>0.99916815402874404</v>
      </c>
      <c r="G1447" s="883">
        <v>0.96267302859673631</v>
      </c>
      <c r="H1447" s="883">
        <v>1.0429969776215051</v>
      </c>
      <c r="I1447" s="883">
        <v>1.0090093281770403</v>
      </c>
      <c r="K1447">
        <v>6.7683177464044588</v>
      </c>
      <c r="L1447">
        <v>0</v>
      </c>
      <c r="M1447">
        <v>1.0851249341572698E-2</v>
      </c>
      <c r="N1447">
        <v>0.20380221879577712</v>
      </c>
      <c r="O1447">
        <v>0.12226585849303068</v>
      </c>
      <c r="P1447">
        <v>8.3596923593983768E-2</v>
      </c>
      <c r="Q1447">
        <v>0</v>
      </c>
      <c r="R1447">
        <v>1.0851249341572698E-2</v>
      </c>
      <c r="S1447">
        <v>0.27921821530723206</v>
      </c>
      <c r="T1447">
        <v>5.9118082342896106</v>
      </c>
      <c r="U1447">
        <v>0</v>
      </c>
      <c r="V1447">
        <v>1.9212597273933717E-2</v>
      </c>
      <c r="W1447">
        <v>0.10700342114536593</v>
      </c>
      <c r="X1447">
        <v>-3.2732358326918978E-3</v>
      </c>
      <c r="Y1447">
        <v>4.4683513338214999E-2</v>
      </c>
    </row>
    <row r="1448" spans="1:25" x14ac:dyDescent="0.25">
      <c r="A1448" s="879"/>
      <c r="B1448" s="1133">
        <v>1198</v>
      </c>
      <c r="C1448" s="883">
        <v>0.97853927875814439</v>
      </c>
      <c r="D1448" s="883">
        <v>0.98806485567882418</v>
      </c>
      <c r="E1448" s="883">
        <v>0.98722291724944577</v>
      </c>
      <c r="F1448" s="883">
        <v>1.0221739848816918</v>
      </c>
      <c r="G1448" s="883">
        <v>0.97113234603759435</v>
      </c>
      <c r="H1448" s="883">
        <v>0.98926657598744905</v>
      </c>
      <c r="I1448" s="883">
        <v>1.0195439066437699</v>
      </c>
      <c r="K1448">
        <v>6.7634438128480134</v>
      </c>
      <c r="L1448">
        <v>0</v>
      </c>
      <c r="M1448">
        <v>1.0709836672488206E-2</v>
      </c>
      <c r="N1448">
        <v>0.19592654985528266</v>
      </c>
      <c r="O1448">
        <v>0.12550344978273353</v>
      </c>
      <c r="P1448">
        <v>8.2525294636770261E-2</v>
      </c>
      <c r="Q1448">
        <v>0</v>
      </c>
      <c r="R1448">
        <v>1.0709836672488206E-2</v>
      </c>
      <c r="S1448">
        <v>0.28034617861857625</v>
      </c>
      <c r="T1448">
        <v>5.9140450191493708</v>
      </c>
      <c r="U1448">
        <v>0</v>
      </c>
      <c r="V1448">
        <v>1.9274655353328118E-2</v>
      </c>
      <c r="W1448">
        <v>0.10378030259130101</v>
      </c>
      <c r="X1448">
        <v>-2.0588382767979907E-3</v>
      </c>
      <c r="Y1448">
        <v>4.4101201137441828E-2</v>
      </c>
    </row>
    <row r="1449" spans="1:25" x14ac:dyDescent="0.25">
      <c r="A1449" s="879"/>
      <c r="B1449" s="1133">
        <v>1199</v>
      </c>
      <c r="C1449" s="883">
        <v>1.0210080911997443</v>
      </c>
      <c r="D1449" s="883">
        <v>1.0178737276455248</v>
      </c>
      <c r="E1449" s="883">
        <v>1.0249140939324941</v>
      </c>
      <c r="F1449" s="883">
        <v>1.0154360737376196</v>
      </c>
      <c r="G1449" s="883">
        <v>0.98664430765624744</v>
      </c>
      <c r="H1449" s="883">
        <v>1.0235902727126986</v>
      </c>
      <c r="I1449" s="883">
        <v>0.96706927710258328</v>
      </c>
      <c r="K1449">
        <v>6.7296339628761661</v>
      </c>
      <c r="L1449">
        <v>0</v>
      </c>
      <c r="M1449">
        <v>1.0146297671366209E-2</v>
      </c>
      <c r="N1449">
        <v>0.19627167839179097</v>
      </c>
      <c r="O1449">
        <v>0.1181726778076668</v>
      </c>
      <c r="P1449">
        <v>8.4550215389946545E-2</v>
      </c>
      <c r="Q1449">
        <v>0</v>
      </c>
      <c r="R1449">
        <v>1.0146297671366209E-2</v>
      </c>
      <c r="S1449">
        <v>0.25769195447990928</v>
      </c>
      <c r="T1449">
        <v>5.9115494930495265</v>
      </c>
      <c r="U1449">
        <v>0</v>
      </c>
      <c r="V1449">
        <v>1.9042921911967461E-2</v>
      </c>
      <c r="W1449">
        <v>0.1020398681374122</v>
      </c>
      <c r="X1449">
        <v>-1.465494129080854E-3</v>
      </c>
      <c r="Y1449">
        <v>4.1780647837024384E-2</v>
      </c>
    </row>
    <row r="1450" spans="1:25" x14ac:dyDescent="0.25">
      <c r="A1450" s="879"/>
      <c r="B1450" s="1133">
        <v>1200</v>
      </c>
      <c r="C1450" s="883">
        <v>0.96651254790291052</v>
      </c>
      <c r="D1450" s="883">
        <v>1.0407696995725519</v>
      </c>
      <c r="E1450" s="883">
        <v>1.0148421230161255</v>
      </c>
      <c r="F1450" s="883">
        <v>1.0177099246476433</v>
      </c>
      <c r="G1450" s="883">
        <v>0.97118159073321397</v>
      </c>
      <c r="H1450" s="883">
        <v>0.97591265611269284</v>
      </c>
      <c r="I1450" s="883">
        <v>1.0449307455187724</v>
      </c>
      <c r="K1450">
        <v>6.766411977541396</v>
      </c>
      <c r="L1450">
        <v>0</v>
      </c>
      <c r="M1450">
        <v>1.0211983052240133E-2</v>
      </c>
      <c r="N1450">
        <v>0.19462084393510326</v>
      </c>
      <c r="O1450">
        <v>0.1239238433924274</v>
      </c>
      <c r="P1450">
        <v>8.435928231000496E-2</v>
      </c>
      <c r="Q1450">
        <v>0</v>
      </c>
      <c r="R1450">
        <v>1.0211983052240133E-2</v>
      </c>
      <c r="S1450">
        <v>0.28909803160144698</v>
      </c>
      <c r="T1450">
        <v>5.9122495670462962</v>
      </c>
      <c r="U1450">
        <v>0</v>
      </c>
      <c r="V1450">
        <v>1.93439800332918E-2</v>
      </c>
      <c r="W1450">
        <v>0.10168488803947705</v>
      </c>
      <c r="X1450">
        <v>-9.1958736055381405E-4</v>
      </c>
      <c r="Y1450">
        <v>4.2051128543901244E-2</v>
      </c>
    </row>
    <row r="1451" spans="1:25" x14ac:dyDescent="0.25">
      <c r="A1451" s="879"/>
      <c r="B1451" s="1133">
        <v>1201</v>
      </c>
      <c r="C1451" s="883">
        <v>0.96330472689388824</v>
      </c>
      <c r="D1451" s="883">
        <v>1.0052921377913497</v>
      </c>
      <c r="E1451" s="883">
        <v>0.98427067786832578</v>
      </c>
      <c r="F1451" s="883">
        <v>0.98837504399357445</v>
      </c>
      <c r="G1451" s="883">
        <v>0.97748053725592443</v>
      </c>
      <c r="H1451" s="883">
        <v>1.00873358210038</v>
      </c>
      <c r="I1451" s="883">
        <v>1.0035076187435545</v>
      </c>
      <c r="K1451">
        <v>6.7728721869618731</v>
      </c>
      <c r="L1451">
        <v>0</v>
      </c>
      <c r="M1451">
        <v>1.1039849245918793E-2</v>
      </c>
      <c r="N1451">
        <v>0.20108149706817907</v>
      </c>
      <c r="O1451">
        <v>0.12666676361658288</v>
      </c>
      <c r="P1451">
        <v>8.2340521311654299E-2</v>
      </c>
      <c r="Q1451">
        <v>0</v>
      </c>
      <c r="R1451">
        <v>1.1039849245918793E-2</v>
      </c>
      <c r="S1451">
        <v>0.28202840402248464</v>
      </c>
      <c r="T1451">
        <v>5.912381601211627</v>
      </c>
      <c r="U1451">
        <v>0</v>
      </c>
      <c r="V1451">
        <v>1.9362763034235793E-2</v>
      </c>
      <c r="W1451">
        <v>0.10666801815305657</v>
      </c>
      <c r="X1451">
        <v>-3.1175156307294942E-3</v>
      </c>
      <c r="Y1451">
        <v>4.5460134174780648E-2</v>
      </c>
    </row>
    <row r="1452" spans="1:25" x14ac:dyDescent="0.25">
      <c r="A1452" s="879"/>
      <c r="B1452" s="1133">
        <v>1202</v>
      </c>
      <c r="C1452" s="883">
        <v>0.99261292252304645</v>
      </c>
      <c r="D1452" s="883">
        <v>0.98326316689576698</v>
      </c>
      <c r="E1452" s="883">
        <v>1.0290727260025538</v>
      </c>
      <c r="F1452" s="883">
        <v>0.98136897894696329</v>
      </c>
      <c r="G1452" s="883">
        <v>1.0160142630887674</v>
      </c>
      <c r="H1452" s="883">
        <v>0.98333538433244483</v>
      </c>
      <c r="I1452" s="883">
        <v>0.9719469337179576</v>
      </c>
      <c r="K1452">
        <v>6.7400355103519951</v>
      </c>
      <c r="L1452">
        <v>0</v>
      </c>
      <c r="M1452">
        <v>1.0138764532933669E-2</v>
      </c>
      <c r="N1452">
        <v>0.19733557938553259</v>
      </c>
      <c r="O1452">
        <v>0.12316684711730941</v>
      </c>
      <c r="P1452">
        <v>8.4856901762729822E-2</v>
      </c>
      <c r="Q1452">
        <v>0</v>
      </c>
      <c r="R1452">
        <v>1.0138764532933669E-2</v>
      </c>
      <c r="S1452">
        <v>0.26303534403486256</v>
      </c>
      <c r="T1452">
        <v>5.9094693127931128</v>
      </c>
      <c r="U1452">
        <v>0</v>
      </c>
      <c r="V1452">
        <v>1.9195664936239022E-2</v>
      </c>
      <c r="W1452">
        <v>0.10238363055545696</v>
      </c>
      <c r="X1452">
        <v>-1.157397947053268E-3</v>
      </c>
      <c r="Y1452">
        <v>4.1749627713807844E-2</v>
      </c>
    </row>
    <row r="1453" spans="1:25" x14ac:dyDescent="0.25">
      <c r="A1453" s="879"/>
      <c r="B1453" s="1133">
        <v>1203</v>
      </c>
      <c r="C1453" s="883">
        <v>0.98895872626741321</v>
      </c>
      <c r="D1453" s="883">
        <v>0.96912813418421995</v>
      </c>
      <c r="E1453" s="883">
        <v>1.0187985808374567</v>
      </c>
      <c r="F1453" s="883">
        <v>1.0465435023435683</v>
      </c>
      <c r="G1453" s="883">
        <v>0.98878289770266869</v>
      </c>
      <c r="H1453" s="883">
        <v>1.0053846088821501</v>
      </c>
      <c r="I1453" s="883">
        <v>1.0095863133522678</v>
      </c>
      <c r="K1453">
        <v>6.7675381379919317</v>
      </c>
      <c r="L1453">
        <v>0</v>
      </c>
      <c r="M1453">
        <v>1.0563826698508931E-2</v>
      </c>
      <c r="N1453">
        <v>0.20250835610021592</v>
      </c>
      <c r="O1453">
        <v>0.12453941583459328</v>
      </c>
      <c r="P1453">
        <v>8.4453445547072598E-2</v>
      </c>
      <c r="Q1453">
        <v>0</v>
      </c>
      <c r="R1453">
        <v>1.0563826698508931E-2</v>
      </c>
      <c r="S1453">
        <v>0.27651146658361458</v>
      </c>
      <c r="T1453">
        <v>5.9135812620788624</v>
      </c>
      <c r="U1453">
        <v>0</v>
      </c>
      <c r="V1453">
        <v>1.9215958569958613E-2</v>
      </c>
      <c r="W1453">
        <v>0.10559965628838411</v>
      </c>
      <c r="X1453">
        <v>-2.3713810641760764E-3</v>
      </c>
      <c r="Y1453">
        <v>4.349995805340174E-2</v>
      </c>
    </row>
    <row r="1454" spans="1:25" x14ac:dyDescent="0.25">
      <c r="A1454" s="879"/>
      <c r="B1454" s="1133">
        <v>1204</v>
      </c>
      <c r="C1454" s="883">
        <v>1.0020808237626426</v>
      </c>
      <c r="D1454" s="883">
        <v>0.98709925389471187</v>
      </c>
      <c r="E1454" s="883">
        <v>0.98650741339318737</v>
      </c>
      <c r="F1454" s="883">
        <v>0.99888390562953078</v>
      </c>
      <c r="G1454" s="883">
        <v>0.98285310284497029</v>
      </c>
      <c r="H1454" s="883">
        <v>0.9943670600822514</v>
      </c>
      <c r="I1454" s="883">
        <v>1.0101735851709317</v>
      </c>
      <c r="K1454">
        <v>6.744609954940751</v>
      </c>
      <c r="L1454">
        <v>0</v>
      </c>
      <c r="M1454">
        <v>1.052312611875174E-2</v>
      </c>
      <c r="N1454">
        <v>0.19230670006315437</v>
      </c>
      <c r="O1454">
        <v>0.1226163443288265</v>
      </c>
      <c r="P1454">
        <v>8.2348161744856652E-2</v>
      </c>
      <c r="Q1454">
        <v>0</v>
      </c>
      <c r="R1454">
        <v>1.052312611875174E-2</v>
      </c>
      <c r="S1454">
        <v>0.27173993378543188</v>
      </c>
      <c r="T1454">
        <v>5.9128257918594525</v>
      </c>
      <c r="U1454">
        <v>0</v>
      </c>
      <c r="V1454">
        <v>1.9143773333589163E-2</v>
      </c>
      <c r="W1454">
        <v>0.10189930256174334</v>
      </c>
      <c r="X1454">
        <v>-1.6024130466972127E-3</v>
      </c>
      <c r="Y1454">
        <v>4.3332360310394752E-2</v>
      </c>
    </row>
    <row r="1455" spans="1:25" x14ac:dyDescent="0.25">
      <c r="A1455" s="879"/>
      <c r="B1455" s="1133">
        <v>1205</v>
      </c>
      <c r="C1455" s="883">
        <v>1.0311877503434166</v>
      </c>
      <c r="D1455" s="883">
        <v>1.0022439853166389</v>
      </c>
      <c r="E1455" s="883">
        <v>0.99385271450333146</v>
      </c>
      <c r="F1455" s="883">
        <v>0.99254802012744814</v>
      </c>
      <c r="G1455" s="883">
        <v>0.98644563082075165</v>
      </c>
      <c r="H1455" s="883">
        <v>0.99343590091053302</v>
      </c>
      <c r="I1455" s="883">
        <v>1.0255531822070607</v>
      </c>
      <c r="K1455">
        <v>6.7257212353904468</v>
      </c>
      <c r="L1455">
        <v>0</v>
      </c>
      <c r="M1455">
        <v>1.0085241991169697E-2</v>
      </c>
      <c r="N1455">
        <v>0.18632252666751209</v>
      </c>
      <c r="O1455">
        <v>0.11829906641809661</v>
      </c>
      <c r="P1455">
        <v>8.2746755468161293E-2</v>
      </c>
      <c r="Q1455">
        <v>0</v>
      </c>
      <c r="R1455">
        <v>1.0085241991169697E-2</v>
      </c>
      <c r="S1455">
        <v>0.26786502491119912</v>
      </c>
      <c r="T1455">
        <v>5.9120745736693179</v>
      </c>
      <c r="U1455">
        <v>0</v>
      </c>
      <c r="V1455">
        <v>1.8990211993041881E-2</v>
      </c>
      <c r="W1455">
        <v>9.8367473400343547E-2</v>
      </c>
      <c r="X1455">
        <v>-4.7362855071344606E-4</v>
      </c>
      <c r="Y1455">
        <v>4.1529231413481103E-2</v>
      </c>
    </row>
    <row r="1456" spans="1:25" x14ac:dyDescent="0.25">
      <c r="A1456" s="879"/>
      <c r="B1456" s="1133">
        <v>1206</v>
      </c>
      <c r="C1456" s="883">
        <v>0.98431878336206802</v>
      </c>
      <c r="D1456" s="883">
        <v>0.97981285522334272</v>
      </c>
      <c r="E1456" s="883">
        <v>1.0183011103103627</v>
      </c>
      <c r="F1456" s="883">
        <v>0.98702879164742574</v>
      </c>
      <c r="G1456" s="883">
        <v>0.96439291918272929</v>
      </c>
      <c r="H1456" s="883">
        <v>0.99129781237476289</v>
      </c>
      <c r="I1456" s="883">
        <v>0.95689817225545859</v>
      </c>
      <c r="K1456">
        <v>6.745048674311291</v>
      </c>
      <c r="L1456">
        <v>0</v>
      </c>
      <c r="M1456">
        <v>1.0420368284483792E-2</v>
      </c>
      <c r="N1456">
        <v>0.19961129662876106</v>
      </c>
      <c r="O1456">
        <v>0.12458851870221498</v>
      </c>
      <c r="P1456">
        <v>8.4180826482763524E-2</v>
      </c>
      <c r="Q1456">
        <v>0</v>
      </c>
      <c r="R1456">
        <v>1.0420368284483792E-2</v>
      </c>
      <c r="S1456">
        <v>0.26189662262772501</v>
      </c>
      <c r="T1456">
        <v>5.9103943442779787</v>
      </c>
      <c r="U1456">
        <v>0</v>
      </c>
      <c r="V1456">
        <v>1.9241943690633263E-2</v>
      </c>
      <c r="W1456">
        <v>0.10411448598103462</v>
      </c>
      <c r="X1456">
        <v>-1.8885859189136274E-3</v>
      </c>
      <c r="Y1456">
        <v>4.2909221839092009E-2</v>
      </c>
    </row>
    <row r="1457" spans="1:25" x14ac:dyDescent="0.25">
      <c r="A1457" s="879"/>
      <c r="B1457" s="1133">
        <v>1207</v>
      </c>
      <c r="C1457" s="883">
        <v>1.0129118826078369</v>
      </c>
      <c r="D1457" s="883">
        <v>1.0411650146931715</v>
      </c>
      <c r="E1457" s="883">
        <v>1.0001314501380179</v>
      </c>
      <c r="F1457" s="883">
        <v>1.0070178476084424</v>
      </c>
      <c r="G1457" s="883">
        <v>0.98850477915865309</v>
      </c>
      <c r="H1457" s="883">
        <v>1.0289058147272938</v>
      </c>
      <c r="I1457" s="883">
        <v>0.98153089300560015</v>
      </c>
      <c r="K1457">
        <v>6.7341963532493958</v>
      </c>
      <c r="L1457">
        <v>0</v>
      </c>
      <c r="M1457">
        <v>1.0404604953672059E-2</v>
      </c>
      <c r="N1457">
        <v>0.19401945081955774</v>
      </c>
      <c r="O1457">
        <v>0.11849795219527121</v>
      </c>
      <c r="P1457">
        <v>8.3094514264408406E-2</v>
      </c>
      <c r="Q1457">
        <v>0</v>
      </c>
      <c r="R1457">
        <v>1.0404604953672059E-2</v>
      </c>
      <c r="S1457">
        <v>0.26384849517134346</v>
      </c>
      <c r="T1457">
        <v>5.9125047894447507</v>
      </c>
      <c r="U1457">
        <v>0</v>
      </c>
      <c r="V1457">
        <v>1.9085600189195754E-2</v>
      </c>
      <c r="W1457">
        <v>0.10211170449937966</v>
      </c>
      <c r="X1457">
        <v>-1.8104645830887805E-3</v>
      </c>
      <c r="Y1457">
        <v>4.2844311248577592E-2</v>
      </c>
    </row>
    <row r="1458" spans="1:25" x14ac:dyDescent="0.25">
      <c r="A1458" s="879"/>
      <c r="B1458" s="1133">
        <v>1208</v>
      </c>
      <c r="C1458" s="883">
        <v>1.0375317308834946</v>
      </c>
      <c r="D1458" s="883">
        <v>0.9888773888671043</v>
      </c>
      <c r="E1458" s="883">
        <v>1.024959120471723</v>
      </c>
      <c r="F1458" s="883">
        <v>0.99124048752602378</v>
      </c>
      <c r="G1458" s="883">
        <v>1.0131737868410797</v>
      </c>
      <c r="H1458" s="883">
        <v>1.007086395045933</v>
      </c>
      <c r="I1458" s="883">
        <v>0.97316685139443393</v>
      </c>
      <c r="K1458">
        <v>6.7179714981550287</v>
      </c>
      <c r="L1458">
        <v>0</v>
      </c>
      <c r="M1458">
        <v>9.9456730594985453E-3</v>
      </c>
      <c r="N1458">
        <v>0.19240357273943146</v>
      </c>
      <c r="O1458">
        <v>0.11764200323934422</v>
      </c>
      <c r="P1458">
        <v>8.4483828098160435E-2</v>
      </c>
      <c r="Q1458">
        <v>0</v>
      </c>
      <c r="R1458">
        <v>9.9456730594985453E-3</v>
      </c>
      <c r="S1458">
        <v>0.25401531200476329</v>
      </c>
      <c r="T1458">
        <v>5.9102398210999079</v>
      </c>
      <c r="U1458">
        <v>0</v>
      </c>
      <c r="V1458">
        <v>1.8957886232599249E-2</v>
      </c>
      <c r="W1458">
        <v>0.1000266609133063</v>
      </c>
      <c r="X1458">
        <v>-7.5209756769050015E-4</v>
      </c>
      <c r="Y1458">
        <v>4.0954511395203071E-2</v>
      </c>
    </row>
    <row r="1459" spans="1:25" x14ac:dyDescent="0.25">
      <c r="A1459" s="879"/>
      <c r="B1459" s="1133">
        <v>1209</v>
      </c>
      <c r="C1459" s="883">
        <v>0.99541294076048614</v>
      </c>
      <c r="D1459" s="883">
        <v>1.0267869472451905</v>
      </c>
      <c r="E1459" s="883">
        <v>0.9889954104445341</v>
      </c>
      <c r="F1459" s="883">
        <v>0.97909067073700462</v>
      </c>
      <c r="G1459" s="883">
        <v>0.98873545460568946</v>
      </c>
      <c r="H1459" s="883">
        <v>0.9936367671357359</v>
      </c>
      <c r="I1459" s="883">
        <v>0.96615728988621064</v>
      </c>
      <c r="K1459">
        <v>6.7286200757548622</v>
      </c>
      <c r="L1459">
        <v>0</v>
      </c>
      <c r="M1459">
        <v>1.0386083520103489E-2</v>
      </c>
      <c r="N1459">
        <v>0.19050381618104456</v>
      </c>
      <c r="O1459">
        <v>0.12146057164449883</v>
      </c>
      <c r="P1459">
        <v>8.2349374190987645E-2</v>
      </c>
      <c r="Q1459">
        <v>0</v>
      </c>
      <c r="R1459">
        <v>1.0386083520103489E-2</v>
      </c>
      <c r="S1459">
        <v>0.26121102090512438</v>
      </c>
      <c r="T1459">
        <v>5.9116178026077737</v>
      </c>
      <c r="U1459">
        <v>0</v>
      </c>
      <c r="V1459">
        <v>1.9180215818116669E-2</v>
      </c>
      <c r="W1459">
        <v>0.10081871521248041</v>
      </c>
      <c r="X1459">
        <v>-1.2894840869999405E-3</v>
      </c>
      <c r="Y1459">
        <v>4.2768043281834485E-2</v>
      </c>
    </row>
    <row r="1460" spans="1:25" x14ac:dyDescent="0.25">
      <c r="A1460" s="879"/>
      <c r="B1460" s="1133">
        <v>1210</v>
      </c>
      <c r="C1460" s="883">
        <v>1.0221226796946259</v>
      </c>
      <c r="D1460" s="883">
        <v>0.9928810516426223</v>
      </c>
      <c r="E1460" s="883">
        <v>0.99301748934592959</v>
      </c>
      <c r="F1460" s="883">
        <v>0.97573398840055559</v>
      </c>
      <c r="G1460" s="883">
        <v>0.98670516325525859</v>
      </c>
      <c r="H1460" s="883">
        <v>1.0481126492403867</v>
      </c>
      <c r="I1460" s="883">
        <v>0.9711889626641641</v>
      </c>
      <c r="K1460">
        <v>6.7391259614412053</v>
      </c>
      <c r="L1460">
        <v>0</v>
      </c>
      <c r="M1460">
        <v>1.0785788000905612E-2</v>
      </c>
      <c r="N1460">
        <v>0.19901842118165836</v>
      </c>
      <c r="O1460">
        <v>0.11981247113283505</v>
      </c>
      <c r="P1460">
        <v>8.2590756505918794E-2</v>
      </c>
      <c r="Q1460">
        <v>0</v>
      </c>
      <c r="R1460">
        <v>1.0785788000905612E-2</v>
      </c>
      <c r="S1460">
        <v>0.26091355212370326</v>
      </c>
      <c r="T1460">
        <v>5.911212426369624</v>
      </c>
      <c r="U1460">
        <v>0</v>
      </c>
      <c r="V1460">
        <v>1.9037099426835912E-2</v>
      </c>
      <c r="W1460">
        <v>0.1051138777644739</v>
      </c>
      <c r="X1460">
        <v>-2.9865982528732718E-3</v>
      </c>
      <c r="Y1460">
        <v>4.4413955189032205E-2</v>
      </c>
    </row>
    <row r="1461" spans="1:25" x14ac:dyDescent="0.25">
      <c r="A1461" s="879"/>
      <c r="B1461" s="1133">
        <v>1211</v>
      </c>
      <c r="C1461" s="883">
        <v>1.0173466268069309</v>
      </c>
      <c r="D1461" s="883">
        <v>0.97356100696819303</v>
      </c>
      <c r="E1461" s="883">
        <v>1.0029864875292995</v>
      </c>
      <c r="F1461" s="883">
        <v>1.0276009582763841</v>
      </c>
      <c r="G1461" s="883">
        <v>0.99982471410188523</v>
      </c>
      <c r="H1461" s="883">
        <v>1.0172078430334901</v>
      </c>
      <c r="I1461" s="883">
        <v>1.0443318443497331</v>
      </c>
      <c r="K1461">
        <v>6.7579048870754592</v>
      </c>
      <c r="L1461">
        <v>0</v>
      </c>
      <c r="M1461">
        <v>1.0513905270219845E-2</v>
      </c>
      <c r="N1461">
        <v>0.19688854613566167</v>
      </c>
      <c r="O1461">
        <v>0.12113941303864928</v>
      </c>
      <c r="P1461">
        <v>8.3491282934271951E-2</v>
      </c>
      <c r="Q1461">
        <v>0</v>
      </c>
      <c r="R1461">
        <v>1.0513905270219845E-2</v>
      </c>
      <c r="S1461">
        <v>0.27912418182627319</v>
      </c>
      <c r="T1461">
        <v>5.9134563880200179</v>
      </c>
      <c r="U1461">
        <v>0</v>
      </c>
      <c r="V1461">
        <v>1.9062138785093063E-2</v>
      </c>
      <c r="W1461">
        <v>0.10347497002159324</v>
      </c>
      <c r="X1461">
        <v>-2.0264241834911487E-3</v>
      </c>
      <c r="Y1461">
        <v>4.3294390497390249E-2</v>
      </c>
    </row>
    <row r="1462" spans="1:25" x14ac:dyDescent="0.25">
      <c r="A1462" s="879"/>
      <c r="B1462" s="1133">
        <v>1212</v>
      </c>
      <c r="C1462" s="883">
        <v>1.0353277862140811</v>
      </c>
      <c r="D1462" s="883">
        <v>1.0098933910310359</v>
      </c>
      <c r="E1462" s="883">
        <v>0.97740368840859781</v>
      </c>
      <c r="F1462" s="883">
        <v>1.0260033986593642</v>
      </c>
      <c r="G1462" s="883">
        <v>0.99890187092961924</v>
      </c>
      <c r="H1462" s="883">
        <v>1.014299037555211</v>
      </c>
      <c r="I1462" s="883">
        <v>1.0358930752709217</v>
      </c>
      <c r="K1462">
        <v>6.7326911041645641</v>
      </c>
      <c r="L1462">
        <v>0</v>
      </c>
      <c r="M1462">
        <v>1.0370245693992801E-2</v>
      </c>
      <c r="N1462">
        <v>0.18697068390494329</v>
      </c>
      <c r="O1462">
        <v>0.11776269631032595</v>
      </c>
      <c r="P1462">
        <v>8.1792914902815983E-2</v>
      </c>
      <c r="Q1462">
        <v>0</v>
      </c>
      <c r="R1462">
        <v>1.0370245693992801E-2</v>
      </c>
      <c r="S1462">
        <v>0.27134191065935209</v>
      </c>
      <c r="T1462">
        <v>5.914794369941017</v>
      </c>
      <c r="U1462">
        <v>0</v>
      </c>
      <c r="V1462">
        <v>1.8969071528324864E-2</v>
      </c>
      <c r="W1462">
        <v>9.9524129410299006E-2</v>
      </c>
      <c r="X1462">
        <v>-1.1674984254571846E-3</v>
      </c>
      <c r="Y1462">
        <v>4.2702825932938622E-2</v>
      </c>
    </row>
    <row r="1463" spans="1:25" x14ac:dyDescent="0.25">
      <c r="A1463" s="879"/>
      <c r="B1463" s="1133">
        <v>1213</v>
      </c>
      <c r="C1463" s="883">
        <v>0.96472982634339743</v>
      </c>
      <c r="D1463" s="883">
        <v>1.0042638912731026</v>
      </c>
      <c r="E1463" s="883">
        <v>1.0047351729571043</v>
      </c>
      <c r="F1463" s="883">
        <v>1.0201240364154565</v>
      </c>
      <c r="G1463" s="883">
        <v>1.0126265391525389</v>
      </c>
      <c r="H1463" s="883">
        <v>1.0178943790406261</v>
      </c>
      <c r="I1463" s="883">
        <v>0.97232503875816045</v>
      </c>
      <c r="K1463">
        <v>6.7704546298552968</v>
      </c>
      <c r="L1463">
        <v>0</v>
      </c>
      <c r="M1463">
        <v>1.0931466790125053E-2</v>
      </c>
      <c r="N1463">
        <v>0.20523886924473103</v>
      </c>
      <c r="O1463">
        <v>0.1261356582385236</v>
      </c>
      <c r="P1463">
        <v>8.3526563498424286E-2</v>
      </c>
      <c r="Q1463">
        <v>0</v>
      </c>
      <c r="R1463">
        <v>1.0931466790125053E-2</v>
      </c>
      <c r="S1463">
        <v>0.27377598202900072</v>
      </c>
      <c r="T1463">
        <v>5.9129536546454258</v>
      </c>
      <c r="U1463">
        <v>0</v>
      </c>
      <c r="V1463">
        <v>1.9354403120111743E-2</v>
      </c>
      <c r="W1463">
        <v>0.10777000403773469</v>
      </c>
      <c r="X1463">
        <v>-3.3143394718353203E-3</v>
      </c>
      <c r="Y1463">
        <v>4.5013834513180022E-2</v>
      </c>
    </row>
    <row r="1464" spans="1:25" x14ac:dyDescent="0.25">
      <c r="A1464" s="879"/>
      <c r="B1464" s="1133">
        <v>1214</v>
      </c>
      <c r="C1464" s="883">
        <v>0.99230670489989214</v>
      </c>
      <c r="D1464" s="883">
        <v>0.97867690144991681</v>
      </c>
      <c r="E1464" s="883">
        <v>0.99562138204898942</v>
      </c>
      <c r="F1464" s="883">
        <v>0.97395783743174025</v>
      </c>
      <c r="G1464" s="883">
        <v>0.97914997904687173</v>
      </c>
      <c r="H1464" s="883">
        <v>0.99758796528798743</v>
      </c>
      <c r="I1464" s="883">
        <v>0.9890767259181481</v>
      </c>
      <c r="K1464">
        <v>6.7481929441106203</v>
      </c>
      <c r="L1464">
        <v>0</v>
      </c>
      <c r="M1464">
        <v>1.0615654252042644E-2</v>
      </c>
      <c r="N1464">
        <v>0.19663653372716219</v>
      </c>
      <c r="O1464">
        <v>0.12407639994751118</v>
      </c>
      <c r="P1464">
        <v>8.2862387026055723E-2</v>
      </c>
      <c r="Q1464">
        <v>0</v>
      </c>
      <c r="R1464">
        <v>1.0615654252042644E-2</v>
      </c>
      <c r="S1464">
        <v>0.26909403114723973</v>
      </c>
      <c r="T1464">
        <v>5.9109709715225192</v>
      </c>
      <c r="U1464">
        <v>0</v>
      </c>
      <c r="V1464">
        <v>1.9197359782741601E-2</v>
      </c>
      <c r="W1464">
        <v>0.10372132706022284</v>
      </c>
      <c r="X1464">
        <v>-2.0794407967246738E-3</v>
      </c>
      <c r="Y1464">
        <v>4.3713374693892935E-2</v>
      </c>
    </row>
    <row r="1465" spans="1:25" x14ac:dyDescent="0.25">
      <c r="A1465" s="879"/>
      <c r="B1465" s="1133">
        <v>1215</v>
      </c>
      <c r="C1465" s="883">
        <v>1.027740357230291</v>
      </c>
      <c r="D1465" s="883">
        <v>0.97641543251352358</v>
      </c>
      <c r="E1465" s="883">
        <v>1.0056894576509281</v>
      </c>
      <c r="F1465" s="883">
        <v>0.98233955127353689</v>
      </c>
      <c r="G1465" s="883">
        <v>1.0317079839455263</v>
      </c>
      <c r="H1465" s="883">
        <v>0.98829755592435242</v>
      </c>
      <c r="I1465" s="883">
        <v>0.99056505250374793</v>
      </c>
      <c r="K1465">
        <v>6.722046377186822</v>
      </c>
      <c r="L1465">
        <v>0</v>
      </c>
      <c r="M1465">
        <v>1.007526683353358E-2</v>
      </c>
      <c r="N1465">
        <v>0.18943118648391635</v>
      </c>
      <c r="O1465">
        <v>0.11972410146344671</v>
      </c>
      <c r="P1465">
        <v>8.3360207897655872E-2</v>
      </c>
      <c r="Q1465">
        <v>0</v>
      </c>
      <c r="R1465">
        <v>1.007526683353358E-2</v>
      </c>
      <c r="S1465">
        <v>0.25939472531797508</v>
      </c>
      <c r="T1465">
        <v>5.9108579410703106</v>
      </c>
      <c r="U1465">
        <v>0</v>
      </c>
      <c r="V1465">
        <v>1.9007945543486875E-2</v>
      </c>
      <c r="W1465">
        <v>9.9422430994879393E-2</v>
      </c>
      <c r="X1465">
        <v>-6.403170747019863E-4</v>
      </c>
      <c r="Y1465">
        <v>4.148815548984746E-2</v>
      </c>
    </row>
    <row r="1466" spans="1:25" x14ac:dyDescent="0.25">
      <c r="A1466" s="879"/>
      <c r="B1466" s="1133">
        <v>1216</v>
      </c>
      <c r="C1466" s="883">
        <v>0.99562374277477173</v>
      </c>
      <c r="D1466" s="883">
        <v>1.0321004759871315</v>
      </c>
      <c r="E1466" s="883">
        <v>1.0036924511063412</v>
      </c>
      <c r="F1466" s="883">
        <v>0.99213244563336334</v>
      </c>
      <c r="G1466" s="883">
        <v>1.0028793148479269</v>
      </c>
      <c r="H1466" s="883">
        <v>1.0191141098385659</v>
      </c>
      <c r="I1466" s="883">
        <v>1.0113114633771794</v>
      </c>
      <c r="K1466">
        <v>6.7519953556744179</v>
      </c>
      <c r="L1466">
        <v>0</v>
      </c>
      <c r="M1466">
        <v>1.0491131181301506E-2</v>
      </c>
      <c r="N1466">
        <v>0.19666759816575841</v>
      </c>
      <c r="O1466">
        <v>0.12091172982141846</v>
      </c>
      <c r="P1466">
        <v>8.3465636850242705E-2</v>
      </c>
      <c r="Q1466">
        <v>0</v>
      </c>
      <c r="R1466">
        <v>1.0491131181301506E-2</v>
      </c>
      <c r="S1466">
        <v>0.27574629086771707</v>
      </c>
      <c r="T1466">
        <v>5.911499864200505</v>
      </c>
      <c r="U1466">
        <v>0</v>
      </c>
      <c r="V1466">
        <v>1.9179056233967411E-2</v>
      </c>
      <c r="W1466">
        <v>0.10332266817321029</v>
      </c>
      <c r="X1466">
        <v>-1.9980994912614006E-3</v>
      </c>
      <c r="Y1466">
        <v>4.3200610852861254E-2</v>
      </c>
    </row>
    <row r="1467" spans="1:25" x14ac:dyDescent="0.25">
      <c r="A1467" s="879"/>
      <c r="B1467" s="1133">
        <v>1217</v>
      </c>
      <c r="C1467" s="883">
        <v>0.97835316473869882</v>
      </c>
      <c r="D1467" s="883">
        <v>0.96091602655539909</v>
      </c>
      <c r="E1467" s="883">
        <v>1.0099295399769674</v>
      </c>
      <c r="F1467" s="883">
        <v>1.0252279858056905</v>
      </c>
      <c r="G1467" s="883">
        <v>0.98661289957258069</v>
      </c>
      <c r="H1467" s="883">
        <v>0.96057555473760059</v>
      </c>
      <c r="I1467" s="883">
        <v>1.0021409878582845</v>
      </c>
      <c r="K1467">
        <v>6.7545674854702691</v>
      </c>
      <c r="L1467">
        <v>0</v>
      </c>
      <c r="M1467">
        <v>1.0319489294993394E-2</v>
      </c>
      <c r="N1467">
        <v>0.19524486291524265</v>
      </c>
      <c r="O1467">
        <v>0.12649248910203825</v>
      </c>
      <c r="P1467">
        <v>8.3842858584753405E-2</v>
      </c>
      <c r="Q1467">
        <v>0</v>
      </c>
      <c r="R1467">
        <v>1.0319489294993394E-2</v>
      </c>
      <c r="S1467">
        <v>0.27312797624107055</v>
      </c>
      <c r="T1467">
        <v>5.9129353231794752</v>
      </c>
      <c r="U1467">
        <v>0</v>
      </c>
      <c r="V1467">
        <v>1.9275715171135382E-2</v>
      </c>
      <c r="W1467">
        <v>0.10225884990793835</v>
      </c>
      <c r="X1467">
        <v>-1.1044097475466947E-3</v>
      </c>
      <c r="Y1467">
        <v>4.2493820116161304E-2</v>
      </c>
    </row>
    <row r="1468" spans="1:25" x14ac:dyDescent="0.25">
      <c r="A1468" s="879"/>
      <c r="B1468" s="1133">
        <v>1218</v>
      </c>
      <c r="C1468" s="883">
        <v>1.0041685732339209</v>
      </c>
      <c r="D1468" s="883">
        <v>0.99318485313726113</v>
      </c>
      <c r="E1468" s="883">
        <v>0.95803224740458914</v>
      </c>
      <c r="F1468" s="883">
        <v>1.0290797803356178</v>
      </c>
      <c r="G1468" s="883">
        <v>1.0112545685742087</v>
      </c>
      <c r="H1468" s="883">
        <v>0.96365586780353341</v>
      </c>
      <c r="I1468" s="883">
        <v>1.0050313855305952</v>
      </c>
      <c r="K1468">
        <v>6.7275958993584677</v>
      </c>
      <c r="L1468">
        <v>0</v>
      </c>
      <c r="M1468">
        <v>1.0405010714162133E-2</v>
      </c>
      <c r="N1468">
        <v>0.18227770627741055</v>
      </c>
      <c r="O1468">
        <v>0.12258655555875032</v>
      </c>
      <c r="P1468">
        <v>8.0528656256071321E-2</v>
      </c>
      <c r="Q1468">
        <v>0</v>
      </c>
      <c r="R1468">
        <v>1.0405010714162133E-2</v>
      </c>
      <c r="S1468">
        <v>0.26677884226330179</v>
      </c>
      <c r="T1468">
        <v>5.9160147568388899</v>
      </c>
      <c r="U1468">
        <v>0</v>
      </c>
      <c r="V1468">
        <v>1.9132462488704934E-2</v>
      </c>
      <c r="W1468">
        <v>9.7976533977564673E-2</v>
      </c>
      <c r="X1468">
        <v>-5.4559640027796754E-4</v>
      </c>
      <c r="Y1468">
        <v>4.2845982098053029E-2</v>
      </c>
    </row>
    <row r="1469" spans="1:25" x14ac:dyDescent="0.25">
      <c r="A1469" s="879"/>
      <c r="B1469" s="1133">
        <v>1219</v>
      </c>
      <c r="C1469" s="883">
        <v>0.99838303144921359</v>
      </c>
      <c r="D1469" s="883">
        <v>0.98041124245449141</v>
      </c>
      <c r="E1469" s="883">
        <v>1.0424642239861943</v>
      </c>
      <c r="F1469" s="883">
        <v>0.96769444173887842</v>
      </c>
      <c r="G1469" s="883">
        <v>1.0154728594203246</v>
      </c>
      <c r="H1469" s="883">
        <v>0.99327543884053815</v>
      </c>
      <c r="I1469" s="883">
        <v>0.99919725796499115</v>
      </c>
      <c r="K1469">
        <v>6.7484281925217644</v>
      </c>
      <c r="L1469">
        <v>0</v>
      </c>
      <c r="M1469">
        <v>1.007572692971037E-2</v>
      </c>
      <c r="N1469">
        <v>0.20002766215851572</v>
      </c>
      <c r="O1469">
        <v>0.12233975941248747</v>
      </c>
      <c r="P1469">
        <v>8.5766040571466307E-2</v>
      </c>
      <c r="Q1469">
        <v>0</v>
      </c>
      <c r="R1469">
        <v>1.007572692971037E-2</v>
      </c>
      <c r="S1469">
        <v>0.26984483373469287</v>
      </c>
      <c r="T1469">
        <v>5.9079521191276481</v>
      </c>
      <c r="U1469">
        <v>0</v>
      </c>
      <c r="V1469">
        <v>1.9163923034950927E-2</v>
      </c>
      <c r="W1469">
        <v>0.10310238646768177</v>
      </c>
      <c r="X1469">
        <v>-1.2585820696859561E-3</v>
      </c>
      <c r="Y1469">
        <v>4.1490050084009404E-2</v>
      </c>
    </row>
    <row r="1470" spans="1:25" x14ac:dyDescent="0.25">
      <c r="A1470" s="879"/>
      <c r="B1470" s="1133">
        <v>1220</v>
      </c>
      <c r="C1470" s="883">
        <v>1.0249270896912301</v>
      </c>
      <c r="D1470" s="883">
        <v>1.0332650792075007</v>
      </c>
      <c r="E1470" s="883">
        <v>1.0463006662109808</v>
      </c>
      <c r="F1470" s="883">
        <v>1.0044459187001897</v>
      </c>
      <c r="G1470" s="883">
        <v>0.99330115878344327</v>
      </c>
      <c r="H1470" s="883">
        <v>1.0166848356012923</v>
      </c>
      <c r="I1470" s="883">
        <v>0.99526576425846869</v>
      </c>
      <c r="K1470">
        <v>6.7304232016426573</v>
      </c>
      <c r="L1470">
        <v>0</v>
      </c>
      <c r="M1470">
        <v>9.78971610663288E-3</v>
      </c>
      <c r="N1470">
        <v>0.19545376641171158</v>
      </c>
      <c r="O1470">
        <v>0.11662384649930128</v>
      </c>
      <c r="P1470">
        <v>8.5939383141892908E-2</v>
      </c>
      <c r="Q1470">
        <v>0</v>
      </c>
      <c r="R1470">
        <v>9.78971610663288E-3</v>
      </c>
      <c r="S1470">
        <v>0.26345416016467743</v>
      </c>
      <c r="T1470">
        <v>5.9097119942126888</v>
      </c>
      <c r="U1470">
        <v>0</v>
      </c>
      <c r="V1470">
        <v>1.9022505520635041E-2</v>
      </c>
      <c r="W1470">
        <v>0.10055648820158559</v>
      </c>
      <c r="X1470">
        <v>-6.5125093243994928E-4</v>
      </c>
      <c r="Y1470">
        <v>4.0312308422605032E-2</v>
      </c>
    </row>
    <row r="1471" spans="1:25" x14ac:dyDescent="0.25">
      <c r="A1471" s="879"/>
      <c r="B1471" s="1133">
        <v>1221</v>
      </c>
      <c r="C1471" s="883">
        <v>1.0043920463947251</v>
      </c>
      <c r="D1471" s="883">
        <v>1.0088077499823596</v>
      </c>
      <c r="E1471" s="883">
        <v>0.99020149944350122</v>
      </c>
      <c r="F1471" s="883">
        <v>0.98762993866403315</v>
      </c>
      <c r="G1471" s="883">
        <v>1.0424197787655758</v>
      </c>
      <c r="H1471" s="883">
        <v>1.0332312407541695</v>
      </c>
      <c r="I1471" s="883">
        <v>1.0101454551634343</v>
      </c>
      <c r="K1471">
        <v>6.7538447268945081</v>
      </c>
      <c r="L1471">
        <v>0</v>
      </c>
      <c r="M1471">
        <v>1.077329342156608E-2</v>
      </c>
      <c r="N1471">
        <v>0.19795977557526065</v>
      </c>
      <c r="O1471">
        <v>0.12120601688213632</v>
      </c>
      <c r="P1471">
        <v>8.2607372631310655E-2</v>
      </c>
      <c r="Q1471">
        <v>0</v>
      </c>
      <c r="R1471">
        <v>1.077329342156608E-2</v>
      </c>
      <c r="S1471">
        <v>0.2745687024184213</v>
      </c>
      <c r="T1471">
        <v>5.9120122982858341</v>
      </c>
      <c r="U1471">
        <v>0</v>
      </c>
      <c r="V1471">
        <v>1.9131254559386912E-2</v>
      </c>
      <c r="W1471">
        <v>0.10470156851602253</v>
      </c>
      <c r="X1471">
        <v>-2.7047667091377723E-3</v>
      </c>
      <c r="Y1471">
        <v>4.4362504735264228E-2</v>
      </c>
    </row>
    <row r="1472" spans="1:25" x14ac:dyDescent="0.25">
      <c r="A1472" s="879"/>
      <c r="B1472" s="1133">
        <v>1222</v>
      </c>
      <c r="C1472" s="883">
        <v>0.98752953526625875</v>
      </c>
      <c r="D1472" s="883">
        <v>0.99724837330317895</v>
      </c>
      <c r="E1472" s="883">
        <v>0.99149505553378692</v>
      </c>
      <c r="F1472" s="883">
        <v>0.99142663216657334</v>
      </c>
      <c r="G1472" s="883">
        <v>1.0165839146304325</v>
      </c>
      <c r="H1472" s="883">
        <v>1.0140861130787715</v>
      </c>
      <c r="I1472" s="883">
        <v>1.0405748726717527</v>
      </c>
      <c r="K1472">
        <v>6.7696020686001326</v>
      </c>
      <c r="L1472">
        <v>0</v>
      </c>
      <c r="M1472">
        <v>1.0795237760680599E-2</v>
      </c>
      <c r="N1472">
        <v>0.19874376546197989</v>
      </c>
      <c r="O1472">
        <v>0.12382079350167112</v>
      </c>
      <c r="P1472">
        <v>8.2842713862208983E-2</v>
      </c>
      <c r="Q1472">
        <v>0</v>
      </c>
      <c r="R1472">
        <v>1.0795237760680599E-2</v>
      </c>
      <c r="S1472">
        <v>0.28590476690220301</v>
      </c>
      <c r="T1472">
        <v>5.9121454853306847</v>
      </c>
      <c r="U1472">
        <v>0</v>
      </c>
      <c r="V1472">
        <v>1.9223936460137283E-2</v>
      </c>
      <c r="W1472">
        <v>0.10504846300156827</v>
      </c>
      <c r="X1472">
        <v>-2.5807235381137498E-3</v>
      </c>
      <c r="Y1472">
        <v>4.4452867617791068E-2</v>
      </c>
    </row>
    <row r="1473" spans="1:25" x14ac:dyDescent="0.25">
      <c r="A1473" s="879"/>
      <c r="B1473" s="1133">
        <v>1223</v>
      </c>
      <c r="C1473" s="883">
        <v>1.0326210175725217</v>
      </c>
      <c r="D1473" s="883">
        <v>0.98241328076691969</v>
      </c>
      <c r="E1473" s="883">
        <v>0.97312029307438497</v>
      </c>
      <c r="F1473" s="883">
        <v>0.97083438041400116</v>
      </c>
      <c r="G1473" s="883">
        <v>1.0015790328499581</v>
      </c>
      <c r="H1473" s="883">
        <v>0.99035778799236329</v>
      </c>
      <c r="I1473" s="883">
        <v>1.0277353649159178</v>
      </c>
      <c r="K1473">
        <v>6.7248235180761755</v>
      </c>
      <c r="L1473">
        <v>0</v>
      </c>
      <c r="M1473">
        <v>1.0311106239115615E-2</v>
      </c>
      <c r="N1473">
        <v>0.18472630342671548</v>
      </c>
      <c r="O1473">
        <v>0.11945887921366734</v>
      </c>
      <c r="P1473">
        <v>8.144218389527294E-2</v>
      </c>
      <c r="Q1473">
        <v>0</v>
      </c>
      <c r="R1473">
        <v>1.0311106239115615E-2</v>
      </c>
      <c r="S1473">
        <v>0.26793408494158039</v>
      </c>
      <c r="T1473">
        <v>5.9120465064334393</v>
      </c>
      <c r="U1473">
        <v>0</v>
      </c>
      <c r="V1473">
        <v>1.8982874047125876E-2</v>
      </c>
      <c r="W1473">
        <v>9.8540977142673403E-2</v>
      </c>
      <c r="X1473">
        <v>-7.6759120848922196E-4</v>
      </c>
      <c r="Y1473">
        <v>4.2459300184184944E-2</v>
      </c>
    </row>
    <row r="1474" spans="1:25" x14ac:dyDescent="0.25">
      <c r="A1474" s="879"/>
      <c r="B1474" s="1133">
        <v>1224</v>
      </c>
      <c r="C1474" s="883">
        <v>0.99332285748561022</v>
      </c>
      <c r="D1474" s="883">
        <v>0.9986457043130097</v>
      </c>
      <c r="E1474" s="883">
        <v>0.96270878039683883</v>
      </c>
      <c r="F1474" s="883">
        <v>0.98388148843144574</v>
      </c>
      <c r="G1474" s="883">
        <v>1.0052068796631957</v>
      </c>
      <c r="H1474" s="883">
        <v>1.0294817288808482</v>
      </c>
      <c r="I1474" s="883">
        <v>1.0047072496679261</v>
      </c>
      <c r="K1474">
        <v>6.7581193652814164</v>
      </c>
      <c r="L1474">
        <v>0</v>
      </c>
      <c r="M1474">
        <v>1.1165259456713733E-2</v>
      </c>
      <c r="N1474">
        <v>0.19695979300446595</v>
      </c>
      <c r="O1474">
        <v>0.12356697885598096</v>
      </c>
      <c r="P1474">
        <v>8.0907747631133578E-2</v>
      </c>
      <c r="Q1474">
        <v>0</v>
      </c>
      <c r="R1474">
        <v>1.1165259456713733E-2</v>
      </c>
      <c r="S1474">
        <v>0.27584314153434764</v>
      </c>
      <c r="T1474">
        <v>5.9133181511119108</v>
      </c>
      <c r="U1474">
        <v>0</v>
      </c>
      <c r="V1474">
        <v>1.9191739623609743E-2</v>
      </c>
      <c r="W1474">
        <v>0.10561873515413454</v>
      </c>
      <c r="X1474">
        <v>-3.2634727348217966E-3</v>
      </c>
      <c r="Y1474">
        <v>4.5976551100648827E-2</v>
      </c>
    </row>
    <row r="1475" spans="1:25" x14ac:dyDescent="0.25">
      <c r="A1475" s="879"/>
      <c r="B1475" s="1133">
        <v>1225</v>
      </c>
      <c r="C1475" s="883">
        <v>1.0053724857880428</v>
      </c>
      <c r="D1475" s="883">
        <v>1.013171025180875</v>
      </c>
      <c r="E1475" s="883">
        <v>1.0169686003332239</v>
      </c>
      <c r="F1475" s="883">
        <v>1.0103703316773602</v>
      </c>
      <c r="G1475" s="883">
        <v>0.99993280873338974</v>
      </c>
      <c r="H1475" s="883">
        <v>0.97111292331588883</v>
      </c>
      <c r="I1475" s="883">
        <v>1.0045339688630515</v>
      </c>
      <c r="K1475">
        <v>6.729997018737329</v>
      </c>
      <c r="L1475">
        <v>0</v>
      </c>
      <c r="M1475">
        <v>9.8636012564419888E-3</v>
      </c>
      <c r="N1475">
        <v>0.18857379323620355</v>
      </c>
      <c r="O1475">
        <v>0.12038180005189106</v>
      </c>
      <c r="P1475">
        <v>8.4182633957203434E-2</v>
      </c>
      <c r="Q1475">
        <v>0</v>
      </c>
      <c r="R1475">
        <v>9.8636012564419888E-3</v>
      </c>
      <c r="S1475">
        <v>0.26695733582388503</v>
      </c>
      <c r="T1475">
        <v>5.9117316145747756</v>
      </c>
      <c r="U1475">
        <v>0</v>
      </c>
      <c r="V1475">
        <v>1.9125961380970277E-2</v>
      </c>
      <c r="W1475">
        <v>9.842212120595327E-2</v>
      </c>
      <c r="X1475">
        <v>5.2041879862221551E-6</v>
      </c>
      <c r="Y1475">
        <v>4.061655431845252E-2</v>
      </c>
    </row>
    <row r="1476" spans="1:25" x14ac:dyDescent="0.25">
      <c r="A1476" s="879"/>
      <c r="B1476" s="1133">
        <v>1226</v>
      </c>
      <c r="C1476" s="883">
        <v>0.95940072230731899</v>
      </c>
      <c r="D1476" s="883">
        <v>1.006196526179298</v>
      </c>
      <c r="E1476" s="883">
        <v>0.964492723110151</v>
      </c>
      <c r="F1476" s="883">
        <v>1.0136846492191158</v>
      </c>
      <c r="G1476" s="883">
        <v>1.000149213856421</v>
      </c>
      <c r="H1476" s="883">
        <v>1.0271702432993413</v>
      </c>
      <c r="I1476" s="883">
        <v>1.0191551302390052</v>
      </c>
      <c r="K1476">
        <v>6.7873327103868171</v>
      </c>
      <c r="L1476">
        <v>0</v>
      </c>
      <c r="M1476">
        <v>1.1479100332820225E-2</v>
      </c>
      <c r="N1476">
        <v>0.20303340676767384</v>
      </c>
      <c r="O1476">
        <v>0.1275169813723242</v>
      </c>
      <c r="P1476">
        <v>8.12193109669333E-2</v>
      </c>
      <c r="Q1476">
        <v>0</v>
      </c>
      <c r="R1476">
        <v>1.1479100332820225E-2</v>
      </c>
      <c r="S1476">
        <v>0.28938662438586182</v>
      </c>
      <c r="T1476">
        <v>5.9148331174352533</v>
      </c>
      <c r="U1476">
        <v>0</v>
      </c>
      <c r="V1476">
        <v>1.9385791904214602E-2</v>
      </c>
      <c r="W1476">
        <v>0.1087778189337788</v>
      </c>
      <c r="X1476">
        <v>-4.0892333460822152E-3</v>
      </c>
      <c r="Y1476">
        <v>4.7268891966861862E-2</v>
      </c>
    </row>
    <row r="1477" spans="1:25" x14ac:dyDescent="0.25">
      <c r="A1477" s="879"/>
      <c r="B1477" s="1133">
        <v>1227</v>
      </c>
      <c r="C1477" s="883">
        <v>1.0029802326807322</v>
      </c>
      <c r="D1477" s="883">
        <v>1.0229144388135705</v>
      </c>
      <c r="E1477" s="883">
        <v>0.99481623545282094</v>
      </c>
      <c r="F1477" s="883">
        <v>1.0342358705136778</v>
      </c>
      <c r="G1477" s="883">
        <v>0.98735531411708222</v>
      </c>
      <c r="H1477" s="883">
        <v>0.98248727916928591</v>
      </c>
      <c r="I1477" s="883">
        <v>0.98949955671719136</v>
      </c>
      <c r="K1477">
        <v>6.729640985159965</v>
      </c>
      <c r="L1477">
        <v>0</v>
      </c>
      <c r="M1477">
        <v>1.0156822295635715E-2</v>
      </c>
      <c r="N1477">
        <v>0.18791311183565984</v>
      </c>
      <c r="O1477">
        <v>0.12061915795922558</v>
      </c>
      <c r="P1477">
        <v>8.2793978910343194E-2</v>
      </c>
      <c r="Q1477">
        <v>0</v>
      </c>
      <c r="R1477">
        <v>1.0156822295635715E-2</v>
      </c>
      <c r="S1477">
        <v>0.26452036227721532</v>
      </c>
      <c r="T1477">
        <v>5.9142738427123858</v>
      </c>
      <c r="U1477">
        <v>0</v>
      </c>
      <c r="V1477">
        <v>1.9138894813414124E-2</v>
      </c>
      <c r="W1477">
        <v>9.915963903578498E-2</v>
      </c>
      <c r="X1477">
        <v>-6.0198875051733396E-4</v>
      </c>
      <c r="Y1477">
        <v>4.1823986366452931E-2</v>
      </c>
    </row>
    <row r="1478" spans="1:25" x14ac:dyDescent="0.25">
      <c r="A1478" s="879"/>
      <c r="B1478" s="1133">
        <v>1228</v>
      </c>
      <c r="C1478" s="883">
        <v>1.014672114695985</v>
      </c>
      <c r="D1478" s="883">
        <v>1.0069184331973946</v>
      </c>
      <c r="E1478" s="883">
        <v>0.99659659740003681</v>
      </c>
      <c r="F1478" s="883">
        <v>1.0061486560020141</v>
      </c>
      <c r="G1478" s="883">
        <v>1.0357501587853113</v>
      </c>
      <c r="H1478" s="883">
        <v>0.99459733986817778</v>
      </c>
      <c r="I1478" s="883">
        <v>1.0146271734046555</v>
      </c>
      <c r="K1478">
        <v>6.7346310945786589</v>
      </c>
      <c r="L1478">
        <v>0</v>
      </c>
      <c r="M1478">
        <v>1.0216448151575182E-2</v>
      </c>
      <c r="N1478">
        <v>0.18951562133891187</v>
      </c>
      <c r="O1478">
        <v>0.11995061922766311</v>
      </c>
      <c r="P1478">
        <v>8.2948555387460918E-2</v>
      </c>
      <c r="Q1478">
        <v>0</v>
      </c>
      <c r="R1478">
        <v>1.0216448151575182E-2</v>
      </c>
      <c r="S1478">
        <v>0.2693938736039343</v>
      </c>
      <c r="T1478">
        <v>5.9126561698826068</v>
      </c>
      <c r="U1478">
        <v>0</v>
      </c>
      <c r="V1478">
        <v>1.9076263377855392E-2</v>
      </c>
      <c r="W1478">
        <v>9.991672581099946E-2</v>
      </c>
      <c r="X1478">
        <v>-8.9624907898040956E-4</v>
      </c>
      <c r="Y1478">
        <v>4.2069515028204947E-2</v>
      </c>
    </row>
    <row r="1479" spans="1:25" x14ac:dyDescent="0.25">
      <c r="A1479" s="879"/>
      <c r="B1479" s="1133">
        <v>1229</v>
      </c>
      <c r="C1479" s="883">
        <v>1.029646006152442</v>
      </c>
      <c r="D1479" s="883">
        <v>1.0238987351804576</v>
      </c>
      <c r="E1479" s="883">
        <v>1.0256456379447123</v>
      </c>
      <c r="F1479" s="883">
        <v>1.0269671616413123</v>
      </c>
      <c r="G1479" s="883">
        <v>1.0404173857453092</v>
      </c>
      <c r="H1479" s="883">
        <v>0.98121615046060318</v>
      </c>
      <c r="I1479" s="883">
        <v>1.0207810957536358</v>
      </c>
      <c r="K1479">
        <v>6.7215300020104358</v>
      </c>
      <c r="L1479">
        <v>0</v>
      </c>
      <c r="M1479">
        <v>9.614177188019532E-3</v>
      </c>
      <c r="N1479">
        <v>0.18617954037345</v>
      </c>
      <c r="O1479">
        <v>0.11689165155793332</v>
      </c>
      <c r="P1479">
        <v>8.4713193140365434E-2</v>
      </c>
      <c r="Q1479">
        <v>0</v>
      </c>
      <c r="R1479">
        <v>9.614177188019532E-3</v>
      </c>
      <c r="S1479">
        <v>0.26574202406033498</v>
      </c>
      <c r="T1479">
        <v>5.9121302709013959</v>
      </c>
      <c r="U1479">
        <v>0</v>
      </c>
      <c r="V1479">
        <v>1.8998128118658388E-2</v>
      </c>
      <c r="W1479">
        <v>9.675825861505484E-2</v>
      </c>
      <c r="X1479">
        <v>5.2746484272088402E-4</v>
      </c>
      <c r="Y1479">
        <v>3.9589470400518037E-2</v>
      </c>
    </row>
    <row r="1480" spans="1:25" x14ac:dyDescent="0.25">
      <c r="A1480" s="879"/>
      <c r="B1480" s="1133">
        <v>1230</v>
      </c>
      <c r="C1480" s="883">
        <v>1.0180377180526567</v>
      </c>
      <c r="D1480" s="883">
        <v>1.0247787834882229</v>
      </c>
      <c r="E1480" s="883">
        <v>1.0139667085540693</v>
      </c>
      <c r="F1480" s="883">
        <v>1.0409397803568967</v>
      </c>
      <c r="G1480" s="883">
        <v>1.019334923060393</v>
      </c>
      <c r="H1480" s="883">
        <v>1.0012391916910055</v>
      </c>
      <c r="I1480" s="883">
        <v>1.0068468592876081</v>
      </c>
      <c r="K1480">
        <v>6.7329699611659333</v>
      </c>
      <c r="L1480">
        <v>0</v>
      </c>
      <c r="M1480">
        <v>1.0020513639120649E-2</v>
      </c>
      <c r="N1480">
        <v>0.1907245544065311</v>
      </c>
      <c r="O1480">
        <v>0.11839878579521478</v>
      </c>
      <c r="P1480">
        <v>8.4017756390896883E-2</v>
      </c>
      <c r="Q1480">
        <v>0</v>
      </c>
      <c r="R1480">
        <v>1.0020513639120649E-2</v>
      </c>
      <c r="S1480">
        <v>0.26692363186204587</v>
      </c>
      <c r="T1480">
        <v>5.9135546016076983</v>
      </c>
      <c r="U1480">
        <v>0</v>
      </c>
      <c r="V1480">
        <v>1.9058501070566104E-2</v>
      </c>
      <c r="W1480">
        <v>9.9692245558320111E-2</v>
      </c>
      <c r="X1480">
        <v>-6.6280710630721234E-4</v>
      </c>
      <c r="Y1480">
        <v>4.1262691580960298E-2</v>
      </c>
    </row>
    <row r="1481" spans="1:25" x14ac:dyDescent="0.25">
      <c r="A1481" s="879"/>
      <c r="B1481" s="1133">
        <v>1231</v>
      </c>
      <c r="C1481" s="883">
        <v>1.0419092823546348</v>
      </c>
      <c r="D1481" s="883">
        <v>0.99623086542149297</v>
      </c>
      <c r="E1481" s="883">
        <v>0.99897358929294833</v>
      </c>
      <c r="F1481" s="883">
        <v>1.0300659643889654</v>
      </c>
      <c r="G1481" s="883">
        <v>1.0183957337161365</v>
      </c>
      <c r="H1481" s="883">
        <v>0.97986524123902918</v>
      </c>
      <c r="I1481" s="883">
        <v>1.010009920307199</v>
      </c>
      <c r="K1481">
        <v>6.7129195580205563</v>
      </c>
      <c r="L1481">
        <v>0</v>
      </c>
      <c r="M1481">
        <v>9.8264820089951129E-3</v>
      </c>
      <c r="N1481">
        <v>0.18292486679378964</v>
      </c>
      <c r="O1481">
        <v>0.11727182138046</v>
      </c>
      <c r="P1481">
        <v>8.2984666242969407E-2</v>
      </c>
      <c r="Q1481">
        <v>0</v>
      </c>
      <c r="R1481">
        <v>9.8264820089951129E-3</v>
      </c>
      <c r="S1481">
        <v>0.25991403383159156</v>
      </c>
      <c r="T1481">
        <v>5.9138154410915797</v>
      </c>
      <c r="U1481">
        <v>0</v>
      </c>
      <c r="V1481">
        <v>1.8935809946820509E-2</v>
      </c>
      <c r="W1481">
        <v>9.6328052802919298E-2</v>
      </c>
      <c r="X1481">
        <v>2.8116206598033535E-4</v>
      </c>
      <c r="Y1481">
        <v>4.0463703864446039E-2</v>
      </c>
    </row>
    <row r="1482" spans="1:25" x14ac:dyDescent="0.25">
      <c r="A1482" s="879"/>
      <c r="B1482" s="1133">
        <v>1232</v>
      </c>
      <c r="C1482" s="883">
        <v>0.96752342321343465</v>
      </c>
      <c r="D1482" s="883">
        <v>1.0053557677759273</v>
      </c>
      <c r="E1482" s="883">
        <v>0.99535733533608317</v>
      </c>
      <c r="F1482" s="883">
        <v>1.0047792061305885</v>
      </c>
      <c r="G1482" s="883">
        <v>1.0061835213980339</v>
      </c>
      <c r="H1482" s="883">
        <v>0.99682402026787142</v>
      </c>
      <c r="I1482" s="883">
        <v>0.99758357674346787</v>
      </c>
      <c r="K1482">
        <v>6.7650098422942779</v>
      </c>
      <c r="L1482">
        <v>0</v>
      </c>
      <c r="M1482">
        <v>1.0757074210941867E-2</v>
      </c>
      <c r="N1482">
        <v>0.19917813666807907</v>
      </c>
      <c r="O1482">
        <v>0.12589805129639361</v>
      </c>
      <c r="P1482">
        <v>8.2989045056347938E-2</v>
      </c>
      <c r="Q1482">
        <v>0</v>
      </c>
      <c r="R1482">
        <v>1.0757074210941867E-2</v>
      </c>
      <c r="S1482">
        <v>0.27800517045714679</v>
      </c>
      <c r="T1482">
        <v>5.9126515307928882</v>
      </c>
      <c r="U1482">
        <v>0</v>
      </c>
      <c r="V1482">
        <v>1.9338086786262233E-2</v>
      </c>
      <c r="W1482">
        <v>0.10507576873795936</v>
      </c>
      <c r="X1482">
        <v>-2.4216644136320336E-3</v>
      </c>
      <c r="Y1482">
        <v>4.4295716912825606E-2</v>
      </c>
    </row>
    <row r="1483" spans="1:25" x14ac:dyDescent="0.25">
      <c r="A1483" s="879"/>
      <c r="B1483" s="1133">
        <v>1233</v>
      </c>
      <c r="C1483" s="883">
        <v>0.98598832019146221</v>
      </c>
      <c r="D1483" s="883">
        <v>0.98531972187502714</v>
      </c>
      <c r="E1483" s="883">
        <v>1.0015626996492055</v>
      </c>
      <c r="F1483" s="883">
        <v>1.030462997742992</v>
      </c>
      <c r="G1483" s="883">
        <v>1.0150709306744283</v>
      </c>
      <c r="H1483" s="883">
        <v>0.99753707455297336</v>
      </c>
      <c r="I1483" s="883">
        <v>1.0198167912252309</v>
      </c>
      <c r="K1483">
        <v>6.7636624333027653</v>
      </c>
      <c r="L1483">
        <v>0</v>
      </c>
      <c r="M1483">
        <v>1.0597071738148372E-2</v>
      </c>
      <c r="N1483">
        <v>0.19802788859907233</v>
      </c>
      <c r="O1483">
        <v>0.12442056474252851</v>
      </c>
      <c r="P1483">
        <v>8.3407713260767749E-2</v>
      </c>
      <c r="Q1483">
        <v>0</v>
      </c>
      <c r="R1483">
        <v>1.0597071738148372E-2</v>
      </c>
      <c r="S1483">
        <v>0.27916814805676959</v>
      </c>
      <c r="T1483">
        <v>5.9136912857888042</v>
      </c>
      <c r="U1483">
        <v>0</v>
      </c>
      <c r="V1483">
        <v>1.9232565598354415E-2</v>
      </c>
      <c r="W1483">
        <v>0.10414730087059847</v>
      </c>
      <c r="X1483">
        <v>-2.069888823371831E-3</v>
      </c>
      <c r="Y1483">
        <v>4.3636855209240467E-2</v>
      </c>
    </row>
    <row r="1484" spans="1:25" x14ac:dyDescent="0.25">
      <c r="A1484" s="879"/>
      <c r="B1484" s="1133">
        <v>1234</v>
      </c>
      <c r="C1484" s="883">
        <v>0.99042155592296754</v>
      </c>
      <c r="D1484" s="883">
        <v>1.0180622740240444</v>
      </c>
      <c r="E1484" s="883">
        <v>0.97530720852184027</v>
      </c>
      <c r="F1484" s="883">
        <v>1.0100944145169015</v>
      </c>
      <c r="G1484" s="883">
        <v>0.99486933891452578</v>
      </c>
      <c r="H1484" s="883">
        <v>0.98818380982292786</v>
      </c>
      <c r="I1484" s="883">
        <v>0.99283044930012543</v>
      </c>
      <c r="K1484">
        <v>6.7394535302204872</v>
      </c>
      <c r="L1484">
        <v>0</v>
      </c>
      <c r="M1484">
        <v>1.0544209976776773E-2</v>
      </c>
      <c r="N1484">
        <v>0.18951660872703771</v>
      </c>
      <c r="O1484">
        <v>0.12274498504196137</v>
      </c>
      <c r="P1484">
        <v>8.1627459327262411E-2</v>
      </c>
      <c r="Q1484">
        <v>0</v>
      </c>
      <c r="R1484">
        <v>1.0544209976776773E-2</v>
      </c>
      <c r="S1484">
        <v>0.26931881807065439</v>
      </c>
      <c r="T1484">
        <v>5.9140493638656508</v>
      </c>
      <c r="U1484">
        <v>0</v>
      </c>
      <c r="V1484">
        <v>1.9207816749030254E-2</v>
      </c>
      <c r="W1484">
        <v>0.10098542975316191</v>
      </c>
      <c r="X1484">
        <v>-1.4161311992346008E-3</v>
      </c>
      <c r="Y1484">
        <v>4.3419179884954993E-2</v>
      </c>
    </row>
    <row r="1485" spans="1:25" x14ac:dyDescent="0.25">
      <c r="A1485" s="879"/>
      <c r="B1485" s="1133">
        <v>1235</v>
      </c>
      <c r="C1485" s="883">
        <v>0.97504485415484055</v>
      </c>
      <c r="D1485" s="883">
        <v>0.96709423365279379</v>
      </c>
      <c r="E1485" s="883">
        <v>0.99972840710634203</v>
      </c>
      <c r="F1485" s="883">
        <v>1.0048194020662369</v>
      </c>
      <c r="G1485" s="883">
        <v>1.0158043827035097</v>
      </c>
      <c r="H1485" s="883">
        <v>1.0381157216413748</v>
      </c>
      <c r="I1485" s="883">
        <v>1.0315106746113547</v>
      </c>
      <c r="K1485">
        <v>6.7941318818602401</v>
      </c>
      <c r="L1485">
        <v>0</v>
      </c>
      <c r="M1485">
        <v>1.1259571498975978E-2</v>
      </c>
      <c r="N1485">
        <v>0.20983707301016263</v>
      </c>
      <c r="O1485">
        <v>0.12679587653256535</v>
      </c>
      <c r="P1485">
        <v>8.3419000812228944E-2</v>
      </c>
      <c r="Q1485">
        <v>0</v>
      </c>
      <c r="R1485">
        <v>1.1259571498975978E-2</v>
      </c>
      <c r="S1485">
        <v>0.28984882127104306</v>
      </c>
      <c r="T1485">
        <v>5.912408630647044</v>
      </c>
      <c r="U1485">
        <v>0</v>
      </c>
      <c r="V1485">
        <v>1.9294621711511164E-2</v>
      </c>
      <c r="W1485">
        <v>0.11045856767922201</v>
      </c>
      <c r="X1485">
        <v>-4.2956211073053073E-3</v>
      </c>
      <c r="Y1485">
        <v>4.6364911303767013E-2</v>
      </c>
    </row>
    <row r="1486" spans="1:25" x14ac:dyDescent="0.25">
      <c r="A1486" s="879"/>
      <c r="B1486" s="1133">
        <v>1236</v>
      </c>
      <c r="C1486" s="883">
        <v>0.98980163152824441</v>
      </c>
      <c r="D1486" s="883">
        <v>1.0453223377450394</v>
      </c>
      <c r="E1486" s="883">
        <v>0.96021804334753247</v>
      </c>
      <c r="F1486" s="883">
        <v>0.99776356767549768</v>
      </c>
      <c r="G1486" s="883">
        <v>0.98631473344039011</v>
      </c>
      <c r="H1486" s="883">
        <v>1.0028782571980441</v>
      </c>
      <c r="I1486" s="883">
        <v>0.99463115075361086</v>
      </c>
      <c r="K1486">
        <v>6.7391615202495094</v>
      </c>
      <c r="L1486">
        <v>0</v>
      </c>
      <c r="M1486">
        <v>1.0727318123155633E-2</v>
      </c>
      <c r="N1486">
        <v>0.18853535090896706</v>
      </c>
      <c r="O1486">
        <v>0.12180671513977527</v>
      </c>
      <c r="P1486">
        <v>8.0700201619192002E-2</v>
      </c>
      <c r="Q1486">
        <v>0</v>
      </c>
      <c r="R1486">
        <v>1.0727318123155633E-2</v>
      </c>
      <c r="S1486">
        <v>0.27108466017226068</v>
      </c>
      <c r="T1486">
        <v>5.9142034013532943</v>
      </c>
      <c r="U1486">
        <v>0</v>
      </c>
      <c r="V1486">
        <v>1.9211264187458707E-2</v>
      </c>
      <c r="W1486">
        <v>0.10122829505821296</v>
      </c>
      <c r="X1486">
        <v>-1.7815548293562519E-3</v>
      </c>
      <c r="Y1486">
        <v>4.4173186639708061E-2</v>
      </c>
    </row>
    <row r="1487" spans="1:25" x14ac:dyDescent="0.25">
      <c r="A1487" s="879"/>
      <c r="B1487" s="1133">
        <v>1237</v>
      </c>
      <c r="C1487" s="883">
        <v>0.97130169533252242</v>
      </c>
      <c r="D1487" s="883">
        <v>0.96431106342780781</v>
      </c>
      <c r="E1487" s="883">
        <v>0.99196490311195562</v>
      </c>
      <c r="F1487" s="883">
        <v>0.96953510076884919</v>
      </c>
      <c r="G1487" s="883">
        <v>0.97552584507265028</v>
      </c>
      <c r="H1487" s="883">
        <v>1.0010495726524906</v>
      </c>
      <c r="I1487" s="883">
        <v>0.99034428791811369</v>
      </c>
      <c r="K1487">
        <v>6.7678497503141717</v>
      </c>
      <c r="L1487">
        <v>0</v>
      </c>
      <c r="M1487">
        <v>1.0987097055992117E-2</v>
      </c>
      <c r="N1487">
        <v>0.202416889898478</v>
      </c>
      <c r="O1487">
        <v>0.12758300579783816</v>
      </c>
      <c r="P1487">
        <v>8.2722378078167597E-2</v>
      </c>
      <c r="Q1487">
        <v>0</v>
      </c>
      <c r="R1487">
        <v>1.0987097055992117E-2</v>
      </c>
      <c r="S1487">
        <v>0.27575837977920392</v>
      </c>
      <c r="T1487">
        <v>5.9109360720718804</v>
      </c>
      <c r="U1487">
        <v>0</v>
      </c>
      <c r="V1487">
        <v>1.9316168649125106E-2</v>
      </c>
      <c r="W1487">
        <v>0.10696489128125448</v>
      </c>
      <c r="X1487">
        <v>-3.0909452879784396E-3</v>
      </c>
      <c r="Y1487">
        <v>4.5242910046202379E-2</v>
      </c>
    </row>
    <row r="1488" spans="1:25" x14ac:dyDescent="0.25">
      <c r="A1488" s="879"/>
      <c r="B1488" s="1133">
        <v>1238</v>
      </c>
      <c r="C1488" s="883">
        <v>0.99296869871730409</v>
      </c>
      <c r="D1488" s="883">
        <v>1.0087645685231605</v>
      </c>
      <c r="E1488" s="883">
        <v>0.98661210698940172</v>
      </c>
      <c r="F1488" s="883">
        <v>0.97127238203469801</v>
      </c>
      <c r="G1488" s="883">
        <v>0.98631411818198544</v>
      </c>
      <c r="H1488" s="883">
        <v>1.0222622396637757</v>
      </c>
      <c r="I1488" s="883">
        <v>1.0133904426779403</v>
      </c>
      <c r="K1488">
        <v>6.7574678398560657</v>
      </c>
      <c r="L1488">
        <v>0</v>
      </c>
      <c r="M1488">
        <v>1.0815559223541918E-2</v>
      </c>
      <c r="N1488">
        <v>0.19768150863780098</v>
      </c>
      <c r="O1488">
        <v>0.12266962245675352</v>
      </c>
      <c r="P1488">
        <v>8.2412791339432467E-2</v>
      </c>
      <c r="Q1488">
        <v>0</v>
      </c>
      <c r="R1488">
        <v>1.0815559223541918E-2</v>
      </c>
      <c r="S1488">
        <v>0.27756246270224905</v>
      </c>
      <c r="T1488">
        <v>5.9113274688942381</v>
      </c>
      <c r="U1488">
        <v>0</v>
      </c>
      <c r="V1488">
        <v>1.9193697106847894E-2</v>
      </c>
      <c r="W1488">
        <v>0.10474182520790909</v>
      </c>
      <c r="X1488">
        <v>-2.6580842739377304E-3</v>
      </c>
      <c r="Y1488">
        <v>4.4536547784768447E-2</v>
      </c>
    </row>
    <row r="1489" spans="1:25" x14ac:dyDescent="0.25">
      <c r="A1489" s="879"/>
      <c r="B1489" s="1133">
        <v>1239</v>
      </c>
      <c r="C1489" s="883">
        <v>1.0068287064247068</v>
      </c>
      <c r="D1489" s="883">
        <v>1.0131775911535883</v>
      </c>
      <c r="E1489" s="883">
        <v>1.0114384094743776</v>
      </c>
      <c r="F1489" s="883">
        <v>0.98222469075891206</v>
      </c>
      <c r="G1489" s="883">
        <v>1.0164572844558606</v>
      </c>
      <c r="H1489" s="883">
        <v>1.0127392266957169</v>
      </c>
      <c r="I1489" s="883">
        <v>1.0081890906824906</v>
      </c>
      <c r="K1489">
        <v>6.744313186658407</v>
      </c>
      <c r="L1489">
        <v>0</v>
      </c>
      <c r="M1489">
        <v>1.0321312048956095E-2</v>
      </c>
      <c r="N1489">
        <v>0.19571601181318679</v>
      </c>
      <c r="O1489">
        <v>0.12031046003566638</v>
      </c>
      <c r="P1489">
        <v>8.3880141558389895E-2</v>
      </c>
      <c r="Q1489">
        <v>0</v>
      </c>
      <c r="R1489">
        <v>1.0321312048956095E-2</v>
      </c>
      <c r="S1489">
        <v>0.27143923828141614</v>
      </c>
      <c r="T1489">
        <v>5.9105260078889792</v>
      </c>
      <c r="U1489">
        <v>0</v>
      </c>
      <c r="V1489">
        <v>1.9118118590054405E-2</v>
      </c>
      <c r="W1489">
        <v>0.10242916247712645</v>
      </c>
      <c r="X1489">
        <v>-1.6072798789515648E-3</v>
      </c>
      <c r="Y1489">
        <v>4.2501325892541623E-2</v>
      </c>
    </row>
    <row r="1490" spans="1:25" x14ac:dyDescent="0.25">
      <c r="A1490" s="879"/>
      <c r="B1490" s="1133">
        <v>1240</v>
      </c>
      <c r="C1490" s="883">
        <v>1.0190734464903124</v>
      </c>
      <c r="D1490" s="883">
        <v>0.99919194259917699</v>
      </c>
      <c r="E1490" s="883">
        <v>0.97281194740484223</v>
      </c>
      <c r="F1490" s="883">
        <v>1.0186523304803969</v>
      </c>
      <c r="G1490" s="883">
        <v>0.98372926885272627</v>
      </c>
      <c r="H1490" s="883">
        <v>0.9651045675704063</v>
      </c>
      <c r="I1490" s="883">
        <v>1.0065697246150436</v>
      </c>
      <c r="K1490">
        <v>6.7180204125389373</v>
      </c>
      <c r="L1490">
        <v>0</v>
      </c>
      <c r="M1490">
        <v>1.0110866514766481E-2</v>
      </c>
      <c r="N1490">
        <v>0.18105606085215023</v>
      </c>
      <c r="O1490">
        <v>0.12023536988019866</v>
      </c>
      <c r="P1490">
        <v>8.1398106812949123E-2</v>
      </c>
      <c r="Q1490">
        <v>0</v>
      </c>
      <c r="R1490">
        <v>1.0110866514766481E-2</v>
      </c>
      <c r="S1490">
        <v>0.26338741862924836</v>
      </c>
      <c r="T1490">
        <v>5.9146486874653332</v>
      </c>
      <c r="U1490">
        <v>0</v>
      </c>
      <c r="V1490">
        <v>1.9053058518563377E-2</v>
      </c>
      <c r="W1490">
        <v>9.6598067198061785E-2</v>
      </c>
      <c r="X1490">
        <v>8.8945417759033502E-6</v>
      </c>
      <c r="Y1490">
        <v>4.1634748640657485E-2</v>
      </c>
    </row>
    <row r="1491" spans="1:25" x14ac:dyDescent="0.25">
      <c r="A1491" s="879"/>
      <c r="B1491" s="1133">
        <v>1241</v>
      </c>
      <c r="C1491" s="883">
        <v>0.97936074324745814</v>
      </c>
      <c r="D1491" s="883">
        <v>0.98335678472369958</v>
      </c>
      <c r="E1491" s="883">
        <v>0.99053368421422328</v>
      </c>
      <c r="F1491" s="883">
        <v>0.96101174271403444</v>
      </c>
      <c r="G1491" s="883">
        <v>1.0279340221287794</v>
      </c>
      <c r="H1491" s="883">
        <v>0.98026187764204209</v>
      </c>
      <c r="I1491" s="883">
        <v>0.96397861148851116</v>
      </c>
      <c r="K1491">
        <v>6.7415232465149231</v>
      </c>
      <c r="L1491">
        <v>0</v>
      </c>
      <c r="M1491">
        <v>1.0594528279903533E-2</v>
      </c>
      <c r="N1491">
        <v>0.19477085419756673</v>
      </c>
      <c r="O1491">
        <v>0.12557455511072774</v>
      </c>
      <c r="P1491">
        <v>8.2470935276005755E-2</v>
      </c>
      <c r="Q1491">
        <v>0</v>
      </c>
      <c r="R1491">
        <v>1.0594528279903533E-2</v>
      </c>
      <c r="S1491">
        <v>0.2640558555369944</v>
      </c>
      <c r="T1491">
        <v>5.9105550766915078</v>
      </c>
      <c r="U1491">
        <v>0</v>
      </c>
      <c r="V1491">
        <v>1.9269982373777542E-2</v>
      </c>
      <c r="W1491">
        <v>0.10299787721958042</v>
      </c>
      <c r="X1491">
        <v>-1.7982715921467541E-3</v>
      </c>
      <c r="Y1491">
        <v>4.3626381700906915E-2</v>
      </c>
    </row>
    <row r="1492" spans="1:25" x14ac:dyDescent="0.25">
      <c r="A1492" s="879"/>
      <c r="B1492" s="1133">
        <v>1242</v>
      </c>
      <c r="C1492" s="883">
        <v>0.96395616696536435</v>
      </c>
      <c r="D1492" s="883">
        <v>1.0096097486395721</v>
      </c>
      <c r="E1492" s="883">
        <v>0.97424293822285701</v>
      </c>
      <c r="F1492" s="883">
        <v>0.95811881610739846</v>
      </c>
      <c r="G1492" s="883">
        <v>1.0071734242199628</v>
      </c>
      <c r="H1492" s="883">
        <v>0.97700934314785792</v>
      </c>
      <c r="I1492" s="883">
        <v>1.0152155251142245</v>
      </c>
      <c r="K1492">
        <v>6.7592951514392263</v>
      </c>
      <c r="L1492">
        <v>0</v>
      </c>
      <c r="M1492">
        <v>1.075946123276433E-2</v>
      </c>
      <c r="N1492">
        <v>0.19308019246794508</v>
      </c>
      <c r="O1492">
        <v>0.12655658304625084</v>
      </c>
      <c r="P1492">
        <v>8.1691851780213209E-2</v>
      </c>
      <c r="Q1492">
        <v>0</v>
      </c>
      <c r="R1492">
        <v>1.075946123276433E-2</v>
      </c>
      <c r="S1492">
        <v>0.28192584543411209</v>
      </c>
      <c r="T1492">
        <v>5.911297632106125</v>
      </c>
      <c r="U1492">
        <v>0</v>
      </c>
      <c r="V1492">
        <v>1.9358938491369351E-2</v>
      </c>
      <c r="W1492">
        <v>0.10293927164979196</v>
      </c>
      <c r="X1492">
        <v>-1.8607097803996202E-3</v>
      </c>
      <c r="Y1492">
        <v>4.4305546243816461E-2</v>
      </c>
    </row>
    <row r="1493" spans="1:25" x14ac:dyDescent="0.25">
      <c r="A1493" s="879"/>
      <c r="B1493" s="1133">
        <v>1243</v>
      </c>
      <c r="C1493" s="883">
        <v>0.98983998317824973</v>
      </c>
      <c r="D1493" s="883">
        <v>1.0049450352612497</v>
      </c>
      <c r="E1493" s="883">
        <v>1.0225219213010595</v>
      </c>
      <c r="F1493" s="883">
        <v>0.99043812835177203</v>
      </c>
      <c r="G1493" s="883">
        <v>1.0344103243606066</v>
      </c>
      <c r="H1493" s="883">
        <v>0.99721753999437379</v>
      </c>
      <c r="I1493" s="883">
        <v>0.980283735761866</v>
      </c>
      <c r="K1493">
        <v>6.7456061796903048</v>
      </c>
      <c r="L1493">
        <v>0</v>
      </c>
      <c r="M1493">
        <v>1.0273590578137396E-2</v>
      </c>
      <c r="N1493">
        <v>0.1980322256234055</v>
      </c>
      <c r="O1493">
        <v>0.12256427378160625</v>
      </c>
      <c r="P1493">
        <v>8.4514804401687696E-2</v>
      </c>
      <c r="Q1493">
        <v>0</v>
      </c>
      <c r="R1493">
        <v>1.0273590578137396E-2</v>
      </c>
      <c r="S1493">
        <v>0.26711183892599749</v>
      </c>
      <c r="T1493">
        <v>5.9103366148312659</v>
      </c>
      <c r="U1493">
        <v>0</v>
      </c>
      <c r="V1493">
        <v>1.9211050786219784E-2</v>
      </c>
      <c r="W1493">
        <v>0.1030763670350904</v>
      </c>
      <c r="X1493">
        <v>-1.545813064787123E-3</v>
      </c>
      <c r="Y1493">
        <v>4.230481736981536E-2</v>
      </c>
    </row>
    <row r="1494" spans="1:25" x14ac:dyDescent="0.25">
      <c r="A1494" s="879"/>
      <c r="B1494" s="1133">
        <v>1244</v>
      </c>
      <c r="C1494" s="883">
        <v>0.99275181043632432</v>
      </c>
      <c r="D1494" s="883">
        <v>1.0181400904320754</v>
      </c>
      <c r="E1494" s="883">
        <v>1.0183293812907936</v>
      </c>
      <c r="F1494" s="883">
        <v>1.0035847740150723</v>
      </c>
      <c r="G1494" s="883">
        <v>0.95716127154688213</v>
      </c>
      <c r="H1494" s="883">
        <v>0.99928722543869497</v>
      </c>
      <c r="I1494" s="883">
        <v>1.0232033562741922</v>
      </c>
      <c r="K1494">
        <v>6.7540640308119286</v>
      </c>
      <c r="L1494">
        <v>0</v>
      </c>
      <c r="M1494">
        <v>1.0245086418056593E-2</v>
      </c>
      <c r="N1494">
        <v>0.19626182740929171</v>
      </c>
      <c r="O1494">
        <v>0.12164812761598578</v>
      </c>
      <c r="P1494">
        <v>8.4413516515301226E-2</v>
      </c>
      <c r="Q1494">
        <v>0</v>
      </c>
      <c r="R1494">
        <v>1.0245086418056593E-2</v>
      </c>
      <c r="S1494">
        <v>0.27805213662957984</v>
      </c>
      <c r="T1494">
        <v>5.911287197752821</v>
      </c>
      <c r="U1494">
        <v>0</v>
      </c>
      <c r="V1494">
        <v>1.9194896567156821E-2</v>
      </c>
      <c r="W1494">
        <v>0.10236602270540328</v>
      </c>
      <c r="X1494">
        <v>-1.347136695764084E-3</v>
      </c>
      <c r="Y1494">
        <v>4.2187442312153975E-2</v>
      </c>
    </row>
    <row r="1495" spans="1:25" x14ac:dyDescent="0.25">
      <c r="A1495" s="879"/>
      <c r="B1495" s="1133">
        <v>1245</v>
      </c>
      <c r="C1495" s="883">
        <v>1.0447525342649822</v>
      </c>
      <c r="D1495" s="883">
        <v>0.99398013210985792</v>
      </c>
      <c r="E1495" s="883">
        <v>0.98076392504321863</v>
      </c>
      <c r="F1495" s="883">
        <v>0.99952863737159647</v>
      </c>
      <c r="G1495" s="883">
        <v>1.004585911815687</v>
      </c>
      <c r="H1495" s="883">
        <v>1.0119514876146751</v>
      </c>
      <c r="I1495" s="883">
        <v>1.0038124636646331</v>
      </c>
      <c r="K1495">
        <v>6.7187910111631082</v>
      </c>
      <c r="L1495">
        <v>0</v>
      </c>
      <c r="M1495">
        <v>1.0292704424063531E-2</v>
      </c>
      <c r="N1495">
        <v>0.18650019942607204</v>
      </c>
      <c r="O1495">
        <v>0.11738432840545007</v>
      </c>
      <c r="P1495">
        <v>8.1839942636969878E-2</v>
      </c>
      <c r="Q1495">
        <v>0</v>
      </c>
      <c r="R1495">
        <v>1.0292704424063531E-2</v>
      </c>
      <c r="S1495">
        <v>0.26051991039724004</v>
      </c>
      <c r="T1495">
        <v>5.9131781751998114</v>
      </c>
      <c r="U1495">
        <v>0</v>
      </c>
      <c r="V1495">
        <v>1.8921570338613594E-2</v>
      </c>
      <c r="W1495">
        <v>9.9106741043749877E-2</v>
      </c>
      <c r="X1495">
        <v>-1.0433810700016049E-3</v>
      </c>
      <c r="Y1495">
        <v>4.2383524785201451E-2</v>
      </c>
    </row>
    <row r="1496" spans="1:25" x14ac:dyDescent="0.25">
      <c r="A1496" s="879"/>
      <c r="B1496" s="1133">
        <v>1246</v>
      </c>
      <c r="C1496" s="883">
        <v>0.97354822289522835</v>
      </c>
      <c r="D1496" s="883">
        <v>1.0113892782389391</v>
      </c>
      <c r="E1496" s="883">
        <v>1.0192780151900367</v>
      </c>
      <c r="F1496" s="883">
        <v>1.0256137499535101</v>
      </c>
      <c r="G1496" s="883">
        <v>0.99189324513806343</v>
      </c>
      <c r="H1496" s="883">
        <v>1.0259970848646776</v>
      </c>
      <c r="I1496" s="883">
        <v>1.0320579957083447</v>
      </c>
      <c r="K1496">
        <v>6.7843233648697234</v>
      </c>
      <c r="L1496">
        <v>0</v>
      </c>
      <c r="M1496">
        <v>1.0748078065151748E-2</v>
      </c>
      <c r="N1496">
        <v>0.20618664202061471</v>
      </c>
      <c r="O1496">
        <v>0.12435987727463252</v>
      </c>
      <c r="P1496">
        <v>8.4634904638202668E-2</v>
      </c>
      <c r="Q1496">
        <v>0</v>
      </c>
      <c r="R1496">
        <v>1.0748078065151748E-2</v>
      </c>
      <c r="S1496">
        <v>0.28871643125451762</v>
      </c>
      <c r="T1496">
        <v>5.9124230398823103</v>
      </c>
      <c r="U1496">
        <v>0</v>
      </c>
      <c r="V1496">
        <v>1.9303216966991721E-2</v>
      </c>
      <c r="W1496">
        <v>0.10749232986962974</v>
      </c>
      <c r="X1496">
        <v>-3.051749422894733E-3</v>
      </c>
      <c r="Y1496">
        <v>4.4258672385716145E-2</v>
      </c>
    </row>
    <row r="1497" spans="1:25" x14ac:dyDescent="0.25">
      <c r="A1497" s="879"/>
      <c r="B1497" s="1133">
        <v>1247</v>
      </c>
      <c r="C1497" s="883">
        <v>1.033465451109937</v>
      </c>
      <c r="D1497" s="883">
        <v>1.0013386266034816</v>
      </c>
      <c r="E1497" s="883">
        <v>0.96259930165079333</v>
      </c>
      <c r="F1497" s="883">
        <v>0.98702486901319708</v>
      </c>
      <c r="G1497" s="883">
        <v>1.0089729064426627</v>
      </c>
      <c r="H1497" s="883">
        <v>1.0148552003344955</v>
      </c>
      <c r="I1497" s="883">
        <v>1.0262482273162001</v>
      </c>
      <c r="K1497">
        <v>6.7297128941205075</v>
      </c>
      <c r="L1497">
        <v>0</v>
      </c>
      <c r="M1497">
        <v>1.0567911285036365E-2</v>
      </c>
      <c r="N1497">
        <v>0.18639200690308022</v>
      </c>
      <c r="O1497">
        <v>0.11864138587995776</v>
      </c>
      <c r="P1497">
        <v>8.0816658249969378E-2</v>
      </c>
      <c r="Q1497">
        <v>0</v>
      </c>
      <c r="R1497">
        <v>1.0567911285036365E-2</v>
      </c>
      <c r="S1497">
        <v>0.2694148433228335</v>
      </c>
      <c r="T1497">
        <v>5.9134940503796827</v>
      </c>
      <c r="U1497">
        <v>0</v>
      </c>
      <c r="V1497">
        <v>1.8978560300909147E-2</v>
      </c>
      <c r="W1497">
        <v>9.995732925521332E-2</v>
      </c>
      <c r="X1497">
        <v>-1.4987178248301203E-3</v>
      </c>
      <c r="Y1497">
        <v>4.3516777653692398E-2</v>
      </c>
    </row>
    <row r="1498" spans="1:25" x14ac:dyDescent="0.25">
      <c r="A1498" s="879"/>
      <c r="B1498" s="1133">
        <v>1248</v>
      </c>
      <c r="C1498" s="883">
        <v>0.99509220680705723</v>
      </c>
      <c r="D1498" s="883">
        <v>0.97204384247396947</v>
      </c>
      <c r="E1498" s="883">
        <v>1.0300234563405357</v>
      </c>
      <c r="F1498" s="883">
        <v>0.99092361670628171</v>
      </c>
      <c r="G1498" s="883">
        <v>0.99292088211103557</v>
      </c>
      <c r="H1498" s="883">
        <v>0.99605811379897824</v>
      </c>
      <c r="I1498" s="883">
        <v>0.99736317052782986</v>
      </c>
      <c r="K1498">
        <v>6.7532370779500912</v>
      </c>
      <c r="L1498">
        <v>0</v>
      </c>
      <c r="M1498">
        <v>1.0286303460371493E-2</v>
      </c>
      <c r="N1498">
        <v>0.20048877113241129</v>
      </c>
      <c r="O1498">
        <v>0.12340688299230559</v>
      </c>
      <c r="P1498">
        <v>8.5025743883767296E-2</v>
      </c>
      <c r="Q1498">
        <v>0</v>
      </c>
      <c r="R1498">
        <v>1.0286303460371493E-2</v>
      </c>
      <c r="S1498">
        <v>0.27057413891553772</v>
      </c>
      <c r="T1498">
        <v>5.909930465449559</v>
      </c>
      <c r="U1498">
        <v>0</v>
      </c>
      <c r="V1498">
        <v>1.9181981060600622E-2</v>
      </c>
      <c r="W1498">
        <v>0.10397108725926431</v>
      </c>
      <c r="X1498">
        <v>-1.6991594994083055E-3</v>
      </c>
      <c r="Y1498">
        <v>4.2357166756046678E-2</v>
      </c>
    </row>
    <row r="1499" spans="1:25" x14ac:dyDescent="0.25">
      <c r="A1499" s="879"/>
      <c r="B1499" s="1133">
        <v>1249</v>
      </c>
      <c r="C1499" s="883">
        <v>0.99230192274326079</v>
      </c>
      <c r="D1499" s="883">
        <v>1.0344733433282465</v>
      </c>
      <c r="E1499" s="883">
        <v>0.98382779352101801</v>
      </c>
      <c r="F1499" s="883">
        <v>1.0101560117689443</v>
      </c>
      <c r="G1499" s="883">
        <v>0.9967314472873261</v>
      </c>
      <c r="H1499" s="883">
        <v>0.97272215526445494</v>
      </c>
      <c r="I1499" s="883">
        <v>0.99388759817181915</v>
      </c>
      <c r="K1499">
        <v>6.7301119570308758</v>
      </c>
      <c r="L1499">
        <v>0</v>
      </c>
      <c r="M1499">
        <v>1.0212787215161933E-2</v>
      </c>
      <c r="N1499">
        <v>0.18589510834256079</v>
      </c>
      <c r="O1499">
        <v>0.12157407306021331</v>
      </c>
      <c r="P1499">
        <v>8.2134392219302702E-2</v>
      </c>
      <c r="Q1499">
        <v>0</v>
      </c>
      <c r="R1499">
        <v>1.0212787215161933E-2</v>
      </c>
      <c r="S1499">
        <v>0.2675288869028678</v>
      </c>
      <c r="T1499">
        <v>5.9135834965030565</v>
      </c>
      <c r="U1499">
        <v>0</v>
      </c>
      <c r="V1499">
        <v>1.9197386259211413E-2</v>
      </c>
      <c r="W1499">
        <v>9.8633904753621243E-2</v>
      </c>
      <c r="X1499">
        <v>-4.8973095363426993E-4</v>
      </c>
      <c r="Y1499">
        <v>4.2054439943677559E-2</v>
      </c>
    </row>
    <row r="1500" spans="1:25" x14ac:dyDescent="0.25">
      <c r="A1500" s="879"/>
      <c r="B1500" s="1133">
        <v>1250</v>
      </c>
      <c r="C1500" s="883">
        <v>0.99747114240625945</v>
      </c>
      <c r="D1500" s="883">
        <v>1.0120407328945416</v>
      </c>
      <c r="E1500" s="883">
        <v>0.99483043869112142</v>
      </c>
      <c r="F1500" s="883">
        <v>1.0326031977765779</v>
      </c>
      <c r="G1500" s="883">
        <v>1.0022575352106426</v>
      </c>
      <c r="H1500" s="883">
        <v>0.98369154003732373</v>
      </c>
      <c r="I1500" s="883">
        <v>1.0288488021038831</v>
      </c>
      <c r="K1500">
        <v>6.7466348552061302</v>
      </c>
      <c r="L1500">
        <v>0</v>
      </c>
      <c r="M1500">
        <v>1.0272192721531785E-2</v>
      </c>
      <c r="N1500">
        <v>0.19005160040482783</v>
      </c>
      <c r="O1500">
        <v>0.12180466184197337</v>
      </c>
      <c r="P1500">
        <v>8.2957596149491095E-2</v>
      </c>
      <c r="Q1500">
        <v>0</v>
      </c>
      <c r="R1500">
        <v>1.0272192721531785E-2</v>
      </c>
      <c r="S1500">
        <v>0.27677257740861372</v>
      </c>
      <c r="T1500">
        <v>5.9141848069213827</v>
      </c>
      <c r="U1500">
        <v>0</v>
      </c>
      <c r="V1500">
        <v>1.9168914988174128E-2</v>
      </c>
      <c r="W1500">
        <v>0.1002873865322035</v>
      </c>
      <c r="X1500">
        <v>-8.9175028566192572E-4</v>
      </c>
      <c r="Y1500">
        <v>4.2299061245122657E-2</v>
      </c>
    </row>
    <row r="1501" spans="1:25" x14ac:dyDescent="0.25">
      <c r="A1501" s="879"/>
      <c r="B1501" s="1133">
        <v>1251</v>
      </c>
      <c r="C1501" s="883">
        <v>0.99383922064475005</v>
      </c>
      <c r="D1501" s="883">
        <v>0.97374468604372799</v>
      </c>
      <c r="E1501" s="883">
        <v>1.0069128760075536</v>
      </c>
      <c r="F1501" s="883">
        <v>1.034154903721882</v>
      </c>
      <c r="G1501" s="883">
        <v>0.97976808139974181</v>
      </c>
      <c r="H1501" s="883">
        <v>1.0008497021623028</v>
      </c>
      <c r="I1501" s="883">
        <v>0.99595269152641164</v>
      </c>
      <c r="K1501">
        <v>6.7556254129881994</v>
      </c>
      <c r="L1501">
        <v>0</v>
      </c>
      <c r="M1501">
        <v>1.0552381906296907E-2</v>
      </c>
      <c r="N1501">
        <v>0.19876147107500225</v>
      </c>
      <c r="O1501">
        <v>0.12392037825169658</v>
      </c>
      <c r="P1501">
        <v>8.3631413784756303E-2</v>
      </c>
      <c r="Q1501">
        <v>0</v>
      </c>
      <c r="R1501">
        <v>1.0552381906296907E-2</v>
      </c>
      <c r="S1501">
        <v>0.27093151333487236</v>
      </c>
      <c r="T1501">
        <v>5.9135887115133876</v>
      </c>
      <c r="U1501">
        <v>0</v>
      </c>
      <c r="V1501">
        <v>1.9188888114723471E-2</v>
      </c>
      <c r="W1501">
        <v>0.10425620348389632</v>
      </c>
      <c r="X1501">
        <v>-2.1059970063060664E-3</v>
      </c>
      <c r="Y1501">
        <v>4.3452830436169682E-2</v>
      </c>
    </row>
    <row r="1502" spans="1:25" x14ac:dyDescent="0.25">
      <c r="A1502" s="879"/>
      <c r="B1502" s="1133">
        <v>1252</v>
      </c>
      <c r="C1502" s="883">
        <v>1.0356495252399456</v>
      </c>
      <c r="D1502" s="883">
        <v>1.0362109630433645</v>
      </c>
      <c r="E1502" s="883">
        <v>0.98107036098245959</v>
      </c>
      <c r="F1502" s="883">
        <v>0.98085778875006446</v>
      </c>
      <c r="G1502" s="883">
        <v>1.0099535720529551</v>
      </c>
      <c r="H1502" s="883">
        <v>1.0329246456153987</v>
      </c>
      <c r="I1502" s="883">
        <v>1.0061481302388586</v>
      </c>
      <c r="K1502">
        <v>6.7246579667021829</v>
      </c>
      <c r="L1502">
        <v>0</v>
      </c>
      <c r="M1502">
        <v>1.0408483796472046E-2</v>
      </c>
      <c r="N1502">
        <v>0.18868384139698935</v>
      </c>
      <c r="O1502">
        <v>0.11645612798915805</v>
      </c>
      <c r="P1502">
        <v>8.1904201953803574E-2</v>
      </c>
      <c r="Q1502">
        <v>0</v>
      </c>
      <c r="R1502">
        <v>1.0408483796472046E-2</v>
      </c>
      <c r="S1502">
        <v>0.26490525509108853</v>
      </c>
      <c r="T1502">
        <v>5.9121519544371992</v>
      </c>
      <c r="U1502">
        <v>0</v>
      </c>
      <c r="V1502">
        <v>1.8967435694804004E-2</v>
      </c>
      <c r="W1502">
        <v>0.10025175706021028</v>
      </c>
      <c r="X1502">
        <v>-1.5228905538920677E-3</v>
      </c>
      <c r="Y1502">
        <v>4.2860283632819643E-2</v>
      </c>
    </row>
    <row r="1503" spans="1:25" x14ac:dyDescent="0.25">
      <c r="A1503" s="879"/>
      <c r="B1503" s="1133">
        <v>1253</v>
      </c>
      <c r="C1503" s="883">
        <v>1.0127435471170363</v>
      </c>
      <c r="D1503" s="883">
        <v>0.98727884455232784</v>
      </c>
      <c r="E1503" s="883">
        <v>0.97483002296397103</v>
      </c>
      <c r="F1503" s="883">
        <v>0.9969930412998258</v>
      </c>
      <c r="G1503" s="883">
        <v>1.0190911248660564</v>
      </c>
      <c r="H1503" s="883">
        <v>0.97712526759923779</v>
      </c>
      <c r="I1503" s="883">
        <v>0.96166399155354598</v>
      </c>
      <c r="K1503">
        <v>6.7161048203257012</v>
      </c>
      <c r="L1503">
        <v>0</v>
      </c>
      <c r="M1503">
        <v>1.0335667694099729E-2</v>
      </c>
      <c r="N1503">
        <v>0.18563684527010149</v>
      </c>
      <c r="O1503">
        <v>0.12153167892507011</v>
      </c>
      <c r="P1503">
        <v>8.1390691151246461E-2</v>
      </c>
      <c r="Q1503">
        <v>0</v>
      </c>
      <c r="R1503">
        <v>1.0335667694099729E-2</v>
      </c>
      <c r="S1503">
        <v>0.25439475634482062</v>
      </c>
      <c r="T1503">
        <v>5.9133672034484039</v>
      </c>
      <c r="U1503">
        <v>0</v>
      </c>
      <c r="V1503">
        <v>1.908649479266895E-2</v>
      </c>
      <c r="W1503">
        <v>9.8941752167416727E-2</v>
      </c>
      <c r="X1503">
        <v>-8.0504165805981795E-4</v>
      </c>
      <c r="Y1503">
        <v>4.2560439884033512E-2</v>
      </c>
    </row>
    <row r="1504" spans="1:25" x14ac:dyDescent="0.25">
      <c r="A1504" s="879"/>
      <c r="B1504" s="1133">
        <v>1254</v>
      </c>
      <c r="C1504" s="883">
        <v>1.003528138196095</v>
      </c>
      <c r="D1504" s="883">
        <v>1.0173412323246536</v>
      </c>
      <c r="E1504" s="883">
        <v>1.0047439823994226</v>
      </c>
      <c r="F1504" s="883">
        <v>0.98899470171861514</v>
      </c>
      <c r="G1504" s="883">
        <v>0.990086341718731</v>
      </c>
      <c r="H1504" s="883">
        <v>1.0255584995807097</v>
      </c>
      <c r="I1504" s="883">
        <v>0.97685339517117864</v>
      </c>
      <c r="K1504">
        <v>6.7420255868319749</v>
      </c>
      <c r="L1504">
        <v>0</v>
      </c>
      <c r="M1504">
        <v>1.0529392611552042E-2</v>
      </c>
      <c r="N1504">
        <v>0.19769248436662928</v>
      </c>
      <c r="O1504">
        <v>0.12063294143467108</v>
      </c>
      <c r="P1504">
        <v>8.3383365405745966E-2</v>
      </c>
      <c r="Q1504">
        <v>0</v>
      </c>
      <c r="R1504">
        <v>1.0529392611552042E-2</v>
      </c>
      <c r="S1504">
        <v>0.26498365376954197</v>
      </c>
      <c r="T1504">
        <v>5.9112709705356092</v>
      </c>
      <c r="U1504">
        <v>0</v>
      </c>
      <c r="V1504">
        <v>1.913592718319302E-2</v>
      </c>
      <c r="W1504">
        <v>0.10380697810872379</v>
      </c>
      <c r="X1504">
        <v>-2.2388985844917493E-3</v>
      </c>
      <c r="Y1504">
        <v>4.3358164612352257E-2</v>
      </c>
    </row>
    <row r="1505" spans="1:25" x14ac:dyDescent="0.25">
      <c r="A1505" s="879"/>
      <c r="B1505" s="1133">
        <v>1255</v>
      </c>
      <c r="C1505" s="883">
        <v>0.98501027617764736</v>
      </c>
      <c r="D1505" s="883">
        <v>1.0117846832053035</v>
      </c>
      <c r="E1505" s="883">
        <v>0.95899861836151445</v>
      </c>
      <c r="F1505" s="883">
        <v>0.9831932899117185</v>
      </c>
      <c r="G1505" s="883">
        <v>1.0306053553715364</v>
      </c>
      <c r="H1505" s="883">
        <v>1.0059383259442969</v>
      </c>
      <c r="I1505" s="883">
        <v>1.0012435023294413</v>
      </c>
      <c r="K1505">
        <v>6.7509592338681115</v>
      </c>
      <c r="L1505">
        <v>0</v>
      </c>
      <c r="M1505">
        <v>1.0975941214312517E-2</v>
      </c>
      <c r="N1505">
        <v>0.1925557422632859</v>
      </c>
      <c r="O1505">
        <v>0.12402885699218667</v>
      </c>
      <c r="P1505">
        <v>8.0662547504817717E-2</v>
      </c>
      <c r="Q1505">
        <v>0</v>
      </c>
      <c r="R1505">
        <v>1.0975941214312517E-2</v>
      </c>
      <c r="S1505">
        <v>0.27481455889251144</v>
      </c>
      <c r="T1505">
        <v>5.9134812305563464</v>
      </c>
      <c r="U1505">
        <v>0</v>
      </c>
      <c r="V1505">
        <v>1.9238055592844132E-2</v>
      </c>
      <c r="W1505">
        <v>0.10345059530499856</v>
      </c>
      <c r="X1505">
        <v>-2.4693255147082861E-3</v>
      </c>
      <c r="Y1505">
        <v>4.5196972275831589E-2</v>
      </c>
    </row>
    <row r="1506" spans="1:25" x14ac:dyDescent="0.25">
      <c r="A1506" s="879"/>
      <c r="B1506" s="1133">
        <v>1256</v>
      </c>
      <c r="C1506" s="883">
        <v>1.0017927008316165</v>
      </c>
      <c r="D1506" s="883">
        <v>1.0148492168611321</v>
      </c>
      <c r="E1506" s="883">
        <v>0.98219183746362093</v>
      </c>
      <c r="F1506" s="883">
        <v>1.016765043475617</v>
      </c>
      <c r="G1506" s="883">
        <v>1.0237298607136145</v>
      </c>
      <c r="H1506" s="883">
        <v>1.0091349451138074</v>
      </c>
      <c r="I1506" s="883">
        <v>0.98134883935165351</v>
      </c>
      <c r="K1506">
        <v>6.7380357080575042</v>
      </c>
      <c r="L1506">
        <v>0</v>
      </c>
      <c r="M1506">
        <v>1.0596186221009716E-2</v>
      </c>
      <c r="N1506">
        <v>0.19240633243544045</v>
      </c>
      <c r="O1506">
        <v>0.12137857036618618</v>
      </c>
      <c r="P1506">
        <v>8.2005094606334067E-2</v>
      </c>
      <c r="Q1506">
        <v>0</v>
      </c>
      <c r="R1506">
        <v>1.0596186221009716E-2</v>
      </c>
      <c r="S1506">
        <v>0.26514460372785709</v>
      </c>
      <c r="T1506">
        <v>5.9140311698437511</v>
      </c>
      <c r="U1506">
        <v>0</v>
      </c>
      <c r="V1506">
        <v>1.9145338005372384E-2</v>
      </c>
      <c r="W1506">
        <v>0.10217224502494772</v>
      </c>
      <c r="X1506">
        <v>-1.8808547596671781E-3</v>
      </c>
      <c r="Y1506">
        <v>4.3633208807279673E-2</v>
      </c>
    </row>
    <row r="1507" spans="1:25" x14ac:dyDescent="0.25">
      <c r="A1507" s="879"/>
      <c r="B1507" s="1133">
        <v>1257</v>
      </c>
      <c r="C1507" s="883">
        <v>0.9794706447048489</v>
      </c>
      <c r="D1507" s="883">
        <v>1.0129436593790373</v>
      </c>
      <c r="E1507" s="883">
        <v>0.95873201923724616</v>
      </c>
      <c r="F1507" s="883">
        <v>0.98161011583709723</v>
      </c>
      <c r="G1507" s="883">
        <v>1.0131447267020786</v>
      </c>
      <c r="H1507" s="883">
        <v>1.0149109631687692</v>
      </c>
      <c r="I1507" s="883">
        <v>1.0126993958868085</v>
      </c>
      <c r="K1507">
        <v>6.7615098706727359</v>
      </c>
      <c r="L1507">
        <v>0</v>
      </c>
      <c r="M1507">
        <v>1.1133597763132504E-2</v>
      </c>
      <c r="N1507">
        <v>0.195244215135537</v>
      </c>
      <c r="O1507">
        <v>0.12467819868019213</v>
      </c>
      <c r="P1507">
        <v>8.0717510093168951E-2</v>
      </c>
      <c r="Q1507">
        <v>0</v>
      </c>
      <c r="R1507">
        <v>1.1133597763132504E-2</v>
      </c>
      <c r="S1507">
        <v>0.28038822533937718</v>
      </c>
      <c r="T1507">
        <v>5.9134099776360367</v>
      </c>
      <c r="U1507">
        <v>0</v>
      </c>
      <c r="V1507">
        <v>1.926935778327463E-2</v>
      </c>
      <c r="W1507">
        <v>0.10490910246944411</v>
      </c>
      <c r="X1507">
        <v>-2.9528903463503925E-3</v>
      </c>
      <c r="Y1507">
        <v>4.5846173882052706E-2</v>
      </c>
    </row>
    <row r="1508" spans="1:25" x14ac:dyDescent="0.25">
      <c r="A1508" s="879"/>
      <c r="B1508" s="1133">
        <v>1258</v>
      </c>
      <c r="C1508" s="883">
        <v>1.0301300957316109</v>
      </c>
      <c r="D1508" s="883">
        <v>0.96770029841975524</v>
      </c>
      <c r="E1508" s="883">
        <v>0.99750029585927802</v>
      </c>
      <c r="F1508" s="883">
        <v>0.97402229999266898</v>
      </c>
      <c r="G1508" s="883">
        <v>0.96828800629985201</v>
      </c>
      <c r="H1508" s="883">
        <v>1.0368679594803933</v>
      </c>
      <c r="I1508" s="883">
        <v>1.0114924955453315</v>
      </c>
      <c r="K1508">
        <v>6.7455075111636562</v>
      </c>
      <c r="L1508">
        <v>0</v>
      </c>
      <c r="M1508">
        <v>1.0662537415962433E-2</v>
      </c>
      <c r="N1508">
        <v>0.19805563923973643</v>
      </c>
      <c r="O1508">
        <v>0.12002655464380742</v>
      </c>
      <c r="P1508">
        <v>8.2973771828254009E-2</v>
      </c>
      <c r="Q1508">
        <v>0</v>
      </c>
      <c r="R1508">
        <v>1.0662537415962433E-2</v>
      </c>
      <c r="S1508">
        <v>0.2688966072052178</v>
      </c>
      <c r="T1508">
        <v>5.910869262715245</v>
      </c>
      <c r="U1508">
        <v>0</v>
      </c>
      <c r="V1508">
        <v>1.8995639996149675E-2</v>
      </c>
      <c r="W1508">
        <v>0.10437229746094767</v>
      </c>
      <c r="X1508">
        <v>-2.5886931437280642E-3</v>
      </c>
      <c r="Y1508">
        <v>4.3906431218022512E-2</v>
      </c>
    </row>
    <row r="1509" spans="1:25" x14ac:dyDescent="0.25">
      <c r="A1509" s="879"/>
      <c r="B1509" s="1133">
        <v>1259</v>
      </c>
      <c r="C1509" s="883">
        <v>0.97478705313608627</v>
      </c>
      <c r="D1509" s="883">
        <v>0.98462733543049508</v>
      </c>
      <c r="E1509" s="883">
        <v>0.96863521057030577</v>
      </c>
      <c r="F1509" s="883">
        <v>0.99630874195496977</v>
      </c>
      <c r="G1509" s="883">
        <v>0.99918646830582492</v>
      </c>
      <c r="H1509" s="883">
        <v>0.9672795742326239</v>
      </c>
      <c r="I1509" s="883">
        <v>0.98947711846524411</v>
      </c>
      <c r="K1509">
        <v>6.7464459676159123</v>
      </c>
      <c r="L1509">
        <v>0</v>
      </c>
      <c r="M1509">
        <v>1.0699746228739735E-2</v>
      </c>
      <c r="N1509">
        <v>0.1904166929505457</v>
      </c>
      <c r="O1509">
        <v>0.12651797521019911</v>
      </c>
      <c r="P1509">
        <v>8.1224945878596133E-2</v>
      </c>
      <c r="Q1509">
        <v>0</v>
      </c>
      <c r="R1509">
        <v>1.0699746228739735E-2</v>
      </c>
      <c r="S1509">
        <v>0.2710114613590936</v>
      </c>
      <c r="T1509">
        <v>5.9136685243059697</v>
      </c>
      <c r="U1509">
        <v>0</v>
      </c>
      <c r="V1509">
        <v>1.9296100398744281E-2</v>
      </c>
      <c r="W1509">
        <v>0.10180569984532703</v>
      </c>
      <c r="X1509">
        <v>-1.555082818687903E-3</v>
      </c>
      <c r="Y1509">
        <v>4.4059650486117659E-2</v>
      </c>
    </row>
    <row r="1510" spans="1:25" x14ac:dyDescent="0.25">
      <c r="A1510" s="879"/>
      <c r="B1510" s="1133">
        <v>1260</v>
      </c>
      <c r="C1510" s="883">
        <v>0.96914047887394916</v>
      </c>
      <c r="D1510" s="883">
        <v>0.99227886541962596</v>
      </c>
      <c r="E1510" s="883">
        <v>1.0014061495057862</v>
      </c>
      <c r="F1510" s="883">
        <v>1.016040730719465</v>
      </c>
      <c r="G1510" s="883">
        <v>1.0071001453882995</v>
      </c>
      <c r="H1510" s="883">
        <v>1.0133689547682605</v>
      </c>
      <c r="I1510" s="883">
        <v>0.96990326182380104</v>
      </c>
      <c r="K1510">
        <v>6.7664370949819137</v>
      </c>
      <c r="L1510">
        <v>0</v>
      </c>
      <c r="M1510">
        <v>1.0920917528115781E-2</v>
      </c>
      <c r="N1510">
        <v>0.20403228667173168</v>
      </c>
      <c r="O1510">
        <v>0.12623071198942487</v>
      </c>
      <c r="P1510">
        <v>8.3286608017224123E-2</v>
      </c>
      <c r="Q1510">
        <v>0</v>
      </c>
      <c r="R1510">
        <v>1.0920917528115781E-2</v>
      </c>
      <c r="S1510">
        <v>0.27154661913746037</v>
      </c>
      <c r="T1510">
        <v>5.9129207000783248</v>
      </c>
      <c r="U1510">
        <v>0</v>
      </c>
      <c r="V1510">
        <v>1.9328685164205866E-2</v>
      </c>
      <c r="W1510">
        <v>0.10731348630401469</v>
      </c>
      <c r="X1510">
        <v>-3.1923969104011552E-3</v>
      </c>
      <c r="Y1510">
        <v>4.4970394529924476E-2</v>
      </c>
    </row>
    <row r="1511" spans="1:25" x14ac:dyDescent="0.25">
      <c r="A1511" s="879"/>
      <c r="B1511" s="1133">
        <v>1261</v>
      </c>
      <c r="C1511" s="883">
        <v>1.0038810385798784</v>
      </c>
      <c r="D1511" s="883">
        <v>0.98260024216205366</v>
      </c>
      <c r="E1511" s="883">
        <v>1.0395917519539142</v>
      </c>
      <c r="F1511" s="883">
        <v>0.97610319004611434</v>
      </c>
      <c r="G1511" s="883">
        <v>1.004767553452143</v>
      </c>
      <c r="H1511" s="883">
        <v>0.96696256911245881</v>
      </c>
      <c r="I1511" s="883">
        <v>1.0108758289109565</v>
      </c>
      <c r="K1511">
        <v>6.7368957906885045</v>
      </c>
      <c r="L1511">
        <v>0</v>
      </c>
      <c r="M1511">
        <v>9.7703634886790718E-3</v>
      </c>
      <c r="N1511">
        <v>0.193144277280273</v>
      </c>
      <c r="O1511">
        <v>0.12161627767671887</v>
      </c>
      <c r="P1511">
        <v>8.5582534535141086E-2</v>
      </c>
      <c r="Q1511">
        <v>0</v>
      </c>
      <c r="R1511">
        <v>9.7703634886790718E-3</v>
      </c>
      <c r="S1511">
        <v>0.26895844603004948</v>
      </c>
      <c r="T1511">
        <v>5.9085740795961152</v>
      </c>
      <c r="U1511">
        <v>0</v>
      </c>
      <c r="V1511">
        <v>1.913401747783736E-2</v>
      </c>
      <c r="W1511">
        <v>9.9694169769693183E-2</v>
      </c>
      <c r="X1511">
        <v>-4.0629463831536676E-5</v>
      </c>
      <c r="Y1511">
        <v>4.0232617786508836E-2</v>
      </c>
    </row>
    <row r="1512" spans="1:25" x14ac:dyDescent="0.25">
      <c r="A1512" s="879"/>
      <c r="B1512" s="1133">
        <v>1262</v>
      </c>
      <c r="C1512" s="883">
        <v>0.98472076743959447</v>
      </c>
      <c r="D1512" s="883">
        <v>0.99864483990206243</v>
      </c>
      <c r="E1512" s="883">
        <v>0.98978265016479305</v>
      </c>
      <c r="F1512" s="883">
        <v>1.0282089715912621</v>
      </c>
      <c r="G1512" s="883">
        <v>0.97026442285105596</v>
      </c>
      <c r="H1512" s="883">
        <v>1.0319991965576447</v>
      </c>
      <c r="I1512" s="883">
        <v>1.0060285323187119</v>
      </c>
      <c r="K1512">
        <v>6.7708182935504642</v>
      </c>
      <c r="L1512">
        <v>0</v>
      </c>
      <c r="M1512">
        <v>1.1027127830053478E-2</v>
      </c>
      <c r="N1512">
        <v>0.20249820887994674</v>
      </c>
      <c r="O1512">
        <v>0.1241369455220744</v>
      </c>
      <c r="P1512">
        <v>8.2669572231303487E-2</v>
      </c>
      <c r="Q1512">
        <v>0</v>
      </c>
      <c r="R1512">
        <v>1.1027127830053478E-2</v>
      </c>
      <c r="S1512">
        <v>0.27890915916059655</v>
      </c>
      <c r="T1512">
        <v>5.9142289546998876</v>
      </c>
      <c r="U1512">
        <v>0</v>
      </c>
      <c r="V1512">
        <v>1.9239682766329369E-2</v>
      </c>
      <c r="W1512">
        <v>0.1071243330548949</v>
      </c>
      <c r="X1512">
        <v>-3.3963124131482819E-3</v>
      </c>
      <c r="Y1512">
        <v>4.5407749648574906E-2</v>
      </c>
    </row>
    <row r="1513" spans="1:25" x14ac:dyDescent="0.25">
      <c r="A1513" s="879"/>
      <c r="B1513" s="1133">
        <v>1263</v>
      </c>
      <c r="C1513" s="883">
        <v>1.0024212631567988</v>
      </c>
      <c r="D1513" s="883">
        <v>0.95644015708306385</v>
      </c>
      <c r="E1513" s="883">
        <v>0.97009055026632629</v>
      </c>
      <c r="F1513" s="883">
        <v>1.0116653984550876</v>
      </c>
      <c r="G1513" s="883">
        <v>1.0004540481482391</v>
      </c>
      <c r="H1513" s="883">
        <v>0.96451232755665162</v>
      </c>
      <c r="I1513" s="883">
        <v>1.02404242484271</v>
      </c>
      <c r="K1513">
        <v>6.7414266089251011</v>
      </c>
      <c r="L1513">
        <v>0</v>
      </c>
      <c r="M1513">
        <v>1.0491738343695519E-2</v>
      </c>
      <c r="N1513">
        <v>0.18711882695432006</v>
      </c>
      <c r="O1513">
        <v>0.12444061945865838</v>
      </c>
      <c r="P1513">
        <v>8.1347472478174934E-2</v>
      </c>
      <c r="Q1513">
        <v>0</v>
      </c>
      <c r="R1513">
        <v>1.0491738343695519E-2</v>
      </c>
      <c r="S1513">
        <v>0.27275875779006736</v>
      </c>
      <c r="T1513">
        <v>5.9144195482004909</v>
      </c>
      <c r="U1513">
        <v>0</v>
      </c>
      <c r="V1513">
        <v>1.9141925712850533E-2</v>
      </c>
      <c r="W1513">
        <v>9.9969313687645348E-2</v>
      </c>
      <c r="X1513">
        <v>-9.7296639663913085E-4</v>
      </c>
      <c r="Y1513">
        <v>4.3203111039528917E-2</v>
      </c>
    </row>
    <row r="1514" spans="1:25" x14ac:dyDescent="0.25">
      <c r="A1514" s="879"/>
      <c r="B1514" s="1133">
        <v>1264</v>
      </c>
      <c r="C1514" s="883">
        <v>1.010350738246351</v>
      </c>
      <c r="D1514" s="883">
        <v>1.0337303172459857</v>
      </c>
      <c r="E1514" s="883">
        <v>0.98430769104945215</v>
      </c>
      <c r="F1514" s="883">
        <v>1.0047859856691075</v>
      </c>
      <c r="G1514" s="883">
        <v>1.0077627262082369</v>
      </c>
      <c r="H1514" s="883">
        <v>1.0029922283944119</v>
      </c>
      <c r="I1514" s="883">
        <v>0.99674384277556949</v>
      </c>
      <c r="K1514">
        <v>6.729967803211621</v>
      </c>
      <c r="L1514">
        <v>0</v>
      </c>
      <c r="M1514">
        <v>1.034133134590132E-2</v>
      </c>
      <c r="N1514">
        <v>0.18836892639291114</v>
      </c>
      <c r="O1514">
        <v>0.11942789150545066</v>
      </c>
      <c r="P1514">
        <v>8.2142667981092168E-2</v>
      </c>
      <c r="Q1514">
        <v>0</v>
      </c>
      <c r="R1514">
        <v>1.034133134590132E-2</v>
      </c>
      <c r="S1514">
        <v>0.26628640148894017</v>
      </c>
      <c r="T1514">
        <v>5.9132666661020785</v>
      </c>
      <c r="U1514">
        <v>0</v>
      </c>
      <c r="V1514">
        <v>1.9099243389977871E-2</v>
      </c>
      <c r="W1514">
        <v>9.9922512160161778E-2</v>
      </c>
      <c r="X1514">
        <v>-1.1302676030515656E-3</v>
      </c>
      <c r="Y1514">
        <v>4.2583761794060017E-2</v>
      </c>
    </row>
    <row r="1515" spans="1:25" x14ac:dyDescent="0.25">
      <c r="A1515" s="879"/>
      <c r="B1515" s="1133">
        <v>1265</v>
      </c>
      <c r="C1515" s="883">
        <v>0.98498678347593094</v>
      </c>
      <c r="D1515" s="883">
        <v>1.0258019534942036</v>
      </c>
      <c r="E1515" s="883">
        <v>0.96137556799815216</v>
      </c>
      <c r="F1515" s="883">
        <v>1.0121106156021209</v>
      </c>
      <c r="G1515" s="883">
        <v>1.0009710320376821</v>
      </c>
      <c r="H1515" s="883">
        <v>0.98050500304139687</v>
      </c>
      <c r="I1515" s="883">
        <v>0.9554109406807797</v>
      </c>
      <c r="K1515">
        <v>6.7274065273997365</v>
      </c>
      <c r="L1515">
        <v>0</v>
      </c>
      <c r="M1515">
        <v>1.0613904854512265E-2</v>
      </c>
      <c r="N1515">
        <v>0.18686318343404304</v>
      </c>
      <c r="O1515">
        <v>0.12330718902641441</v>
      </c>
      <c r="P1515">
        <v>8.0636388363020201E-2</v>
      </c>
      <c r="Q1515">
        <v>0</v>
      </c>
      <c r="R1515">
        <v>1.0613904854512265E-2</v>
      </c>
      <c r="S1515">
        <v>0.25981512499249421</v>
      </c>
      <c r="T1515">
        <v>5.9149167307441397</v>
      </c>
      <c r="U1515">
        <v>0</v>
      </c>
      <c r="V1515">
        <v>1.9238187597072E-2</v>
      </c>
      <c r="W1515">
        <v>0.10027188459096291</v>
      </c>
      <c r="X1515">
        <v>-1.3483323346592229E-3</v>
      </c>
      <c r="Y1515">
        <v>4.3706170986243964E-2</v>
      </c>
    </row>
    <row r="1516" spans="1:25" x14ac:dyDescent="0.25">
      <c r="A1516" s="879"/>
      <c r="B1516" s="1133">
        <v>1266</v>
      </c>
      <c r="C1516" s="883">
        <v>0.95944625585241661</v>
      </c>
      <c r="D1516" s="883">
        <v>1.0023654218583362</v>
      </c>
      <c r="E1516" s="883">
        <v>1.0306015417206214</v>
      </c>
      <c r="F1516" s="883">
        <v>0.97337017396321535</v>
      </c>
      <c r="G1516" s="883">
        <v>0.95974460058471978</v>
      </c>
      <c r="H1516" s="883">
        <v>1.0245955481353739</v>
      </c>
      <c r="I1516" s="883">
        <v>0.98358629118931251</v>
      </c>
      <c r="K1516">
        <v>6.7807743803442024</v>
      </c>
      <c r="L1516">
        <v>0</v>
      </c>
      <c r="M1516">
        <v>1.0825129601887973E-2</v>
      </c>
      <c r="N1516">
        <v>0.21117131892090077</v>
      </c>
      <c r="O1516">
        <v>0.12641734217194905</v>
      </c>
      <c r="P1516">
        <v>8.5169314205507995E-2</v>
      </c>
      <c r="Q1516">
        <v>0</v>
      </c>
      <c r="R1516">
        <v>1.0825129601887973E-2</v>
      </c>
      <c r="S1516">
        <v>0.27918561509152989</v>
      </c>
      <c r="T1516">
        <v>5.9089488410303526</v>
      </c>
      <c r="U1516">
        <v>0</v>
      </c>
      <c r="V1516">
        <v>1.9385522231621093E-2</v>
      </c>
      <c r="W1516">
        <v>0.10947988020988875</v>
      </c>
      <c r="X1516">
        <v>-3.5594104168833233E-3</v>
      </c>
      <c r="Y1516">
        <v>4.4575956899333635E-2</v>
      </c>
    </row>
    <row r="1517" spans="1:25" x14ac:dyDescent="0.25">
      <c r="A1517" s="879"/>
      <c r="B1517" s="1133">
        <v>1267</v>
      </c>
      <c r="C1517" s="883">
        <v>1.0003101655152595</v>
      </c>
      <c r="D1517" s="883">
        <v>1.0037900263810786</v>
      </c>
      <c r="E1517" s="883">
        <v>1.0020738899599169</v>
      </c>
      <c r="F1517" s="883">
        <v>1.0002388085299683</v>
      </c>
      <c r="G1517" s="883">
        <v>1.0097041936347269</v>
      </c>
      <c r="H1517" s="883">
        <v>0.97861623419974375</v>
      </c>
      <c r="I1517" s="883">
        <v>1.0170184263760738</v>
      </c>
      <c r="K1517">
        <v>6.739762588174389</v>
      </c>
      <c r="L1517">
        <v>0</v>
      </c>
      <c r="M1517">
        <v>1.0161479994586501E-2</v>
      </c>
      <c r="N1517">
        <v>0.1900318097228752</v>
      </c>
      <c r="O1517">
        <v>0.12172192933155845</v>
      </c>
      <c r="P1517">
        <v>8.3325950994494358E-2</v>
      </c>
      <c r="Q1517">
        <v>0</v>
      </c>
      <c r="R1517">
        <v>1.0161479994586501E-2</v>
      </c>
      <c r="S1517">
        <v>0.27241661929266037</v>
      </c>
      <c r="T1517">
        <v>5.9120291495494017</v>
      </c>
      <c r="U1517">
        <v>0</v>
      </c>
      <c r="V1517">
        <v>1.9153403268549748E-2</v>
      </c>
      <c r="W1517">
        <v>9.9916633289518053E-2</v>
      </c>
      <c r="X1517">
        <v>-6.7607321636710621E-4</v>
      </c>
      <c r="Y1517">
        <v>4.184316594169276E-2</v>
      </c>
    </row>
    <row r="1518" spans="1:25" x14ac:dyDescent="0.25">
      <c r="A1518" s="879"/>
      <c r="B1518" s="1133">
        <v>1268</v>
      </c>
      <c r="C1518" s="883">
        <v>1.003519622006994</v>
      </c>
      <c r="D1518" s="883">
        <v>0.96489676227495413</v>
      </c>
      <c r="E1518" s="883">
        <v>0.98289743940131102</v>
      </c>
      <c r="F1518" s="883">
        <v>1.0123290482549561</v>
      </c>
      <c r="G1518" s="883">
        <v>0.98905643733608173</v>
      </c>
      <c r="H1518" s="883">
        <v>1.0109471154973761</v>
      </c>
      <c r="I1518" s="883">
        <v>1.0048678739102697</v>
      </c>
      <c r="K1518">
        <v>6.7535526831519235</v>
      </c>
      <c r="L1518">
        <v>0</v>
      </c>
      <c r="M1518">
        <v>1.0821969814966075E-2</v>
      </c>
      <c r="N1518">
        <v>0.19671191621186243</v>
      </c>
      <c r="O1518">
        <v>0.12362768595144955</v>
      </c>
      <c r="P1518">
        <v>8.2132998579452721E-2</v>
      </c>
      <c r="Q1518">
        <v>0</v>
      </c>
      <c r="R1518">
        <v>1.0821969814966075E-2</v>
      </c>
      <c r="S1518">
        <v>0.27174565087324642</v>
      </c>
      <c r="T1518">
        <v>5.9137523946829944</v>
      </c>
      <c r="U1518">
        <v>0</v>
      </c>
      <c r="V1518">
        <v>1.9135973284784127E-2</v>
      </c>
      <c r="W1518">
        <v>0.10442174977165466</v>
      </c>
      <c r="X1518">
        <v>-2.5386316627386829E-3</v>
      </c>
      <c r="Y1518">
        <v>4.4562945459210364E-2</v>
      </c>
    </row>
    <row r="1519" spans="1:25" x14ac:dyDescent="0.25">
      <c r="A1519" s="879"/>
      <c r="B1519" s="1133">
        <v>1269</v>
      </c>
      <c r="C1519" s="883">
        <v>1.0128414647444532</v>
      </c>
      <c r="D1519" s="883">
        <v>0.99599527520760267</v>
      </c>
      <c r="E1519" s="883">
        <v>0.99732014245542455</v>
      </c>
      <c r="F1519" s="883">
        <v>1.0120261044008212</v>
      </c>
      <c r="G1519" s="883">
        <v>0.98655952017257686</v>
      </c>
      <c r="H1519" s="883">
        <v>0.98702245905105745</v>
      </c>
      <c r="I1519" s="883">
        <v>0.97088971305380167</v>
      </c>
      <c r="K1519">
        <v>6.7235387538699527</v>
      </c>
      <c r="L1519">
        <v>0</v>
      </c>
      <c r="M1519">
        <v>1.0198078420333653E-2</v>
      </c>
      <c r="N1519">
        <v>0.18937779643159233</v>
      </c>
      <c r="O1519">
        <v>0.12067946459492288</v>
      </c>
      <c r="P1519">
        <v>8.2841039139941258E-2</v>
      </c>
      <c r="Q1519">
        <v>0</v>
      </c>
      <c r="R1519">
        <v>1.0198078420333653E-2</v>
      </c>
      <c r="S1519">
        <v>0.25766458021248428</v>
      </c>
      <c r="T1519">
        <v>5.9129332721971704</v>
      </c>
      <c r="U1519">
        <v>0</v>
      </c>
      <c r="V1519">
        <v>1.9085974382270787E-2</v>
      </c>
      <c r="W1519">
        <v>9.9808145732012618E-2</v>
      </c>
      <c r="X1519">
        <v>-8.4539056508356914E-4</v>
      </c>
      <c r="Y1519">
        <v>4.19938717446426E-2</v>
      </c>
    </row>
    <row r="1520" spans="1:25" x14ac:dyDescent="0.25">
      <c r="A1520" s="879"/>
      <c r="B1520" s="1133">
        <v>1270</v>
      </c>
      <c r="C1520" s="883">
        <v>0.97681132978497109</v>
      </c>
      <c r="D1520" s="883">
        <v>0.99506118334127991</v>
      </c>
      <c r="E1520" s="883">
        <v>0.99088920363007948</v>
      </c>
      <c r="F1520" s="883">
        <v>0.9707130126758402</v>
      </c>
      <c r="G1520" s="883">
        <v>0.98553263429073212</v>
      </c>
      <c r="H1520" s="883">
        <v>0.98606255433172729</v>
      </c>
      <c r="I1520" s="883">
        <v>0.97027922878144413</v>
      </c>
      <c r="K1520">
        <v>6.7457618684516234</v>
      </c>
      <c r="L1520">
        <v>0</v>
      </c>
      <c r="M1520">
        <v>1.0627701779882707E-2</v>
      </c>
      <c r="N1520">
        <v>0.1954837232239898</v>
      </c>
      <c r="O1520">
        <v>0.12530101916872097</v>
      </c>
      <c r="P1520">
        <v>8.253812966933341E-2</v>
      </c>
      <c r="Q1520">
        <v>0</v>
      </c>
      <c r="R1520">
        <v>1.0627701779882707E-2</v>
      </c>
      <c r="S1520">
        <v>0.26690862467617565</v>
      </c>
      <c r="T1520">
        <v>5.9110596509217075</v>
      </c>
      <c r="U1520">
        <v>0</v>
      </c>
      <c r="V1520">
        <v>1.9284510611444195E-2</v>
      </c>
      <c r="W1520">
        <v>0.10335653356588498</v>
      </c>
      <c r="X1520">
        <v>-1.9333076547981476E-3</v>
      </c>
      <c r="Y1520">
        <v>4.376298426915827E-2</v>
      </c>
    </row>
    <row r="1521" spans="1:25" x14ac:dyDescent="0.25">
      <c r="A1521" s="879"/>
      <c r="B1521" s="1133">
        <v>1271</v>
      </c>
      <c r="C1521" s="883">
        <v>1.0166434297690485</v>
      </c>
      <c r="D1521" s="883">
        <v>1.0206731865346397</v>
      </c>
      <c r="E1521" s="883">
        <v>1.0024742964881119</v>
      </c>
      <c r="F1521" s="883">
        <v>0.9815581998284898</v>
      </c>
      <c r="G1521" s="883">
        <v>0.98434570814885147</v>
      </c>
      <c r="H1521" s="883">
        <v>1.0302787944765273</v>
      </c>
      <c r="I1521" s="883">
        <v>0.98518567144225844</v>
      </c>
      <c r="K1521">
        <v>6.7357250270818154</v>
      </c>
      <c r="L1521">
        <v>0</v>
      </c>
      <c r="M1521">
        <v>1.0447494643684168E-2</v>
      </c>
      <c r="N1521">
        <v>0.1954965388235454</v>
      </c>
      <c r="O1521">
        <v>0.11896263177129937</v>
      </c>
      <c r="P1521">
        <v>8.3225633050360445E-2</v>
      </c>
      <c r="Q1521">
        <v>0</v>
      </c>
      <c r="R1521">
        <v>1.0447494643684168E-2</v>
      </c>
      <c r="S1521">
        <v>0.26418654418099796</v>
      </c>
      <c r="T1521">
        <v>5.9109970856102967</v>
      </c>
      <c r="U1521">
        <v>0</v>
      </c>
      <c r="V1521">
        <v>1.9065845297566001E-2</v>
      </c>
      <c r="W1521">
        <v>0.10276950836139204</v>
      </c>
      <c r="X1521">
        <v>-1.9996833716079535E-3</v>
      </c>
      <c r="Y1521">
        <v>4.3020923357967214E-2</v>
      </c>
    </row>
    <row r="1522" spans="1:25" x14ac:dyDescent="0.25">
      <c r="A1522" s="879"/>
      <c r="B1522" s="1133">
        <v>1272</v>
      </c>
      <c r="C1522" s="883">
        <v>1.018640358556623</v>
      </c>
      <c r="D1522" s="883">
        <v>1.0143651753217684</v>
      </c>
      <c r="E1522" s="883">
        <v>1.0051609293040389</v>
      </c>
      <c r="F1522" s="883">
        <v>0.98398094510056333</v>
      </c>
      <c r="G1522" s="883">
        <v>1.03395836121089</v>
      </c>
      <c r="H1522" s="883">
        <v>1.0109856229871543</v>
      </c>
      <c r="I1522" s="883">
        <v>0.97130207214752196</v>
      </c>
      <c r="K1522">
        <v>6.7247022422622065</v>
      </c>
      <c r="L1522">
        <v>0</v>
      </c>
      <c r="M1522">
        <v>1.0234883381505515E-2</v>
      </c>
      <c r="N1522">
        <v>0.19228167781869104</v>
      </c>
      <c r="O1522">
        <v>0.11897497297391757</v>
      </c>
      <c r="P1522">
        <v>8.3314552698315905E-2</v>
      </c>
      <c r="Q1522">
        <v>0</v>
      </c>
      <c r="R1522">
        <v>1.0234883381505515E-2</v>
      </c>
      <c r="S1522">
        <v>0.25829730584132005</v>
      </c>
      <c r="T1522">
        <v>5.9109764930814555</v>
      </c>
      <c r="U1522">
        <v>0</v>
      </c>
      <c r="V1522">
        <v>1.9055332965245465E-2</v>
      </c>
      <c r="W1522">
        <v>0.10094493784895442</v>
      </c>
      <c r="X1522">
        <v>-1.2884589893999987E-3</v>
      </c>
      <c r="Y1522">
        <v>4.2145428023709443E-2</v>
      </c>
    </row>
    <row r="1523" spans="1:25" x14ac:dyDescent="0.25">
      <c r="A1523" s="879"/>
      <c r="B1523" s="1133">
        <v>1273</v>
      </c>
      <c r="C1523" s="883">
        <v>0.98039147106452307</v>
      </c>
      <c r="D1523" s="883">
        <v>1.040357483623306</v>
      </c>
      <c r="E1523" s="883">
        <v>1.0010777874975243</v>
      </c>
      <c r="F1523" s="883">
        <v>0.9983961872025241</v>
      </c>
      <c r="G1523" s="883">
        <v>1.0144828228341169</v>
      </c>
      <c r="H1523" s="883">
        <v>0.99330010245081712</v>
      </c>
      <c r="I1523" s="883">
        <v>0.97763960645807668</v>
      </c>
      <c r="K1523">
        <v>6.74203047781217</v>
      </c>
      <c r="L1523">
        <v>0</v>
      </c>
      <c r="M1523">
        <v>1.0372600716186398E-2</v>
      </c>
      <c r="N1523">
        <v>0.19369400604917092</v>
      </c>
      <c r="O1523">
        <v>0.12244882267439328</v>
      </c>
      <c r="P1523">
        <v>8.3208225356718485E-2</v>
      </c>
      <c r="Q1523">
        <v>0</v>
      </c>
      <c r="R1523">
        <v>1.0372600716186398E-2</v>
      </c>
      <c r="S1523">
        <v>0.26823848551481921</v>
      </c>
      <c r="T1523">
        <v>5.9119856386906831</v>
      </c>
      <c r="U1523">
        <v>0</v>
      </c>
      <c r="V1523">
        <v>1.9264130057056218E-2</v>
      </c>
      <c r="W1523">
        <v>0.10189253695281873</v>
      </c>
      <c r="X1523">
        <v>-1.413890978644665E-3</v>
      </c>
      <c r="Y1523">
        <v>4.2712523495153538E-2</v>
      </c>
    </row>
    <row r="1524" spans="1:25" x14ac:dyDescent="0.25">
      <c r="A1524" s="879"/>
      <c r="B1524" s="1133">
        <v>1274</v>
      </c>
      <c r="C1524" s="883">
        <v>0.96961431725041125</v>
      </c>
      <c r="D1524" s="883">
        <v>1.0205565705203374</v>
      </c>
      <c r="E1524" s="883">
        <v>0.99565488154467219</v>
      </c>
      <c r="F1524" s="883">
        <v>1.0207744318753664</v>
      </c>
      <c r="G1524" s="883">
        <v>0.97819403227815283</v>
      </c>
      <c r="H1524" s="883">
        <v>0.98148368863807944</v>
      </c>
      <c r="I1524" s="883">
        <v>1.0318249499298888</v>
      </c>
      <c r="K1524">
        <v>6.7648404945821339</v>
      </c>
      <c r="L1524">
        <v>0</v>
      </c>
      <c r="M1524">
        <v>1.0498283031158769E-2</v>
      </c>
      <c r="N1524">
        <v>0.19447209028851076</v>
      </c>
      <c r="O1524">
        <v>0.12486903470979176</v>
      </c>
      <c r="P1524">
        <v>8.3115671272634833E-2</v>
      </c>
      <c r="Q1524">
        <v>0</v>
      </c>
      <c r="R1524">
        <v>1.0498283031158769E-2</v>
      </c>
      <c r="S1524">
        <v>0.2852501866579365</v>
      </c>
      <c r="T1524">
        <v>5.9134993665092468</v>
      </c>
      <c r="U1524">
        <v>0</v>
      </c>
      <c r="V1524">
        <v>1.9325936190919813E-2</v>
      </c>
      <c r="W1524">
        <v>0.10257792242262592</v>
      </c>
      <c r="X1524">
        <v>-1.4997743671234234E-3</v>
      </c>
      <c r="Y1524">
        <v>4.3230060897591661E-2</v>
      </c>
    </row>
    <row r="1525" spans="1:25" x14ac:dyDescent="0.25">
      <c r="A1525" s="879"/>
      <c r="B1525" s="1133">
        <v>1275</v>
      </c>
      <c r="C1525" s="883">
        <v>1.0042628867230461</v>
      </c>
      <c r="D1525" s="883">
        <v>1.0069567429129898</v>
      </c>
      <c r="E1525" s="883">
        <v>0.99681640423708062</v>
      </c>
      <c r="F1525" s="883">
        <v>0.98565736178765107</v>
      </c>
      <c r="G1525" s="883">
        <v>1.0179486520913898</v>
      </c>
      <c r="H1525" s="883">
        <v>0.98422134639575731</v>
      </c>
      <c r="I1525" s="883">
        <v>0.99910706376251002</v>
      </c>
      <c r="K1525">
        <v>6.7324688816153841</v>
      </c>
      <c r="L1525">
        <v>0</v>
      </c>
      <c r="M1525">
        <v>1.0212528869688009E-2</v>
      </c>
      <c r="N1525">
        <v>0.18950463371536572</v>
      </c>
      <c r="O1525">
        <v>0.12118798450173111</v>
      </c>
      <c r="P1525">
        <v>8.2916878099762323E-2</v>
      </c>
      <c r="Q1525">
        <v>0</v>
      </c>
      <c r="R1525">
        <v>1.0212528869688009E-2</v>
      </c>
      <c r="S1525">
        <v>0.26705252897542198</v>
      </c>
      <c r="T1525">
        <v>5.911536395497297</v>
      </c>
      <c r="U1525">
        <v>0</v>
      </c>
      <c r="V1525">
        <v>1.913195263472461E-2</v>
      </c>
      <c r="W1525">
        <v>9.9900012181068754E-2</v>
      </c>
      <c r="X1525">
        <v>-8.1488011298835145E-4</v>
      </c>
      <c r="Y1525">
        <v>4.2053376122999718E-2</v>
      </c>
    </row>
    <row r="1526" spans="1:25" x14ac:dyDescent="0.25">
      <c r="A1526" s="879"/>
      <c r="B1526" s="1133">
        <v>1276</v>
      </c>
      <c r="C1526" s="883">
        <v>1.0006862500401008</v>
      </c>
      <c r="D1526" s="883">
        <v>0.99063493327884988</v>
      </c>
      <c r="E1526" s="883">
        <v>1.0130517167679427</v>
      </c>
      <c r="F1526" s="883">
        <v>1.0193122213600971</v>
      </c>
      <c r="G1526" s="883">
        <v>1.0071316459395065</v>
      </c>
      <c r="H1526" s="883">
        <v>1.0380755230104057</v>
      </c>
      <c r="I1526" s="883">
        <v>0.97578783136955105</v>
      </c>
      <c r="K1526">
        <v>6.7563218288114708</v>
      </c>
      <c r="L1526">
        <v>0</v>
      </c>
      <c r="M1526">
        <v>1.0732383817319524E-2</v>
      </c>
      <c r="N1526">
        <v>0.20399743401284068</v>
      </c>
      <c r="O1526">
        <v>0.12211284639489038</v>
      </c>
      <c r="P1526">
        <v>8.3946218764780811E-2</v>
      </c>
      <c r="Q1526">
        <v>0</v>
      </c>
      <c r="R1526">
        <v>1.0732383817319524E-2</v>
      </c>
      <c r="S1526">
        <v>0.26689940804514967</v>
      </c>
      <c r="T1526">
        <v>5.9124381688615451</v>
      </c>
      <c r="U1526">
        <v>0</v>
      </c>
      <c r="V1526">
        <v>1.9151355037762816E-2</v>
      </c>
      <c r="W1526">
        <v>0.10667821458369924</v>
      </c>
      <c r="X1526">
        <v>-3.0958631558088028E-3</v>
      </c>
      <c r="Y1526">
        <v>4.4194046266615009E-2</v>
      </c>
    </row>
    <row r="1527" spans="1:25" x14ac:dyDescent="0.25">
      <c r="A1527" s="879"/>
      <c r="B1527" s="1133">
        <v>1277</v>
      </c>
      <c r="C1527" s="883">
        <v>0.9911237981402875</v>
      </c>
      <c r="D1527" s="883">
        <v>0.98705036705855154</v>
      </c>
      <c r="E1527" s="883">
        <v>0.96321017012181798</v>
      </c>
      <c r="F1527" s="883">
        <v>0.98035685349226154</v>
      </c>
      <c r="G1527" s="883">
        <v>1.0177368916282721</v>
      </c>
      <c r="H1527" s="883">
        <v>1.0092805863361758</v>
      </c>
      <c r="I1527" s="883">
        <v>0.99528617372472361</v>
      </c>
      <c r="K1527">
        <v>6.751196831337043</v>
      </c>
      <c r="L1527">
        <v>0</v>
      </c>
      <c r="M1527">
        <v>1.1020676189781142E-2</v>
      </c>
      <c r="N1527">
        <v>0.19455414278404159</v>
      </c>
      <c r="O1527">
        <v>0.12441167838742097</v>
      </c>
      <c r="P1527">
        <v>8.0887686868446884E-2</v>
      </c>
      <c r="Q1527">
        <v>0</v>
      </c>
      <c r="R1527">
        <v>1.1020676189781142E-2</v>
      </c>
      <c r="S1527">
        <v>0.27207484317993896</v>
      </c>
      <c r="T1527">
        <v>5.913100431036094</v>
      </c>
      <c r="U1527">
        <v>0</v>
      </c>
      <c r="V1527">
        <v>1.9203916745612493E-2</v>
      </c>
      <c r="W1527">
        <v>0.10430234526148592</v>
      </c>
      <c r="X1527">
        <v>-2.7193958682821366E-3</v>
      </c>
      <c r="Y1527">
        <v>4.5381182942282577E-2</v>
      </c>
    </row>
    <row r="1528" spans="1:25" x14ac:dyDescent="0.25">
      <c r="A1528" s="879"/>
      <c r="B1528" s="1133">
        <v>1278</v>
      </c>
      <c r="C1528" s="883">
        <v>1.0164057582462276</v>
      </c>
      <c r="D1528" s="883">
        <v>1.0265510138254326</v>
      </c>
      <c r="E1528" s="883">
        <v>1.0065989487261369</v>
      </c>
      <c r="F1528" s="883">
        <v>0.99450576299067783</v>
      </c>
      <c r="G1528" s="883">
        <v>1.0179525240264335</v>
      </c>
      <c r="H1528" s="883">
        <v>1.0120320604857194</v>
      </c>
      <c r="I1528" s="883">
        <v>1.0413141201804978</v>
      </c>
      <c r="K1528">
        <v>6.7440894825897404</v>
      </c>
      <c r="L1528">
        <v>0</v>
      </c>
      <c r="M1528">
        <v>1.0202823983313965E-2</v>
      </c>
      <c r="N1528">
        <v>0.19208799199294962</v>
      </c>
      <c r="O1528">
        <v>0.11864203674574134</v>
      </c>
      <c r="P1528">
        <v>8.3670005358415872E-2</v>
      </c>
      <c r="Q1528">
        <v>0</v>
      </c>
      <c r="R1528">
        <v>1.0202823983313965E-2</v>
      </c>
      <c r="S1528">
        <v>0.27750558560965755</v>
      </c>
      <c r="T1528">
        <v>5.9114639583885236</v>
      </c>
      <c r="U1528">
        <v>0</v>
      </c>
      <c r="V1528">
        <v>1.9067099210594154E-2</v>
      </c>
      <c r="W1528">
        <v>0.10077143500906768</v>
      </c>
      <c r="X1528">
        <v>-1.1320428535296916E-3</v>
      </c>
      <c r="Y1528">
        <v>4.2013413128316787E-2</v>
      </c>
    </row>
    <row r="1529" spans="1:25" x14ac:dyDescent="0.25">
      <c r="A1529" s="879"/>
      <c r="B1529" s="1133">
        <v>1279</v>
      </c>
      <c r="C1529" s="883">
        <v>0.99848560219942561</v>
      </c>
      <c r="D1529" s="883">
        <v>1.0108564734884302</v>
      </c>
      <c r="E1529" s="883">
        <v>0.99770320627625886</v>
      </c>
      <c r="F1529" s="883">
        <v>1.0181974640168221</v>
      </c>
      <c r="G1529" s="883">
        <v>0.9850293299425118</v>
      </c>
      <c r="H1529" s="883">
        <v>1.0111298277067451</v>
      </c>
      <c r="I1529" s="883">
        <v>1.0190525651323923</v>
      </c>
      <c r="K1529">
        <v>6.753801058383198</v>
      </c>
      <c r="L1529">
        <v>0</v>
      </c>
      <c r="M1529">
        <v>1.0526838027489717E-2</v>
      </c>
      <c r="N1529">
        <v>0.19559383442349643</v>
      </c>
      <c r="O1529">
        <v>0.12168432385822804</v>
      </c>
      <c r="P1529">
        <v>8.3122218552875674E-2</v>
      </c>
      <c r="Q1529">
        <v>0</v>
      </c>
      <c r="R1529">
        <v>1.0526838027489717E-2</v>
      </c>
      <c r="S1529">
        <v>0.27650212595437401</v>
      </c>
      <c r="T1529">
        <v>5.9132453222643715</v>
      </c>
      <c r="U1529">
        <v>0</v>
      </c>
      <c r="V1529">
        <v>1.9163362102487667E-2</v>
      </c>
      <c r="W1529">
        <v>0.10306456716915591</v>
      </c>
      <c r="X1529">
        <v>-1.9223412316785385E-3</v>
      </c>
      <c r="Y1529">
        <v>4.3347645289882615E-2</v>
      </c>
    </row>
    <row r="1530" spans="1:25" x14ac:dyDescent="0.25">
      <c r="A1530" s="879"/>
      <c r="B1530" s="1133">
        <v>1280</v>
      </c>
      <c r="C1530" s="883">
        <v>0.99915188264212906</v>
      </c>
      <c r="D1530" s="883">
        <v>1.0173646815835817</v>
      </c>
      <c r="E1530" s="883">
        <v>1.0204994462137795</v>
      </c>
      <c r="F1530" s="883">
        <v>1.0121314074538317</v>
      </c>
      <c r="G1530" s="883">
        <v>0.96787005426925843</v>
      </c>
      <c r="H1530" s="883">
        <v>0.96366054081776442</v>
      </c>
      <c r="I1530" s="883">
        <v>1.0053471448486841</v>
      </c>
      <c r="K1530">
        <v>6.7312424073091695</v>
      </c>
      <c r="L1530">
        <v>0</v>
      </c>
      <c r="M1530">
        <v>9.8011074744364969E-3</v>
      </c>
      <c r="N1530">
        <v>0.18836038818714906</v>
      </c>
      <c r="O1530">
        <v>0.12086495709183766</v>
      </c>
      <c r="P1530">
        <v>8.4418486659686418E-2</v>
      </c>
      <c r="Q1530">
        <v>0</v>
      </c>
      <c r="R1530">
        <v>9.8011074744364969E-3</v>
      </c>
      <c r="S1530">
        <v>0.26810601867319289</v>
      </c>
      <c r="T1530">
        <v>5.9116246430256796</v>
      </c>
      <c r="U1530">
        <v>0</v>
      </c>
      <c r="V1530">
        <v>1.9159721193787005E-2</v>
      </c>
      <c r="W1530">
        <v>9.8139810269620653E-2</v>
      </c>
      <c r="X1530">
        <v>2.0916616058219649E-4</v>
      </c>
      <c r="Y1530">
        <v>4.0359216047632457E-2</v>
      </c>
    </row>
    <row r="1531" spans="1:25" x14ac:dyDescent="0.25">
      <c r="A1531" s="879"/>
      <c r="B1531" s="1133">
        <v>1281</v>
      </c>
      <c r="C1531" s="883">
        <v>1.000155580680117</v>
      </c>
      <c r="D1531" s="883">
        <v>1.023807479836202</v>
      </c>
      <c r="E1531" s="883">
        <v>0.99254251561462814</v>
      </c>
      <c r="F1531" s="883">
        <v>1.0142063860642319</v>
      </c>
      <c r="G1531" s="883">
        <v>0.96809084031161463</v>
      </c>
      <c r="H1531" s="883">
        <v>0.99655820174833321</v>
      </c>
      <c r="I1531" s="883">
        <v>1.0339926656245106</v>
      </c>
      <c r="K1531">
        <v>6.7478399728887721</v>
      </c>
      <c r="L1531">
        <v>0</v>
      </c>
      <c r="M1531">
        <v>1.0348043130405006E-2</v>
      </c>
      <c r="N1531">
        <v>0.19080680776458889</v>
      </c>
      <c r="O1531">
        <v>0.12095967034157369</v>
      </c>
      <c r="P1531">
        <v>8.2825342174046343E-2</v>
      </c>
      <c r="Q1531">
        <v>0</v>
      </c>
      <c r="R1531">
        <v>1.0348043130405006E-2</v>
      </c>
      <c r="S1531">
        <v>0.27854086456528859</v>
      </c>
      <c r="T1531">
        <v>5.9133183164034557</v>
      </c>
      <c r="U1531">
        <v>0</v>
      </c>
      <c r="V1531">
        <v>1.9154245614870492E-2</v>
      </c>
      <c r="W1531">
        <v>0.10080066439657069</v>
      </c>
      <c r="X1531">
        <v>-1.1773380996110028E-3</v>
      </c>
      <c r="Y1531">
        <v>4.2611399727993084E-2</v>
      </c>
    </row>
    <row r="1532" spans="1:25" x14ac:dyDescent="0.25">
      <c r="A1532" s="879"/>
      <c r="B1532" s="1133">
        <v>1282</v>
      </c>
      <c r="C1532" s="883">
        <v>0.95878841518028057</v>
      </c>
      <c r="D1532" s="883">
        <v>1.0151494952769333</v>
      </c>
      <c r="E1532" s="883">
        <v>0.96920274959037078</v>
      </c>
      <c r="F1532" s="883">
        <v>1.0159658648790773</v>
      </c>
      <c r="G1532" s="883">
        <v>1.0040775328850722</v>
      </c>
      <c r="H1532" s="883">
        <v>0.97365264218943004</v>
      </c>
      <c r="I1532" s="883">
        <v>0.98617455792778896</v>
      </c>
      <c r="K1532">
        <v>6.7552794478933214</v>
      </c>
      <c r="L1532">
        <v>0</v>
      </c>
      <c r="M1532">
        <v>1.0802373383214627E-2</v>
      </c>
      <c r="N1532">
        <v>0.19240516323329829</v>
      </c>
      <c r="O1532">
        <v>0.12705707229500451</v>
      </c>
      <c r="P1532">
        <v>8.1327081637860565E-2</v>
      </c>
      <c r="Q1532">
        <v>0</v>
      </c>
      <c r="R1532">
        <v>1.0802373383214627E-2</v>
      </c>
      <c r="S1532">
        <v>0.27495584158415393</v>
      </c>
      <c r="T1532">
        <v>5.9147004632447171</v>
      </c>
      <c r="U1532">
        <v>0</v>
      </c>
      <c r="V1532">
        <v>1.9389420783624021E-2</v>
      </c>
      <c r="W1532">
        <v>0.10283946833794018</v>
      </c>
      <c r="X1532">
        <v>-1.8773140645736922E-3</v>
      </c>
      <c r="Y1532">
        <v>4.4482250841292731E-2</v>
      </c>
    </row>
    <row r="1533" spans="1:25" x14ac:dyDescent="0.25">
      <c r="A1533" s="879"/>
      <c r="B1533" s="1133">
        <v>1283</v>
      </c>
      <c r="C1533" s="883">
        <v>1.0148869722117075</v>
      </c>
      <c r="D1533" s="883">
        <v>0.98389572005789339</v>
      </c>
      <c r="E1533" s="883">
        <v>0.97444102579736436</v>
      </c>
      <c r="F1533" s="883">
        <v>1.0023085488729815</v>
      </c>
      <c r="G1533" s="883">
        <v>0.98597788576312184</v>
      </c>
      <c r="H1533" s="883">
        <v>0.99105162335935904</v>
      </c>
      <c r="I1533" s="883">
        <v>0.99575236385053223</v>
      </c>
      <c r="K1533">
        <v>6.7301575559786082</v>
      </c>
      <c r="L1533">
        <v>0</v>
      </c>
      <c r="M1533">
        <v>1.0479786012893622E-2</v>
      </c>
      <c r="N1533">
        <v>0.18811667977269811</v>
      </c>
      <c r="O1533">
        <v>0.12144877572251996</v>
      </c>
      <c r="P1533">
        <v>8.1498741255805932E-2</v>
      </c>
      <c r="Q1533">
        <v>0</v>
      </c>
      <c r="R1533">
        <v>1.0479786012893622E-2</v>
      </c>
      <c r="S1533">
        <v>0.26418408597149368</v>
      </c>
      <c r="T1533">
        <v>5.9136758926432886</v>
      </c>
      <c r="U1533">
        <v>0</v>
      </c>
      <c r="V1533">
        <v>1.9075125925568908E-2</v>
      </c>
      <c r="W1533">
        <v>0.10028304164889754</v>
      </c>
      <c r="X1533">
        <v>-1.2786804303870647E-3</v>
      </c>
      <c r="Y1533">
        <v>4.3153893468722275E-2</v>
      </c>
    </row>
    <row r="1534" spans="1:25" x14ac:dyDescent="0.25">
      <c r="A1534" s="879"/>
      <c r="B1534" s="1133">
        <v>1284</v>
      </c>
      <c r="C1534" s="883">
        <v>1.0252696425043166</v>
      </c>
      <c r="D1534" s="883">
        <v>0.96680631736760181</v>
      </c>
      <c r="E1534" s="883">
        <v>0.97749587956822825</v>
      </c>
      <c r="F1534" s="883">
        <v>1.0007202579966787</v>
      </c>
      <c r="G1534" s="883">
        <v>0.99294145868968542</v>
      </c>
      <c r="H1534" s="883">
        <v>1.0170794486406936</v>
      </c>
      <c r="I1534" s="883">
        <v>0.98364947875035702</v>
      </c>
      <c r="K1534">
        <v>6.7334363902172543</v>
      </c>
      <c r="L1534">
        <v>0</v>
      </c>
      <c r="M1534">
        <v>1.0697864651860211E-2</v>
      </c>
      <c r="N1534">
        <v>0.19290388961443616</v>
      </c>
      <c r="O1534">
        <v>0.12100850060828512</v>
      </c>
      <c r="P1534">
        <v>8.1643808079353106E-2</v>
      </c>
      <c r="Q1534">
        <v>0</v>
      </c>
      <c r="R1534">
        <v>1.0697864651860211E-2</v>
      </c>
      <c r="S1534">
        <v>0.26089656751335527</v>
      </c>
      <c r="T1534">
        <v>5.9134224459508893</v>
      </c>
      <c r="U1534">
        <v>0</v>
      </c>
      <c r="V1534">
        <v>1.9020728377088267E-2</v>
      </c>
      <c r="W1534">
        <v>0.10267761844890687</v>
      </c>
      <c r="X1534">
        <v>-2.1890708624981319E-3</v>
      </c>
      <c r="Y1534">
        <v>4.4051902487435964E-2</v>
      </c>
    </row>
    <row r="1535" spans="1:25" x14ac:dyDescent="0.25">
      <c r="A1535" s="879"/>
      <c r="B1535" s="1133">
        <v>1285</v>
      </c>
      <c r="C1535" s="883">
        <v>0.99903584632389952</v>
      </c>
      <c r="D1535" s="883">
        <v>0.9989324072324447</v>
      </c>
      <c r="E1535" s="883">
        <v>0.96385446133648411</v>
      </c>
      <c r="F1535" s="883">
        <v>0.99621361804129283</v>
      </c>
      <c r="G1535" s="883">
        <v>1.0355133188569001</v>
      </c>
      <c r="H1535" s="883">
        <v>1.0208842771569013</v>
      </c>
      <c r="I1535" s="883">
        <v>0.96795687002371034</v>
      </c>
      <c r="K1535">
        <v>6.7411184129429671</v>
      </c>
      <c r="L1535">
        <v>0</v>
      </c>
      <c r="M1535">
        <v>1.099638041101153E-2</v>
      </c>
      <c r="N1535">
        <v>0.19431112028931741</v>
      </c>
      <c r="O1535">
        <v>0.1228251445440635</v>
      </c>
      <c r="P1535">
        <v>8.0826090467955469E-2</v>
      </c>
      <c r="Q1535">
        <v>0</v>
      </c>
      <c r="R1535">
        <v>1.099638041101153E-2</v>
      </c>
      <c r="S1535">
        <v>0.26344696617253099</v>
      </c>
      <c r="T1535">
        <v>5.9139229871009933</v>
      </c>
      <c r="U1535">
        <v>0</v>
      </c>
      <c r="V1535">
        <v>1.9160354928357878E-2</v>
      </c>
      <c r="W1535">
        <v>0.1041382307897433</v>
      </c>
      <c r="X1535">
        <v>-2.7936185997919707E-3</v>
      </c>
      <c r="Y1535">
        <v>4.5281137249796738E-2</v>
      </c>
    </row>
    <row r="1536" spans="1:25" x14ac:dyDescent="0.25">
      <c r="A1536" s="879"/>
      <c r="B1536" s="1133">
        <v>1286</v>
      </c>
      <c r="C1536" s="883">
        <v>1.0273327169062991</v>
      </c>
      <c r="D1536" s="883">
        <v>0.97803812100301069</v>
      </c>
      <c r="E1536" s="883">
        <v>1.0150324624848606</v>
      </c>
      <c r="F1536" s="883">
        <v>0.99561664277284323</v>
      </c>
      <c r="G1536" s="883">
        <v>1.0012948700939899</v>
      </c>
      <c r="H1536" s="883">
        <v>0.96351171049214412</v>
      </c>
      <c r="I1536" s="883">
        <v>0.98082124406523685</v>
      </c>
      <c r="K1536">
        <v>6.7113236191504297</v>
      </c>
      <c r="L1536">
        <v>0</v>
      </c>
      <c r="M1536">
        <v>9.7395837055805189E-3</v>
      </c>
      <c r="N1536">
        <v>0.18567010774063561</v>
      </c>
      <c r="O1536">
        <v>0.11951928577953834</v>
      </c>
      <c r="P1536">
        <v>8.3884229928524484E-2</v>
      </c>
      <c r="Q1536">
        <v>0</v>
      </c>
      <c r="R1536">
        <v>9.7395837055805189E-3</v>
      </c>
      <c r="S1536">
        <v>0.25469206815457462</v>
      </c>
      <c r="T1536">
        <v>5.9110450135516883</v>
      </c>
      <c r="U1536">
        <v>0</v>
      </c>
      <c r="V1536">
        <v>1.9010050332893595E-2</v>
      </c>
      <c r="W1536">
        <v>9.6999221579026199E-2</v>
      </c>
      <c r="X1536">
        <v>3.9776996524289057E-4</v>
      </c>
      <c r="Y1536">
        <v>4.0105872118306157E-2</v>
      </c>
    </row>
    <row r="1537" spans="1:25" x14ac:dyDescent="0.25">
      <c r="A1537" s="879"/>
      <c r="B1537" s="1133">
        <v>1287</v>
      </c>
      <c r="C1537" s="883">
        <v>0.9655057029060673</v>
      </c>
      <c r="D1537" s="883">
        <v>0.98029379652135884</v>
      </c>
      <c r="E1537" s="883">
        <v>1.0001689755582457</v>
      </c>
      <c r="F1537" s="883">
        <v>0.95753759853076026</v>
      </c>
      <c r="G1537" s="883">
        <v>1.0317523521957206</v>
      </c>
      <c r="H1537" s="883">
        <v>1.0117251935231888</v>
      </c>
      <c r="I1537" s="883">
        <v>0.96379189440838609</v>
      </c>
      <c r="K1537">
        <v>6.7658860152743943</v>
      </c>
      <c r="L1537">
        <v>0</v>
      </c>
      <c r="M1537">
        <v>1.1013288371165362E-2</v>
      </c>
      <c r="N1537">
        <v>0.20538126763413009</v>
      </c>
      <c r="O1537">
        <v>0.1273475229113919</v>
      </c>
      <c r="P1537">
        <v>8.3158093503875902E-2</v>
      </c>
      <c r="Q1537">
        <v>0</v>
      </c>
      <c r="R1537">
        <v>1.1013288371165362E-2</v>
      </c>
      <c r="S1537">
        <v>0.27082582350594031</v>
      </c>
      <c r="T1537">
        <v>5.9098286415401446</v>
      </c>
      <c r="U1537">
        <v>0</v>
      </c>
      <c r="V1537">
        <v>1.9349862050859638E-2</v>
      </c>
      <c r="W1537">
        <v>0.10808937150448446</v>
      </c>
      <c r="X1537">
        <v>-3.4453285966362271E-3</v>
      </c>
      <c r="Y1537">
        <v>4.5350761220205489E-2</v>
      </c>
    </row>
    <row r="1538" spans="1:25" x14ac:dyDescent="0.25">
      <c r="A1538" s="879"/>
      <c r="B1538" s="1133">
        <v>1288</v>
      </c>
      <c r="C1538" s="883">
        <v>0.98870893283666028</v>
      </c>
      <c r="D1538" s="883">
        <v>1.0201818888483358</v>
      </c>
      <c r="E1538" s="883">
        <v>0.96810909086984198</v>
      </c>
      <c r="F1538" s="883">
        <v>1.0040501051477271</v>
      </c>
      <c r="G1538" s="883">
        <v>1.0047993357123228</v>
      </c>
      <c r="H1538" s="883">
        <v>1.0043002756722283</v>
      </c>
      <c r="I1538" s="883">
        <v>1.0047379167904942</v>
      </c>
      <c r="K1538">
        <v>6.7489784996198834</v>
      </c>
      <c r="L1538">
        <v>0</v>
      </c>
      <c r="M1538">
        <v>1.0792629742643767E-2</v>
      </c>
      <c r="N1538">
        <v>0.19191968367365148</v>
      </c>
      <c r="O1538">
        <v>0.12298881627189082</v>
      </c>
      <c r="P1538">
        <v>8.1242415818578301E-2</v>
      </c>
      <c r="Q1538">
        <v>0</v>
      </c>
      <c r="R1538">
        <v>1.0792629742643767E-2</v>
      </c>
      <c r="S1538">
        <v>0.27451984225753723</v>
      </c>
      <c r="T1538">
        <v>5.9141157334374936</v>
      </c>
      <c r="U1538">
        <v>0</v>
      </c>
      <c r="V1538">
        <v>1.9217351279108768E-2</v>
      </c>
      <c r="W1538">
        <v>0.10263643233241636</v>
      </c>
      <c r="X1538">
        <v>-2.1039037145196846E-3</v>
      </c>
      <c r="Y1538">
        <v>4.4442128263725296E-2</v>
      </c>
    </row>
    <row r="1539" spans="1:25" x14ac:dyDescent="0.25">
      <c r="A1539" s="879"/>
      <c r="B1539" s="1133">
        <v>1289</v>
      </c>
      <c r="C1539" s="883">
        <v>0.97508393459823506</v>
      </c>
      <c r="D1539" s="883">
        <v>0.97319255672161009</v>
      </c>
      <c r="E1539" s="883">
        <v>1.029012164801256</v>
      </c>
      <c r="F1539" s="883">
        <v>1.0357511470256138</v>
      </c>
      <c r="G1539" s="883">
        <v>0.97842944619466532</v>
      </c>
      <c r="H1539" s="883">
        <v>1.0333217656159825</v>
      </c>
      <c r="I1539" s="883">
        <v>1.0281865731134749</v>
      </c>
      <c r="K1539">
        <v>6.7943623465742995</v>
      </c>
      <c r="L1539">
        <v>0</v>
      </c>
      <c r="M1539">
        <v>1.0894229520027011E-2</v>
      </c>
      <c r="N1539">
        <v>0.21202056991970575</v>
      </c>
      <c r="O1539">
        <v>0.12589957426594039</v>
      </c>
      <c r="P1539">
        <v>8.5241862539465987E-2</v>
      </c>
      <c r="Q1539">
        <v>0</v>
      </c>
      <c r="R1539">
        <v>1.0894229520027011E-2</v>
      </c>
      <c r="S1539">
        <v>0.28839287217277598</v>
      </c>
      <c r="T1539">
        <v>5.9124104245323075</v>
      </c>
      <c r="U1539">
        <v>0</v>
      </c>
      <c r="V1539">
        <v>1.9294397623342355E-2</v>
      </c>
      <c r="W1539">
        <v>0.1100059146391615</v>
      </c>
      <c r="X1539">
        <v>-3.7637671813073531E-3</v>
      </c>
      <c r="Y1539">
        <v>4.4860498062903278E-2</v>
      </c>
    </row>
    <row r="1540" spans="1:25" x14ac:dyDescent="0.25">
      <c r="A1540" s="879"/>
      <c r="B1540" s="1133">
        <v>1290</v>
      </c>
      <c r="C1540" s="883">
        <v>0.98011314158115914</v>
      </c>
      <c r="D1540" s="883">
        <v>0.95715922814576171</v>
      </c>
      <c r="E1540" s="883">
        <v>1.0283750458972623</v>
      </c>
      <c r="F1540" s="883">
        <v>1.0437929268820465</v>
      </c>
      <c r="G1540" s="883">
        <v>0.99249522714871163</v>
      </c>
      <c r="H1540" s="883">
        <v>1.0000245635735023</v>
      </c>
      <c r="I1540" s="883">
        <v>0.99326863457375536</v>
      </c>
      <c r="K1540">
        <v>6.770564784051464</v>
      </c>
      <c r="L1540">
        <v>0</v>
      </c>
      <c r="M1540">
        <v>1.0569980119714661E-2</v>
      </c>
      <c r="N1540">
        <v>0.2055164525465786</v>
      </c>
      <c r="O1540">
        <v>0.12610118397183129</v>
      </c>
      <c r="P1540">
        <v>8.5012767929275715E-2</v>
      </c>
      <c r="Q1540">
        <v>0</v>
      </c>
      <c r="R1540">
        <v>1.0569980119714661E-2</v>
      </c>
      <c r="S1540">
        <v>0.27413408367384068</v>
      </c>
      <c r="T1540">
        <v>5.9128816603257119</v>
      </c>
      <c r="U1540">
        <v>0</v>
      </c>
      <c r="V1540">
        <v>1.9265709156634895E-2</v>
      </c>
      <c r="W1540">
        <v>0.10666463458652099</v>
      </c>
      <c r="X1540">
        <v>-2.5370048855926286E-3</v>
      </c>
      <c r="Y1540">
        <v>4.3525296746658781E-2</v>
      </c>
    </row>
    <row r="1541" spans="1:25" x14ac:dyDescent="0.25">
      <c r="A1541" s="879"/>
      <c r="B1541" s="1133">
        <v>1291</v>
      </c>
      <c r="C1541" s="883">
        <v>0.99082632935148907</v>
      </c>
      <c r="D1541" s="883">
        <v>0.9895178769717079</v>
      </c>
      <c r="E1541" s="883">
        <v>1.0015494373407674</v>
      </c>
      <c r="F1541" s="883">
        <v>1.031594016356522</v>
      </c>
      <c r="G1541" s="883">
        <v>1.0157788916930599</v>
      </c>
      <c r="H1541" s="883">
        <v>1.0025133882028117</v>
      </c>
      <c r="I1541" s="883">
        <v>0.9735601394397293</v>
      </c>
      <c r="K1541">
        <v>6.7484997385748269</v>
      </c>
      <c r="L1541">
        <v>0</v>
      </c>
      <c r="M1541">
        <v>1.0578766267156859E-2</v>
      </c>
      <c r="N1541">
        <v>0.19768192993784162</v>
      </c>
      <c r="O1541">
        <v>0.1236029104673957</v>
      </c>
      <c r="P1541">
        <v>8.322567790930871E-2</v>
      </c>
      <c r="Q1541">
        <v>0</v>
      </c>
      <c r="R1541">
        <v>1.0578766267156859E-2</v>
      </c>
      <c r="S1541">
        <v>0.26562456651426214</v>
      </c>
      <c r="T1541">
        <v>5.9137531543984965</v>
      </c>
      <c r="U1541">
        <v>0</v>
      </c>
      <c r="V1541">
        <v>1.920556810653486E-2</v>
      </c>
      <c r="W1541">
        <v>0.10396603779985228</v>
      </c>
      <c r="X1541">
        <v>-2.1215830968114276E-3</v>
      </c>
      <c r="Y1541">
        <v>4.3561476537949811E-2</v>
      </c>
    </row>
    <row r="1542" spans="1:25" x14ac:dyDescent="0.25">
      <c r="A1542" s="879"/>
      <c r="B1542" s="1133">
        <v>1292</v>
      </c>
      <c r="C1542" s="883">
        <v>0.96646674638501839</v>
      </c>
      <c r="D1542" s="883">
        <v>0.97302220388642224</v>
      </c>
      <c r="E1542" s="883">
        <v>0.98889418456223044</v>
      </c>
      <c r="F1542" s="883">
        <v>0.98786533026190393</v>
      </c>
      <c r="G1542" s="883">
        <v>0.98797087265923567</v>
      </c>
      <c r="H1542" s="883">
        <v>0.97934547409808548</v>
      </c>
      <c r="I1542" s="883">
        <v>1.0485498564474054</v>
      </c>
      <c r="K1542">
        <v>6.7779293550963837</v>
      </c>
      <c r="L1542">
        <v>0</v>
      </c>
      <c r="M1542">
        <v>1.0789949967020403E-2</v>
      </c>
      <c r="N1542">
        <v>0.1978819211400219</v>
      </c>
      <c r="O1542">
        <v>0.12782077325547822</v>
      </c>
      <c r="P1542">
        <v>8.2748217047924191E-2</v>
      </c>
      <c r="Q1542">
        <v>0</v>
      </c>
      <c r="R1542">
        <v>1.0789949967020403E-2</v>
      </c>
      <c r="S1542">
        <v>0.29106824972335726</v>
      </c>
      <c r="T1542">
        <v>5.9120977169669633</v>
      </c>
      <c r="U1542">
        <v>0</v>
      </c>
      <c r="V1542">
        <v>1.9344247341010586E-2</v>
      </c>
      <c r="W1542">
        <v>0.1047286556252173</v>
      </c>
      <c r="X1542">
        <v>-2.1915194282795827E-3</v>
      </c>
      <c r="Y1542">
        <v>4.4431093424690565E-2</v>
      </c>
    </row>
    <row r="1543" spans="1:25" x14ac:dyDescent="0.25">
      <c r="A1543" s="879"/>
      <c r="B1543" s="1133">
        <v>1293</v>
      </c>
      <c r="C1543" s="883">
        <v>0.96077675709280719</v>
      </c>
      <c r="D1543" s="883">
        <v>1.0082827923249367</v>
      </c>
      <c r="E1543" s="883">
        <v>0.98349209266842452</v>
      </c>
      <c r="F1543" s="883">
        <v>1.0288933349133822</v>
      </c>
      <c r="G1543" s="883">
        <v>0.9737792859026595</v>
      </c>
      <c r="H1543" s="883">
        <v>1.0196106265998277</v>
      </c>
      <c r="I1543" s="883">
        <v>0.96853589796594097</v>
      </c>
      <c r="K1543">
        <v>6.7707816065352313</v>
      </c>
      <c r="L1543">
        <v>0</v>
      </c>
      <c r="M1543">
        <v>1.1181618368027377E-2</v>
      </c>
      <c r="N1543">
        <v>0.20342863856225382</v>
      </c>
      <c r="O1543">
        <v>0.12686425115699992</v>
      </c>
      <c r="P1543">
        <v>8.2213746718907979E-2</v>
      </c>
      <c r="Q1543">
        <v>0</v>
      </c>
      <c r="R1543">
        <v>1.1181618368027377E-2</v>
      </c>
      <c r="S1543">
        <v>0.2739140941395532</v>
      </c>
      <c r="T1543">
        <v>5.914614940029467</v>
      </c>
      <c r="U1543">
        <v>0</v>
      </c>
      <c r="V1543">
        <v>1.9377653618654452E-2</v>
      </c>
      <c r="W1543">
        <v>0.10795512089188757</v>
      </c>
      <c r="X1543">
        <v>-3.6307527681578413E-3</v>
      </c>
      <c r="Y1543">
        <v>4.6043914185660756E-2</v>
      </c>
    </row>
    <row r="1544" spans="1:25" x14ac:dyDescent="0.25">
      <c r="A1544" s="879"/>
      <c r="B1544" s="1133">
        <v>1294</v>
      </c>
      <c r="C1544" s="883">
        <v>0.96051066322030598</v>
      </c>
      <c r="D1544" s="883">
        <v>0.99973835990780457</v>
      </c>
      <c r="E1544" s="883">
        <v>0.96984889063061785</v>
      </c>
      <c r="F1544" s="883">
        <v>1.0009911600685126</v>
      </c>
      <c r="G1544" s="883">
        <v>1.0207607117512181</v>
      </c>
      <c r="H1544" s="883">
        <v>1.0296285963917453</v>
      </c>
      <c r="I1544" s="883">
        <v>1.0034568685198615</v>
      </c>
      <c r="K1544">
        <v>6.7840518570261947</v>
      </c>
      <c r="L1544">
        <v>0</v>
      </c>
      <c r="M1544">
        <v>1.1471409810966324E-2</v>
      </c>
      <c r="N1544">
        <v>0.20451774704024356</v>
      </c>
      <c r="O1544">
        <v>0.12759528478066226</v>
      </c>
      <c r="P1544">
        <v>8.148723489059552E-2</v>
      </c>
      <c r="Q1544">
        <v>0</v>
      </c>
      <c r="R1544">
        <v>1.1471409810966324E-2</v>
      </c>
      <c r="S1544">
        <v>0.28492578354804371</v>
      </c>
      <c r="T1544">
        <v>5.9138555841648603</v>
      </c>
      <c r="U1544">
        <v>0</v>
      </c>
      <c r="V1544">
        <v>1.9379225559634922E-2</v>
      </c>
      <c r="W1544">
        <v>0.10927806352836975</v>
      </c>
      <c r="X1544">
        <v>-4.2242902529427981E-3</v>
      </c>
      <c r="Y1544">
        <v>4.7237223766729355E-2</v>
      </c>
    </row>
    <row r="1545" spans="1:25" x14ac:dyDescent="0.25">
      <c r="A1545" s="879"/>
      <c r="B1545" s="1133">
        <v>1295</v>
      </c>
      <c r="C1545" s="883">
        <v>0.95788912599261022</v>
      </c>
      <c r="D1545" s="883">
        <v>0.99856206851861917</v>
      </c>
      <c r="E1545" s="883">
        <v>0.99067642143966128</v>
      </c>
      <c r="F1545" s="883">
        <v>0.99387602166181555</v>
      </c>
      <c r="G1545" s="883">
        <v>1.009964430381044</v>
      </c>
      <c r="H1545" s="883">
        <v>0.97949358731675618</v>
      </c>
      <c r="I1545" s="883">
        <v>0.97371018891522476</v>
      </c>
      <c r="K1545">
        <v>6.7587258990706687</v>
      </c>
      <c r="L1545">
        <v>0</v>
      </c>
      <c r="M1545">
        <v>1.0751255895094219E-2</v>
      </c>
      <c r="N1545">
        <v>0.19769397971497896</v>
      </c>
      <c r="O1545">
        <v>0.1276009914499093</v>
      </c>
      <c r="P1545">
        <v>8.2617117058016082E-2</v>
      </c>
      <c r="Q1545">
        <v>0</v>
      </c>
      <c r="R1545">
        <v>1.0751255895094219E-2</v>
      </c>
      <c r="S1545">
        <v>0.27247939613561589</v>
      </c>
      <c r="T1545">
        <v>5.9123234708818657</v>
      </c>
      <c r="U1545">
        <v>0</v>
      </c>
      <c r="V1545">
        <v>1.9394758892061922E-2</v>
      </c>
      <c r="W1545">
        <v>0.10453623261385768</v>
      </c>
      <c r="X1545">
        <v>-2.191805799426798E-3</v>
      </c>
      <c r="Y1545">
        <v>4.4271758123786586E-2</v>
      </c>
    </row>
    <row r="1546" spans="1:25" x14ac:dyDescent="0.25">
      <c r="A1546" s="879"/>
      <c r="B1546" s="1133">
        <v>1296</v>
      </c>
      <c r="C1546" s="883">
        <v>1.0231624497957306</v>
      </c>
      <c r="D1546" s="883">
        <v>0.98011841158234314</v>
      </c>
      <c r="E1546" s="883">
        <v>0.9987729103057561</v>
      </c>
      <c r="F1546" s="883">
        <v>0.98718119158292328</v>
      </c>
      <c r="G1546" s="883">
        <v>0.98600176539184792</v>
      </c>
      <c r="H1546" s="883">
        <v>1.0186088048302675</v>
      </c>
      <c r="I1546" s="883">
        <v>0.97756338574231771</v>
      </c>
      <c r="K1546">
        <v>6.7323793943352408</v>
      </c>
      <c r="L1546">
        <v>0</v>
      </c>
      <c r="M1546">
        <v>1.0476954215357227E-2</v>
      </c>
      <c r="N1546">
        <v>0.19497575137455189</v>
      </c>
      <c r="O1546">
        <v>0.12020566776290058</v>
      </c>
      <c r="P1546">
        <v>8.2941548090630202E-2</v>
      </c>
      <c r="Q1546">
        <v>0</v>
      </c>
      <c r="R1546">
        <v>1.0476954215357227E-2</v>
      </c>
      <c r="S1546">
        <v>0.25984100838788482</v>
      </c>
      <c r="T1546">
        <v>5.9115090583249863</v>
      </c>
      <c r="U1546">
        <v>0</v>
      </c>
      <c r="V1546">
        <v>1.9031679221392366E-2</v>
      </c>
      <c r="W1546">
        <v>0.10268427475399611</v>
      </c>
      <c r="X1546">
        <v>-1.9518262116106466E-3</v>
      </c>
      <c r="Y1546">
        <v>4.3142232630508578E-2</v>
      </c>
    </row>
    <row r="1547" spans="1:25" x14ac:dyDescent="0.25">
      <c r="A1547" s="879"/>
      <c r="B1547" s="1133">
        <v>1297</v>
      </c>
      <c r="C1547" s="883">
        <v>0.98105005885048002</v>
      </c>
      <c r="D1547" s="883">
        <v>1.0026049924094493</v>
      </c>
      <c r="E1547" s="883">
        <v>1.0247091318180839</v>
      </c>
      <c r="F1547" s="883">
        <v>0.99637863202636134</v>
      </c>
      <c r="G1547" s="883">
        <v>1.0146345844733498</v>
      </c>
      <c r="H1547" s="883">
        <v>0.95624710252613587</v>
      </c>
      <c r="I1547" s="883">
        <v>0.96510960190185058</v>
      </c>
      <c r="K1547">
        <v>6.7322450985186286</v>
      </c>
      <c r="L1547">
        <v>0</v>
      </c>
      <c r="M1547">
        <v>9.930656826834746E-3</v>
      </c>
      <c r="N1547">
        <v>0.19204207089043304</v>
      </c>
      <c r="O1547">
        <v>0.12373558073646411</v>
      </c>
      <c r="P1547">
        <v>8.4579342721378001E-2</v>
      </c>
      <c r="Q1547">
        <v>0</v>
      </c>
      <c r="R1547">
        <v>9.930656826834746E-3</v>
      </c>
      <c r="S1547">
        <v>0.2615637800454973</v>
      </c>
      <c r="T1547">
        <v>5.9105317812693583</v>
      </c>
      <c r="U1547">
        <v>0</v>
      </c>
      <c r="V1547">
        <v>1.9260397134152608E-2</v>
      </c>
      <c r="W1547">
        <v>9.9850994459496356E-2</v>
      </c>
      <c r="X1547">
        <v>-2.1152596003817516E-4</v>
      </c>
      <c r="Y1547">
        <v>4.089267722188332E-2</v>
      </c>
    </row>
    <row r="1548" spans="1:25" x14ac:dyDescent="0.25">
      <c r="A1548" s="879"/>
      <c r="B1548" s="1133">
        <v>1298</v>
      </c>
      <c r="C1548" s="883">
        <v>1.0208997343774124</v>
      </c>
      <c r="D1548" s="883">
        <v>0.99919511374060155</v>
      </c>
      <c r="E1548" s="883">
        <v>1.0328254962775225</v>
      </c>
      <c r="F1548" s="883">
        <v>1.0028611488924253</v>
      </c>
      <c r="G1548" s="883">
        <v>1.0102397523137085</v>
      </c>
      <c r="H1548" s="883">
        <v>1.0324602562768117</v>
      </c>
      <c r="I1548" s="883">
        <v>1.028316460186198</v>
      </c>
      <c r="K1548">
        <v>6.7533885207402191</v>
      </c>
      <c r="L1548">
        <v>0</v>
      </c>
      <c r="M1548">
        <v>1.0245523957702186E-2</v>
      </c>
      <c r="N1548">
        <v>0.20052269747591941</v>
      </c>
      <c r="O1548">
        <v>0.1189167933989092</v>
      </c>
      <c r="P1548">
        <v>8.5267899631669378E-2</v>
      </c>
      <c r="Q1548">
        <v>0</v>
      </c>
      <c r="R1548">
        <v>1.0245523957702186E-2</v>
      </c>
      <c r="S1548">
        <v>0.27509819784863787</v>
      </c>
      <c r="T1548">
        <v>5.9104129748466887</v>
      </c>
      <c r="U1548">
        <v>0</v>
      </c>
      <c r="V1548">
        <v>1.9043488633908312E-2</v>
      </c>
      <c r="W1548">
        <v>0.10384591499758121</v>
      </c>
      <c r="X1548">
        <v>-1.9086901156279859E-3</v>
      </c>
      <c r="Y1548">
        <v>4.2189244022535391E-2</v>
      </c>
    </row>
    <row r="1549" spans="1:25" x14ac:dyDescent="0.25">
      <c r="A1549" s="879"/>
      <c r="B1549" s="1133">
        <v>1299</v>
      </c>
      <c r="C1549" s="883">
        <v>0.99212375671694208</v>
      </c>
      <c r="D1549" s="883">
        <v>0.98825693531604886</v>
      </c>
      <c r="E1549" s="883">
        <v>0.97795452488486956</v>
      </c>
      <c r="F1549" s="883">
        <v>0.95809939955959145</v>
      </c>
      <c r="G1549" s="883">
        <v>1.0071853458716353</v>
      </c>
      <c r="H1549" s="883">
        <v>0.99891936391914049</v>
      </c>
      <c r="I1549" s="883">
        <v>0.99000554091963078</v>
      </c>
      <c r="K1549">
        <v>6.7447541385455763</v>
      </c>
      <c r="L1549">
        <v>0</v>
      </c>
      <c r="M1549">
        <v>1.07519135703235E-2</v>
      </c>
      <c r="N1549">
        <v>0.19401049782249358</v>
      </c>
      <c r="O1549">
        <v>0.12394979235948671</v>
      </c>
      <c r="P1549">
        <v>8.1756278115782288E-2</v>
      </c>
      <c r="Q1549">
        <v>0</v>
      </c>
      <c r="R1549">
        <v>1.07519135703235E-2</v>
      </c>
      <c r="S1549">
        <v>0.26939131380671766</v>
      </c>
      <c r="T1549">
        <v>5.911093089321791</v>
      </c>
      <c r="U1549">
        <v>0</v>
      </c>
      <c r="V1549">
        <v>1.9198372859533668E-2</v>
      </c>
      <c r="W1549">
        <v>0.1032429022768243</v>
      </c>
      <c r="X1549">
        <v>-2.1625743303753907E-3</v>
      </c>
      <c r="Y1549">
        <v>4.4274466313318953E-2</v>
      </c>
    </row>
    <row r="1550" spans="1:25" x14ac:dyDescent="0.25">
      <c r="A1550" s="879"/>
      <c r="B1550" s="1133">
        <v>1300</v>
      </c>
      <c r="C1550" s="883">
        <v>0.96113497477442555</v>
      </c>
      <c r="D1550" s="883">
        <v>1.0253287605022663</v>
      </c>
      <c r="E1550" s="883">
        <v>1.0178334559155708</v>
      </c>
      <c r="F1550" s="883">
        <v>1.0111187763309131</v>
      </c>
      <c r="G1550" s="883">
        <v>0.96550092912299834</v>
      </c>
      <c r="H1550" s="883">
        <v>1.0048908472514892</v>
      </c>
      <c r="I1550" s="883">
        <v>1.0028524076437779</v>
      </c>
      <c r="K1550">
        <v>6.7732311718060751</v>
      </c>
      <c r="L1550">
        <v>0</v>
      </c>
      <c r="M1550">
        <v>1.061405409481919E-2</v>
      </c>
      <c r="N1550">
        <v>0.20318088969546913</v>
      </c>
      <c r="O1550">
        <v>0.12530631496024569</v>
      </c>
      <c r="P1550">
        <v>8.4443833820904785E-2</v>
      </c>
      <c r="Q1550">
        <v>0</v>
      </c>
      <c r="R1550">
        <v>1.061405409481919E-2</v>
      </c>
      <c r="S1550">
        <v>0.28196191085366507</v>
      </c>
      <c r="T1550">
        <v>5.9117226080284562</v>
      </c>
      <c r="U1550">
        <v>0</v>
      </c>
      <c r="V1550">
        <v>1.9375538833804325E-2</v>
      </c>
      <c r="W1550">
        <v>0.10600077141467196</v>
      </c>
      <c r="X1550">
        <v>-2.4674813324070178E-3</v>
      </c>
      <c r="Y1550">
        <v>4.3706785531264114E-2</v>
      </c>
    </row>
    <row r="1551" spans="1:25" x14ac:dyDescent="0.25">
      <c r="A1551" s="879"/>
      <c r="B1551" s="1133">
        <v>1301</v>
      </c>
      <c r="C1551" s="883">
        <v>0.99510832802197102</v>
      </c>
      <c r="D1551" s="883">
        <v>1.047854160679327</v>
      </c>
      <c r="E1551" s="883">
        <v>0.99173913668904323</v>
      </c>
      <c r="F1551" s="883">
        <v>0.98337693285590544</v>
      </c>
      <c r="G1551" s="883">
        <v>1.0309328886911906</v>
      </c>
      <c r="H1551" s="883">
        <v>0.98998432376238099</v>
      </c>
      <c r="I1551" s="883">
        <v>1.0104423402271558</v>
      </c>
      <c r="K1551">
        <v>6.7362806667521795</v>
      </c>
      <c r="L1551">
        <v>0</v>
      </c>
      <c r="M1551">
        <v>1.0237001629105512E-2</v>
      </c>
      <c r="N1551">
        <v>0.18853466495855933</v>
      </c>
      <c r="O1551">
        <v>0.12046422891965487</v>
      </c>
      <c r="P1551">
        <v>8.2676420131612319E-2</v>
      </c>
      <c r="Q1551">
        <v>0</v>
      </c>
      <c r="R1551">
        <v>1.0237001629105512E-2</v>
      </c>
      <c r="S1551">
        <v>0.27274856311184315</v>
      </c>
      <c r="T1551">
        <v>5.9116967994705938</v>
      </c>
      <c r="U1551">
        <v>0</v>
      </c>
      <c r="V1551">
        <v>1.9181892306153536E-2</v>
      </c>
      <c r="W1551">
        <v>9.9640196833741465E-2</v>
      </c>
      <c r="X1551">
        <v>-8.1624957027235322E-4</v>
      </c>
      <c r="Y1551">
        <v>4.2154150590292212E-2</v>
      </c>
    </row>
    <row r="1552" spans="1:25" x14ac:dyDescent="0.25">
      <c r="A1552" s="879"/>
      <c r="B1552" s="1133">
        <v>1302</v>
      </c>
      <c r="C1552" s="883">
        <v>1.0072129724963936</v>
      </c>
      <c r="D1552" s="883">
        <v>0.96955261805591819</v>
      </c>
      <c r="E1552" s="883">
        <v>0.97179749015643391</v>
      </c>
      <c r="F1552" s="883">
        <v>1.0254657657556623</v>
      </c>
      <c r="G1552" s="883">
        <v>0.99882105268732291</v>
      </c>
      <c r="H1552" s="883">
        <v>1.029052101013229</v>
      </c>
      <c r="I1552" s="883">
        <v>0.99169918777851296</v>
      </c>
      <c r="K1552">
        <v>6.7532424856534172</v>
      </c>
      <c r="L1552">
        <v>0</v>
      </c>
      <c r="M1552">
        <v>1.1059205832618246E-2</v>
      </c>
      <c r="N1552">
        <v>0.19774002694085124</v>
      </c>
      <c r="O1552">
        <v>0.12314418923283657</v>
      </c>
      <c r="P1552">
        <v>8.1411926491747305E-2</v>
      </c>
      <c r="Q1552">
        <v>0</v>
      </c>
      <c r="R1552">
        <v>1.1059205832618246E-2</v>
      </c>
      <c r="S1552">
        <v>0.26883091214544541</v>
      </c>
      <c r="T1552">
        <v>5.9150725236612054</v>
      </c>
      <c r="U1552">
        <v>0</v>
      </c>
      <c r="V1552">
        <v>1.9116052823786912E-2</v>
      </c>
      <c r="W1552">
        <v>0.105553163251175</v>
      </c>
      <c r="X1552">
        <v>-3.1661500470970654E-3</v>
      </c>
      <c r="Y1552">
        <v>4.5539841153465016E-2</v>
      </c>
    </row>
    <row r="1553" spans="1:25" x14ac:dyDescent="0.25">
      <c r="A1553" s="879"/>
      <c r="B1553" s="1133">
        <v>1303</v>
      </c>
      <c r="C1553" s="883">
        <v>1.0387697732281986</v>
      </c>
      <c r="D1553" s="883">
        <v>1.0317917781275341</v>
      </c>
      <c r="E1553" s="883">
        <v>0.99315612360913563</v>
      </c>
      <c r="F1553" s="883">
        <v>1.0274389801314556</v>
      </c>
      <c r="G1553" s="883">
        <v>0.98116393488233733</v>
      </c>
      <c r="H1553" s="883">
        <v>1.0228545299810419</v>
      </c>
      <c r="I1553" s="883">
        <v>0.99565130008236191</v>
      </c>
      <c r="K1553">
        <v>6.7204191038118211</v>
      </c>
      <c r="L1553">
        <v>0</v>
      </c>
      <c r="M1553">
        <v>1.018688798070075E-2</v>
      </c>
      <c r="N1553">
        <v>0.18800619944652291</v>
      </c>
      <c r="O1553">
        <v>0.11609101109551161</v>
      </c>
      <c r="P1553">
        <v>8.263015948038592E-2</v>
      </c>
      <c r="Q1553">
        <v>0</v>
      </c>
      <c r="R1553">
        <v>1.018688798070075E-2</v>
      </c>
      <c r="S1553">
        <v>0.26051923699958202</v>
      </c>
      <c r="T1553">
        <v>5.9139992712266887</v>
      </c>
      <c r="U1553">
        <v>0</v>
      </c>
      <c r="V1553">
        <v>1.8951623831954659E-2</v>
      </c>
      <c r="W1553">
        <v>9.9290789874452362E-2</v>
      </c>
      <c r="X1553">
        <v>-1.0169796493391741E-3</v>
      </c>
      <c r="Y1553">
        <v>4.1947791506058298E-2</v>
      </c>
    </row>
    <row r="1554" spans="1:25" x14ac:dyDescent="0.25">
      <c r="A1554" s="879"/>
      <c r="B1554" s="1133">
        <v>1304</v>
      </c>
      <c r="C1554" s="883">
        <v>0.99801600814378777</v>
      </c>
      <c r="D1554" s="883">
        <v>0.99252545806456494</v>
      </c>
      <c r="E1554" s="883">
        <v>1.0026330625431308</v>
      </c>
      <c r="F1554" s="883">
        <v>1.0059896854886798</v>
      </c>
      <c r="G1554" s="883">
        <v>0.98142077480068712</v>
      </c>
      <c r="H1554" s="883">
        <v>1.0241479360510404</v>
      </c>
      <c r="I1554" s="883">
        <v>0.99328530748850219</v>
      </c>
      <c r="K1554">
        <v>6.7555118159904515</v>
      </c>
      <c r="L1554">
        <v>0</v>
      </c>
      <c r="M1554">
        <v>1.0705122550208947E-2</v>
      </c>
      <c r="N1554">
        <v>0.20036445972349606</v>
      </c>
      <c r="O1554">
        <v>0.12254317571875778</v>
      </c>
      <c r="P1554">
        <v>8.3346803203135408E-2</v>
      </c>
      <c r="Q1554">
        <v>0</v>
      </c>
      <c r="R1554">
        <v>1.0705122550208947E-2</v>
      </c>
      <c r="S1554">
        <v>0.27106090957082041</v>
      </c>
      <c r="T1554">
        <v>5.9123084311566512</v>
      </c>
      <c r="U1554">
        <v>0</v>
      </c>
      <c r="V1554">
        <v>1.9165931133325619E-2</v>
      </c>
      <c r="W1554">
        <v>0.10532020311118968</v>
      </c>
      <c r="X1554">
        <v>-2.6798868479052697E-3</v>
      </c>
      <c r="Y1554">
        <v>4.4081789220978322E-2</v>
      </c>
    </row>
    <row r="1555" spans="1:25" x14ac:dyDescent="0.25">
      <c r="A1555" s="879"/>
      <c r="B1555" s="1133">
        <v>1305</v>
      </c>
      <c r="C1555" s="883">
        <v>1.0013237185613102</v>
      </c>
      <c r="D1555" s="883">
        <v>1.0391067191927819</v>
      </c>
      <c r="E1555" s="883">
        <v>0.99294037605904528</v>
      </c>
      <c r="F1555" s="883">
        <v>0.99077039143655288</v>
      </c>
      <c r="G1555" s="883">
        <v>1.0192427772459927</v>
      </c>
      <c r="H1555" s="883">
        <v>0.97932843795704039</v>
      </c>
      <c r="I1555" s="883">
        <v>0.99663285832575188</v>
      </c>
      <c r="K1555">
        <v>6.7260543935301591</v>
      </c>
      <c r="L1555">
        <v>0</v>
      </c>
      <c r="M1555">
        <v>1.0089513225263512E-2</v>
      </c>
      <c r="N1555">
        <v>0.18614954127887898</v>
      </c>
      <c r="O1555">
        <v>0.12009653760523507</v>
      </c>
      <c r="P1555">
        <v>8.2671915693323231E-2</v>
      </c>
      <c r="Q1555">
        <v>0</v>
      </c>
      <c r="R1555">
        <v>1.0089513225263512E-2</v>
      </c>
      <c r="S1555">
        <v>0.266440463848019</v>
      </c>
      <c r="T1555">
        <v>5.9120294269106326</v>
      </c>
      <c r="U1555">
        <v>0</v>
      </c>
      <c r="V1555">
        <v>1.9147886772158968E-2</v>
      </c>
      <c r="W1555">
        <v>9.8320806355172805E-2</v>
      </c>
      <c r="X1555">
        <v>-3.4900452849452633E-4</v>
      </c>
      <c r="Y1555">
        <v>4.1546819595228102E-2</v>
      </c>
    </row>
    <row r="1556" spans="1:25" x14ac:dyDescent="0.25">
      <c r="A1556" s="879"/>
      <c r="B1556" s="1133">
        <v>1306</v>
      </c>
      <c r="C1556" s="883">
        <v>0.98376291387092252</v>
      </c>
      <c r="D1556" s="883">
        <v>0.98137126236208005</v>
      </c>
      <c r="E1556" s="883">
        <v>1.0159332269774903</v>
      </c>
      <c r="F1556" s="883">
        <v>1.0353069809156223</v>
      </c>
      <c r="G1556" s="883">
        <v>1.0161511115879891</v>
      </c>
      <c r="H1556" s="883">
        <v>0.9879789736018898</v>
      </c>
      <c r="I1556" s="883">
        <v>1.0063226327945551</v>
      </c>
      <c r="K1556">
        <v>6.7600089639973158</v>
      </c>
      <c r="L1556">
        <v>0</v>
      </c>
      <c r="M1556">
        <v>1.0405815190558792E-2</v>
      </c>
      <c r="N1556">
        <v>0.19863537322702887</v>
      </c>
      <c r="O1556">
        <v>0.12462551177821997</v>
      </c>
      <c r="P1556">
        <v>8.4250656980878066E-2</v>
      </c>
      <c r="Q1556">
        <v>0</v>
      </c>
      <c r="R1556">
        <v>1.0405815190558792E-2</v>
      </c>
      <c r="S1556">
        <v>0.27523602192845975</v>
      </c>
      <c r="T1556">
        <v>5.913138056049946</v>
      </c>
      <c r="U1556">
        <v>0</v>
      </c>
      <c r="V1556">
        <v>1.924507317409228E-2</v>
      </c>
      <c r="W1556">
        <v>0.10372651662965521</v>
      </c>
      <c r="X1556">
        <v>-1.6975405596277554E-3</v>
      </c>
      <c r="Y1556">
        <v>4.2849294788663013E-2</v>
      </c>
    </row>
    <row r="1557" spans="1:25" x14ac:dyDescent="0.25">
      <c r="A1557" s="879"/>
      <c r="B1557" s="1133">
        <v>1307</v>
      </c>
      <c r="C1557" s="883">
        <v>1.0203114224962413</v>
      </c>
      <c r="D1557" s="883">
        <v>0.97060408053364156</v>
      </c>
      <c r="E1557" s="883">
        <v>0.97868479937666197</v>
      </c>
      <c r="F1557" s="883">
        <v>1.0103016728791483</v>
      </c>
      <c r="G1557" s="883">
        <v>1.0064442770616007</v>
      </c>
      <c r="H1557" s="883">
        <v>0.96127974339472966</v>
      </c>
      <c r="I1557" s="883">
        <v>1.0019670284165236</v>
      </c>
      <c r="K1557">
        <v>6.7198116833500841</v>
      </c>
      <c r="L1557">
        <v>0</v>
      </c>
      <c r="M1557">
        <v>1.0132514571796326E-2</v>
      </c>
      <c r="N1557">
        <v>0.18303212261386811</v>
      </c>
      <c r="O1557">
        <v>0.12138414506273694</v>
      </c>
      <c r="P1557">
        <v>8.1736476098940539E-2</v>
      </c>
      <c r="Q1557">
        <v>0</v>
      </c>
      <c r="R1557">
        <v>1.0132514571796326E-2</v>
      </c>
      <c r="S1557">
        <v>0.26177272034437443</v>
      </c>
      <c r="T1557">
        <v>5.9138750654059242</v>
      </c>
      <c r="U1557">
        <v>0</v>
      </c>
      <c r="V1557">
        <v>1.9046567691560747E-2</v>
      </c>
      <c r="W1557">
        <v>9.7365114605877309E-2</v>
      </c>
      <c r="X1557">
        <v>-1.2441995949287585E-4</v>
      </c>
      <c r="Y1557">
        <v>4.1723891486295878E-2</v>
      </c>
    </row>
    <row r="1558" spans="1:25" x14ac:dyDescent="0.25">
      <c r="A1558" s="879"/>
      <c r="B1558" s="1133">
        <v>1308</v>
      </c>
      <c r="C1558" s="883">
        <v>1.0131756551903992</v>
      </c>
      <c r="D1558" s="883">
        <v>0.96779393123229696</v>
      </c>
      <c r="E1558" s="883">
        <v>1.013021212705626</v>
      </c>
      <c r="F1558" s="883">
        <v>0.98854477254706807</v>
      </c>
      <c r="G1558" s="883">
        <v>0.97904303855254127</v>
      </c>
      <c r="H1558" s="883">
        <v>0.97609193853491338</v>
      </c>
      <c r="I1558" s="883">
        <v>0.99786513826085121</v>
      </c>
      <c r="K1558">
        <v>6.7317652325000861</v>
      </c>
      <c r="L1558">
        <v>0</v>
      </c>
      <c r="M1558">
        <v>1.0067586856051724E-2</v>
      </c>
      <c r="N1558">
        <v>0.1913525643466491</v>
      </c>
      <c r="O1558">
        <v>0.12173876615010348</v>
      </c>
      <c r="P1558">
        <v>8.388194475235887E-2</v>
      </c>
      <c r="Q1558">
        <v>0</v>
      </c>
      <c r="R1558">
        <v>1.0067586856051724E-2</v>
      </c>
      <c r="S1558">
        <v>0.26401574705892938</v>
      </c>
      <c r="T1558">
        <v>5.91077749247372</v>
      </c>
      <c r="U1558">
        <v>0</v>
      </c>
      <c r="V1558">
        <v>1.9084198991931815E-2</v>
      </c>
      <c r="W1558">
        <v>0.10006722694842481</v>
      </c>
      <c r="X1558">
        <v>-6.0923893160060624E-4</v>
      </c>
      <c r="Y1558">
        <v>4.1456530709562192E-2</v>
      </c>
    </row>
    <row r="1559" spans="1:25" x14ac:dyDescent="0.25">
      <c r="A1559" s="879"/>
      <c r="B1559" s="1133">
        <v>1309</v>
      </c>
      <c r="C1559" s="883">
        <v>0.99245064926527105</v>
      </c>
      <c r="D1559" s="883">
        <v>0.97915511888197593</v>
      </c>
      <c r="E1559" s="883">
        <v>1.0179461669126715</v>
      </c>
      <c r="F1559" s="883">
        <v>0.98607925336019486</v>
      </c>
      <c r="G1559" s="883">
        <v>1.025924607661953</v>
      </c>
      <c r="H1559" s="883">
        <v>0.98153805472003119</v>
      </c>
      <c r="I1559" s="883">
        <v>0.96697397717371603</v>
      </c>
      <c r="K1559">
        <v>6.7381255112017051</v>
      </c>
      <c r="L1559">
        <v>0</v>
      </c>
      <c r="M1559">
        <v>1.0239360881748575E-2</v>
      </c>
      <c r="N1559">
        <v>0.19604096560980458</v>
      </c>
      <c r="O1559">
        <v>0.12360768726698448</v>
      </c>
      <c r="P1559">
        <v>8.4153371479750938E-2</v>
      </c>
      <c r="Q1559">
        <v>0</v>
      </c>
      <c r="R1559">
        <v>1.0239360881748575E-2</v>
      </c>
      <c r="S1559">
        <v>0.26158726108535912</v>
      </c>
      <c r="T1559">
        <v>5.9103633420870834</v>
      </c>
      <c r="U1559">
        <v>0</v>
      </c>
      <c r="V1559">
        <v>1.9196562952397158E-2</v>
      </c>
      <c r="W1559">
        <v>0.10227014413174677</v>
      </c>
      <c r="X1559">
        <v>-1.2576889841698041E-3</v>
      </c>
      <c r="Y1559">
        <v>4.2163865572745027E-2</v>
      </c>
    </row>
    <row r="1560" spans="1:25" x14ac:dyDescent="0.25">
      <c r="A1560" s="879"/>
      <c r="B1560" s="1133">
        <v>1310</v>
      </c>
      <c r="C1560" s="883">
        <v>1.0027890944247997</v>
      </c>
      <c r="D1560" s="883">
        <v>0.99345792051048143</v>
      </c>
      <c r="E1560" s="883">
        <v>0.95990446097925874</v>
      </c>
      <c r="F1560" s="883">
        <v>0.98660545508900743</v>
      </c>
      <c r="G1560" s="883">
        <v>0.99918062106981642</v>
      </c>
      <c r="H1560" s="883">
        <v>1.0108609479824797</v>
      </c>
      <c r="I1560" s="883">
        <v>1.0283990563376508</v>
      </c>
      <c r="K1560">
        <v>6.7513449621719843</v>
      </c>
      <c r="L1560">
        <v>0</v>
      </c>
      <c r="M1560">
        <v>1.0910653914754776E-2</v>
      </c>
      <c r="N1560">
        <v>0.19166819655252446</v>
      </c>
      <c r="O1560">
        <v>0.12270732596409552</v>
      </c>
      <c r="P1560">
        <v>8.0760815463626359E-2</v>
      </c>
      <c r="Q1560">
        <v>0</v>
      </c>
      <c r="R1560">
        <v>1.0910653914754776E-2</v>
      </c>
      <c r="S1560">
        <v>0.27793309313874764</v>
      </c>
      <c r="T1560">
        <v>5.9136169209455751</v>
      </c>
      <c r="U1560">
        <v>0</v>
      </c>
      <c r="V1560">
        <v>1.9139930841869601E-2</v>
      </c>
      <c r="W1560">
        <v>0.10292667270767333</v>
      </c>
      <c r="X1560">
        <v>-2.3361242390838336E-3</v>
      </c>
      <c r="Y1560">
        <v>4.4928130796958919E-2</v>
      </c>
    </row>
    <row r="1561" spans="1:25" x14ac:dyDescent="0.25">
      <c r="A1561" s="879"/>
      <c r="B1561" s="1133">
        <v>1311</v>
      </c>
      <c r="C1561" s="883">
        <v>0.97035388444615189</v>
      </c>
      <c r="D1561" s="883">
        <v>0.99704755563191239</v>
      </c>
      <c r="E1561" s="883">
        <v>1.0165220696393769</v>
      </c>
      <c r="F1561" s="883">
        <v>1.0256842170355056</v>
      </c>
      <c r="G1561" s="883">
        <v>0.96993568852350753</v>
      </c>
      <c r="H1561" s="883">
        <v>0.99441169383158101</v>
      </c>
      <c r="I1561" s="883">
        <v>1.0021581910689985</v>
      </c>
      <c r="K1561">
        <v>6.7679005089182871</v>
      </c>
      <c r="L1561">
        <v>0</v>
      </c>
      <c r="M1561">
        <v>1.0541004975663277E-2</v>
      </c>
      <c r="N1561">
        <v>0.20139139335827869</v>
      </c>
      <c r="O1561">
        <v>0.12553780916514218</v>
      </c>
      <c r="P1561">
        <v>8.4323431389181386E-2</v>
      </c>
      <c r="Q1561">
        <v>0</v>
      </c>
      <c r="R1561">
        <v>1.0541004975663277E-2</v>
      </c>
      <c r="S1561">
        <v>0.27835219504925685</v>
      </c>
      <c r="T1561">
        <v>5.9125845136404855</v>
      </c>
      <c r="U1561">
        <v>0</v>
      </c>
      <c r="V1561">
        <v>1.9321650957216586E-2</v>
      </c>
      <c r="W1561">
        <v>0.10513515125487867</v>
      </c>
      <c r="X1561">
        <v>-2.1516181569973931E-3</v>
      </c>
      <c r="Y1561">
        <v>4.3405982260838569E-2</v>
      </c>
    </row>
    <row r="1562" spans="1:25" x14ac:dyDescent="0.25">
      <c r="A1562" s="879"/>
      <c r="B1562" s="1133">
        <v>1312</v>
      </c>
      <c r="C1562" s="883">
        <v>0.99625249128295279</v>
      </c>
      <c r="D1562" s="883">
        <v>1.0102775725986761</v>
      </c>
      <c r="E1562" s="883">
        <v>0.97735121216597465</v>
      </c>
      <c r="F1562" s="883">
        <v>0.99723435304035668</v>
      </c>
      <c r="G1562" s="883">
        <v>0.98577018258736049</v>
      </c>
      <c r="H1562" s="883">
        <v>0.96943103549806553</v>
      </c>
      <c r="I1562" s="883">
        <v>0.98659496426150806</v>
      </c>
      <c r="K1562">
        <v>6.7271474310799757</v>
      </c>
      <c r="L1562">
        <v>0</v>
      </c>
      <c r="M1562">
        <v>1.0299058784326812E-2</v>
      </c>
      <c r="N1562">
        <v>0.1856727577169503</v>
      </c>
      <c r="O1562">
        <v>0.12236397249763643</v>
      </c>
      <c r="P1562">
        <v>8.168038689793973E-2</v>
      </c>
      <c r="Q1562">
        <v>0</v>
      </c>
      <c r="R1562">
        <v>1.0299058784326812E-2</v>
      </c>
      <c r="S1562">
        <v>0.26439133184930408</v>
      </c>
      <c r="T1562">
        <v>5.9132419382320505</v>
      </c>
      <c r="U1562">
        <v>0</v>
      </c>
      <c r="V1562">
        <v>1.917560051558298E-2</v>
      </c>
      <c r="W1562">
        <v>9.8835845538972636E-2</v>
      </c>
      <c r="X1562">
        <v>-6.2409307819304908E-4</v>
      </c>
      <c r="Y1562">
        <v>4.2409690909731658E-2</v>
      </c>
    </row>
    <row r="1563" spans="1:25" x14ac:dyDescent="0.25">
      <c r="A1563" s="879"/>
      <c r="B1563" s="1133">
        <v>1313</v>
      </c>
      <c r="C1563" s="883">
        <v>0.99376456340035302</v>
      </c>
      <c r="D1563" s="883">
        <v>0.95170776637966659</v>
      </c>
      <c r="E1563" s="883">
        <v>0.99126308617125758</v>
      </c>
      <c r="F1563" s="883">
        <v>0.99098739020901894</v>
      </c>
      <c r="G1563" s="883">
        <v>1.0209489940381853</v>
      </c>
      <c r="H1563" s="883">
        <v>0.98131486057089379</v>
      </c>
      <c r="I1563" s="883">
        <v>1.0149371611064595</v>
      </c>
      <c r="K1563">
        <v>6.7536604164316882</v>
      </c>
      <c r="L1563">
        <v>0</v>
      </c>
      <c r="M1563">
        <v>1.0593113448081785E-2</v>
      </c>
      <c r="N1563">
        <v>0.19495554005824853</v>
      </c>
      <c r="O1563">
        <v>0.12537052979953175</v>
      </c>
      <c r="P1563">
        <v>8.2674719923132134E-2</v>
      </c>
      <c r="Q1563">
        <v>0</v>
      </c>
      <c r="R1563">
        <v>1.0593113448081785E-2</v>
      </c>
      <c r="S1563">
        <v>0.27442704265529894</v>
      </c>
      <c r="T1563">
        <v>5.9121346677205278</v>
      </c>
      <c r="U1563">
        <v>0</v>
      </c>
      <c r="V1563">
        <v>1.9189300210685625E-2</v>
      </c>
      <c r="W1563">
        <v>0.10305806373895052</v>
      </c>
      <c r="X1563">
        <v>-1.7700033499782246E-3</v>
      </c>
      <c r="Y1563">
        <v>4.3620555675295637E-2</v>
      </c>
    </row>
    <row r="1564" spans="1:25" x14ac:dyDescent="0.25">
      <c r="A1564" s="879"/>
      <c r="B1564" s="1133">
        <v>1314</v>
      </c>
      <c r="C1564" s="883">
        <v>0.9952262448362863</v>
      </c>
      <c r="D1564" s="883">
        <v>1.0318448831020266</v>
      </c>
      <c r="E1564" s="883">
        <v>0.98147683403109376</v>
      </c>
      <c r="F1564" s="883">
        <v>1.0373095343793346</v>
      </c>
      <c r="G1564" s="883">
        <v>1.0040452927950865</v>
      </c>
      <c r="H1564" s="883">
        <v>1.0108038780795807</v>
      </c>
      <c r="I1564" s="883">
        <v>1.0356606300686526</v>
      </c>
      <c r="K1564">
        <v>6.7562723331958363</v>
      </c>
      <c r="L1564">
        <v>0</v>
      </c>
      <c r="M1564">
        <v>1.0614689021352661E-2</v>
      </c>
      <c r="N1564">
        <v>0.19253797588718036</v>
      </c>
      <c r="O1564">
        <v>0.12138361013080398</v>
      </c>
      <c r="P1564">
        <v>8.2193848310817108E-2</v>
      </c>
      <c r="Q1564">
        <v>0</v>
      </c>
      <c r="R1564">
        <v>1.0614689021352661E-2</v>
      </c>
      <c r="S1564">
        <v>0.28165657630050045</v>
      </c>
      <c r="T1564">
        <v>5.9151812435548363</v>
      </c>
      <c r="U1564">
        <v>0</v>
      </c>
      <c r="V1564">
        <v>1.9181243209159989E-2</v>
      </c>
      <c r="W1564">
        <v>0.10227873350913635</v>
      </c>
      <c r="X1564">
        <v>-1.8502977523187874E-3</v>
      </c>
      <c r="Y1564">
        <v>4.3709400045716232E-2</v>
      </c>
    </row>
    <row r="1565" spans="1:25" x14ac:dyDescent="0.25">
      <c r="A1565" s="879"/>
      <c r="B1565" s="1133">
        <v>1315</v>
      </c>
      <c r="C1565" s="883">
        <v>0.97980854519205829</v>
      </c>
      <c r="D1565" s="883">
        <v>1.0076272580490622</v>
      </c>
      <c r="E1565" s="883">
        <v>1.0110196655737531</v>
      </c>
      <c r="F1565" s="883">
        <v>0.97769836410465971</v>
      </c>
      <c r="G1565" s="883">
        <v>0.99295727397135902</v>
      </c>
      <c r="H1565" s="883">
        <v>0.98524422559723868</v>
      </c>
      <c r="I1565" s="883">
        <v>0.99989581093323665</v>
      </c>
      <c r="K1565">
        <v>6.7512965127101348</v>
      </c>
      <c r="L1565">
        <v>0</v>
      </c>
      <c r="M1565">
        <v>1.0346084521516105E-2</v>
      </c>
      <c r="N1565">
        <v>0.19606418811287052</v>
      </c>
      <c r="O1565">
        <v>0.12390823159672493</v>
      </c>
      <c r="P1565">
        <v>8.3888180980747282E-2</v>
      </c>
      <c r="Q1565">
        <v>0</v>
      </c>
      <c r="R1565">
        <v>1.0346084521516105E-2</v>
      </c>
      <c r="S1565">
        <v>0.27405043209331903</v>
      </c>
      <c r="T1565">
        <v>5.9103052226409147</v>
      </c>
      <c r="U1565">
        <v>0</v>
      </c>
      <c r="V1565">
        <v>1.9267438309372126E-2</v>
      </c>
      <c r="W1565">
        <v>0.10263262649807972</v>
      </c>
      <c r="X1565">
        <v>-1.4231420471012405E-3</v>
      </c>
      <c r="Y1565">
        <v>4.2603334525207974E-2</v>
      </c>
    </row>
    <row r="1566" spans="1:25" x14ac:dyDescent="0.25">
      <c r="A1566" s="879"/>
      <c r="B1566" s="1133">
        <v>1316</v>
      </c>
      <c r="C1566" s="883">
        <v>1.036566466734719</v>
      </c>
      <c r="D1566" s="883">
        <v>0.98612272224811648</v>
      </c>
      <c r="E1566" s="883">
        <v>1.0069345173625108</v>
      </c>
      <c r="F1566" s="883">
        <v>0.99399516358565498</v>
      </c>
      <c r="G1566" s="883">
        <v>1.0160730220657384</v>
      </c>
      <c r="H1566" s="883">
        <v>1.0198596553163184</v>
      </c>
      <c r="I1566" s="883">
        <v>0.99639277325605535</v>
      </c>
      <c r="K1566">
        <v>6.7287839875214379</v>
      </c>
      <c r="L1566">
        <v>0</v>
      </c>
      <c r="M1566">
        <v>1.0253716636735875E-2</v>
      </c>
      <c r="N1566">
        <v>0.19314209157887827</v>
      </c>
      <c r="O1566">
        <v>0.11821318205400483</v>
      </c>
      <c r="P1566">
        <v>8.3473270213439726E-2</v>
      </c>
      <c r="Q1566">
        <v>0</v>
      </c>
      <c r="R1566">
        <v>1.0253716636735875E-2</v>
      </c>
      <c r="S1566">
        <v>0.26148289991591822</v>
      </c>
      <c r="T1566">
        <v>5.9114173842650848</v>
      </c>
      <c r="U1566">
        <v>0</v>
      </c>
      <c r="V1566">
        <v>1.8962779215233427E-2</v>
      </c>
      <c r="W1566">
        <v>0.10130758885730066</v>
      </c>
      <c r="X1566">
        <v>-1.4381885949785165E-3</v>
      </c>
      <c r="Y1566">
        <v>4.2222980016553592E-2</v>
      </c>
    </row>
    <row r="1567" spans="1:25" x14ac:dyDescent="0.25">
      <c r="A1567" s="879"/>
      <c r="B1567" s="1133">
        <v>1317</v>
      </c>
      <c r="C1567" s="883">
        <v>1.0060433378760885</v>
      </c>
      <c r="D1567" s="883">
        <v>0.99595760458227578</v>
      </c>
      <c r="E1567" s="883">
        <v>1.0159915025029045</v>
      </c>
      <c r="F1567" s="883">
        <v>0.97687818274545768</v>
      </c>
      <c r="G1567" s="883">
        <v>0.98672326748531081</v>
      </c>
      <c r="H1567" s="883">
        <v>1.0058386245359918</v>
      </c>
      <c r="I1567" s="883">
        <v>1.0174898634112048</v>
      </c>
      <c r="K1567">
        <v>6.7480898469266162</v>
      </c>
      <c r="L1567">
        <v>0</v>
      </c>
      <c r="M1567">
        <v>1.029349110077513E-2</v>
      </c>
      <c r="N1567">
        <v>0.19650817657817518</v>
      </c>
      <c r="O1567">
        <v>0.12114730990426012</v>
      </c>
      <c r="P1567">
        <v>8.4188846422644348E-2</v>
      </c>
      <c r="Q1567">
        <v>0</v>
      </c>
      <c r="R1567">
        <v>1.029349110077513E-2</v>
      </c>
      <c r="S1567">
        <v>0.27368641264497334</v>
      </c>
      <c r="T1567">
        <v>5.9099778769302667</v>
      </c>
      <c r="U1567">
        <v>0</v>
      </c>
      <c r="V1567">
        <v>1.9122345541578444E-2</v>
      </c>
      <c r="W1567">
        <v>0.10261275339476442</v>
      </c>
      <c r="X1567">
        <v>-1.5406386699268215E-3</v>
      </c>
      <c r="Y1567">
        <v>4.2386764179876558E-2</v>
      </c>
    </row>
    <row r="1568" spans="1:25" x14ac:dyDescent="0.25">
      <c r="A1568" s="879"/>
      <c r="B1568" s="1133">
        <v>1318</v>
      </c>
      <c r="C1568" s="883">
        <v>1.0072980405691661</v>
      </c>
      <c r="D1568" s="883">
        <v>0.98855494512776643</v>
      </c>
      <c r="E1568" s="883">
        <v>1.0298060301097895</v>
      </c>
      <c r="F1568" s="883">
        <v>0.98935650523495144</v>
      </c>
      <c r="G1568" s="883">
        <v>1.0150917137979829</v>
      </c>
      <c r="H1568" s="883">
        <v>0.99211488837812234</v>
      </c>
      <c r="I1568" s="883">
        <v>1.0139068175088657</v>
      </c>
      <c r="K1568">
        <v>6.7441091312004584</v>
      </c>
      <c r="L1568">
        <v>0</v>
      </c>
      <c r="M1568">
        <v>1.0050535999882385E-2</v>
      </c>
      <c r="N1568">
        <v>0.19583051334884041</v>
      </c>
      <c r="O1568">
        <v>0.12109703528534158</v>
      </c>
      <c r="P1568">
        <v>8.501849565516395E-2</v>
      </c>
      <c r="Q1568">
        <v>0</v>
      </c>
      <c r="R1568">
        <v>1.0050535999882385E-2</v>
      </c>
      <c r="S1568">
        <v>0.27117665532199647</v>
      </c>
      <c r="T1568">
        <v>5.9098583897226078</v>
      </c>
      <c r="U1568">
        <v>0</v>
      </c>
      <c r="V1568">
        <v>1.9115595721562084E-2</v>
      </c>
      <c r="W1568">
        <v>0.10156620378270977</v>
      </c>
      <c r="X1568">
        <v>-9.4007595655935491E-4</v>
      </c>
      <c r="Y1568">
        <v>4.1386318318796113E-2</v>
      </c>
    </row>
    <row r="1569" spans="1:25" x14ac:dyDescent="0.25">
      <c r="A1569" s="879"/>
      <c r="B1569" s="1133">
        <v>1319</v>
      </c>
      <c r="C1569" s="883">
        <v>1.0245276800833576</v>
      </c>
      <c r="D1569" s="883">
        <v>1.0326048284809</v>
      </c>
      <c r="E1569" s="883">
        <v>1.0370468469876852</v>
      </c>
      <c r="F1569" s="883">
        <v>0.9838361363229543</v>
      </c>
      <c r="G1569" s="883">
        <v>0.97229527943162786</v>
      </c>
      <c r="H1569" s="883">
        <v>1.0235912760994512</v>
      </c>
      <c r="I1569" s="883">
        <v>1.0114342257331277</v>
      </c>
      <c r="K1569">
        <v>6.7358809752971096</v>
      </c>
      <c r="L1569">
        <v>0</v>
      </c>
      <c r="M1569">
        <v>9.943169624161332E-3</v>
      </c>
      <c r="N1569">
        <v>0.19582278217937543</v>
      </c>
      <c r="O1569">
        <v>0.11686950737267089</v>
      </c>
      <c r="P1569">
        <v>8.5422967922736709E-2</v>
      </c>
      <c r="Q1569">
        <v>0</v>
      </c>
      <c r="R1569">
        <v>9.943169624161332E-3</v>
      </c>
      <c r="S1569">
        <v>0.26846286011906034</v>
      </c>
      <c r="T1569">
        <v>5.9091400654111395</v>
      </c>
      <c r="U1569">
        <v>0</v>
      </c>
      <c r="V1569">
        <v>1.9024579134462642E-2</v>
      </c>
      <c r="W1569">
        <v>0.10120256256217132</v>
      </c>
      <c r="X1569">
        <v>-1.0085520985899368E-3</v>
      </c>
      <c r="Y1569">
        <v>4.0944202694079293E-2</v>
      </c>
    </row>
    <row r="1570" spans="1:25" x14ac:dyDescent="0.25">
      <c r="A1570" s="879"/>
      <c r="B1570" s="1133">
        <v>1320</v>
      </c>
      <c r="C1570" s="883">
        <v>1.0213070171316283</v>
      </c>
      <c r="D1570" s="883">
        <v>0.98169140733635396</v>
      </c>
      <c r="E1570" s="883">
        <v>1.0005765747750257</v>
      </c>
      <c r="F1570" s="883">
        <v>0.99368034307718089</v>
      </c>
      <c r="G1570" s="883">
        <v>1.007274365315574</v>
      </c>
      <c r="H1570" s="883">
        <v>1.0070583359471519</v>
      </c>
      <c r="I1570" s="883">
        <v>1.0073383690061395</v>
      </c>
      <c r="K1570">
        <v>6.7374082111674847</v>
      </c>
      <c r="L1570">
        <v>0</v>
      </c>
      <c r="M1570">
        <v>1.0353513441285694E-2</v>
      </c>
      <c r="N1570">
        <v>0.19319407922724274</v>
      </c>
      <c r="O1570">
        <v>0.12031349266091643</v>
      </c>
      <c r="P1570">
        <v>8.3156060782527158E-2</v>
      </c>
      <c r="Q1570">
        <v>0</v>
      </c>
      <c r="R1570">
        <v>1.0353513441285694E-2</v>
      </c>
      <c r="S1570">
        <v>0.26714454409173388</v>
      </c>
      <c r="T1570">
        <v>5.9117589742957994</v>
      </c>
      <c r="U1570">
        <v>0</v>
      </c>
      <c r="V1570">
        <v>1.9041359109338244E-2</v>
      </c>
      <c r="W1570">
        <v>0.10165484309349182</v>
      </c>
      <c r="X1570">
        <v>-1.4890675880856632E-3</v>
      </c>
      <c r="Y1570">
        <v>4.2633925494520712E-2</v>
      </c>
    </row>
    <row r="1571" spans="1:25" x14ac:dyDescent="0.25">
      <c r="A1571" s="879"/>
      <c r="B1571" s="1133">
        <v>1321</v>
      </c>
      <c r="C1571" s="883">
        <v>1.0362763823973531</v>
      </c>
      <c r="D1571" s="883">
        <v>1.0281401208322216</v>
      </c>
      <c r="E1571" s="883">
        <v>0.97348118807764827</v>
      </c>
      <c r="F1571" s="883">
        <v>0.96757627430665216</v>
      </c>
      <c r="G1571" s="883">
        <v>1.0075036405686559</v>
      </c>
      <c r="H1571" s="883">
        <v>0.99059347246736729</v>
      </c>
      <c r="I1571" s="883">
        <v>0.98534823662996218</v>
      </c>
      <c r="K1571">
        <v>6.702850010803278</v>
      </c>
      <c r="L1571">
        <v>0</v>
      </c>
      <c r="M1571">
        <v>1.0075725435035186E-2</v>
      </c>
      <c r="N1571">
        <v>0.18060611977706506</v>
      </c>
      <c r="O1571">
        <v>0.11688449003528373</v>
      </c>
      <c r="P1571">
        <v>8.1300039262290305E-2</v>
      </c>
      <c r="Q1571">
        <v>0</v>
      </c>
      <c r="R1571">
        <v>1.0075725435035186E-2</v>
      </c>
      <c r="S1571">
        <v>0.2555885493024756</v>
      </c>
      <c r="T1571">
        <v>5.9118506218538753</v>
      </c>
      <c r="U1571">
        <v>0</v>
      </c>
      <c r="V1571">
        <v>1.8964251451683432E-2</v>
      </c>
      <c r="W1571">
        <v>9.6325637767339614E-2</v>
      </c>
      <c r="X1571">
        <v>-1.5974257593765891E-4</v>
      </c>
      <c r="Y1571">
        <v>4.1490043929203024E-2</v>
      </c>
    </row>
    <row r="1572" spans="1:25" x14ac:dyDescent="0.25">
      <c r="A1572" s="879"/>
      <c r="B1572" s="1133">
        <v>1322</v>
      </c>
      <c r="C1572" s="883">
        <v>0.96111704419558941</v>
      </c>
      <c r="D1572" s="883">
        <v>0.97205481664835658</v>
      </c>
      <c r="E1572" s="883">
        <v>0.96314538060455546</v>
      </c>
      <c r="F1572" s="883">
        <v>0.98591013301701935</v>
      </c>
      <c r="G1572" s="883">
        <v>1.0023835295125214</v>
      </c>
      <c r="H1572" s="883">
        <v>1.0111245974980858</v>
      </c>
      <c r="I1572" s="883">
        <v>0.96230709755554589</v>
      </c>
      <c r="K1572">
        <v>6.7683664599117401</v>
      </c>
      <c r="L1572">
        <v>0</v>
      </c>
      <c r="M1572">
        <v>1.1461119159127403E-2</v>
      </c>
      <c r="N1572">
        <v>0.20231005547685907</v>
      </c>
      <c r="O1572">
        <v>0.12908519085240461</v>
      </c>
      <c r="P1572">
        <v>8.0883808471209365E-2</v>
      </c>
      <c r="Q1572">
        <v>0</v>
      </c>
      <c r="R1572">
        <v>1.1461119159127403E-2</v>
      </c>
      <c r="S1572">
        <v>0.27161621860897867</v>
      </c>
      <c r="T1572">
        <v>5.9134042271425464</v>
      </c>
      <c r="U1572">
        <v>0</v>
      </c>
      <c r="V1572">
        <v>1.9375644651838868E-2</v>
      </c>
      <c r="W1572">
        <v>0.10846390745611249</v>
      </c>
      <c r="X1572">
        <v>-3.9674414423393374E-3</v>
      </c>
      <c r="Y1572">
        <v>4.7194848694124408E-2</v>
      </c>
    </row>
    <row r="1573" spans="1:25" x14ac:dyDescent="0.25">
      <c r="A1573" s="879"/>
      <c r="B1573" s="1133">
        <v>1323</v>
      </c>
      <c r="C1573" s="883">
        <v>1.0339636037219906</v>
      </c>
      <c r="D1573" s="883">
        <v>1.0241529098675823</v>
      </c>
      <c r="E1573" s="883">
        <v>0.97530335546930436</v>
      </c>
      <c r="F1573" s="883">
        <v>1.0156415333245143</v>
      </c>
      <c r="G1573" s="883">
        <v>1.0495826000707755</v>
      </c>
      <c r="H1573" s="883">
        <v>1.0104947596222587</v>
      </c>
      <c r="I1573" s="883">
        <v>0.97875416300383711</v>
      </c>
      <c r="K1573">
        <v>6.7135876927787077</v>
      </c>
      <c r="L1573">
        <v>0</v>
      </c>
      <c r="M1573">
        <v>1.0301915964322901E-2</v>
      </c>
      <c r="N1573">
        <v>0.18516067265425221</v>
      </c>
      <c r="O1573">
        <v>0.11729585298291834</v>
      </c>
      <c r="P1573">
        <v>8.1456153636109307E-2</v>
      </c>
      <c r="Q1573">
        <v>0</v>
      </c>
      <c r="R1573">
        <v>1.0301915964322901E-2</v>
      </c>
      <c r="S1573">
        <v>0.2562393485560055</v>
      </c>
      <c r="T1573">
        <v>5.9143494738997138</v>
      </c>
      <c r="U1573">
        <v>0</v>
      </c>
      <c r="V1573">
        <v>1.8976018817735998E-2</v>
      </c>
      <c r="W1573">
        <v>9.8664525345116133E-2</v>
      </c>
      <c r="X1573">
        <v>-9.7580938154570986E-4</v>
      </c>
      <c r="Y1573">
        <v>4.2421456268396475E-2</v>
      </c>
    </row>
    <row r="1574" spans="1:25" x14ac:dyDescent="0.25">
      <c r="A1574" s="879"/>
      <c r="B1574" s="1133">
        <v>1324</v>
      </c>
      <c r="C1574" s="883">
        <v>0.99887525158985258</v>
      </c>
      <c r="D1574" s="883">
        <v>0.98996777539055747</v>
      </c>
      <c r="E1574" s="883">
        <v>0.99558272676574611</v>
      </c>
      <c r="F1574" s="883">
        <v>1.0076685656811992</v>
      </c>
      <c r="G1574" s="883">
        <v>0.99489009170470166</v>
      </c>
      <c r="H1574" s="883">
        <v>1.0282973927314831</v>
      </c>
      <c r="I1574" s="883">
        <v>0.98484254895345658</v>
      </c>
      <c r="K1574">
        <v>6.7541429146159722</v>
      </c>
      <c r="L1574">
        <v>0</v>
      </c>
      <c r="M1574">
        <v>1.0817542184804933E-2</v>
      </c>
      <c r="N1574">
        <v>0.20036467821641132</v>
      </c>
      <c r="O1574">
        <v>0.12269694180843799</v>
      </c>
      <c r="P1574">
        <v>8.2881602666591239E-2</v>
      </c>
      <c r="Q1574">
        <v>0</v>
      </c>
      <c r="R1574">
        <v>1.0817542184804933E-2</v>
      </c>
      <c r="S1574">
        <v>0.26892956703608112</v>
      </c>
      <c r="T1574">
        <v>5.9127950794681867</v>
      </c>
      <c r="U1574">
        <v>0</v>
      </c>
      <c r="V1574">
        <v>1.9161232262472669E-2</v>
      </c>
      <c r="W1574">
        <v>0.10568987162612302</v>
      </c>
      <c r="X1574">
        <v>-2.9207717346242052E-3</v>
      </c>
      <c r="Y1574">
        <v>4.4544713266295576E-2</v>
      </c>
    </row>
    <row r="1575" spans="1:25" x14ac:dyDescent="0.25">
      <c r="A1575" s="879"/>
      <c r="B1575" s="1133">
        <v>1325</v>
      </c>
      <c r="C1575" s="883">
        <v>1.0078688906304072</v>
      </c>
      <c r="D1575" s="883">
        <v>0.98468191246493508</v>
      </c>
      <c r="E1575" s="883">
        <v>0.9558347375991324</v>
      </c>
      <c r="F1575" s="883">
        <v>0.98684894796543954</v>
      </c>
      <c r="G1575" s="883">
        <v>1.006421577665874</v>
      </c>
      <c r="H1575" s="883">
        <v>0.97206225045016548</v>
      </c>
      <c r="I1575" s="883">
        <v>0.98880580588383227</v>
      </c>
      <c r="K1575">
        <v>6.7230358486850061</v>
      </c>
      <c r="L1575">
        <v>0</v>
      </c>
      <c r="M1575">
        <v>1.0515913987999861E-2</v>
      </c>
      <c r="N1575">
        <v>0.18361985810781836</v>
      </c>
      <c r="O1575">
        <v>0.12259750596424096</v>
      </c>
      <c r="P1575">
        <v>8.0304340905492655E-2</v>
      </c>
      <c r="Q1575">
        <v>0</v>
      </c>
      <c r="R1575">
        <v>1.0515913987999861E-2</v>
      </c>
      <c r="S1575">
        <v>0.26236147627120254</v>
      </c>
      <c r="T1575">
        <v>5.9138491146271734</v>
      </c>
      <c r="U1575">
        <v>0</v>
      </c>
      <c r="V1575">
        <v>1.9112530329252173E-2</v>
      </c>
      <c r="W1575">
        <v>9.8807646238981847E-2</v>
      </c>
      <c r="X1575">
        <v>-9.1928579883001032E-4</v>
      </c>
      <c r="Y1575">
        <v>4.3302662039669933E-2</v>
      </c>
    </row>
    <row r="1576" spans="1:25" x14ac:dyDescent="0.25">
      <c r="A1576" s="879"/>
      <c r="B1576" s="1133">
        <v>1326</v>
      </c>
      <c r="C1576" s="883">
        <v>1.0039079415426031</v>
      </c>
      <c r="D1576" s="883">
        <v>0.98953617843102826</v>
      </c>
      <c r="E1576" s="883">
        <v>1.0306058759943602</v>
      </c>
      <c r="F1576" s="883">
        <v>1.0187674545006005</v>
      </c>
      <c r="G1576" s="883">
        <v>1.011236431605077</v>
      </c>
      <c r="H1576" s="883">
        <v>1.0213913400804431</v>
      </c>
      <c r="I1576" s="883">
        <v>0.98977249422096036</v>
      </c>
      <c r="K1576">
        <v>6.7530686512592428</v>
      </c>
      <c r="L1576">
        <v>0</v>
      </c>
      <c r="M1576">
        <v>1.0370375109982516E-2</v>
      </c>
      <c r="N1576">
        <v>0.20230148739938231</v>
      </c>
      <c r="O1576">
        <v>0.12144255225407291</v>
      </c>
      <c r="P1576">
        <v>8.5051048768013435E-2</v>
      </c>
      <c r="Q1576">
        <v>0</v>
      </c>
      <c r="R1576">
        <v>1.0370375109982516E-2</v>
      </c>
      <c r="S1576">
        <v>0.26834101995534809</v>
      </c>
      <c r="T1576">
        <v>5.9114007960819084</v>
      </c>
      <c r="U1576">
        <v>0</v>
      </c>
      <c r="V1576">
        <v>1.9133871948681637E-2</v>
      </c>
      <c r="W1576">
        <v>0.10488117248900215</v>
      </c>
      <c r="X1576">
        <v>-2.1866564821159083E-3</v>
      </c>
      <c r="Y1576">
        <v>4.270335884494908E-2</v>
      </c>
    </row>
    <row r="1577" spans="1:25" x14ac:dyDescent="0.25">
      <c r="A1577" s="879"/>
      <c r="B1577" s="1133">
        <v>1327</v>
      </c>
      <c r="C1577" s="883">
        <v>1.0102674118253643</v>
      </c>
      <c r="D1577" s="883">
        <v>1.0338970445737525</v>
      </c>
      <c r="E1577" s="883">
        <v>1.0249052949505411</v>
      </c>
      <c r="F1577" s="883">
        <v>0.98741678188088244</v>
      </c>
      <c r="G1577" s="883">
        <v>1.0100145570001198</v>
      </c>
      <c r="H1577" s="883">
        <v>0.99644025539767189</v>
      </c>
      <c r="I1577" s="883">
        <v>0.97554414007687118</v>
      </c>
      <c r="K1577">
        <v>6.7243368161233272</v>
      </c>
      <c r="L1577">
        <v>0</v>
      </c>
      <c r="M1577">
        <v>9.9157655289491102E-3</v>
      </c>
      <c r="N1577">
        <v>0.19180973033652671</v>
      </c>
      <c r="O1577">
        <v>0.11868536062790651</v>
      </c>
      <c r="P1577">
        <v>8.4562987070363235E-2</v>
      </c>
      <c r="Q1577">
        <v>0</v>
      </c>
      <c r="R1577">
        <v>9.9157655289491102E-3</v>
      </c>
      <c r="S1577">
        <v>0.26012222202774737</v>
      </c>
      <c r="T1577">
        <v>5.9100363575550059</v>
      </c>
      <c r="U1577">
        <v>0</v>
      </c>
      <c r="V1577">
        <v>1.90996884312232E-2</v>
      </c>
      <c r="W1577">
        <v>9.9720573105656435E-2</v>
      </c>
      <c r="X1577">
        <v>-5.3146053884245556E-4</v>
      </c>
      <c r="Y1577">
        <v>4.0831357507742479E-2</v>
      </c>
    </row>
    <row r="1578" spans="1:25" x14ac:dyDescent="0.25">
      <c r="A1578" s="879"/>
      <c r="B1578" s="1133">
        <v>1328</v>
      </c>
      <c r="C1578" s="883">
        <v>1.0020458905906433</v>
      </c>
      <c r="D1578" s="883">
        <v>1.0015851707013981</v>
      </c>
      <c r="E1578" s="883">
        <v>1.04363356588559</v>
      </c>
      <c r="F1578" s="883">
        <v>0.96654225913050451</v>
      </c>
      <c r="G1578" s="883">
        <v>0.95600972987213662</v>
      </c>
      <c r="H1578" s="883">
        <v>1.0229971447515698</v>
      </c>
      <c r="I1578" s="883">
        <v>1.0016687423506057</v>
      </c>
      <c r="K1578">
        <v>6.7542879909620925</v>
      </c>
      <c r="L1578">
        <v>0</v>
      </c>
      <c r="M1578">
        <v>1.0234556673094558E-2</v>
      </c>
      <c r="N1578">
        <v>0.20353198477424667</v>
      </c>
      <c r="O1578">
        <v>0.12083290975205171</v>
      </c>
      <c r="P1578">
        <v>8.5868356794186126E-2</v>
      </c>
      <c r="Q1578">
        <v>0</v>
      </c>
      <c r="R1578">
        <v>1.0234556673094558E-2</v>
      </c>
      <c r="S1578">
        <v>0.27211178471715841</v>
      </c>
      <c r="T1578">
        <v>5.9078214529256234</v>
      </c>
      <c r="U1578">
        <v>0</v>
      </c>
      <c r="V1578">
        <v>1.9143962992695798E-2</v>
      </c>
      <c r="W1578">
        <v>0.10484881126093117</v>
      </c>
      <c r="X1578">
        <v>-2.015354951428878E-3</v>
      </c>
      <c r="Y1578">
        <v>4.2144082696625056E-2</v>
      </c>
    </row>
    <row r="1579" spans="1:25" x14ac:dyDescent="0.25">
      <c r="A1579" s="879"/>
      <c r="B1579" s="1133">
        <v>1329</v>
      </c>
      <c r="C1579" s="883">
        <v>0.99184494440803594</v>
      </c>
      <c r="D1579" s="883">
        <v>1.0282468478051172</v>
      </c>
      <c r="E1579" s="883">
        <v>0.99315193988037753</v>
      </c>
      <c r="F1579" s="883">
        <v>1.0056147797585513</v>
      </c>
      <c r="G1579" s="883">
        <v>1.0074130990502166</v>
      </c>
      <c r="H1579" s="883">
        <v>1.0057080961469118</v>
      </c>
      <c r="I1579" s="883">
        <v>0.97359477000382644</v>
      </c>
      <c r="K1579">
        <v>6.7394750201957221</v>
      </c>
      <c r="L1579">
        <v>0</v>
      </c>
      <c r="M1579">
        <v>1.0505487096553546E-2</v>
      </c>
      <c r="N1579">
        <v>0.19388496840707478</v>
      </c>
      <c r="O1579">
        <v>0.12175092306397207</v>
      </c>
      <c r="P1579">
        <v>8.2680785554302694E-2</v>
      </c>
      <c r="Q1579">
        <v>0</v>
      </c>
      <c r="R1579">
        <v>1.0505487096553546E-2</v>
      </c>
      <c r="S1579">
        <v>0.26526679419462029</v>
      </c>
      <c r="T1579">
        <v>5.9128199384028317</v>
      </c>
      <c r="U1579">
        <v>0</v>
      </c>
      <c r="V1579">
        <v>1.9199917503352475E-2</v>
      </c>
      <c r="W1579">
        <v>0.10239572857721804</v>
      </c>
      <c r="X1579">
        <v>-1.7837614642614314E-3</v>
      </c>
      <c r="Y1579">
        <v>4.325972595661149E-2</v>
      </c>
    </row>
    <row r="1580" spans="1:25" x14ac:dyDescent="0.25">
      <c r="A1580" s="879"/>
      <c r="B1580" s="1133">
        <v>1330</v>
      </c>
      <c r="C1580" s="883">
        <v>1.0032553823603032</v>
      </c>
      <c r="D1580" s="883">
        <v>1.031622666540688</v>
      </c>
      <c r="E1580" s="883">
        <v>1.0296919023190394</v>
      </c>
      <c r="F1580" s="883">
        <v>0.96457856076468462</v>
      </c>
      <c r="G1580" s="883">
        <v>0.98041168641248777</v>
      </c>
      <c r="H1580" s="883">
        <v>1.0027348439977202</v>
      </c>
      <c r="I1580" s="883">
        <v>1.0070794565896506</v>
      </c>
      <c r="K1580">
        <v>6.7398473843888578</v>
      </c>
      <c r="L1580">
        <v>0</v>
      </c>
      <c r="M1580">
        <v>1.0015526196626542E-2</v>
      </c>
      <c r="N1580">
        <v>0.19511544188614122</v>
      </c>
      <c r="O1580">
        <v>0.11953077195051241</v>
      </c>
      <c r="P1580">
        <v>8.4991338021045831E-2</v>
      </c>
      <c r="Q1580">
        <v>0</v>
      </c>
      <c r="R1580">
        <v>1.0015526196626542E-2</v>
      </c>
      <c r="S1580">
        <v>0.27102378643772035</v>
      </c>
      <c r="T1580">
        <v>5.9085265503093405</v>
      </c>
      <c r="U1580">
        <v>0</v>
      </c>
      <c r="V1580">
        <v>1.9137404110226137E-2</v>
      </c>
      <c r="W1580">
        <v>0.10120100330425284</v>
      </c>
      <c r="X1580">
        <v>-9.2106581089014441E-4</v>
      </c>
      <c r="Y1580">
        <v>4.1242154180501235E-2</v>
      </c>
    </row>
    <row r="1581" spans="1:25" x14ac:dyDescent="0.25">
      <c r="A1581" s="879"/>
      <c r="B1581" s="1133">
        <v>1331</v>
      </c>
      <c r="C1581" s="883">
        <v>0.9908814400357896</v>
      </c>
      <c r="D1581" s="883">
        <v>0.98231443572269994</v>
      </c>
      <c r="E1581" s="883">
        <v>1.0028696645666746</v>
      </c>
      <c r="F1581" s="883">
        <v>0.98236283160991456</v>
      </c>
      <c r="G1581" s="883">
        <v>1.0001804161560894</v>
      </c>
      <c r="H1581" s="883">
        <v>0.98041164796884606</v>
      </c>
      <c r="I1581" s="883">
        <v>0.9839209027295962</v>
      </c>
      <c r="K1581">
        <v>6.741292364516239</v>
      </c>
      <c r="L1581">
        <v>0</v>
      </c>
      <c r="M1581">
        <v>1.0365445741019672E-2</v>
      </c>
      <c r="N1581">
        <v>0.19407483582831028</v>
      </c>
      <c r="O1581">
        <v>0.123932606946108</v>
      </c>
      <c r="P1581">
        <v>8.3282720657444631E-2</v>
      </c>
      <c r="Q1581">
        <v>0</v>
      </c>
      <c r="R1581">
        <v>1.0365445741019672E-2</v>
      </c>
      <c r="S1581">
        <v>0.26643012143397682</v>
      </c>
      <c r="T1581">
        <v>5.9110182962888169</v>
      </c>
      <c r="U1581">
        <v>0</v>
      </c>
      <c r="V1581">
        <v>1.9205262091607275E-2</v>
      </c>
      <c r="W1581">
        <v>0.10200213252506604</v>
      </c>
      <c r="X1581">
        <v>-1.3366718360503119E-3</v>
      </c>
      <c r="Y1581">
        <v>4.2683060580955071E-2</v>
      </c>
    </row>
    <row r="1582" spans="1:25" x14ac:dyDescent="0.25">
      <c r="A1582" s="879"/>
      <c r="B1582" s="1133">
        <v>1332</v>
      </c>
      <c r="C1582" s="883">
        <v>0.98106275456656777</v>
      </c>
      <c r="D1582" s="883">
        <v>1.0010259432972872</v>
      </c>
      <c r="E1582" s="883">
        <v>0.98252826295705153</v>
      </c>
      <c r="F1582" s="883">
        <v>0.964269376756001</v>
      </c>
      <c r="G1582" s="883">
        <v>0.96160195648504343</v>
      </c>
      <c r="H1582" s="883">
        <v>1.0222558788763632</v>
      </c>
      <c r="I1582" s="883">
        <v>0.99470507329788682</v>
      </c>
      <c r="K1582">
        <v>6.7617676888460503</v>
      </c>
      <c r="L1582">
        <v>0</v>
      </c>
      <c r="M1582">
        <v>1.1022091530058391E-2</v>
      </c>
      <c r="N1582">
        <v>0.20023985933140712</v>
      </c>
      <c r="O1582">
        <v>0.12461874633218176</v>
      </c>
      <c r="P1582">
        <v>8.2131312674455614E-2</v>
      </c>
      <c r="Q1582">
        <v>0</v>
      </c>
      <c r="R1582">
        <v>1.1022091530058391E-2</v>
      </c>
      <c r="S1582">
        <v>0.27582733048413854</v>
      </c>
      <c r="T1582">
        <v>5.9111747959362901</v>
      </c>
      <c r="U1582">
        <v>0</v>
      </c>
      <c r="V1582">
        <v>1.9260325223159538E-2</v>
      </c>
      <c r="W1582">
        <v>0.10631413728586793</v>
      </c>
      <c r="X1582">
        <v>-3.1858294830772104E-3</v>
      </c>
      <c r="Y1582">
        <v>4.5387011061623107E-2</v>
      </c>
    </row>
    <row r="1583" spans="1:25" x14ac:dyDescent="0.25">
      <c r="A1583" s="879"/>
      <c r="B1583" s="1133">
        <v>1333</v>
      </c>
      <c r="C1583" s="883">
        <v>0.98163098673116989</v>
      </c>
      <c r="D1583" s="883">
        <v>1.0233245475747137</v>
      </c>
      <c r="E1583" s="883">
        <v>1.0110659277662084</v>
      </c>
      <c r="F1583" s="883">
        <v>0.97383460910061115</v>
      </c>
      <c r="G1583" s="883">
        <v>0.99866904976147475</v>
      </c>
      <c r="H1583" s="883">
        <v>0.98573697364341561</v>
      </c>
      <c r="I1583" s="883">
        <v>1.0122722306524961</v>
      </c>
      <c r="K1583">
        <v>6.7504470708809334</v>
      </c>
      <c r="L1583">
        <v>0</v>
      </c>
      <c r="M1583">
        <v>1.0263482036041794E-2</v>
      </c>
      <c r="N1583">
        <v>0.19451214386174318</v>
      </c>
      <c r="O1583">
        <v>0.12291492406008685</v>
      </c>
      <c r="P1583">
        <v>8.3925663616413446E-2</v>
      </c>
      <c r="Q1583">
        <v>0</v>
      </c>
      <c r="R1583">
        <v>1.0263482036041794E-2</v>
      </c>
      <c r="S1583">
        <v>0.27683135681102478</v>
      </c>
      <c r="T1583">
        <v>5.9100938241956502</v>
      </c>
      <c r="U1583">
        <v>0</v>
      </c>
      <c r="V1583">
        <v>1.9257108550951793E-2</v>
      </c>
      <c r="W1583">
        <v>0.1018178577542295</v>
      </c>
      <c r="X1583">
        <v>-1.1690001618874237E-3</v>
      </c>
      <c r="Y1583">
        <v>4.2263192192719096E-2</v>
      </c>
    </row>
    <row r="1584" spans="1:25" x14ac:dyDescent="0.25">
      <c r="A1584" s="879"/>
      <c r="B1584" s="1133">
        <v>1334</v>
      </c>
      <c r="C1584" s="883">
        <v>1.0104908290692016</v>
      </c>
      <c r="D1584" s="883">
        <v>0.96642100005394405</v>
      </c>
      <c r="E1584" s="883">
        <v>0.99496001187203009</v>
      </c>
      <c r="F1584" s="883">
        <v>0.98616520387768447</v>
      </c>
      <c r="G1584" s="883">
        <v>1.0348555182157428</v>
      </c>
      <c r="H1584" s="883">
        <v>0.98740069833491961</v>
      </c>
      <c r="I1584" s="883">
        <v>0.99608267932910366</v>
      </c>
      <c r="K1584">
        <v>6.7361768256966554</v>
      </c>
      <c r="L1584">
        <v>0</v>
      </c>
      <c r="M1584">
        <v>1.0380062792298056E-2</v>
      </c>
      <c r="N1584">
        <v>0.19208424805110011</v>
      </c>
      <c r="O1584">
        <v>0.12247174929884436</v>
      </c>
      <c r="P1584">
        <v>8.2778068032463167E-2</v>
      </c>
      <c r="Q1584">
        <v>0</v>
      </c>
      <c r="R1584">
        <v>1.0380062792298056E-2</v>
      </c>
      <c r="S1584">
        <v>0.26529414670248547</v>
      </c>
      <c r="T1584">
        <v>5.9116677237398436</v>
      </c>
      <c r="U1584">
        <v>0</v>
      </c>
      <c r="V1584">
        <v>1.909849533901252E-2</v>
      </c>
      <c r="W1584">
        <v>0.10135344832237884</v>
      </c>
      <c r="X1584">
        <v>-1.31430478585907E-3</v>
      </c>
      <c r="Y1584">
        <v>4.2743250996381314E-2</v>
      </c>
    </row>
    <row r="1585" spans="1:25" x14ac:dyDescent="0.25">
      <c r="A1585" s="879"/>
      <c r="B1585" s="1133">
        <v>1335</v>
      </c>
      <c r="C1585" s="883">
        <v>0.98740839414195636</v>
      </c>
      <c r="D1585" s="883">
        <v>1.0039363087891116</v>
      </c>
      <c r="E1585" s="883">
        <v>0.96031589020470676</v>
      </c>
      <c r="F1585" s="883">
        <v>0.98633201237661661</v>
      </c>
      <c r="G1585" s="883">
        <v>0.98078605668841157</v>
      </c>
      <c r="H1585" s="883">
        <v>0.9907437306808875</v>
      </c>
      <c r="I1585" s="883">
        <v>1.0212611853411109</v>
      </c>
      <c r="K1585">
        <v>6.7505065852105721</v>
      </c>
      <c r="L1585">
        <v>0</v>
      </c>
      <c r="M1585">
        <v>1.0807525754203094E-2</v>
      </c>
      <c r="N1585">
        <v>0.18997263786668245</v>
      </c>
      <c r="O1585">
        <v>0.12408916342666476</v>
      </c>
      <c r="P1585">
        <v>8.0791352290551358E-2</v>
      </c>
      <c r="Q1585">
        <v>0</v>
      </c>
      <c r="R1585">
        <v>1.0807525754203094E-2</v>
      </c>
      <c r="S1585">
        <v>0.27823268854723288</v>
      </c>
      <c r="T1585">
        <v>5.9135799391530277</v>
      </c>
      <c r="U1585">
        <v>0</v>
      </c>
      <c r="V1585">
        <v>1.9224613744007153E-2</v>
      </c>
      <c r="W1585">
        <v>0.10199496472975798</v>
      </c>
      <c r="X1585">
        <v>-1.8822419352917787E-3</v>
      </c>
      <c r="Y1585">
        <v>4.450346738793539E-2</v>
      </c>
    </row>
    <row r="1586" spans="1:25" x14ac:dyDescent="0.25">
      <c r="A1586" s="879"/>
      <c r="B1586" s="1133">
        <v>1336</v>
      </c>
      <c r="C1586" s="883">
        <v>0.99979158501259469</v>
      </c>
      <c r="D1586" s="883">
        <v>0.99595770860375787</v>
      </c>
      <c r="E1586" s="883">
        <v>0.97726132808721311</v>
      </c>
      <c r="F1586" s="883">
        <v>1.0322741296353892</v>
      </c>
      <c r="G1586" s="883">
        <v>0.96021289402324284</v>
      </c>
      <c r="H1586" s="883">
        <v>1.0046350347348287</v>
      </c>
      <c r="I1586" s="883">
        <v>0.99664164821445933</v>
      </c>
      <c r="K1586">
        <v>6.7458890292611597</v>
      </c>
      <c r="L1586">
        <v>0</v>
      </c>
      <c r="M1586">
        <v>1.0701337658946037E-2</v>
      </c>
      <c r="N1586">
        <v>0.19289936130405083</v>
      </c>
      <c r="O1586">
        <v>0.12263074027170043</v>
      </c>
      <c r="P1586">
        <v>8.176769928000055E-2</v>
      </c>
      <c r="Q1586">
        <v>0</v>
      </c>
      <c r="R1586">
        <v>1.0701337658946037E-2</v>
      </c>
      <c r="S1586">
        <v>0.26957515895416401</v>
      </c>
      <c r="T1586">
        <v>5.9151412027649801</v>
      </c>
      <c r="U1586">
        <v>0</v>
      </c>
      <c r="V1586">
        <v>1.9156230087968112E-2</v>
      </c>
      <c r="W1586">
        <v>0.10268728019578875</v>
      </c>
      <c r="X1586">
        <v>-2.0348473099380234E-3</v>
      </c>
      <c r="Y1586">
        <v>4.40662037124432E-2</v>
      </c>
    </row>
    <row r="1587" spans="1:25" x14ac:dyDescent="0.25">
      <c r="A1587" s="879"/>
      <c r="B1587" s="1133">
        <v>1337</v>
      </c>
      <c r="C1587" s="883">
        <v>0.97265442128433433</v>
      </c>
      <c r="D1587" s="883">
        <v>1.0047040963578999</v>
      </c>
      <c r="E1587" s="883">
        <v>1.0033413647041838</v>
      </c>
      <c r="F1587" s="883">
        <v>0.98260226345357027</v>
      </c>
      <c r="G1587" s="883">
        <v>1.0363524778145494</v>
      </c>
      <c r="H1587" s="883">
        <v>1.0067020005144411</v>
      </c>
      <c r="I1587" s="883">
        <v>0.98918904177439804</v>
      </c>
      <c r="K1587">
        <v>6.7624253483600416</v>
      </c>
      <c r="L1587">
        <v>0</v>
      </c>
      <c r="M1587">
        <v>1.0734240268162974E-2</v>
      </c>
      <c r="N1587">
        <v>0.20112033260761245</v>
      </c>
      <c r="O1587">
        <v>0.1251129077530185</v>
      </c>
      <c r="P1587">
        <v>8.3431015143249812E-2</v>
      </c>
      <c r="Q1587">
        <v>0</v>
      </c>
      <c r="R1587">
        <v>1.0734240268162974E-2</v>
      </c>
      <c r="S1587">
        <v>0.27517705972241913</v>
      </c>
      <c r="T1587">
        <v>5.9110046517504342</v>
      </c>
      <c r="U1587">
        <v>0</v>
      </c>
      <c r="V1587">
        <v>1.9308362746112105E-2</v>
      </c>
      <c r="W1587">
        <v>0.10568038647463732</v>
      </c>
      <c r="X1587">
        <v>-2.6110586381919852E-3</v>
      </c>
      <c r="Y1587">
        <v>4.4201690800752411E-2</v>
      </c>
    </row>
    <row r="1588" spans="1:25" x14ac:dyDescent="0.25">
      <c r="A1588" s="879"/>
      <c r="B1588" s="1133">
        <v>1338</v>
      </c>
      <c r="C1588" s="883">
        <v>1.0267782865339266</v>
      </c>
      <c r="D1588" s="883">
        <v>0.96345726844282753</v>
      </c>
      <c r="E1588" s="883">
        <v>0.96395302736792254</v>
      </c>
      <c r="F1588" s="883">
        <v>0.98091741904751828</v>
      </c>
      <c r="G1588" s="883">
        <v>0.99669253279134895</v>
      </c>
      <c r="H1588" s="883">
        <v>0.97006055835707949</v>
      </c>
      <c r="I1588" s="883">
        <v>0.9951846655344071</v>
      </c>
      <c r="K1588">
        <v>6.7155730721825293</v>
      </c>
      <c r="L1588">
        <v>0</v>
      </c>
      <c r="M1588">
        <v>1.0324529309564167E-2</v>
      </c>
      <c r="N1588">
        <v>0.18246591488175648</v>
      </c>
      <c r="O1588">
        <v>0.12124580503454241</v>
      </c>
      <c r="P1588">
        <v>8.0764481578433134E-2</v>
      </c>
      <c r="Q1588">
        <v>0</v>
      </c>
      <c r="R1588">
        <v>1.0324529309564167E-2</v>
      </c>
      <c r="S1588">
        <v>0.25922086944116207</v>
      </c>
      <c r="T1588">
        <v>5.9130905262979443</v>
      </c>
      <c r="U1588">
        <v>0</v>
      </c>
      <c r="V1588">
        <v>1.9012915732912139E-2</v>
      </c>
      <c r="W1588">
        <v>9.7785106525283744E-2</v>
      </c>
      <c r="X1588">
        <v>-5.2712130858275068E-4</v>
      </c>
      <c r="Y1588">
        <v>4.2514573999074594E-2</v>
      </c>
    </row>
    <row r="1589" spans="1:25" x14ac:dyDescent="0.25">
      <c r="A1589" s="879"/>
      <c r="B1589" s="1133">
        <v>1339</v>
      </c>
      <c r="C1589" s="883">
        <v>0.99559874928887282</v>
      </c>
      <c r="D1589" s="883">
        <v>0.99055489277807629</v>
      </c>
      <c r="E1589" s="883">
        <v>0.9786266658030488</v>
      </c>
      <c r="F1589" s="883">
        <v>0.99069270884119809</v>
      </c>
      <c r="G1589" s="883">
        <v>0.97906022644387758</v>
      </c>
      <c r="H1589" s="883">
        <v>1.0132808709135341</v>
      </c>
      <c r="I1589" s="883">
        <v>0.96910691044342245</v>
      </c>
      <c r="K1589">
        <v>6.7435747896340725</v>
      </c>
      <c r="L1589">
        <v>0</v>
      </c>
      <c r="M1589">
        <v>1.0851257852554429E-2</v>
      </c>
      <c r="N1589">
        <v>0.19599847868428549</v>
      </c>
      <c r="O1589">
        <v>0.12338990147538806</v>
      </c>
      <c r="P1589">
        <v>8.1751132157529452E-2</v>
      </c>
      <c r="Q1589">
        <v>0</v>
      </c>
      <c r="R1589">
        <v>1.0851257852554429E-2</v>
      </c>
      <c r="S1589">
        <v>0.26408505669769733</v>
      </c>
      <c r="T1589">
        <v>5.9128181829571487</v>
      </c>
      <c r="U1589">
        <v>0</v>
      </c>
      <c r="V1589">
        <v>1.9179193693001039E-2</v>
      </c>
      <c r="W1589">
        <v>0.1042656876926885</v>
      </c>
      <c r="X1589">
        <v>-2.5963921085913875E-3</v>
      </c>
      <c r="Y1589">
        <v>4.4683548384922861E-2</v>
      </c>
    </row>
    <row r="1590" spans="1:25" x14ac:dyDescent="0.25">
      <c r="A1590" s="879"/>
      <c r="B1590" s="1133">
        <v>1340</v>
      </c>
      <c r="C1590" s="883">
        <v>0.98890120741377385</v>
      </c>
      <c r="D1590" s="883">
        <v>0.98193839056606536</v>
      </c>
      <c r="E1590" s="883">
        <v>1.0043204804081756</v>
      </c>
      <c r="F1590" s="883">
        <v>0.99602259309803221</v>
      </c>
      <c r="G1590" s="883">
        <v>0.99498567827542539</v>
      </c>
      <c r="H1590" s="883">
        <v>1.0024204493041811</v>
      </c>
      <c r="I1590" s="883">
        <v>1.0090962038266225</v>
      </c>
      <c r="K1590">
        <v>6.7595408359323805</v>
      </c>
      <c r="L1590">
        <v>0</v>
      </c>
      <c r="M1590">
        <v>1.0607642236054197E-2</v>
      </c>
      <c r="N1590">
        <v>0.19903676941012466</v>
      </c>
      <c r="O1590">
        <v>0.12417205573796279</v>
      </c>
      <c r="P1590">
        <v>8.351048812098355E-2</v>
      </c>
      <c r="Q1590">
        <v>0</v>
      </c>
      <c r="R1590">
        <v>1.0607642236054197E-2</v>
      </c>
      <c r="S1590">
        <v>0.27593438115225144</v>
      </c>
      <c r="T1590">
        <v>5.9116746536794205</v>
      </c>
      <c r="U1590">
        <v>0</v>
      </c>
      <c r="V1590">
        <v>1.9216279200721841E-2</v>
      </c>
      <c r="W1590">
        <v>0.10453479638209623</v>
      </c>
      <c r="X1590">
        <v>-2.2189703893182779E-3</v>
      </c>
      <c r="Y1590">
        <v>4.3680382638138171E-2</v>
      </c>
    </row>
    <row r="1591" spans="1:25" x14ac:dyDescent="0.25">
      <c r="A1591" s="879"/>
      <c r="B1591" s="1133">
        <v>1341</v>
      </c>
      <c r="C1591" s="883">
        <v>0.98212739066502386</v>
      </c>
      <c r="D1591" s="883">
        <v>1.0200668242570363</v>
      </c>
      <c r="E1591" s="883">
        <v>1.0102251650894172</v>
      </c>
      <c r="F1591" s="883">
        <v>1.0206477715324007</v>
      </c>
      <c r="G1591" s="883">
        <v>0.98314503558780886</v>
      </c>
      <c r="H1591" s="883">
        <v>0.99178571954618711</v>
      </c>
      <c r="I1591" s="883">
        <v>1.0137222495332903</v>
      </c>
      <c r="K1591">
        <v>6.7560275516340136</v>
      </c>
      <c r="L1591">
        <v>0</v>
      </c>
      <c r="M1591">
        <v>1.0342938637918325E-2</v>
      </c>
      <c r="N1591">
        <v>0.19577418394154661</v>
      </c>
      <c r="O1591">
        <v>0.12302558329250278</v>
      </c>
      <c r="P1591">
        <v>8.3919287469047046E-2</v>
      </c>
      <c r="Q1591">
        <v>0</v>
      </c>
      <c r="R1591">
        <v>1.0342938637918325E-2</v>
      </c>
      <c r="S1591">
        <v>0.27769906338153788</v>
      </c>
      <c r="T1591">
        <v>5.9126710509185871</v>
      </c>
      <c r="U1591">
        <v>0</v>
      </c>
      <c r="V1591">
        <v>1.9254301533110099E-2</v>
      </c>
      <c r="W1591">
        <v>0.10252108890173858</v>
      </c>
      <c r="X1591">
        <v>-1.4273881405541034E-3</v>
      </c>
      <c r="Y1591">
        <v>4.2590380336498736E-2</v>
      </c>
    </row>
    <row r="1592" spans="1:25" x14ac:dyDescent="0.25">
      <c r="A1592" s="879"/>
      <c r="B1592" s="1133">
        <v>1342</v>
      </c>
      <c r="C1592" s="883">
        <v>0.98968095806148726</v>
      </c>
      <c r="D1592" s="883">
        <v>0.98990402625332308</v>
      </c>
      <c r="E1592" s="883">
        <v>1.0152329792439212</v>
      </c>
      <c r="F1592" s="883">
        <v>0.99372721755415361</v>
      </c>
      <c r="G1592" s="883">
        <v>0.96216892512282148</v>
      </c>
      <c r="H1592" s="883">
        <v>1.0062830168386681</v>
      </c>
      <c r="I1592" s="883">
        <v>1.0271880214982281</v>
      </c>
      <c r="K1592">
        <v>6.7648604724291355</v>
      </c>
      <c r="L1592">
        <v>0</v>
      </c>
      <c r="M1592">
        <v>1.0502644026385998E-2</v>
      </c>
      <c r="N1592">
        <v>0.20027609216408443</v>
      </c>
      <c r="O1592">
        <v>0.1234654552733168</v>
      </c>
      <c r="P1592">
        <v>8.4254112072436535E-2</v>
      </c>
      <c r="Q1592">
        <v>0</v>
      </c>
      <c r="R1592">
        <v>1.0502644026385998E-2</v>
      </c>
      <c r="S1592">
        <v>0.28097138659181337</v>
      </c>
      <c r="T1592">
        <v>5.9109314926686887</v>
      </c>
      <c r="U1592">
        <v>0</v>
      </c>
      <c r="V1592">
        <v>1.921193576235062E-2</v>
      </c>
      <c r="W1592">
        <v>0.1046194388785246</v>
      </c>
      <c r="X1592">
        <v>-2.1174596817895045E-3</v>
      </c>
      <c r="Y1592">
        <v>4.3248018699709165E-2</v>
      </c>
    </row>
    <row r="1593" spans="1:25" x14ac:dyDescent="0.25">
      <c r="A1593" s="879"/>
      <c r="B1593" s="1133">
        <v>1343</v>
      </c>
      <c r="C1593" s="883">
        <v>1.0223002729285227</v>
      </c>
      <c r="D1593" s="883">
        <v>1.0000729265492228</v>
      </c>
      <c r="E1593" s="883">
        <v>1.0285576982653484</v>
      </c>
      <c r="F1593" s="883">
        <v>1.0261528541769167</v>
      </c>
      <c r="G1593" s="883">
        <v>0.97875683786186962</v>
      </c>
      <c r="H1593" s="883">
        <v>0.96190229971032537</v>
      </c>
      <c r="I1593" s="883">
        <v>1.0017489808949087</v>
      </c>
      <c r="K1593">
        <v>6.7183713338553268</v>
      </c>
      <c r="L1593">
        <v>0</v>
      </c>
      <c r="M1593">
        <v>9.5643961917498618E-3</v>
      </c>
      <c r="N1593">
        <v>0.18601469454093011</v>
      </c>
      <c r="O1593">
        <v>0.11879153487496004</v>
      </c>
      <c r="P1593">
        <v>8.4829345087205521E-2</v>
      </c>
      <c r="Q1593">
        <v>0</v>
      </c>
      <c r="R1593">
        <v>9.5643961917498618E-3</v>
      </c>
      <c r="S1593">
        <v>0.26108810585077302</v>
      </c>
      <c r="T1593">
        <v>5.9119182153039871</v>
      </c>
      <c r="U1593">
        <v>0</v>
      </c>
      <c r="V1593">
        <v>1.9036172872367151E-2</v>
      </c>
      <c r="W1593">
        <v>9.6534414822550207E-2</v>
      </c>
      <c r="X1593">
        <v>7.7436938398212378E-4</v>
      </c>
      <c r="Y1593">
        <v>3.9384481118566558E-2</v>
      </c>
    </row>
    <row r="1594" spans="1:25" x14ac:dyDescent="0.25">
      <c r="A1594" s="879"/>
      <c r="B1594" s="1133">
        <v>1344</v>
      </c>
      <c r="C1594" s="883">
        <v>1.001311040622789</v>
      </c>
      <c r="D1594" s="883">
        <v>1.0084721714212785</v>
      </c>
      <c r="E1594" s="883">
        <v>1.0131876108507474</v>
      </c>
      <c r="F1594" s="883">
        <v>1.0041625544842907</v>
      </c>
      <c r="G1594" s="883">
        <v>0.99101447585785896</v>
      </c>
      <c r="H1594" s="883">
        <v>1.0223083491696712</v>
      </c>
      <c r="I1594" s="883">
        <v>1.0127949763450135</v>
      </c>
      <c r="K1594">
        <v>6.7555641020851223</v>
      </c>
      <c r="L1594">
        <v>0</v>
      </c>
      <c r="M1594">
        <v>1.0481098902016081E-2</v>
      </c>
      <c r="N1594">
        <v>0.19926117057595719</v>
      </c>
      <c r="O1594">
        <v>0.12116607077806332</v>
      </c>
      <c r="P1594">
        <v>8.4055066658309835E-2</v>
      </c>
      <c r="Q1594">
        <v>0</v>
      </c>
      <c r="R1594">
        <v>1.0481098902016081E-2</v>
      </c>
      <c r="S1594">
        <v>0.2751423073687439</v>
      </c>
      <c r="T1594">
        <v>5.9116118729155138</v>
      </c>
      <c r="U1594">
        <v>0</v>
      </c>
      <c r="V1594">
        <v>1.9147955705792991E-2</v>
      </c>
      <c r="W1594">
        <v>0.10419444301939623</v>
      </c>
      <c r="X1594">
        <v>-2.1740846491044986E-3</v>
      </c>
      <c r="Y1594">
        <v>4.3159299712443006E-2</v>
      </c>
    </row>
    <row r="1595" spans="1:25" x14ac:dyDescent="0.25">
      <c r="A1595" s="879"/>
      <c r="B1595" s="1133">
        <v>1345</v>
      </c>
      <c r="C1595" s="883">
        <v>1.011632714929898</v>
      </c>
      <c r="D1595" s="883">
        <v>0.99755227148318115</v>
      </c>
      <c r="E1595" s="883">
        <v>1.0224291286569778</v>
      </c>
      <c r="F1595" s="883">
        <v>1.0131574870544189</v>
      </c>
      <c r="G1595" s="883">
        <v>1.0124914470154698</v>
      </c>
      <c r="H1595" s="883">
        <v>0.98788143555318586</v>
      </c>
      <c r="I1595" s="883">
        <v>0.98190635276426319</v>
      </c>
      <c r="K1595">
        <v>6.7296652595407194</v>
      </c>
      <c r="L1595">
        <v>0</v>
      </c>
      <c r="M1595">
        <v>9.9905174068667547E-3</v>
      </c>
      <c r="N1595">
        <v>0.19254932099365918</v>
      </c>
      <c r="O1595">
        <v>0.12028042736058889</v>
      </c>
      <c r="P1595">
        <v>8.4440954038744506E-2</v>
      </c>
      <c r="Q1595">
        <v>0</v>
      </c>
      <c r="R1595">
        <v>9.9905174068667547E-3</v>
      </c>
      <c r="S1595">
        <v>0.26100560810417106</v>
      </c>
      <c r="T1595">
        <v>5.9115693240779459</v>
      </c>
      <c r="U1595">
        <v>0</v>
      </c>
      <c r="V1595">
        <v>1.9092405672717108E-2</v>
      </c>
      <c r="W1595">
        <v>0.10022707528981009</v>
      </c>
      <c r="X1595">
        <v>-6.3902843258600199E-4</v>
      </c>
      <c r="Y1595">
        <v>4.1139172435669072E-2</v>
      </c>
    </row>
    <row r="1596" spans="1:25" x14ac:dyDescent="0.25">
      <c r="A1596" s="879"/>
      <c r="B1596" s="1133">
        <v>1346</v>
      </c>
      <c r="C1596" s="883">
        <v>1.0015181105975688</v>
      </c>
      <c r="D1596" s="883">
        <v>1.00090040749646</v>
      </c>
      <c r="E1596" s="883">
        <v>1.0089670338704013</v>
      </c>
      <c r="F1596" s="883">
        <v>1.003563153726754</v>
      </c>
      <c r="G1596" s="883">
        <v>1.0050467932967473</v>
      </c>
      <c r="H1596" s="883">
        <v>0.99667190549523543</v>
      </c>
      <c r="I1596" s="883">
        <v>1.0015873303101941</v>
      </c>
      <c r="K1596">
        <v>6.7431963193718865</v>
      </c>
      <c r="L1596">
        <v>0</v>
      </c>
      <c r="M1596">
        <v>1.0287080243602999E-2</v>
      </c>
      <c r="N1596">
        <v>0.19435454274716052</v>
      </c>
      <c r="O1596">
        <v>0.12158612156162514</v>
      </c>
      <c r="P1596">
        <v>8.3719389605530756E-2</v>
      </c>
      <c r="Q1596">
        <v>0</v>
      </c>
      <c r="R1596">
        <v>1.0287080243602999E-2</v>
      </c>
      <c r="S1596">
        <v>0.26969925380040344</v>
      </c>
      <c r="T1596">
        <v>5.9118192800046563</v>
      </c>
      <c r="U1596">
        <v>0</v>
      </c>
      <c r="V1596">
        <v>1.9146830024731141E-2</v>
      </c>
      <c r="W1596">
        <v>0.10184102992842707</v>
      </c>
      <c r="X1596">
        <v>-1.3304937117796128E-3</v>
      </c>
      <c r="Y1596">
        <v>4.2360365411131778E-2</v>
      </c>
    </row>
    <row r="1597" spans="1:25" x14ac:dyDescent="0.25">
      <c r="A1597" s="879"/>
      <c r="B1597" s="1133">
        <v>1347</v>
      </c>
      <c r="C1597" s="883">
        <v>0.98298885435261618</v>
      </c>
      <c r="D1597" s="883">
        <v>0.98960459671912826</v>
      </c>
      <c r="E1597" s="883">
        <v>0.97745744305376858</v>
      </c>
      <c r="F1597" s="883">
        <v>0.95490705323930769</v>
      </c>
      <c r="G1597" s="883">
        <v>1.0132709009251586</v>
      </c>
      <c r="H1597" s="883">
        <v>0.99246872765887439</v>
      </c>
      <c r="I1597" s="883">
        <v>1.0058800856095693</v>
      </c>
      <c r="K1597">
        <v>6.7527412978736434</v>
      </c>
      <c r="L1597">
        <v>0</v>
      </c>
      <c r="M1597">
        <v>1.0780128677329921E-2</v>
      </c>
      <c r="N1597">
        <v>0.19437618730354481</v>
      </c>
      <c r="O1597">
        <v>0.12504289420142611</v>
      </c>
      <c r="P1597">
        <v>8.1805675711119824E-2</v>
      </c>
      <c r="Q1597">
        <v>0</v>
      </c>
      <c r="R1597">
        <v>1.0780128677329921E-2</v>
      </c>
      <c r="S1597">
        <v>0.2756144214989007</v>
      </c>
      <c r="T1597">
        <v>5.9109478028251985</v>
      </c>
      <c r="U1597">
        <v>0</v>
      </c>
      <c r="V1597">
        <v>1.9249436939109268E-2</v>
      </c>
      <c r="W1597">
        <v>0.10346327665918401</v>
      </c>
      <c r="X1597">
        <v>-2.1490483667117506E-3</v>
      </c>
      <c r="Y1597">
        <v>4.4390651101869558E-2</v>
      </c>
    </row>
    <row r="1598" spans="1:25" x14ac:dyDescent="0.25">
      <c r="A1598" s="879"/>
      <c r="B1598" s="1133">
        <v>1348</v>
      </c>
      <c r="C1598" s="883">
        <v>0.99830955385311726</v>
      </c>
      <c r="D1598" s="883">
        <v>1.0139732731548365</v>
      </c>
      <c r="E1598" s="883">
        <v>0.99694731622851407</v>
      </c>
      <c r="F1598" s="883">
        <v>1.025367152227884</v>
      </c>
      <c r="G1598" s="883">
        <v>0.98666553354241249</v>
      </c>
      <c r="H1598" s="883">
        <v>0.98127673903485935</v>
      </c>
      <c r="I1598" s="883">
        <v>1.0313711964599976</v>
      </c>
      <c r="K1598">
        <v>6.7451989788266813</v>
      </c>
      <c r="L1598">
        <v>0</v>
      </c>
      <c r="M1598">
        <v>1.0211120342356312E-2</v>
      </c>
      <c r="N1598">
        <v>0.18951525716573395</v>
      </c>
      <c r="O1598">
        <v>0.121570094150938</v>
      </c>
      <c r="P1598">
        <v>8.3086654708958985E-2</v>
      </c>
      <c r="Q1598">
        <v>0</v>
      </c>
      <c r="R1598">
        <v>1.0211120342356312E-2</v>
      </c>
      <c r="S1598">
        <v>0.2769703224591834</v>
      </c>
      <c r="T1598">
        <v>5.9136751901930742</v>
      </c>
      <c r="U1598">
        <v>0</v>
      </c>
      <c r="V1598">
        <v>1.916432493546523E-2</v>
      </c>
      <c r="W1598">
        <v>9.9899109016815077E-2</v>
      </c>
      <c r="X1598">
        <v>-7.2954986164295405E-4</v>
      </c>
      <c r="Y1598">
        <v>4.2047576058156309E-2</v>
      </c>
    </row>
    <row r="1599" spans="1:25" x14ac:dyDescent="0.25">
      <c r="A1599" s="879"/>
      <c r="B1599" s="1133">
        <v>1349</v>
      </c>
      <c r="C1599" s="883">
        <v>1.0258098244037401</v>
      </c>
      <c r="D1599" s="883">
        <v>1.0109874150032347</v>
      </c>
      <c r="E1599" s="883">
        <v>0.99396897580649757</v>
      </c>
      <c r="F1599" s="883">
        <v>0.99899354642538529</v>
      </c>
      <c r="G1599" s="883">
        <v>0.97869890752735633</v>
      </c>
      <c r="H1599" s="883">
        <v>0.97521272159298977</v>
      </c>
      <c r="I1599" s="883">
        <v>1.0180776045833102</v>
      </c>
      <c r="K1599">
        <v>6.7190886683487872</v>
      </c>
      <c r="L1599">
        <v>0</v>
      </c>
      <c r="M1599">
        <v>9.9141916970372918E-3</v>
      </c>
      <c r="N1599">
        <v>0.18319397647690697</v>
      </c>
      <c r="O1599">
        <v>0.11850469687855698</v>
      </c>
      <c r="P1599">
        <v>8.2727810557342255E-2</v>
      </c>
      <c r="Q1599">
        <v>0</v>
      </c>
      <c r="R1599">
        <v>9.9141916970372918E-3</v>
      </c>
      <c r="S1599">
        <v>0.26552740427149052</v>
      </c>
      <c r="T1599">
        <v>5.9124164468374962</v>
      </c>
      <c r="U1599">
        <v>0</v>
      </c>
      <c r="V1599">
        <v>1.9017928357199908E-2</v>
      </c>
      <c r="W1599">
        <v>9.6710182539853917E-2</v>
      </c>
      <c r="X1599">
        <v>1.6534568187798887E-4</v>
      </c>
      <c r="Y1599">
        <v>4.0824876748061241E-2</v>
      </c>
    </row>
    <row r="1600" spans="1:25" x14ac:dyDescent="0.25">
      <c r="A1600" s="879"/>
      <c r="B1600" s="1133">
        <v>1350</v>
      </c>
      <c r="C1600" s="883">
        <v>0.99542648091331676</v>
      </c>
      <c r="D1600" s="883">
        <v>0.99580198468496983</v>
      </c>
      <c r="E1600" s="883">
        <v>0.95551140425723269</v>
      </c>
      <c r="F1600" s="883">
        <v>1.013941455902742</v>
      </c>
      <c r="G1600" s="883">
        <v>1.0105227679835258</v>
      </c>
      <c r="H1600" s="883">
        <v>0.97479268541385289</v>
      </c>
      <c r="I1600" s="883">
        <v>0.97681668888859152</v>
      </c>
      <c r="K1600">
        <v>6.7288455292175904</v>
      </c>
      <c r="L1600">
        <v>0</v>
      </c>
      <c r="M1600">
        <v>1.0629000802702912E-2</v>
      </c>
      <c r="N1600">
        <v>0.18550530944700341</v>
      </c>
      <c r="O1600">
        <v>0.12357955576721558</v>
      </c>
      <c r="P1600">
        <v>8.0306691065889571E-2</v>
      </c>
      <c r="Q1600">
        <v>0</v>
      </c>
      <c r="R1600">
        <v>1.0629000802702912E-2</v>
      </c>
      <c r="S1600">
        <v>0.26257175058466831</v>
      </c>
      <c r="T1600">
        <v>5.9153316640967084</v>
      </c>
      <c r="U1600">
        <v>0</v>
      </c>
      <c r="V1600">
        <v>1.918014132139954E-2</v>
      </c>
      <c r="W1600">
        <v>9.98385498410327E-2</v>
      </c>
      <c r="X1600">
        <v>-1.2364663202431823E-3</v>
      </c>
      <c r="Y1600">
        <v>4.3768333413914444E-2</v>
      </c>
    </row>
    <row r="1601" spans="1:25" x14ac:dyDescent="0.25">
      <c r="A1601" s="879"/>
      <c r="B1601" s="1133">
        <v>1351</v>
      </c>
      <c r="C1601" s="883">
        <v>1.0104641347043071</v>
      </c>
      <c r="D1601" s="883">
        <v>0.97757360367694324</v>
      </c>
      <c r="E1601" s="883">
        <v>0.99865703786129256</v>
      </c>
      <c r="F1601" s="883">
        <v>1.0077333914358286</v>
      </c>
      <c r="G1601" s="883">
        <v>0.96876373880787892</v>
      </c>
      <c r="H1601" s="883">
        <v>0.99856282749768299</v>
      </c>
      <c r="I1601" s="883">
        <v>0.98466899427568932</v>
      </c>
      <c r="K1601">
        <v>6.7368424740714588</v>
      </c>
      <c r="L1601">
        <v>0</v>
      </c>
      <c r="M1601">
        <v>1.0412491400167419E-2</v>
      </c>
      <c r="N1601">
        <v>0.19374283616455446</v>
      </c>
      <c r="O1601">
        <v>0.12184507864408037</v>
      </c>
      <c r="P1601">
        <v>8.2994903589103622E-2</v>
      </c>
      <c r="Q1601">
        <v>0</v>
      </c>
      <c r="R1601">
        <v>1.0412491400167419E-2</v>
      </c>
      <c r="S1601">
        <v>0.26318798600826782</v>
      </c>
      <c r="T1601">
        <v>5.9126262804745036</v>
      </c>
      <c r="U1601">
        <v>0</v>
      </c>
      <c r="V1601">
        <v>1.9098637864440569E-2</v>
      </c>
      <c r="W1601">
        <v>0.10204083306540764</v>
      </c>
      <c r="X1601">
        <v>-1.5708679704137135E-3</v>
      </c>
      <c r="Y1601">
        <v>4.2876786231510339E-2</v>
      </c>
    </row>
    <row r="1602" spans="1:25" x14ac:dyDescent="0.25">
      <c r="A1602" s="879"/>
      <c r="B1602" s="1133">
        <v>1352</v>
      </c>
      <c r="C1602" s="883">
        <v>0.9841626086291817</v>
      </c>
      <c r="D1602" s="883">
        <v>0.98801109131993892</v>
      </c>
      <c r="E1602" s="883">
        <v>1.002656814300245</v>
      </c>
      <c r="F1602" s="883">
        <v>0.98465751276038005</v>
      </c>
      <c r="G1602" s="883">
        <v>0.98184312953713826</v>
      </c>
      <c r="H1602" s="883">
        <v>0.98690304377163551</v>
      </c>
      <c r="I1602" s="883">
        <v>0.99800602623833778</v>
      </c>
      <c r="K1602">
        <v>6.7516667531427732</v>
      </c>
      <c r="L1602">
        <v>0</v>
      </c>
      <c r="M1602">
        <v>1.0481257247611925E-2</v>
      </c>
      <c r="N1602">
        <v>0.19618134397664896</v>
      </c>
      <c r="O1602">
        <v>0.12449448851933197</v>
      </c>
      <c r="P1602">
        <v>8.3355269757375117E-2</v>
      </c>
      <c r="Q1602">
        <v>0</v>
      </c>
      <c r="R1602">
        <v>1.0481257247611925E-2</v>
      </c>
      <c r="S1602">
        <v>0.27265608827419319</v>
      </c>
      <c r="T1602">
        <v>5.9111542932768453</v>
      </c>
      <c r="U1602">
        <v>0</v>
      </c>
      <c r="V1602">
        <v>1.9242822579937573E-2</v>
      </c>
      <c r="W1602">
        <v>0.10312016193733912</v>
      </c>
      <c r="X1602">
        <v>-1.6976669303183697E-3</v>
      </c>
      <c r="Y1602">
        <v>4.3159951751422239E-2</v>
      </c>
    </row>
    <row r="1603" spans="1:25" x14ac:dyDescent="0.25">
      <c r="A1603" s="879"/>
      <c r="B1603" s="1133">
        <v>1353</v>
      </c>
      <c r="C1603" s="883">
        <v>1.0203835980576317</v>
      </c>
      <c r="D1603" s="883">
        <v>1.000969099186833</v>
      </c>
      <c r="E1603" s="883">
        <v>0.97645293798667843</v>
      </c>
      <c r="F1603" s="883">
        <v>1.0363413153097176</v>
      </c>
      <c r="G1603" s="883">
        <v>1.030206794543441</v>
      </c>
      <c r="H1603" s="883">
        <v>0.97743766483744554</v>
      </c>
      <c r="I1603" s="883">
        <v>0.9932406743548674</v>
      </c>
      <c r="K1603">
        <v>6.719320944019703</v>
      </c>
      <c r="L1603">
        <v>0</v>
      </c>
      <c r="M1603">
        <v>1.0186782941366285E-2</v>
      </c>
      <c r="N1603">
        <v>0.18340398330333543</v>
      </c>
      <c r="O1603">
        <v>0.11992965481769775</v>
      </c>
      <c r="P1603">
        <v>8.1601813942501739E-2</v>
      </c>
      <c r="Q1603">
        <v>0</v>
      </c>
      <c r="R1603">
        <v>1.0186782941366285E-2</v>
      </c>
      <c r="S1603">
        <v>0.2606880704503558</v>
      </c>
      <c r="T1603">
        <v>5.9154054938725977</v>
      </c>
      <c r="U1603">
        <v>0</v>
      </c>
      <c r="V1603">
        <v>1.9046189754053849E-2</v>
      </c>
      <c r="W1603">
        <v>9.7672125816714292E-2</v>
      </c>
      <c r="X1603">
        <v>-3.73746910327749E-4</v>
      </c>
      <c r="Y1603">
        <v>4.1947358972775274E-2</v>
      </c>
    </row>
    <row r="1604" spans="1:25" x14ac:dyDescent="0.25">
      <c r="A1604" s="879"/>
      <c r="B1604" s="1133">
        <v>1354</v>
      </c>
      <c r="C1604" s="883">
        <v>1.0201521528636495</v>
      </c>
      <c r="D1604" s="883">
        <v>1.0081478558040424</v>
      </c>
      <c r="E1604" s="883">
        <v>0.98711752800313746</v>
      </c>
      <c r="F1604" s="883">
        <v>0.98570249953248201</v>
      </c>
      <c r="G1604" s="883">
        <v>1.0166422855594304</v>
      </c>
      <c r="H1604" s="883">
        <v>0.98637468806888329</v>
      </c>
      <c r="I1604" s="883">
        <v>1.0017017587502623</v>
      </c>
      <c r="K1604">
        <v>6.7220247330604552</v>
      </c>
      <c r="L1604">
        <v>0</v>
      </c>
      <c r="M1604">
        <v>1.0155970580348955E-2</v>
      </c>
      <c r="N1604">
        <v>0.18576504854088965</v>
      </c>
      <c r="O1604">
        <v>0.11942092597393281</v>
      </c>
      <c r="P1604">
        <v>8.2269376773612249E-2</v>
      </c>
      <c r="Q1604">
        <v>0</v>
      </c>
      <c r="R1604">
        <v>1.0155970580348955E-2</v>
      </c>
      <c r="S1604">
        <v>0.26374751949909297</v>
      </c>
      <c r="T1604">
        <v>5.9120794487918129</v>
      </c>
      <c r="U1604">
        <v>0</v>
      </c>
      <c r="V1604">
        <v>1.9047401874532216E-2</v>
      </c>
      <c r="W1604">
        <v>9.8403035938329289E-2</v>
      </c>
      <c r="X1604">
        <v>-5.2850348625314326E-4</v>
      </c>
      <c r="Y1604">
        <v>4.1820479154501725E-2</v>
      </c>
    </row>
    <row r="1605" spans="1:25" x14ac:dyDescent="0.25">
      <c r="A1605" s="879"/>
      <c r="B1605" s="1133">
        <v>1355</v>
      </c>
      <c r="C1605" s="883">
        <v>0.99118996791135106</v>
      </c>
      <c r="D1605" s="883">
        <v>0.99500935225014031</v>
      </c>
      <c r="E1605" s="883">
        <v>1.0183813459203528</v>
      </c>
      <c r="F1605" s="883">
        <v>1.0166174480995898</v>
      </c>
      <c r="G1605" s="883">
        <v>0.9534059138618306</v>
      </c>
      <c r="H1605" s="883">
        <v>1.0209918788062231</v>
      </c>
      <c r="I1605" s="883">
        <v>1.0238247280531576</v>
      </c>
      <c r="K1605">
        <v>6.7693031098302701</v>
      </c>
      <c r="L1605">
        <v>0</v>
      </c>
      <c r="M1605">
        <v>1.0587302591824105E-2</v>
      </c>
      <c r="N1605">
        <v>0.20283314588514437</v>
      </c>
      <c r="O1605">
        <v>0.12296396732241821</v>
      </c>
      <c r="P1605">
        <v>8.4466592969998852E-2</v>
      </c>
      <c r="Q1605">
        <v>0</v>
      </c>
      <c r="R1605">
        <v>1.0587302591824105E-2</v>
      </c>
      <c r="S1605">
        <v>0.28101048103396387</v>
      </c>
      <c r="T1605">
        <v>5.9119883406541787</v>
      </c>
      <c r="U1605">
        <v>0</v>
      </c>
      <c r="V1605">
        <v>1.9203549547135663E-2</v>
      </c>
      <c r="W1605">
        <v>0.10579077376323261</v>
      </c>
      <c r="X1605">
        <v>-2.550368949322133E-3</v>
      </c>
      <c r="Y1605">
        <v>4.3596627603520371E-2</v>
      </c>
    </row>
    <row r="1606" spans="1:25" x14ac:dyDescent="0.25">
      <c r="A1606" s="879"/>
      <c r="B1606" s="1133">
        <v>1356</v>
      </c>
      <c r="C1606" s="883">
        <v>0.98057782026862894</v>
      </c>
      <c r="D1606" s="883">
        <v>1.0304940329881391</v>
      </c>
      <c r="E1606" s="883">
        <v>1.0316653597199115</v>
      </c>
      <c r="F1606" s="883">
        <v>1.0115020327817019</v>
      </c>
      <c r="G1606" s="883">
        <v>1.0146101575742625</v>
      </c>
      <c r="H1606" s="883">
        <v>1.0278729370290995</v>
      </c>
      <c r="I1606" s="883">
        <v>0.9947996248802462</v>
      </c>
      <c r="K1606">
        <v>6.7658381704801522</v>
      </c>
      <c r="L1606">
        <v>0</v>
      </c>
      <c r="M1606">
        <v>1.0490803121934442E-2</v>
      </c>
      <c r="N1606">
        <v>0.20497148591986167</v>
      </c>
      <c r="O1606">
        <v>0.12231088490330755</v>
      </c>
      <c r="P1606">
        <v>8.522204748009081E-2</v>
      </c>
      <c r="Q1606">
        <v>0</v>
      </c>
      <c r="R1606">
        <v>1.0490803121934442E-2</v>
      </c>
      <c r="S1606">
        <v>0.27629811194677695</v>
      </c>
      <c r="T1606">
        <v>5.9109469762054641</v>
      </c>
      <c r="U1606">
        <v>0</v>
      </c>
      <c r="V1606">
        <v>1.9263073307697175E-2</v>
      </c>
      <c r="W1606">
        <v>0.1062102129437545</v>
      </c>
      <c r="X1606">
        <v>-2.5838821895782277E-3</v>
      </c>
      <c r="Y1606">
        <v>4.3199259962780068E-2</v>
      </c>
    </row>
    <row r="1607" spans="1:25" x14ac:dyDescent="0.25">
      <c r="A1607" s="879"/>
      <c r="B1607" s="1133">
        <v>1357</v>
      </c>
      <c r="C1607" s="883">
        <v>1.010002574556754</v>
      </c>
      <c r="D1607" s="883">
        <v>0.98923472902575238</v>
      </c>
      <c r="E1607" s="883">
        <v>0.99588991651500336</v>
      </c>
      <c r="F1607" s="883">
        <v>0.99959008226175228</v>
      </c>
      <c r="G1607" s="883">
        <v>1.0411825006123896</v>
      </c>
      <c r="H1607" s="883">
        <v>0.95363604942574554</v>
      </c>
      <c r="I1607" s="883">
        <v>0.97724724617610093</v>
      </c>
      <c r="K1607">
        <v>6.7145860564181454</v>
      </c>
      <c r="L1607">
        <v>0</v>
      </c>
      <c r="M1607">
        <v>9.9220783333180997E-3</v>
      </c>
      <c r="N1607">
        <v>0.18386240021719014</v>
      </c>
      <c r="O1607">
        <v>0.12137542190347557</v>
      </c>
      <c r="P1607">
        <v>8.2735835334561483E-2</v>
      </c>
      <c r="Q1607">
        <v>0</v>
      </c>
      <c r="R1607">
        <v>9.9220783333180997E-3</v>
      </c>
      <c r="S1607">
        <v>0.25708302748707673</v>
      </c>
      <c r="T1607">
        <v>5.9123412750146676</v>
      </c>
      <c r="U1607">
        <v>0</v>
      </c>
      <c r="V1607">
        <v>1.910110339823887E-2</v>
      </c>
      <c r="W1607">
        <v>9.6970304769640817E-2</v>
      </c>
      <c r="X1607">
        <v>2.5933578079837579E-4</v>
      </c>
      <c r="Y1607">
        <v>4.0857352512496677E-2</v>
      </c>
    </row>
    <row r="1608" spans="1:25" x14ac:dyDescent="0.25">
      <c r="A1608" s="879"/>
      <c r="B1608" s="1133">
        <v>1358</v>
      </c>
      <c r="C1608" s="883">
        <v>1.0115314737110555</v>
      </c>
      <c r="D1608" s="883">
        <v>1.003154550991723</v>
      </c>
      <c r="E1608" s="883">
        <v>1.0000091047988551</v>
      </c>
      <c r="F1608" s="883">
        <v>1.0168189027650181</v>
      </c>
      <c r="G1608" s="883">
        <v>1.0222282271649199</v>
      </c>
      <c r="H1608" s="883">
        <v>0.99583820545651291</v>
      </c>
      <c r="I1608" s="883">
        <v>1.0029779334013975</v>
      </c>
      <c r="K1608">
        <v>6.7357285157027844</v>
      </c>
      <c r="L1608">
        <v>0</v>
      </c>
      <c r="M1608">
        <v>1.0246837217924042E-2</v>
      </c>
      <c r="N1608">
        <v>0.19104285341162097</v>
      </c>
      <c r="O1608">
        <v>0.12044033897530643</v>
      </c>
      <c r="P1608">
        <v>8.3140155444787825E-2</v>
      </c>
      <c r="Q1608">
        <v>0</v>
      </c>
      <c r="R1608">
        <v>1.0246837217924042E-2</v>
      </c>
      <c r="S1608">
        <v>0.2672851956679933</v>
      </c>
      <c r="T1608">
        <v>5.9130413416687073</v>
      </c>
      <c r="U1608">
        <v>0</v>
      </c>
      <c r="V1608">
        <v>1.909294503570394E-2</v>
      </c>
      <c r="W1608">
        <v>0.10055124173671531</v>
      </c>
      <c r="X1608">
        <v>-1.0602080324248367E-3</v>
      </c>
      <c r="Y1608">
        <v>4.2194651794377362E-2</v>
      </c>
    </row>
    <row r="1609" spans="1:25" x14ac:dyDescent="0.25">
      <c r="A1609" s="879"/>
      <c r="B1609" s="1133">
        <v>1359</v>
      </c>
      <c r="C1609" s="883">
        <v>1.011620514323321</v>
      </c>
      <c r="D1609" s="883">
        <v>1.0223749543489236</v>
      </c>
      <c r="E1609" s="883">
        <v>0.99413206768558315</v>
      </c>
      <c r="F1609" s="883">
        <v>1.0150884602555919</v>
      </c>
      <c r="G1609" s="883">
        <v>1.0124044471354874</v>
      </c>
      <c r="H1609" s="883">
        <v>0.98400246570539374</v>
      </c>
      <c r="I1609" s="883">
        <v>0.97522059916303172</v>
      </c>
      <c r="K1609">
        <v>6.7194197714779857</v>
      </c>
      <c r="L1609">
        <v>0</v>
      </c>
      <c r="M1609">
        <v>1.0093907134930458E-2</v>
      </c>
      <c r="N1609">
        <v>0.18655984060615191</v>
      </c>
      <c r="O1609">
        <v>0.11962671222216599</v>
      </c>
      <c r="P1609">
        <v>8.2658335446258641E-2</v>
      </c>
      <c r="Q1609">
        <v>0</v>
      </c>
      <c r="R1609">
        <v>1.0093907134930458E-2</v>
      </c>
      <c r="S1609">
        <v>0.25861622446427701</v>
      </c>
      <c r="T1609">
        <v>5.9132772285748434</v>
      </c>
      <c r="U1609">
        <v>0</v>
      </c>
      <c r="V1609">
        <v>1.9092470665775026E-2</v>
      </c>
      <c r="W1609">
        <v>9.8479064231175001E-2</v>
      </c>
      <c r="X1609">
        <v>-4.5501766581582288E-4</v>
      </c>
      <c r="Y1609">
        <v>4.1564912933149831E-2</v>
      </c>
    </row>
    <row r="1610" spans="1:25" x14ac:dyDescent="0.25">
      <c r="A1610" s="879"/>
      <c r="B1610" s="1133">
        <v>1360</v>
      </c>
      <c r="C1610" s="883">
        <v>0.99103395124404114</v>
      </c>
      <c r="D1610" s="883">
        <v>0.97948347326722796</v>
      </c>
      <c r="E1610" s="883">
        <v>0.986465095733709</v>
      </c>
      <c r="F1610" s="883">
        <v>0.95638813360759967</v>
      </c>
      <c r="G1610" s="883">
        <v>0.9739106880812638</v>
      </c>
      <c r="H1610" s="883">
        <v>0.96592256134389032</v>
      </c>
      <c r="I1610" s="883">
        <v>1.0022349151783387</v>
      </c>
      <c r="K1610">
        <v>6.7380508018506688</v>
      </c>
      <c r="L1610">
        <v>0</v>
      </c>
      <c r="M1610">
        <v>1.0370800011043653E-2</v>
      </c>
      <c r="N1610">
        <v>0.18951109682683845</v>
      </c>
      <c r="O1610">
        <v>0.12436863491596337</v>
      </c>
      <c r="P1610">
        <v>8.2292233194388234E-2</v>
      </c>
      <c r="Q1610">
        <v>0</v>
      </c>
      <c r="R1610">
        <v>1.0370800011043653E-2</v>
      </c>
      <c r="S1610">
        <v>0.26995411044708961</v>
      </c>
      <c r="T1610">
        <v>5.9105310593975764</v>
      </c>
      <c r="U1610">
        <v>0</v>
      </c>
      <c r="V1610">
        <v>1.9204415414970612E-2</v>
      </c>
      <c r="W1610">
        <v>0.10042009294616822</v>
      </c>
      <c r="X1610">
        <v>-9.3594980421362424E-4</v>
      </c>
      <c r="Y1610">
        <v>4.2705108511889286E-2</v>
      </c>
    </row>
    <row r="1611" spans="1:25" x14ac:dyDescent="0.25">
      <c r="A1611" s="879"/>
      <c r="B1611" s="1133">
        <v>1361</v>
      </c>
      <c r="C1611" s="883">
        <v>0.95858712008601277</v>
      </c>
      <c r="D1611" s="883">
        <v>0.98304032530594199</v>
      </c>
      <c r="E1611" s="883">
        <v>1.0262453080521032</v>
      </c>
      <c r="F1611" s="883">
        <v>1.0053504138041098</v>
      </c>
      <c r="G1611" s="883">
        <v>0.99099591544080756</v>
      </c>
      <c r="H1611" s="883">
        <v>1.0040982133362375</v>
      </c>
      <c r="I1611" s="883">
        <v>1.0014069668454157</v>
      </c>
      <c r="K1611">
        <v>6.783359174694275</v>
      </c>
      <c r="L1611">
        <v>0</v>
      </c>
      <c r="M1611">
        <v>1.0747958293588865E-2</v>
      </c>
      <c r="N1611">
        <v>0.20831996392339178</v>
      </c>
      <c r="O1611">
        <v>0.12760669481025316</v>
      </c>
      <c r="P1611">
        <v>8.4971179914258593E-2</v>
      </c>
      <c r="Q1611">
        <v>0</v>
      </c>
      <c r="R1611">
        <v>1.0747958293588865E-2</v>
      </c>
      <c r="S1611">
        <v>0.28268495846616859</v>
      </c>
      <c r="T1611">
        <v>5.91092795614545</v>
      </c>
      <c r="U1611">
        <v>0</v>
      </c>
      <c r="V1611">
        <v>1.9390614785102619E-2</v>
      </c>
      <c r="W1611">
        <v>0.10823282764896168</v>
      </c>
      <c r="X1611">
        <v>-3.0332001870492344E-3</v>
      </c>
      <c r="Y1611">
        <v>4.4258179187738729E-2</v>
      </c>
    </row>
    <row r="1612" spans="1:25" x14ac:dyDescent="0.25">
      <c r="A1612" s="879"/>
      <c r="B1612" s="1133">
        <v>1362</v>
      </c>
      <c r="C1612" s="883">
        <v>0.97990608919405875</v>
      </c>
      <c r="D1612" s="883">
        <v>1.0312852597692361</v>
      </c>
      <c r="E1612" s="883">
        <v>1.0217309109071178</v>
      </c>
      <c r="F1612" s="883">
        <v>1.0194547914115992</v>
      </c>
      <c r="G1612" s="883">
        <v>1.0067268532656142</v>
      </c>
      <c r="H1612" s="883">
        <v>0.99893384782836603</v>
      </c>
      <c r="I1612" s="883">
        <v>1.0238691364777419</v>
      </c>
      <c r="K1612">
        <v>6.7622604351882423</v>
      </c>
      <c r="L1612">
        <v>0</v>
      </c>
      <c r="M1612">
        <v>1.0288235190910355E-2</v>
      </c>
      <c r="N1612">
        <v>0.19808263069667009</v>
      </c>
      <c r="O1612">
        <v>0.12254718434818776</v>
      </c>
      <c r="P1612">
        <v>8.4687000958923536E-2</v>
      </c>
      <c r="Q1612">
        <v>0</v>
      </c>
      <c r="R1612">
        <v>1.0288235190910355E-2</v>
      </c>
      <c r="S1612">
        <v>0.28172713962039397</v>
      </c>
      <c r="T1612">
        <v>5.911949627861147</v>
      </c>
      <c r="U1612">
        <v>0</v>
      </c>
      <c r="V1612">
        <v>1.9266884448185834E-2</v>
      </c>
      <c r="W1612">
        <v>0.10314274953069434</v>
      </c>
      <c r="X1612">
        <v>-1.5079035545318249E-3</v>
      </c>
      <c r="Y1612">
        <v>4.2365121278570506E-2</v>
      </c>
    </row>
    <row r="1613" spans="1:25" x14ac:dyDescent="0.25">
      <c r="A1613" s="879"/>
      <c r="B1613" s="1133">
        <v>1363</v>
      </c>
      <c r="C1613" s="883">
        <v>1.0022023544691965</v>
      </c>
      <c r="D1613" s="883">
        <v>1.041475092186501</v>
      </c>
      <c r="E1613" s="883">
        <v>0.98492815364808428</v>
      </c>
      <c r="F1613" s="883">
        <v>0.99397071939937931</v>
      </c>
      <c r="G1613" s="883">
        <v>0.99013997864323744</v>
      </c>
      <c r="H1613" s="883">
        <v>1.0122611291658836</v>
      </c>
      <c r="I1613" s="883">
        <v>0.97899931241692484</v>
      </c>
      <c r="K1613">
        <v>6.7324133372624919</v>
      </c>
      <c r="L1613">
        <v>0</v>
      </c>
      <c r="M1613">
        <v>1.0482543314505096E-2</v>
      </c>
      <c r="N1613">
        <v>0.1911169188230197</v>
      </c>
      <c r="O1613">
        <v>0.12002863421577688</v>
      </c>
      <c r="P1613">
        <v>8.2149726464498654E-2</v>
      </c>
      <c r="Q1613">
        <v>0</v>
      </c>
      <c r="R1613">
        <v>1.0482543314505096E-2</v>
      </c>
      <c r="S1613">
        <v>0.26444540488535584</v>
      </c>
      <c r="T1613">
        <v>5.9126477005782769</v>
      </c>
      <c r="U1613">
        <v>0</v>
      </c>
      <c r="V1613">
        <v>1.9143113622333712E-2</v>
      </c>
      <c r="W1613">
        <v>0.101348785363852</v>
      </c>
      <c r="X1613">
        <v>-1.6321942366038825E-3</v>
      </c>
      <c r="Y1613">
        <v>4.3165247545976934E-2</v>
      </c>
    </row>
    <row r="1614" spans="1:25" x14ac:dyDescent="0.25">
      <c r="A1614" s="879"/>
      <c r="B1614" s="1133">
        <v>1364</v>
      </c>
      <c r="C1614" s="883">
        <v>1.0141227308670089</v>
      </c>
      <c r="D1614" s="883">
        <v>0.96555021513541206</v>
      </c>
      <c r="E1614" s="883">
        <v>1.0227168934996032</v>
      </c>
      <c r="F1614" s="883">
        <v>1.0267759921882353</v>
      </c>
      <c r="G1614" s="883">
        <v>0.97599226446444864</v>
      </c>
      <c r="H1614" s="883">
        <v>1.0044334835767339</v>
      </c>
      <c r="I1614" s="883">
        <v>1.0092345688725637</v>
      </c>
      <c r="K1614">
        <v>6.748889974851398</v>
      </c>
      <c r="L1614">
        <v>0</v>
      </c>
      <c r="M1614">
        <v>1.027299011997504E-2</v>
      </c>
      <c r="N1614">
        <v>0.19807776164850682</v>
      </c>
      <c r="O1614">
        <v>0.12155481431002448</v>
      </c>
      <c r="P1614">
        <v>8.4584506796371625E-2</v>
      </c>
      <c r="Q1614">
        <v>0</v>
      </c>
      <c r="R1614">
        <v>1.027299011997504E-2</v>
      </c>
      <c r="S1614">
        <v>0.2695134005484035</v>
      </c>
      <c r="T1614">
        <v>5.9122885069762088</v>
      </c>
      <c r="U1614">
        <v>0</v>
      </c>
      <c r="V1614">
        <v>1.9079173998935689E-2</v>
      </c>
      <c r="W1614">
        <v>0.10309017779655817</v>
      </c>
      <c r="X1614">
        <v>-1.600712013593749E-3</v>
      </c>
      <c r="Y1614">
        <v>4.2302344789980337E-2</v>
      </c>
    </row>
    <row r="1615" spans="1:25" x14ac:dyDescent="0.25">
      <c r="A1615" s="879"/>
      <c r="B1615" s="1133">
        <v>1365</v>
      </c>
      <c r="C1615" s="883">
        <v>0.98625244391429789</v>
      </c>
      <c r="D1615" s="883">
        <v>1.007751366421749</v>
      </c>
      <c r="E1615" s="883">
        <v>0.99066055868236125</v>
      </c>
      <c r="F1615" s="883">
        <v>1.00194903504556</v>
      </c>
      <c r="G1615" s="883">
        <v>1.0201046241308296</v>
      </c>
      <c r="H1615" s="883">
        <v>1.0157099438848072</v>
      </c>
      <c r="I1615" s="883">
        <v>1.0140361536707425</v>
      </c>
      <c r="K1615">
        <v>6.7622268298934731</v>
      </c>
      <c r="L1615">
        <v>0</v>
      </c>
      <c r="M1615">
        <v>1.0785907403960448E-2</v>
      </c>
      <c r="N1615">
        <v>0.19832648726686955</v>
      </c>
      <c r="O1615">
        <v>0.12347837837910722</v>
      </c>
      <c r="P1615">
        <v>8.2706707325052933E-2</v>
      </c>
      <c r="Q1615">
        <v>0</v>
      </c>
      <c r="R1615">
        <v>1.0785907403960448E-2</v>
      </c>
      <c r="S1615">
        <v>0.27901600224522582</v>
      </c>
      <c r="T1615">
        <v>5.912760705971281</v>
      </c>
      <c r="U1615">
        <v>0</v>
      </c>
      <c r="V1615">
        <v>1.9231084876152521E-2</v>
      </c>
      <c r="W1615">
        <v>0.10487151803838597</v>
      </c>
      <c r="X1615">
        <v>-2.5785010781653656E-3</v>
      </c>
      <c r="Y1615">
        <v>4.4414446869559081E-2</v>
      </c>
    </row>
    <row r="1616" spans="1:25" x14ac:dyDescent="0.25">
      <c r="A1616" s="879"/>
      <c r="B1616" s="1133">
        <v>1366</v>
      </c>
      <c r="C1616" s="883">
        <v>1.0070071307968744</v>
      </c>
      <c r="D1616" s="883">
        <v>1.0115500751155162</v>
      </c>
      <c r="E1616" s="883">
        <v>0.9614657447280589</v>
      </c>
      <c r="F1616" s="883">
        <v>1.0057811571485296</v>
      </c>
      <c r="G1616" s="883">
        <v>0.99197883161208644</v>
      </c>
      <c r="H1616" s="883">
        <v>0.9756777425602402</v>
      </c>
      <c r="I1616" s="883">
        <v>1.0373507506343147</v>
      </c>
      <c r="K1616">
        <v>6.7347282024159716</v>
      </c>
      <c r="L1616">
        <v>0</v>
      </c>
      <c r="M1616">
        <v>1.0391931218215158E-2</v>
      </c>
      <c r="N1616">
        <v>0.18297973849780119</v>
      </c>
      <c r="O1616">
        <v>0.12128604778407892</v>
      </c>
      <c r="P1616">
        <v>8.0841150104466311E-2</v>
      </c>
      <c r="Q1616">
        <v>0</v>
      </c>
      <c r="R1616">
        <v>1.0391931218215158E-2</v>
      </c>
      <c r="S1616">
        <v>0.27558891722762113</v>
      </c>
      <c r="T1616">
        <v>5.9145695867911057</v>
      </c>
      <c r="U1616">
        <v>0</v>
      </c>
      <c r="V1616">
        <v>1.9117159206912569E-2</v>
      </c>
      <c r="W1616">
        <v>9.8183538039552723E-2</v>
      </c>
      <c r="X1616">
        <v>-6.3005829737275757E-4</v>
      </c>
      <c r="Y1616">
        <v>4.2792123061806873E-2</v>
      </c>
    </row>
    <row r="1617" spans="1:25" x14ac:dyDescent="0.25">
      <c r="A1617" s="879"/>
      <c r="B1617" s="1133">
        <v>1367</v>
      </c>
      <c r="C1617" s="883">
        <v>1.025302423878049</v>
      </c>
      <c r="D1617" s="883">
        <v>1.0081411392503072</v>
      </c>
      <c r="E1617" s="883">
        <v>1.0369229405429079</v>
      </c>
      <c r="F1617" s="883">
        <v>1.0001020414014039</v>
      </c>
      <c r="G1617" s="883">
        <v>0.97713360022564699</v>
      </c>
      <c r="H1617" s="883">
        <v>1.0036060012150561</v>
      </c>
      <c r="I1617" s="883">
        <v>1.0186481901608229</v>
      </c>
      <c r="K1617">
        <v>6.7349311027779333</v>
      </c>
      <c r="L1617">
        <v>0</v>
      </c>
      <c r="M1617">
        <v>9.8432165326191486E-3</v>
      </c>
      <c r="N1617">
        <v>0.19381880148246294</v>
      </c>
      <c r="O1617">
        <v>0.11790888034174088</v>
      </c>
      <c r="P1617">
        <v>8.5428628719030203E-2</v>
      </c>
      <c r="Q1617">
        <v>0</v>
      </c>
      <c r="R1617">
        <v>9.8432165326191486E-3</v>
      </c>
      <c r="S1617">
        <v>0.26855568060723584</v>
      </c>
      <c r="T1617">
        <v>5.910025819987661</v>
      </c>
      <c r="U1617">
        <v>0</v>
      </c>
      <c r="V1617">
        <v>1.9020558371535129E-2</v>
      </c>
      <c r="W1617">
        <v>0.10017296321026672</v>
      </c>
      <c r="X1617">
        <v>-5.3284359609801477E-4</v>
      </c>
      <c r="Y1617">
        <v>4.0532613654095655E-2</v>
      </c>
    </row>
    <row r="1618" spans="1:25" x14ac:dyDescent="0.25">
      <c r="A1618" s="879"/>
      <c r="B1618" s="1133">
        <v>1368</v>
      </c>
      <c r="C1618" s="883">
        <v>0.99602074363917614</v>
      </c>
      <c r="D1618" s="883">
        <v>1.0241506060538179</v>
      </c>
      <c r="E1618" s="883">
        <v>1.0237123267332653</v>
      </c>
      <c r="F1618" s="883">
        <v>1.0037954563900591</v>
      </c>
      <c r="G1618" s="883">
        <v>1.0069185748759397</v>
      </c>
      <c r="H1618" s="883">
        <v>1.0351586215761437</v>
      </c>
      <c r="I1618" s="883">
        <v>0.99513780341453462</v>
      </c>
      <c r="K1618">
        <v>6.757515072600019</v>
      </c>
      <c r="L1618">
        <v>0</v>
      </c>
      <c r="M1618">
        <v>1.0501796708563429E-2</v>
      </c>
      <c r="N1618">
        <v>0.20278779727221047</v>
      </c>
      <c r="O1618">
        <v>0.12086242826737127</v>
      </c>
      <c r="P1618">
        <v>8.4675831692577225E-2</v>
      </c>
      <c r="Q1618">
        <v>0</v>
      </c>
      <c r="R1618">
        <v>1.0501796708563429E-2</v>
      </c>
      <c r="S1618">
        <v>0.27283634199039497</v>
      </c>
      <c r="T1618">
        <v>5.9109898029575545</v>
      </c>
      <c r="U1618">
        <v>0</v>
      </c>
      <c r="V1618">
        <v>1.9176873735912814E-2</v>
      </c>
      <c r="W1618">
        <v>0.10548985917700067</v>
      </c>
      <c r="X1618">
        <v>-2.5483920887363781E-3</v>
      </c>
      <c r="Y1618">
        <v>4.3244529595732779E-2</v>
      </c>
    </row>
    <row r="1619" spans="1:25" x14ac:dyDescent="0.25">
      <c r="A1619" s="879"/>
      <c r="B1619" s="1133">
        <v>1369</v>
      </c>
      <c r="C1619" s="883">
        <v>0.99098599640070428</v>
      </c>
      <c r="D1619" s="883">
        <v>1.0326172480920701</v>
      </c>
      <c r="E1619" s="883">
        <v>0.97093712659962039</v>
      </c>
      <c r="F1619" s="883">
        <v>1.0004108963369727</v>
      </c>
      <c r="G1619" s="883">
        <v>1.0028956549003345</v>
      </c>
      <c r="H1619" s="883">
        <v>1.0381357003669369</v>
      </c>
      <c r="I1619" s="883">
        <v>0.98619362057180326</v>
      </c>
      <c r="K1619">
        <v>6.7531728906936035</v>
      </c>
      <c r="L1619">
        <v>0</v>
      </c>
      <c r="M1619">
        <v>1.1045819644798973E-2</v>
      </c>
      <c r="N1619">
        <v>0.19724856929908938</v>
      </c>
      <c r="O1619">
        <v>0.1220609810025321</v>
      </c>
      <c r="P1619">
        <v>8.1381320853196673E-2</v>
      </c>
      <c r="Q1619">
        <v>0</v>
      </c>
      <c r="R1619">
        <v>1.1045819644798973E-2</v>
      </c>
      <c r="S1619">
        <v>0.27185459360863534</v>
      </c>
      <c r="T1619">
        <v>5.9137648568253169</v>
      </c>
      <c r="U1619">
        <v>0</v>
      </c>
      <c r="V1619">
        <v>1.920468161154789E-2</v>
      </c>
      <c r="W1619">
        <v>0.10533635303215726</v>
      </c>
      <c r="X1619">
        <v>-3.1631847535564181E-3</v>
      </c>
      <c r="Y1619">
        <v>4.5484719214677845E-2</v>
      </c>
    </row>
    <row r="1620" spans="1:25" x14ac:dyDescent="0.25">
      <c r="A1620" s="879"/>
      <c r="B1620" s="1133">
        <v>1370</v>
      </c>
      <c r="C1620" s="883">
        <v>1.0195112648451414</v>
      </c>
      <c r="D1620" s="883">
        <v>0.97174093049047139</v>
      </c>
      <c r="E1620" s="883">
        <v>0.96328204193874123</v>
      </c>
      <c r="F1620" s="883">
        <v>1.0466301999703707</v>
      </c>
      <c r="G1620" s="883">
        <v>0.98835234794309679</v>
      </c>
      <c r="H1620" s="883">
        <v>1.0052621585704591</v>
      </c>
      <c r="I1620" s="883">
        <v>1.0033591087092482</v>
      </c>
      <c r="K1620">
        <v>6.738378746270171</v>
      </c>
      <c r="L1620">
        <v>0</v>
      </c>
      <c r="M1620">
        <v>1.0742229859868703E-2</v>
      </c>
      <c r="N1620">
        <v>0.18965882274454832</v>
      </c>
      <c r="O1620">
        <v>0.12170484656992059</v>
      </c>
      <c r="P1620">
        <v>8.0863344741441232E-2</v>
      </c>
      <c r="Q1620">
        <v>0</v>
      </c>
      <c r="R1620">
        <v>1.0742229859868703E-2</v>
      </c>
      <c r="S1620">
        <v>0.26643574926446184</v>
      </c>
      <c r="T1620">
        <v>5.9166802224260486</v>
      </c>
      <c r="U1620">
        <v>0</v>
      </c>
      <c r="V1620">
        <v>1.9050761193284589E-2</v>
      </c>
      <c r="W1620">
        <v>0.10167423299072666</v>
      </c>
      <c r="X1620">
        <v>-1.9238241775593398E-3</v>
      </c>
      <c r="Y1620">
        <v>4.4234590517302302E-2</v>
      </c>
    </row>
    <row r="1621" spans="1:25" x14ac:dyDescent="0.25">
      <c r="A1621" s="879"/>
      <c r="B1621" s="1133">
        <v>1371</v>
      </c>
      <c r="C1621" s="883">
        <v>0.99002352174472785</v>
      </c>
      <c r="D1621" s="883">
        <v>0.96591646600469039</v>
      </c>
      <c r="E1621" s="883">
        <v>0.97995332682511216</v>
      </c>
      <c r="F1621" s="883">
        <v>0.99762462157148313</v>
      </c>
      <c r="G1621" s="883">
        <v>0.96207149622099719</v>
      </c>
      <c r="H1621" s="883">
        <v>1.0049344314760646</v>
      </c>
      <c r="I1621" s="883">
        <v>0.9798847719928766</v>
      </c>
      <c r="K1621">
        <v>6.7526915334973063</v>
      </c>
      <c r="L1621">
        <v>0</v>
      </c>
      <c r="M1621">
        <v>1.0927326010055808E-2</v>
      </c>
      <c r="N1621">
        <v>0.19776134232703915</v>
      </c>
      <c r="O1621">
        <v>0.12531605153311703</v>
      </c>
      <c r="P1621">
        <v>8.1890888504335901E-2</v>
      </c>
      <c r="Q1621">
        <v>0</v>
      </c>
      <c r="R1621">
        <v>1.0927326010055808E-2</v>
      </c>
      <c r="S1621">
        <v>0.26801559218136584</v>
      </c>
      <c r="T1621">
        <v>5.91311990973698</v>
      </c>
      <c r="U1621">
        <v>0</v>
      </c>
      <c r="V1621">
        <v>1.9210029745950472E-2</v>
      </c>
      <c r="W1621">
        <v>0.10513360082981185</v>
      </c>
      <c r="X1621">
        <v>-2.7526648791806789E-3</v>
      </c>
      <c r="Y1621">
        <v>4.4996783517886246E-2</v>
      </c>
    </row>
    <row r="1622" spans="1:25" x14ac:dyDescent="0.25">
      <c r="A1622" s="879"/>
      <c r="B1622" s="1133">
        <v>1372</v>
      </c>
      <c r="C1622" s="883">
        <v>1.0077809465810919</v>
      </c>
      <c r="D1622" s="883">
        <v>0.982513797696564</v>
      </c>
      <c r="E1622" s="883">
        <v>1.0167188732140655</v>
      </c>
      <c r="F1622" s="883">
        <v>1.0026302566754348</v>
      </c>
      <c r="G1622" s="883">
        <v>0.97399008293328271</v>
      </c>
      <c r="H1622" s="883">
        <v>1.0077727770358218</v>
      </c>
      <c r="I1622" s="883">
        <v>1.0068851433903101</v>
      </c>
      <c r="K1622">
        <v>6.7488219919112531</v>
      </c>
      <c r="L1622">
        <v>0</v>
      </c>
      <c r="M1622">
        <v>1.0349042144251521E-2</v>
      </c>
      <c r="N1622">
        <v>0.19778142945522215</v>
      </c>
      <c r="O1622">
        <v>0.12158392853094532</v>
      </c>
      <c r="P1622">
        <v>8.4212043849613422E-2</v>
      </c>
      <c r="Q1622">
        <v>0</v>
      </c>
      <c r="R1622">
        <v>1.0349042144251521E-2</v>
      </c>
      <c r="S1622">
        <v>0.27069489236616967</v>
      </c>
      <c r="T1622">
        <v>5.9113276997357147</v>
      </c>
      <c r="U1622">
        <v>0</v>
      </c>
      <c r="V1622">
        <v>1.9113002351334042E-2</v>
      </c>
      <c r="W1622">
        <v>0.10324056869583423</v>
      </c>
      <c r="X1622">
        <v>-1.7470865627789332E-3</v>
      </c>
      <c r="Y1622">
        <v>4.261551348919522E-2</v>
      </c>
    </row>
    <row r="1623" spans="1:25" x14ac:dyDescent="0.25">
      <c r="A1623" s="879"/>
      <c r="B1623" s="1133">
        <v>1373</v>
      </c>
      <c r="C1623" s="883">
        <v>0.99420455057571844</v>
      </c>
      <c r="D1623" s="883">
        <v>0.96869031812075579</v>
      </c>
      <c r="E1623" s="883">
        <v>1.0000819858646102</v>
      </c>
      <c r="F1623" s="883">
        <v>0.96905057466625666</v>
      </c>
      <c r="G1623" s="883">
        <v>1.006201022302569</v>
      </c>
      <c r="H1623" s="883">
        <v>1.043564552558655</v>
      </c>
      <c r="I1623" s="883">
        <v>1.0121493490472244</v>
      </c>
      <c r="K1623">
        <v>6.7739745407961571</v>
      </c>
      <c r="L1623">
        <v>0</v>
      </c>
      <c r="M1623">
        <v>1.1089270918846896E-2</v>
      </c>
      <c r="N1623">
        <v>0.20677157902339158</v>
      </c>
      <c r="O1623">
        <v>0.1242635977480581</v>
      </c>
      <c r="P1623">
        <v>8.3274217380364321E-2</v>
      </c>
      <c r="Q1623">
        <v>0</v>
      </c>
      <c r="R1623">
        <v>1.1089270918846896E-2</v>
      </c>
      <c r="S1623">
        <v>0.27943726259933011</v>
      </c>
      <c r="T1623">
        <v>5.9104557191094811</v>
      </c>
      <c r="U1623">
        <v>0</v>
      </c>
      <c r="V1623">
        <v>1.9186872444791007E-2</v>
      </c>
      <c r="W1623">
        <v>0.10882577465517498</v>
      </c>
      <c r="X1623">
        <v>-3.9041259916073796E-3</v>
      </c>
      <c r="Y1623">
        <v>4.5663643827168719E-2</v>
      </c>
    </row>
    <row r="1624" spans="1:25" x14ac:dyDescent="0.25">
      <c r="A1624" s="879"/>
      <c r="B1624" s="1133">
        <v>1374</v>
      </c>
      <c r="C1624" s="883">
        <v>0.9889957226172208</v>
      </c>
      <c r="D1624" s="883">
        <v>0.98111449999483047</v>
      </c>
      <c r="E1624" s="883">
        <v>1.0091069584151124</v>
      </c>
      <c r="F1624" s="883">
        <v>0.98119209137317598</v>
      </c>
      <c r="G1624" s="883">
        <v>0.99486254244372752</v>
      </c>
      <c r="H1624" s="883">
        <v>1.0023298148463484</v>
      </c>
      <c r="I1624" s="883">
        <v>0.97368792987943387</v>
      </c>
      <c r="K1624">
        <v>6.7493635924998063</v>
      </c>
      <c r="L1624">
        <v>0</v>
      </c>
      <c r="M1624">
        <v>1.0565184812197755E-2</v>
      </c>
      <c r="N1624">
        <v>0.19965014688271449</v>
      </c>
      <c r="O1624">
        <v>0.12411020223938919</v>
      </c>
      <c r="P1624">
        <v>8.3665976778974846E-2</v>
      </c>
      <c r="Q1624">
        <v>0</v>
      </c>
      <c r="R1624">
        <v>1.0565184812197755E-2</v>
      </c>
      <c r="S1624">
        <v>0.26623505946427045</v>
      </c>
      <c r="T1624">
        <v>5.9106025277755316</v>
      </c>
      <c r="U1624">
        <v>0</v>
      </c>
      <c r="V1624">
        <v>1.9215752358716611E-2</v>
      </c>
      <c r="W1624">
        <v>0.10460866319704933</v>
      </c>
      <c r="X1624">
        <v>-2.2302867206769298E-3</v>
      </c>
      <c r="Y1624">
        <v>4.3505550523837082E-2</v>
      </c>
    </row>
    <row r="1625" spans="1:25" x14ac:dyDescent="0.25">
      <c r="A1625" s="879"/>
      <c r="B1625" s="1133">
        <v>1375</v>
      </c>
      <c r="C1625" s="883">
        <v>1.0144447781493666</v>
      </c>
      <c r="D1625" s="883">
        <v>0.97936730782982506</v>
      </c>
      <c r="E1625" s="883">
        <v>1.0057645500690136</v>
      </c>
      <c r="F1625" s="883">
        <v>1.0446935963205135</v>
      </c>
      <c r="G1625" s="883">
        <v>0.99332469055303041</v>
      </c>
      <c r="H1625" s="883">
        <v>1.0022593832853044</v>
      </c>
      <c r="I1625" s="883">
        <v>0.99206625587321262</v>
      </c>
      <c r="K1625">
        <v>6.7398628005379537</v>
      </c>
      <c r="L1625">
        <v>0</v>
      </c>
      <c r="M1625">
        <v>1.0337451224665466E-2</v>
      </c>
      <c r="N1625">
        <v>0.1943822880970294</v>
      </c>
      <c r="O1625">
        <v>0.12114546747107348</v>
      </c>
      <c r="P1625">
        <v>8.3479251082257955E-2</v>
      </c>
      <c r="Q1625">
        <v>0</v>
      </c>
      <c r="R1625">
        <v>1.0337451224665466E-2</v>
      </c>
      <c r="S1625">
        <v>0.26446158101469941</v>
      </c>
      <c r="T1625">
        <v>5.91422317090126</v>
      </c>
      <c r="U1625">
        <v>0</v>
      </c>
      <c r="V1625">
        <v>1.9077467418543652E-2</v>
      </c>
      <c r="W1625">
        <v>0.10201720714537162</v>
      </c>
      <c r="X1625">
        <v>-1.4914167377320837E-3</v>
      </c>
      <c r="Y1625">
        <v>4.2567784145446604E-2</v>
      </c>
    </row>
    <row r="1626" spans="1:25" x14ac:dyDescent="0.25">
      <c r="A1626" s="879"/>
      <c r="B1626" s="1133">
        <v>1376</v>
      </c>
      <c r="C1626" s="883">
        <v>1.0021388999202807</v>
      </c>
      <c r="D1626" s="883">
        <v>0.98640432426779301</v>
      </c>
      <c r="E1626" s="883">
        <v>0.99165995282415831</v>
      </c>
      <c r="F1626" s="883">
        <v>1.007149501123775</v>
      </c>
      <c r="G1626" s="883">
        <v>0.96169114058344918</v>
      </c>
      <c r="H1626" s="883">
        <v>0.98595144358352349</v>
      </c>
      <c r="I1626" s="883">
        <v>0.9988802730164611</v>
      </c>
      <c r="K1626">
        <v>6.7391858299439891</v>
      </c>
      <c r="L1626">
        <v>0</v>
      </c>
      <c r="M1626">
        <v>1.0389795781088814E-2</v>
      </c>
      <c r="N1626">
        <v>0.1913262124640461</v>
      </c>
      <c r="O1626">
        <v>0.12254741743334233</v>
      </c>
      <c r="P1626">
        <v>8.2623610132086162E-2</v>
      </c>
      <c r="Q1626">
        <v>0</v>
      </c>
      <c r="R1626">
        <v>1.0389795781088814E-2</v>
      </c>
      <c r="S1626">
        <v>0.26790700924980371</v>
      </c>
      <c r="T1626">
        <v>5.9129861151642622</v>
      </c>
      <c r="U1626">
        <v>0</v>
      </c>
      <c r="V1626">
        <v>1.9143458055895731E-2</v>
      </c>
      <c r="W1626">
        <v>0.10111951415424962</v>
      </c>
      <c r="X1626">
        <v>-1.250836421511071E-3</v>
      </c>
      <c r="Y1626">
        <v>4.2783329711814228E-2</v>
      </c>
    </row>
    <row r="1627" spans="1:25" x14ac:dyDescent="0.25">
      <c r="A1627" s="879"/>
      <c r="B1627" s="1133">
        <v>1377</v>
      </c>
      <c r="C1627" s="883">
        <v>0.99000734603360185</v>
      </c>
      <c r="D1627" s="883">
        <v>1.0108835923552246</v>
      </c>
      <c r="E1627" s="883">
        <v>0.99065620632003681</v>
      </c>
      <c r="F1627" s="883">
        <v>0.98782608291984941</v>
      </c>
      <c r="G1627" s="883">
        <v>0.98827900539750224</v>
      </c>
      <c r="H1627" s="883">
        <v>1.0039426771259152</v>
      </c>
      <c r="I1627" s="883">
        <v>0.96020174923498791</v>
      </c>
      <c r="K1627">
        <v>6.738423273820505</v>
      </c>
      <c r="L1627">
        <v>0</v>
      </c>
      <c r="M1627">
        <v>1.0606452768628679E-2</v>
      </c>
      <c r="N1627">
        <v>0.19502549654112222</v>
      </c>
      <c r="O1627">
        <v>0.12285753001216068</v>
      </c>
      <c r="P1627">
        <v>8.2470970254439738E-2</v>
      </c>
      <c r="Q1627">
        <v>0</v>
      </c>
      <c r="R1627">
        <v>1.0606452768628679E-2</v>
      </c>
      <c r="S1627">
        <v>0.26209907995926529</v>
      </c>
      <c r="T1627">
        <v>5.9119975929640214</v>
      </c>
      <c r="U1627">
        <v>0</v>
      </c>
      <c r="V1627">
        <v>1.9210119717560745E-2</v>
      </c>
      <c r="W1627">
        <v>0.10312623663334429</v>
      </c>
      <c r="X1627">
        <v>-2.039236884411033E-3</v>
      </c>
      <c r="Y1627">
        <v>4.3675484622997189E-2</v>
      </c>
    </row>
    <row r="1628" spans="1:25" x14ac:dyDescent="0.25">
      <c r="A1628" s="879"/>
      <c r="B1628" s="1133">
        <v>1378</v>
      </c>
      <c r="C1628" s="883">
        <v>0.99614344464807569</v>
      </c>
      <c r="D1628" s="883">
        <v>0.95679158731960157</v>
      </c>
      <c r="E1628" s="883">
        <v>0.96591630339406476</v>
      </c>
      <c r="F1628" s="883">
        <v>0.99988979127136801</v>
      </c>
      <c r="G1628" s="883">
        <v>1.0059464914051877</v>
      </c>
      <c r="H1628" s="883">
        <v>1.0108197938479104</v>
      </c>
      <c r="I1628" s="883">
        <v>0.97479677918471908</v>
      </c>
      <c r="K1628">
        <v>6.7499171893990537</v>
      </c>
      <c r="L1628">
        <v>0</v>
      </c>
      <c r="M1628">
        <v>1.1103283126661499E-2</v>
      </c>
      <c r="N1628">
        <v>0.19680193379184294</v>
      </c>
      <c r="O1628">
        <v>0.12528512812150813</v>
      </c>
      <c r="P1628">
        <v>8.0985833505734808E-2</v>
      </c>
      <c r="Q1628">
        <v>0</v>
      </c>
      <c r="R1628">
        <v>1.1103283126661499E-2</v>
      </c>
      <c r="S1628">
        <v>0.2656201977979506</v>
      </c>
      <c r="T1628">
        <v>5.9140099609446954</v>
      </c>
      <c r="U1628">
        <v>0</v>
      </c>
      <c r="V1628">
        <v>1.9176199543423561E-2</v>
      </c>
      <c r="W1628">
        <v>0.10536363919282157</v>
      </c>
      <c r="X1628">
        <v>-3.0470471037901386E-3</v>
      </c>
      <c r="Y1628">
        <v>4.5721343604869256E-2</v>
      </c>
    </row>
    <row r="1629" spans="1:25" x14ac:dyDescent="0.25">
      <c r="A1629" s="879"/>
      <c r="B1629" s="1133">
        <v>1379</v>
      </c>
      <c r="C1629" s="883">
        <v>0.98564583237374659</v>
      </c>
      <c r="D1629" s="883">
        <v>1.0226739407971033</v>
      </c>
      <c r="E1629" s="883">
        <v>0.96951379456307007</v>
      </c>
      <c r="F1629" s="883">
        <v>0.98762162433277023</v>
      </c>
      <c r="G1629" s="883">
        <v>1.0202563276073402</v>
      </c>
      <c r="H1629" s="883">
        <v>0.99789245788517555</v>
      </c>
      <c r="I1629" s="883">
        <v>1.0002417280507512</v>
      </c>
      <c r="K1629">
        <v>6.7461700711637551</v>
      </c>
      <c r="L1629">
        <v>0</v>
      </c>
      <c r="M1629">
        <v>1.0732735721532518E-2</v>
      </c>
      <c r="N1629">
        <v>0.19125313141662784</v>
      </c>
      <c r="O1629">
        <v>0.1232246265841816</v>
      </c>
      <c r="P1629">
        <v>8.1305555732204701E-2</v>
      </c>
      <c r="Q1629">
        <v>0</v>
      </c>
      <c r="R1629">
        <v>1.0732735721532518E-2</v>
      </c>
      <c r="S1629">
        <v>0.27351230693645512</v>
      </c>
      <c r="T1629">
        <v>5.9131509715926773</v>
      </c>
      <c r="U1629">
        <v>0</v>
      </c>
      <c r="V1629">
        <v>1.9234486824591512E-2</v>
      </c>
      <c r="W1629">
        <v>0.10220772503709474</v>
      </c>
      <c r="X1629">
        <v>-1.9142283056007136E-3</v>
      </c>
      <c r="Y1629">
        <v>4.4195495345527525E-2</v>
      </c>
    </row>
    <row r="1630" spans="1:25" x14ac:dyDescent="0.25">
      <c r="A1630" s="879"/>
      <c r="B1630" s="1133">
        <v>1380</v>
      </c>
      <c r="C1630" s="883">
        <v>1.0045434657079877</v>
      </c>
      <c r="D1630" s="883">
        <v>1.0124448910444945</v>
      </c>
      <c r="E1630" s="883">
        <v>1.0378064246418137</v>
      </c>
      <c r="F1630" s="883">
        <v>1.0019097613611443</v>
      </c>
      <c r="G1630" s="883">
        <v>1.0143635967880911</v>
      </c>
      <c r="H1630" s="883">
        <v>1.020969175830998</v>
      </c>
      <c r="I1630" s="883">
        <v>1.0163978618764908</v>
      </c>
      <c r="K1630">
        <v>6.7550649183589719</v>
      </c>
      <c r="L1630">
        <v>0</v>
      </c>
      <c r="M1630">
        <v>1.0193915728889601E-2</v>
      </c>
      <c r="N1630">
        <v>0.2009864446915606</v>
      </c>
      <c r="O1630">
        <v>0.12012389773293003</v>
      </c>
      <c r="P1630">
        <v>8.5576270043594735E-2</v>
      </c>
      <c r="Q1630">
        <v>0</v>
      </c>
      <c r="R1630">
        <v>1.0193915728889601E-2</v>
      </c>
      <c r="S1630">
        <v>0.27510653367341059</v>
      </c>
      <c r="T1630">
        <v>5.9100719927540339</v>
      </c>
      <c r="U1630">
        <v>0</v>
      </c>
      <c r="V1630">
        <v>1.9130436404902411E-2</v>
      </c>
      <c r="W1630">
        <v>0.1038325968436187</v>
      </c>
      <c r="X1630">
        <v>-1.7399843072911669E-3</v>
      </c>
      <c r="Y1630">
        <v>4.1976730522207427E-2</v>
      </c>
    </row>
    <row r="1631" spans="1:25" x14ac:dyDescent="0.25">
      <c r="A1631" s="879"/>
      <c r="B1631" s="1133">
        <v>1381</v>
      </c>
      <c r="C1631" s="883">
        <v>1.0032822419009717</v>
      </c>
      <c r="D1631" s="883">
        <v>0.98950489520205032</v>
      </c>
      <c r="E1631" s="883">
        <v>0.97182801079312731</v>
      </c>
      <c r="F1631" s="883">
        <v>1.0097100160863792</v>
      </c>
      <c r="G1631" s="883">
        <v>0.99382767513115167</v>
      </c>
      <c r="H1631" s="883">
        <v>0.99459695728641784</v>
      </c>
      <c r="I1631" s="883">
        <v>1.0181720031056956</v>
      </c>
      <c r="K1631">
        <v>6.7448520419455127</v>
      </c>
      <c r="L1631">
        <v>0</v>
      </c>
      <c r="M1631">
        <v>1.0637222234010571E-2</v>
      </c>
      <c r="N1631">
        <v>0.19020352375682112</v>
      </c>
      <c r="O1631">
        <v>0.12262287086270915</v>
      </c>
      <c r="P1631">
        <v>8.1464635441735891E-2</v>
      </c>
      <c r="Q1631">
        <v>0</v>
      </c>
      <c r="R1631">
        <v>1.0637222234010571E-2</v>
      </c>
      <c r="S1631">
        <v>0.27353521292481314</v>
      </c>
      <c r="T1631">
        <v>5.9142189917781547</v>
      </c>
      <c r="U1631">
        <v>0</v>
      </c>
      <c r="V1631">
        <v>1.9137258634679133E-2</v>
      </c>
      <c r="W1631">
        <v>0.10152863872951426</v>
      </c>
      <c r="X1631">
        <v>-1.6612779875922806E-3</v>
      </c>
      <c r="Y1631">
        <v>4.3802187804679156E-2</v>
      </c>
    </row>
    <row r="1632" spans="1:25" x14ac:dyDescent="0.25">
      <c r="A1632" s="879"/>
      <c r="B1632" s="1133">
        <v>1382</v>
      </c>
      <c r="C1632" s="883">
        <v>0.98361789608440975</v>
      </c>
      <c r="D1632" s="883">
        <v>1.0002566045891474</v>
      </c>
      <c r="E1632" s="883">
        <v>1.0152682937175985</v>
      </c>
      <c r="F1632" s="883">
        <v>0.99269113127838771</v>
      </c>
      <c r="G1632" s="883">
        <v>0.99830811428105359</v>
      </c>
      <c r="H1632" s="883">
        <v>0.96245469965468533</v>
      </c>
      <c r="I1632" s="883">
        <v>0.96938846836395365</v>
      </c>
      <c r="K1632">
        <v>6.7334980171190502</v>
      </c>
      <c r="L1632">
        <v>0</v>
      </c>
      <c r="M1632">
        <v>1.006186611056554E-2</v>
      </c>
      <c r="N1632">
        <v>0.19188087603284101</v>
      </c>
      <c r="O1632">
        <v>0.12370992365582106</v>
      </c>
      <c r="P1632">
        <v>8.4007263574040952E-2</v>
      </c>
      <c r="Q1632">
        <v>0</v>
      </c>
      <c r="R1632">
        <v>1.006186611056554E-2</v>
      </c>
      <c r="S1632">
        <v>0.26261742876200683</v>
      </c>
      <c r="T1632">
        <v>5.9108734990743814</v>
      </c>
      <c r="U1632">
        <v>0</v>
      </c>
      <c r="V1632">
        <v>1.9245890189872564E-2</v>
      </c>
      <c r="W1632">
        <v>0.10023223182264396</v>
      </c>
      <c r="X1632">
        <v>-5.0206969046401762E-4</v>
      </c>
      <c r="Y1632">
        <v>4.1432973697904829E-2</v>
      </c>
    </row>
    <row r="1633" spans="1:25" x14ac:dyDescent="0.25">
      <c r="A1633" s="879"/>
      <c r="B1633" s="1133">
        <v>1383</v>
      </c>
      <c r="C1633" s="883">
        <v>0.99672278850773233</v>
      </c>
      <c r="D1633" s="883">
        <v>1.0109155685963784</v>
      </c>
      <c r="E1633" s="883">
        <v>1.0254191516870939</v>
      </c>
      <c r="F1633" s="883">
        <v>0.99524136021159482</v>
      </c>
      <c r="G1633" s="883">
        <v>1.0120112596201325</v>
      </c>
      <c r="H1633" s="883">
        <v>1.0118212235098802</v>
      </c>
      <c r="I1633" s="883">
        <v>0.95530794680169984</v>
      </c>
      <c r="K1633">
        <v>6.738944007604923</v>
      </c>
      <c r="L1633">
        <v>0</v>
      </c>
      <c r="M1633">
        <v>1.0299666761903812E-2</v>
      </c>
      <c r="N1633">
        <v>0.19938733085045493</v>
      </c>
      <c r="O1633">
        <v>0.12137500236826192</v>
      </c>
      <c r="P1633">
        <v>8.4596691752263961E-2</v>
      </c>
      <c r="Q1633">
        <v>0</v>
      </c>
      <c r="R1633">
        <v>1.0299666761903812E-2</v>
      </c>
      <c r="S1633">
        <v>0.25977210450662652</v>
      </c>
      <c r="T1633">
        <v>5.9104294637808001</v>
      </c>
      <c r="U1633">
        <v>0</v>
      </c>
      <c r="V1633">
        <v>1.9173018525031286E-2</v>
      </c>
      <c r="W1633">
        <v>0.10363393588983007</v>
      </c>
      <c r="X1633">
        <v>-1.83573452152123E-3</v>
      </c>
      <c r="Y1633">
        <v>4.2412194453177773E-2</v>
      </c>
    </row>
    <row r="1634" spans="1:25" x14ac:dyDescent="0.25">
      <c r="A1634" s="879"/>
      <c r="B1634" s="1133">
        <v>1384</v>
      </c>
      <c r="C1634" s="883">
        <v>1.023406461407302</v>
      </c>
      <c r="D1634" s="883">
        <v>0.99684312924111595</v>
      </c>
      <c r="E1634" s="883">
        <v>1.0128500948510928</v>
      </c>
      <c r="F1634" s="883">
        <v>1.004598510981783</v>
      </c>
      <c r="G1634" s="883">
        <v>0.96695264835599404</v>
      </c>
      <c r="H1634" s="883">
        <v>1.0033178520106332</v>
      </c>
      <c r="I1634" s="883">
        <v>1.0033973552426569</v>
      </c>
      <c r="K1634">
        <v>6.7322422674716105</v>
      </c>
      <c r="L1634">
        <v>0</v>
      </c>
      <c r="M1634">
        <v>1.0117420171058877E-2</v>
      </c>
      <c r="N1634">
        <v>0.1922510392982929</v>
      </c>
      <c r="O1634">
        <v>0.11910758537223809</v>
      </c>
      <c r="P1634">
        <v>8.3896594436128041E-2</v>
      </c>
      <c r="Q1634">
        <v>0</v>
      </c>
      <c r="R1634">
        <v>1.0117420171058877E-2</v>
      </c>
      <c r="S1634">
        <v>0.2650690837254564</v>
      </c>
      <c r="T1634">
        <v>5.9116546407726833</v>
      </c>
      <c r="U1634">
        <v>0</v>
      </c>
      <c r="V1634">
        <v>1.9030408811734997E-2</v>
      </c>
      <c r="W1634">
        <v>0.10054558088697105</v>
      </c>
      <c r="X1634">
        <v>-9.7440126265965722E-4</v>
      </c>
      <c r="Y1634">
        <v>4.1661735430762251E-2</v>
      </c>
    </row>
    <row r="1635" spans="1:25" x14ac:dyDescent="0.25">
      <c r="A1635" s="879"/>
      <c r="B1635" s="1133">
        <v>1385</v>
      </c>
      <c r="C1635" s="883">
        <v>0.99048747128031656</v>
      </c>
      <c r="D1635" s="883">
        <v>1.0042502915961022</v>
      </c>
      <c r="E1635" s="883">
        <v>0.98844777950482432</v>
      </c>
      <c r="F1635" s="883">
        <v>1.007345828923065</v>
      </c>
      <c r="G1635" s="883">
        <v>0.98498720924856653</v>
      </c>
      <c r="H1635" s="883">
        <v>1.0148688802691801</v>
      </c>
      <c r="I1635" s="883">
        <v>0.99842795711288546</v>
      </c>
      <c r="K1635">
        <v>6.7551915823015065</v>
      </c>
      <c r="L1635">
        <v>0</v>
      </c>
      <c r="M1635">
        <v>1.0767671175806581E-2</v>
      </c>
      <c r="N1635">
        <v>0.1973426763832907</v>
      </c>
      <c r="O1635">
        <v>0.1231632795412289</v>
      </c>
      <c r="P1635">
        <v>8.2499187916516642E-2</v>
      </c>
      <c r="Q1635">
        <v>0</v>
      </c>
      <c r="R1635">
        <v>1.0767671175806581E-2</v>
      </c>
      <c r="S1635">
        <v>0.27349987436105455</v>
      </c>
      <c r="T1635">
        <v>5.9131754895764574</v>
      </c>
      <c r="U1635">
        <v>0</v>
      </c>
      <c r="V1635">
        <v>1.9207450443410549E-2</v>
      </c>
      <c r="W1635">
        <v>0.10446652638573817</v>
      </c>
      <c r="X1635">
        <v>-2.502255634140681E-3</v>
      </c>
      <c r="Y1635">
        <v>4.4339353327949055E-2</v>
      </c>
    </row>
    <row r="1636" spans="1:25" x14ac:dyDescent="0.25">
      <c r="A1636" s="879"/>
      <c r="B1636" s="1133">
        <v>1386</v>
      </c>
      <c r="C1636" s="883">
        <v>1.0096368535882854</v>
      </c>
      <c r="D1636" s="883">
        <v>0.96228009290202987</v>
      </c>
      <c r="E1636" s="883">
        <v>0.99126599826973016</v>
      </c>
      <c r="F1636" s="883">
        <v>1.0038620724588463</v>
      </c>
      <c r="G1636" s="883">
        <v>1.0339688443334076</v>
      </c>
      <c r="H1636" s="883">
        <v>1.0066585090512863</v>
      </c>
      <c r="I1636" s="883">
        <v>1.0090613136669073</v>
      </c>
      <c r="K1636">
        <v>6.7494485018110559</v>
      </c>
      <c r="L1636">
        <v>0</v>
      </c>
      <c r="M1636">
        <v>1.0645257105622374E-2</v>
      </c>
      <c r="N1636">
        <v>0.19591603711204958</v>
      </c>
      <c r="O1636">
        <v>0.12285544850238515</v>
      </c>
      <c r="P1636">
        <v>8.26355429705002E-2</v>
      </c>
      <c r="Q1636">
        <v>0</v>
      </c>
      <c r="R1636">
        <v>1.0645257105622374E-2</v>
      </c>
      <c r="S1636">
        <v>0.27086114276407436</v>
      </c>
      <c r="T1636">
        <v>5.9128303842665009</v>
      </c>
      <c r="U1636">
        <v>0</v>
      </c>
      <c r="V1636">
        <v>1.9103058584904093E-2</v>
      </c>
      <c r="W1636">
        <v>0.10356565465631329</v>
      </c>
      <c r="X1636">
        <v>-2.1540410214900153E-3</v>
      </c>
      <c r="Y1636">
        <v>4.3835273975822743E-2</v>
      </c>
    </row>
    <row r="1637" spans="1:25" x14ac:dyDescent="0.25">
      <c r="A1637" s="879"/>
      <c r="B1637" s="1133">
        <v>1387</v>
      </c>
      <c r="C1637" s="883">
        <v>1.0440868767748011</v>
      </c>
      <c r="D1637" s="883">
        <v>1.0068023724771256</v>
      </c>
      <c r="E1637" s="883">
        <v>0.96694473950720128</v>
      </c>
      <c r="F1637" s="883">
        <v>0.98781912061689792</v>
      </c>
      <c r="G1637" s="883">
        <v>0.9938513769666204</v>
      </c>
      <c r="H1637" s="883">
        <v>0.98885303048466222</v>
      </c>
      <c r="I1637" s="883">
        <v>0.98891818717915125</v>
      </c>
      <c r="K1637">
        <v>6.7024063849569391</v>
      </c>
      <c r="L1637">
        <v>0</v>
      </c>
      <c r="M1637">
        <v>1.0130290195939216E-2</v>
      </c>
      <c r="N1637">
        <v>0.17983042817408673</v>
      </c>
      <c r="O1637">
        <v>0.11710268777002913</v>
      </c>
      <c r="P1637">
        <v>8.0894399727681601E-2</v>
      </c>
      <c r="Q1637">
        <v>0</v>
      </c>
      <c r="R1637">
        <v>1.0130290195939216E-2</v>
      </c>
      <c r="S1637">
        <v>0.25461234601024441</v>
      </c>
      <c r="T1637">
        <v>5.9133014260539065</v>
      </c>
      <c r="U1637">
        <v>0</v>
      </c>
      <c r="V1637">
        <v>1.8924897139387036E-2</v>
      </c>
      <c r="W1637">
        <v>9.6227609221838067E-2</v>
      </c>
      <c r="X1637">
        <v>-2.021410426789905E-4</v>
      </c>
      <c r="Y1637">
        <v>4.1714731902440447E-2</v>
      </c>
    </row>
    <row r="1638" spans="1:25" x14ac:dyDescent="0.25">
      <c r="A1638" s="879"/>
      <c r="B1638" s="1133">
        <v>1388</v>
      </c>
      <c r="C1638" s="883">
        <v>0.9710997884406688</v>
      </c>
      <c r="D1638" s="883">
        <v>1.0014517717588856</v>
      </c>
      <c r="E1638" s="883">
        <v>1.0040987272573705</v>
      </c>
      <c r="F1638" s="883">
        <v>0.97802276002578037</v>
      </c>
      <c r="G1638" s="883">
        <v>0.99448194073863028</v>
      </c>
      <c r="H1638" s="883">
        <v>0.97329149675573834</v>
      </c>
      <c r="I1638" s="883">
        <v>0.96817444130089991</v>
      </c>
      <c r="K1638">
        <v>6.7445557349614313</v>
      </c>
      <c r="L1638">
        <v>0</v>
      </c>
      <c r="M1638">
        <v>1.0402162251360918E-2</v>
      </c>
      <c r="N1638">
        <v>0.19511714935390076</v>
      </c>
      <c r="O1638">
        <v>0.12546119767732813</v>
      </c>
      <c r="P1638">
        <v>8.3360357207567889E-2</v>
      </c>
      <c r="Q1638">
        <v>0</v>
      </c>
      <c r="R1638">
        <v>1.0402162251360918E-2</v>
      </c>
      <c r="S1638">
        <v>0.26665845125397475</v>
      </c>
      <c r="T1638">
        <v>5.9107144708507855</v>
      </c>
      <c r="U1638">
        <v>0</v>
      </c>
      <c r="V1638">
        <v>1.9317335617745381E-2</v>
      </c>
      <c r="W1638">
        <v>0.10248746537813332</v>
      </c>
      <c r="X1638">
        <v>-1.3949450132476598E-3</v>
      </c>
      <c r="Y1638">
        <v>4.2834252635245096E-2</v>
      </c>
    </row>
    <row r="1639" spans="1:25" x14ac:dyDescent="0.25">
      <c r="A1639" s="879"/>
      <c r="B1639" s="1133">
        <v>1389</v>
      </c>
      <c r="C1639" s="883">
        <v>1.0012446281022951</v>
      </c>
      <c r="D1639" s="883">
        <v>0.99278044132220244</v>
      </c>
      <c r="E1639" s="883">
        <v>0.96451806972772292</v>
      </c>
      <c r="F1639" s="883">
        <v>0.96636239166537519</v>
      </c>
      <c r="G1639" s="883">
        <v>0.98915752916703559</v>
      </c>
      <c r="H1639" s="883">
        <v>0.97267723322483168</v>
      </c>
      <c r="I1639" s="883">
        <v>0.97346225591343727</v>
      </c>
      <c r="K1639">
        <v>6.7217964642738428</v>
      </c>
      <c r="L1639">
        <v>0</v>
      </c>
      <c r="M1639">
        <v>1.0475660119313066E-2</v>
      </c>
      <c r="N1639">
        <v>0.18529231203959712</v>
      </c>
      <c r="O1639">
        <v>0.1228451616765532</v>
      </c>
      <c r="P1639">
        <v>8.0801328821058324E-2</v>
      </c>
      <c r="Q1639">
        <v>0</v>
      </c>
      <c r="R1639">
        <v>1.0475660119313066E-2</v>
      </c>
      <c r="S1639">
        <v>0.25999692060793816</v>
      </c>
      <c r="T1639">
        <v>5.9122728784108673</v>
      </c>
      <c r="U1639">
        <v>0</v>
      </c>
      <c r="V1639">
        <v>1.9148316838480693E-2</v>
      </c>
      <c r="W1639">
        <v>9.9271526117706427E-2</v>
      </c>
      <c r="X1639">
        <v>-9.6888401170158072E-4</v>
      </c>
      <c r="Y1639">
        <v>4.3136903773339244E-2</v>
      </c>
    </row>
    <row r="1640" spans="1:25" x14ac:dyDescent="0.25">
      <c r="A1640" s="879"/>
      <c r="B1640" s="1133">
        <v>1390</v>
      </c>
      <c r="C1640" s="883">
        <v>0.96784642009368671</v>
      </c>
      <c r="D1640" s="883">
        <v>1.0071585857074719</v>
      </c>
      <c r="E1640" s="883">
        <v>1.0333390111618928</v>
      </c>
      <c r="F1640" s="883">
        <v>0.98936378826222626</v>
      </c>
      <c r="G1640" s="883">
        <v>1.0043684321376154</v>
      </c>
      <c r="H1640" s="883">
        <v>0.9973376277218039</v>
      </c>
      <c r="I1640" s="883">
        <v>1.0132111023632038</v>
      </c>
      <c r="K1640">
        <v>6.7716996704464139</v>
      </c>
      <c r="L1640">
        <v>0</v>
      </c>
      <c r="M1640">
        <v>1.0399385915330883E-2</v>
      </c>
      <c r="N1640">
        <v>0.20368856443854819</v>
      </c>
      <c r="O1640">
        <v>0.12502758269432543</v>
      </c>
      <c r="P1640">
        <v>8.5393494489218361E-2</v>
      </c>
      <c r="Q1640">
        <v>0</v>
      </c>
      <c r="R1640">
        <v>1.0399385915330883E-2</v>
      </c>
      <c r="S1640">
        <v>0.28236674167655262</v>
      </c>
      <c r="T1640">
        <v>5.9096541308762509</v>
      </c>
      <c r="U1640">
        <v>0</v>
      </c>
      <c r="V1640">
        <v>1.9336206359459717E-2</v>
      </c>
      <c r="W1640">
        <v>0.10545890437823592</v>
      </c>
      <c r="X1640">
        <v>-2.0487746438211329E-3</v>
      </c>
      <c r="Y1640">
        <v>4.2822820177642815E-2</v>
      </c>
    </row>
    <row r="1641" spans="1:25" x14ac:dyDescent="0.25">
      <c r="A1641" s="879"/>
      <c r="B1641" s="1133">
        <v>1391</v>
      </c>
      <c r="C1641" s="883">
        <v>0.99301042004033691</v>
      </c>
      <c r="D1641" s="883">
        <v>0.99589744822743098</v>
      </c>
      <c r="E1641" s="883">
        <v>0.98284647734941377</v>
      </c>
      <c r="F1641" s="883">
        <v>0.96783348821247561</v>
      </c>
      <c r="G1641" s="883">
        <v>1.0148752013539684</v>
      </c>
      <c r="H1641" s="883">
        <v>1.0330840096759846</v>
      </c>
      <c r="I1641" s="883">
        <v>1.0074679092114047</v>
      </c>
      <c r="K1641">
        <v>6.7620837238108633</v>
      </c>
      <c r="L1641">
        <v>0</v>
      </c>
      <c r="M1641">
        <v>1.1026001009442626E-2</v>
      </c>
      <c r="N1641">
        <v>0.2004054592655147</v>
      </c>
      <c r="O1641">
        <v>0.12336661573138713</v>
      </c>
      <c r="P1641">
        <v>8.2169627075926524E-2</v>
      </c>
      <c r="Q1641">
        <v>0</v>
      </c>
      <c r="R1641">
        <v>1.1026001009442626E-2</v>
      </c>
      <c r="S1641">
        <v>0.27710005230088031</v>
      </c>
      <c r="T1641">
        <v>5.9113498963700231</v>
      </c>
      <c r="U1641">
        <v>0</v>
      </c>
      <c r="V1641">
        <v>1.9193466434918205E-2</v>
      </c>
      <c r="W1641">
        <v>0.10638512650427104</v>
      </c>
      <c r="X1641">
        <v>-3.2896294739227869E-3</v>
      </c>
      <c r="Y1641">
        <v>4.5403109601866012E-2</v>
      </c>
    </row>
    <row r="1642" spans="1:25" x14ac:dyDescent="0.25">
      <c r="A1642" s="879"/>
      <c r="B1642" s="1133">
        <v>1392</v>
      </c>
      <c r="C1642" s="883">
        <v>1.0256059748042776</v>
      </c>
      <c r="D1642" s="883">
        <v>0.99716525158464531</v>
      </c>
      <c r="E1642" s="883">
        <v>0.99725252085537885</v>
      </c>
      <c r="F1642" s="883">
        <v>0.97349545963648576</v>
      </c>
      <c r="G1642" s="883">
        <v>0.99825200077550691</v>
      </c>
      <c r="H1642" s="883">
        <v>1.0243887676690193</v>
      </c>
      <c r="I1642" s="883">
        <v>0.97855948084160227</v>
      </c>
      <c r="K1642">
        <v>6.7290316262978038</v>
      </c>
      <c r="L1642">
        <v>0</v>
      </c>
      <c r="M1642">
        <v>1.0447786493441408E-2</v>
      </c>
      <c r="N1642">
        <v>0.19399542324913993</v>
      </c>
      <c r="O1642">
        <v>0.11912279244163332</v>
      </c>
      <c r="P1642">
        <v>8.2836991509433827E-2</v>
      </c>
      <c r="Q1642">
        <v>0</v>
      </c>
      <c r="R1642">
        <v>1.0447786493441408E-2</v>
      </c>
      <c r="S1642">
        <v>0.25982186110318339</v>
      </c>
      <c r="T1642">
        <v>5.9108546727705118</v>
      </c>
      <c r="U1642">
        <v>0</v>
      </c>
      <c r="V1642">
        <v>1.9018984660185125E-2</v>
      </c>
      <c r="W1642">
        <v>0.10224521998043055</v>
      </c>
      <c r="X1642">
        <v>-1.8864445600392935E-3</v>
      </c>
      <c r="Y1642">
        <v>4.3022125143320211E-2</v>
      </c>
    </row>
    <row r="1643" spans="1:25" x14ac:dyDescent="0.25">
      <c r="A1643" s="879"/>
      <c r="B1643" s="1133">
        <v>1393</v>
      </c>
      <c r="C1643" s="883">
        <v>0.97879417872026742</v>
      </c>
      <c r="D1643" s="883">
        <v>0.99505292336860529</v>
      </c>
      <c r="E1643" s="883">
        <v>0.99190548872828155</v>
      </c>
      <c r="F1643" s="883">
        <v>1.0006403670836184</v>
      </c>
      <c r="G1643" s="883">
        <v>0.98242256410610418</v>
      </c>
      <c r="H1643" s="883">
        <v>1.0251441034293975</v>
      </c>
      <c r="I1643" s="883">
        <v>1.0057930668804131</v>
      </c>
      <c r="K1643">
        <v>6.7718370462337187</v>
      </c>
      <c r="L1643">
        <v>0</v>
      </c>
      <c r="M1643">
        <v>1.1016799982389297E-2</v>
      </c>
      <c r="N1643">
        <v>0.20294623618074331</v>
      </c>
      <c r="O1643">
        <v>0.1250281840136209</v>
      </c>
      <c r="P1643">
        <v>8.2795785091549223E-2</v>
      </c>
      <c r="Q1643">
        <v>0</v>
      </c>
      <c r="R1643">
        <v>1.1016799982389297E-2</v>
      </c>
      <c r="S1643">
        <v>0.27991282606700446</v>
      </c>
      <c r="T1643">
        <v>5.9126206107760595</v>
      </c>
      <c r="U1643">
        <v>0</v>
      </c>
      <c r="V1643">
        <v>1.9273204491110776E-2</v>
      </c>
      <c r="W1643">
        <v>0.1072477932523894</v>
      </c>
      <c r="X1643">
        <v>-3.3528150489388177E-3</v>
      </c>
      <c r="Y1643">
        <v>4.536522141018217E-2</v>
      </c>
    </row>
    <row r="1644" spans="1:25" x14ac:dyDescent="0.25">
      <c r="A1644" s="879"/>
      <c r="B1644" s="1133">
        <v>1394</v>
      </c>
      <c r="C1644" s="883">
        <v>0.96215860187080726</v>
      </c>
      <c r="D1644" s="883">
        <v>0.9991782946936868</v>
      </c>
      <c r="E1644" s="883">
        <v>0.97300299406141766</v>
      </c>
      <c r="F1644" s="883">
        <v>1.0008791551776823</v>
      </c>
      <c r="G1644" s="883">
        <v>1.0051228476117939</v>
      </c>
      <c r="H1644" s="883">
        <v>0.99793818948207713</v>
      </c>
      <c r="I1644" s="883">
        <v>1.0293470233714324</v>
      </c>
      <c r="K1644">
        <v>6.7775531200830521</v>
      </c>
      <c r="L1644">
        <v>0</v>
      </c>
      <c r="M1644">
        <v>1.1071507115490337E-2</v>
      </c>
      <c r="N1644">
        <v>0.19831455992267094</v>
      </c>
      <c r="O1644">
        <v>0.12734471036578912</v>
      </c>
      <c r="P1644">
        <v>8.1732350045508731E-2</v>
      </c>
      <c r="Q1644">
        <v>0</v>
      </c>
      <c r="R1644">
        <v>1.1071507115490337E-2</v>
      </c>
      <c r="S1644">
        <v>0.28859259864705966</v>
      </c>
      <c r="T1644">
        <v>5.9136773154103901</v>
      </c>
      <c r="U1644">
        <v>0</v>
      </c>
      <c r="V1644">
        <v>1.9369504396679421E-2</v>
      </c>
      <c r="W1644">
        <v>0.105795770340522</v>
      </c>
      <c r="X1644">
        <v>-2.8641846923507922E-3</v>
      </c>
      <c r="Y1644">
        <v>4.5590495646785544E-2</v>
      </c>
    </row>
    <row r="1645" spans="1:25" x14ac:dyDescent="0.25">
      <c r="A1645" s="879"/>
      <c r="B1645" s="1133">
        <v>1395</v>
      </c>
      <c r="C1645" s="883">
        <v>0.99782442424752738</v>
      </c>
      <c r="D1645" s="883">
        <v>1.0150729108026753</v>
      </c>
      <c r="E1645" s="883">
        <v>1.0054671349228308</v>
      </c>
      <c r="F1645" s="883">
        <v>1.0177814853811473</v>
      </c>
      <c r="G1645" s="883">
        <v>0.99110979503120333</v>
      </c>
      <c r="H1645" s="883">
        <v>1.0049235464562511</v>
      </c>
      <c r="I1645" s="883">
        <v>1.0020241758291604</v>
      </c>
      <c r="K1645">
        <v>6.746999036487483</v>
      </c>
      <c r="L1645">
        <v>0</v>
      </c>
      <c r="M1645">
        <v>1.0379866897881194E-2</v>
      </c>
      <c r="N1645">
        <v>0.19509391502059201</v>
      </c>
      <c r="O1645">
        <v>0.12141733674117587</v>
      </c>
      <c r="P1645">
        <v>8.3536486216930758E-2</v>
      </c>
      <c r="Q1645">
        <v>0</v>
      </c>
      <c r="R1645">
        <v>1.0379866897881194E-2</v>
      </c>
      <c r="S1645">
        <v>0.27144933614000177</v>
      </c>
      <c r="T1645">
        <v>5.9127857124573575</v>
      </c>
      <c r="U1645">
        <v>0</v>
      </c>
      <c r="V1645">
        <v>1.9166979935078939E-2</v>
      </c>
      <c r="W1645">
        <v>0.10240577887329676</v>
      </c>
      <c r="X1645">
        <v>-1.5989532349928906E-3</v>
      </c>
      <c r="Y1645">
        <v>4.2742444338040593E-2</v>
      </c>
    </row>
    <row r="1646" spans="1:25" x14ac:dyDescent="0.25">
      <c r="A1646" s="879"/>
      <c r="B1646" s="1133">
        <v>1396</v>
      </c>
      <c r="C1646" s="883">
        <v>0.97678293510279401</v>
      </c>
      <c r="D1646" s="883">
        <v>1.0067991912687013</v>
      </c>
      <c r="E1646" s="883">
        <v>0.99008579928169116</v>
      </c>
      <c r="F1646" s="883">
        <v>1.0385756719033985</v>
      </c>
      <c r="G1646" s="883">
        <v>1.0077467041899024</v>
      </c>
      <c r="H1646" s="883">
        <v>1.0085019838478659</v>
      </c>
      <c r="I1646" s="883">
        <v>0.99246062897194098</v>
      </c>
      <c r="K1646">
        <v>6.7624399829434862</v>
      </c>
      <c r="L1646">
        <v>0</v>
      </c>
      <c r="M1646">
        <v>1.0822993219438005E-2</v>
      </c>
      <c r="N1646">
        <v>0.19883890137358326</v>
      </c>
      <c r="O1646">
        <v>0.12473354711811618</v>
      </c>
      <c r="P1646">
        <v>8.2645145115863308E-2</v>
      </c>
      <c r="Q1646">
        <v>0</v>
      </c>
      <c r="R1646">
        <v>1.0822993219438005E-2</v>
      </c>
      <c r="S1646">
        <v>0.27504750592783045</v>
      </c>
      <c r="T1646">
        <v>5.9147724129391941</v>
      </c>
      <c r="U1646">
        <v>0</v>
      </c>
      <c r="V1646">
        <v>1.9284672850085661E-2</v>
      </c>
      <c r="W1646">
        <v>0.10517260850393689</v>
      </c>
      <c r="X1646">
        <v>-2.6219705417917984E-3</v>
      </c>
      <c r="Y1646">
        <v>4.4567159656666591E-2</v>
      </c>
    </row>
    <row r="1647" spans="1:25" x14ac:dyDescent="0.25">
      <c r="A1647" s="879"/>
      <c r="B1647" s="1133">
        <v>1397</v>
      </c>
      <c r="C1647" s="883">
        <v>1.0277837741874269</v>
      </c>
      <c r="D1647" s="883">
        <v>0.98981481808074534</v>
      </c>
      <c r="E1647" s="883">
        <v>1.0312477477130348</v>
      </c>
      <c r="F1647" s="883">
        <v>1.0082309558645046</v>
      </c>
      <c r="G1647" s="883">
        <v>0.9746815569007633</v>
      </c>
      <c r="H1647" s="883">
        <v>1.0022112481502616</v>
      </c>
      <c r="I1647" s="883">
        <v>1.0409918124189386</v>
      </c>
      <c r="K1647">
        <v>6.7420664464620126</v>
      </c>
      <c r="L1647">
        <v>0</v>
      </c>
      <c r="M1647">
        <v>9.9324635109042814E-3</v>
      </c>
      <c r="N1647">
        <v>0.19394278346833663</v>
      </c>
      <c r="O1647">
        <v>0.11859611188922961</v>
      </c>
      <c r="P1647">
        <v>8.5156441744940845E-2</v>
      </c>
      <c r="Q1647">
        <v>0</v>
      </c>
      <c r="R1647">
        <v>9.9324635109042814E-3</v>
      </c>
      <c r="S1647">
        <v>0.27382930365373809</v>
      </c>
      <c r="T1647">
        <v>5.910794481517935</v>
      </c>
      <c r="U1647">
        <v>0</v>
      </c>
      <c r="V1647">
        <v>1.900772146495211E-2</v>
      </c>
      <c r="W1647">
        <v>0.10051604161244079</v>
      </c>
      <c r="X1647">
        <v>-6.7655571486116052E-4</v>
      </c>
      <c r="Y1647">
        <v>4.0900116825303874E-2</v>
      </c>
    </row>
    <row r="1648" spans="1:25" x14ac:dyDescent="0.25">
      <c r="A1648" s="879"/>
      <c r="B1648" s="1133">
        <v>1398</v>
      </c>
      <c r="C1648" s="883">
        <v>1.0020313073122211</v>
      </c>
      <c r="D1648" s="883">
        <v>1.0267619247710109</v>
      </c>
      <c r="E1648" s="883">
        <v>1.0207211490645589</v>
      </c>
      <c r="F1648" s="883">
        <v>0.97877046540004331</v>
      </c>
      <c r="G1648" s="883">
        <v>0.9950865724858895</v>
      </c>
      <c r="H1648" s="883">
        <v>1.0152311993149221</v>
      </c>
      <c r="I1648" s="883">
        <v>0.99819199859988872</v>
      </c>
      <c r="K1648">
        <v>6.7440500680956932</v>
      </c>
      <c r="L1648">
        <v>0</v>
      </c>
      <c r="M1648">
        <v>1.0253521490526253E-2</v>
      </c>
      <c r="N1648">
        <v>0.19711963998935189</v>
      </c>
      <c r="O1648">
        <v>0.12007107451256184</v>
      </c>
      <c r="P1648">
        <v>8.4435300758002763E-2</v>
      </c>
      <c r="Q1648">
        <v>0</v>
      </c>
      <c r="R1648">
        <v>1.0253521490526253E-2</v>
      </c>
      <c r="S1648">
        <v>0.27014917251534881</v>
      </c>
      <c r="T1648">
        <v>5.9098096044495723</v>
      </c>
      <c r="U1648">
        <v>0</v>
      </c>
      <c r="V1648">
        <v>1.914404217211399E-2</v>
      </c>
      <c r="W1648">
        <v>0.10269235592172271</v>
      </c>
      <c r="X1648">
        <v>-1.5932986621797578E-3</v>
      </c>
      <c r="Y1648">
        <v>4.2222176439197109E-2</v>
      </c>
    </row>
    <row r="1649" spans="1:25" x14ac:dyDescent="0.25">
      <c r="A1649" s="879"/>
      <c r="B1649" s="1133">
        <v>1399</v>
      </c>
      <c r="C1649" s="883">
        <v>0.97822938083894884</v>
      </c>
      <c r="D1649" s="883">
        <v>1.0284665954029732</v>
      </c>
      <c r="E1649" s="883">
        <v>1.0080212974505156</v>
      </c>
      <c r="F1649" s="883">
        <v>0.97942525396302049</v>
      </c>
      <c r="G1649" s="883">
        <v>1.040978924735251</v>
      </c>
      <c r="H1649" s="883">
        <v>0.98964046799564409</v>
      </c>
      <c r="I1649" s="883">
        <v>1.0075193380191274</v>
      </c>
      <c r="K1649">
        <v>6.7522664897758737</v>
      </c>
      <c r="L1649">
        <v>0</v>
      </c>
      <c r="M1649">
        <v>1.0345309851458337E-2</v>
      </c>
      <c r="N1649">
        <v>0.19518119281356092</v>
      </c>
      <c r="O1649">
        <v>0.12315323114917193</v>
      </c>
      <c r="P1649">
        <v>8.3740837196426665E-2</v>
      </c>
      <c r="Q1649">
        <v>0</v>
      </c>
      <c r="R1649">
        <v>1.0345309851458337E-2</v>
      </c>
      <c r="S1649">
        <v>0.27681355550424203</v>
      </c>
      <c r="T1649">
        <v>5.9105685661627581</v>
      </c>
      <c r="U1649">
        <v>0</v>
      </c>
      <c r="V1649">
        <v>1.9276420276217676E-2</v>
      </c>
      <c r="W1649">
        <v>0.1023220727915857</v>
      </c>
      <c r="X1649">
        <v>-1.3895306898870823E-3</v>
      </c>
      <c r="Y1649">
        <v>4.2600144571796228E-2</v>
      </c>
    </row>
    <row r="1650" spans="1:25" x14ac:dyDescent="0.25">
      <c r="A1650" s="879"/>
      <c r="B1650" s="1133">
        <v>1400</v>
      </c>
      <c r="C1650" s="883">
        <v>1.0146715187787296</v>
      </c>
      <c r="D1650" s="883">
        <v>0.99114226329966459</v>
      </c>
      <c r="E1650" s="883">
        <v>0.97898041459498475</v>
      </c>
      <c r="F1650" s="883">
        <v>1.0316555933512326</v>
      </c>
      <c r="G1650" s="883">
        <v>1.0116167014277762</v>
      </c>
      <c r="H1650" s="883">
        <v>1.0093124866122716</v>
      </c>
      <c r="I1650" s="883">
        <v>0.98742500592238436</v>
      </c>
      <c r="K1650">
        <v>6.7358081083825629</v>
      </c>
      <c r="L1650">
        <v>0</v>
      </c>
      <c r="M1650">
        <v>1.0599626333103206E-2</v>
      </c>
      <c r="N1650">
        <v>0.19155395884154561</v>
      </c>
      <c r="O1650">
        <v>0.12103534953177196</v>
      </c>
      <c r="P1650">
        <v>8.1795182093582497E-2</v>
      </c>
      <c r="Q1650">
        <v>0</v>
      </c>
      <c r="R1650">
        <v>1.0599626333103206E-2</v>
      </c>
      <c r="S1650">
        <v>0.26364795534562951</v>
      </c>
      <c r="T1650">
        <v>5.9150132074245585</v>
      </c>
      <c r="U1650">
        <v>0</v>
      </c>
      <c r="V1650">
        <v>1.9076266533301793E-2</v>
      </c>
      <c r="W1650">
        <v>0.10188327136738226</v>
      </c>
      <c r="X1650">
        <v>-1.8444573317739335E-3</v>
      </c>
      <c r="Y1650">
        <v>4.3647374576563536E-2</v>
      </c>
    </row>
    <row r="1651" spans="1:25" x14ac:dyDescent="0.25">
      <c r="A1651" s="879"/>
      <c r="B1651" s="1133">
        <v>1401</v>
      </c>
      <c r="C1651" s="883">
        <v>0.98455532764738274</v>
      </c>
      <c r="D1651" s="883">
        <v>1.0078870786608745</v>
      </c>
      <c r="E1651" s="883">
        <v>1.0352401662204163</v>
      </c>
      <c r="F1651" s="883">
        <v>0.99594495291216034</v>
      </c>
      <c r="G1651" s="883">
        <v>0.9994861571703112</v>
      </c>
      <c r="H1651" s="883">
        <v>0.98067143233941634</v>
      </c>
      <c r="I1651" s="883">
        <v>1.0110872363172509</v>
      </c>
      <c r="K1651">
        <v>6.752213060918435</v>
      </c>
      <c r="L1651">
        <v>0</v>
      </c>
      <c r="M1651">
        <v>1.0032217527849512E-2</v>
      </c>
      <c r="N1651">
        <v>0.19704979867182648</v>
      </c>
      <c r="O1651">
        <v>0.12283354145463582</v>
      </c>
      <c r="P1651">
        <v>8.5418594347048848E-2</v>
      </c>
      <c r="Q1651">
        <v>0</v>
      </c>
      <c r="R1651">
        <v>1.0032217527849512E-2</v>
      </c>
      <c r="S1651">
        <v>0.27538067784151316</v>
      </c>
      <c r="T1651">
        <v>5.9098991892488479</v>
      </c>
      <c r="U1651">
        <v>0</v>
      </c>
      <c r="V1651">
        <v>1.9240613044420846E-2</v>
      </c>
      <c r="W1651">
        <v>0.10192676809813038</v>
      </c>
      <c r="X1651">
        <v>-8.4700789952515162E-4</v>
      </c>
      <c r="Y1651">
        <v>4.1310886111531234E-2</v>
      </c>
    </row>
    <row r="1652" spans="1:25" x14ac:dyDescent="0.25">
      <c r="A1652" s="879"/>
      <c r="B1652" s="1133">
        <v>1402</v>
      </c>
      <c r="C1652" s="883">
        <v>0.98367647548156878</v>
      </c>
      <c r="D1652" s="883">
        <v>0.99411369144977546</v>
      </c>
      <c r="E1652" s="883">
        <v>1.0164627353434752</v>
      </c>
      <c r="F1652" s="883">
        <v>0.95442738553872197</v>
      </c>
      <c r="G1652" s="883">
        <v>0.98834958735926137</v>
      </c>
      <c r="H1652" s="883">
        <v>0.98847499689980134</v>
      </c>
      <c r="I1652" s="883">
        <v>0.98704864342790699</v>
      </c>
      <c r="K1652">
        <v>6.7480019965231133</v>
      </c>
      <c r="L1652">
        <v>0</v>
      </c>
      <c r="M1652">
        <v>1.0349757082485747E-2</v>
      </c>
      <c r="N1652">
        <v>0.1977201430109666</v>
      </c>
      <c r="O1652">
        <v>0.12398476873515578</v>
      </c>
      <c r="P1652">
        <v>8.4152034291781572E-2</v>
      </c>
      <c r="Q1652">
        <v>0</v>
      </c>
      <c r="R1652">
        <v>1.0349757082485747E-2</v>
      </c>
      <c r="S1652">
        <v>0.2699085611719339</v>
      </c>
      <c r="T1652">
        <v>5.9087379951464785</v>
      </c>
      <c r="U1652">
        <v>0</v>
      </c>
      <c r="V1652">
        <v>1.9245560130376791E-2</v>
      </c>
      <c r="W1652">
        <v>0.10322161856178851</v>
      </c>
      <c r="X1652">
        <v>-1.5871420029590548E-3</v>
      </c>
      <c r="Y1652">
        <v>4.2618457477589487E-2</v>
      </c>
    </row>
    <row r="1653" spans="1:25" x14ac:dyDescent="0.25">
      <c r="A1653" s="879"/>
      <c r="B1653" s="1133">
        <v>1403</v>
      </c>
      <c r="C1653" s="883">
        <v>0.98458620432992761</v>
      </c>
      <c r="D1653" s="883">
        <v>1.0205977855401986</v>
      </c>
      <c r="E1653" s="883">
        <v>0.9628086355215415</v>
      </c>
      <c r="F1653" s="883">
        <v>1.0070493269351617</v>
      </c>
      <c r="G1653" s="883">
        <v>1.0206208105447638</v>
      </c>
      <c r="H1653" s="883">
        <v>1.0080218357238939</v>
      </c>
      <c r="I1653" s="883">
        <v>1.0067212854022818</v>
      </c>
      <c r="K1653">
        <v>6.7536168339930311</v>
      </c>
      <c r="L1653">
        <v>0</v>
      </c>
      <c r="M1653">
        <v>1.0926368741834882E-2</v>
      </c>
      <c r="N1653">
        <v>0.19277425656670674</v>
      </c>
      <c r="O1653">
        <v>0.12358203161486146</v>
      </c>
      <c r="P1653">
        <v>8.094018859275813E-2</v>
      </c>
      <c r="Q1653">
        <v>0</v>
      </c>
      <c r="R1653">
        <v>1.0926368741834882E-2</v>
      </c>
      <c r="S1653">
        <v>0.27655571742548807</v>
      </c>
      <c r="T1653">
        <v>5.9145655423248469</v>
      </c>
      <c r="U1653">
        <v>0</v>
      </c>
      <c r="V1653">
        <v>1.9240439399213653E-2</v>
      </c>
      <c r="W1653">
        <v>0.10336905652065573</v>
      </c>
      <c r="X1653">
        <v>-2.4032401092440457E-3</v>
      </c>
      <c r="Y1653">
        <v>4.4992841657739861E-2</v>
      </c>
    </row>
    <row r="1654" spans="1:25" x14ac:dyDescent="0.25">
      <c r="A1654" s="879"/>
      <c r="B1654" s="1133">
        <v>1404</v>
      </c>
      <c r="C1654" s="883">
        <v>0.99836758729881547</v>
      </c>
      <c r="D1654" s="883">
        <v>0.99268115469157114</v>
      </c>
      <c r="E1654" s="883">
        <v>1.0331114946783411</v>
      </c>
      <c r="F1654" s="883">
        <v>1.0179364930938837</v>
      </c>
      <c r="G1654" s="883">
        <v>1.0146572182649254</v>
      </c>
      <c r="H1654" s="883">
        <v>0.96450445999516543</v>
      </c>
      <c r="I1654" s="883">
        <v>0.98879710759917505</v>
      </c>
      <c r="K1654">
        <v>6.7335998072089991</v>
      </c>
      <c r="L1654">
        <v>0</v>
      </c>
      <c r="M1654">
        <v>9.8121827750995965E-3</v>
      </c>
      <c r="N1654">
        <v>0.19212264509169658</v>
      </c>
      <c r="O1654">
        <v>0.12191370846752832</v>
      </c>
      <c r="P1654">
        <v>8.514880030798401E-2</v>
      </c>
      <c r="Q1654">
        <v>0</v>
      </c>
      <c r="R1654">
        <v>9.8121827750995965E-3</v>
      </c>
      <c r="S1654">
        <v>0.26420467332636327</v>
      </c>
      <c r="T1654">
        <v>5.9112106694640394</v>
      </c>
      <c r="U1654">
        <v>0</v>
      </c>
      <c r="V1654">
        <v>1.916400750493244E-2</v>
      </c>
      <c r="W1654">
        <v>9.9481786471813688E-2</v>
      </c>
      <c r="X1654">
        <v>-5.1305589787472967E-5</v>
      </c>
      <c r="Y1654">
        <v>4.0404822164433071E-2</v>
      </c>
    </row>
    <row r="1655" spans="1:25" x14ac:dyDescent="0.25">
      <c r="A1655" s="879"/>
      <c r="B1655" s="1133">
        <v>1405</v>
      </c>
      <c r="C1655" s="883">
        <v>1.0174856408087236</v>
      </c>
      <c r="D1655" s="883">
        <v>1.0350935111274446</v>
      </c>
      <c r="E1655" s="883">
        <v>0.98457927370138765</v>
      </c>
      <c r="F1655" s="883">
        <v>0.97656818066290718</v>
      </c>
      <c r="G1655" s="883">
        <v>1.0065486464893667</v>
      </c>
      <c r="H1655" s="883">
        <v>0.98412125608771528</v>
      </c>
      <c r="I1655" s="883">
        <v>1.0006452567420445</v>
      </c>
      <c r="K1655">
        <v>6.7171366953671114</v>
      </c>
      <c r="L1655">
        <v>0</v>
      </c>
      <c r="M1655">
        <v>1.0067547432947447E-2</v>
      </c>
      <c r="N1655">
        <v>0.18345579343027105</v>
      </c>
      <c r="O1655">
        <v>0.11852303563544554</v>
      </c>
      <c r="P1655">
        <v>8.2104894895590613E-2</v>
      </c>
      <c r="Q1655">
        <v>0</v>
      </c>
      <c r="R1655">
        <v>1.0067547432947447E-2</v>
      </c>
      <c r="S1655">
        <v>0.26371896517643834</v>
      </c>
      <c r="T1655">
        <v>5.9117262988282997</v>
      </c>
      <c r="U1655">
        <v>0</v>
      </c>
      <c r="V1655">
        <v>1.9061406656534257E-2</v>
      </c>
      <c r="W1655">
        <v>9.7303074446878385E-2</v>
      </c>
      <c r="X1655">
        <v>-2.1314207458343168E-4</v>
      </c>
      <c r="Y1655">
        <v>4.1456368372235826E-2</v>
      </c>
    </row>
    <row r="1656" spans="1:25" x14ac:dyDescent="0.25">
      <c r="A1656" s="879"/>
      <c r="B1656" s="1133">
        <v>1406</v>
      </c>
      <c r="C1656" s="883">
        <v>0.99720923875902301</v>
      </c>
      <c r="D1656" s="883">
        <v>0.96993414492642838</v>
      </c>
      <c r="E1656" s="883">
        <v>0.99384909477699623</v>
      </c>
      <c r="F1656" s="883">
        <v>1.0375985990503427</v>
      </c>
      <c r="G1656" s="883">
        <v>1.0295887829555004</v>
      </c>
      <c r="H1656" s="883">
        <v>0.99067877374197932</v>
      </c>
      <c r="I1656" s="883">
        <v>0.99179432815988178</v>
      </c>
      <c r="K1656">
        <v>6.7477240486196095</v>
      </c>
      <c r="L1656">
        <v>0</v>
      </c>
      <c r="M1656">
        <v>1.0547047159306553E-2</v>
      </c>
      <c r="N1656">
        <v>0.19485322556532106</v>
      </c>
      <c r="O1656">
        <v>0.12394399805928752</v>
      </c>
      <c r="P1656">
        <v>8.2782387212543274E-2</v>
      </c>
      <c r="Q1656">
        <v>0</v>
      </c>
      <c r="R1656">
        <v>1.0547047159306553E-2</v>
      </c>
      <c r="S1656">
        <v>0.26794224371797548</v>
      </c>
      <c r="T1656">
        <v>5.9145096675175752</v>
      </c>
      <c r="U1656">
        <v>0</v>
      </c>
      <c r="V1656">
        <v>1.9170350414655073E-2</v>
      </c>
      <c r="W1656">
        <v>0.10287137239279763</v>
      </c>
      <c r="X1656">
        <v>-1.7800591581595836E-3</v>
      </c>
      <c r="Y1656">
        <v>4.3430862897612978E-2</v>
      </c>
    </row>
    <row r="1657" spans="1:25" x14ac:dyDescent="0.25">
      <c r="A1657" s="879"/>
      <c r="B1657" s="1133">
        <v>1407</v>
      </c>
      <c r="C1657" s="883">
        <v>1.0177734997228298</v>
      </c>
      <c r="D1657" s="883">
        <v>0.99279521166246243</v>
      </c>
      <c r="E1657" s="883">
        <v>0.97673892621202729</v>
      </c>
      <c r="F1657" s="883">
        <v>1.0121043272806984</v>
      </c>
      <c r="G1657" s="883">
        <v>1.0240615711572343</v>
      </c>
      <c r="H1657" s="883">
        <v>1.0149715942331201</v>
      </c>
      <c r="I1657" s="883">
        <v>0.99105639874822304</v>
      </c>
      <c r="K1657">
        <v>6.7352572105473421</v>
      </c>
      <c r="L1657">
        <v>0</v>
      </c>
      <c r="M1657">
        <v>1.0639749235864315E-2</v>
      </c>
      <c r="N1657">
        <v>0.19164055852544906</v>
      </c>
      <c r="O1657">
        <v>0.12062699789068092</v>
      </c>
      <c r="P1657">
        <v>8.1650257226388315E-2</v>
      </c>
      <c r="Q1657">
        <v>0</v>
      </c>
      <c r="R1657">
        <v>1.0639749235864315E-2</v>
      </c>
      <c r="S1657">
        <v>0.2643110883840295</v>
      </c>
      <c r="T1657">
        <v>5.9140794711344666</v>
      </c>
      <c r="U1657">
        <v>0</v>
      </c>
      <c r="V1657">
        <v>1.9059891259977837E-2</v>
      </c>
      <c r="W1657">
        <v>0.10204389518180923</v>
      </c>
      <c r="X1657">
        <v>-1.9675426039820042E-3</v>
      </c>
      <c r="Y1657">
        <v>4.3812593548523314E-2</v>
      </c>
    </row>
    <row r="1658" spans="1:25" x14ac:dyDescent="0.25">
      <c r="A1658" s="879"/>
      <c r="B1658" s="1133">
        <v>1408</v>
      </c>
      <c r="C1658" s="883">
        <v>0.99712695850657229</v>
      </c>
      <c r="D1658" s="883">
        <v>0.99549665943579868</v>
      </c>
      <c r="E1658" s="883">
        <v>0.9845423690821381</v>
      </c>
      <c r="F1658" s="883">
        <v>1.0070138483460163</v>
      </c>
      <c r="G1658" s="883">
        <v>0.99224923752170058</v>
      </c>
      <c r="H1658" s="883">
        <v>1.0033940499326526</v>
      </c>
      <c r="I1658" s="883">
        <v>0.98791414520630272</v>
      </c>
      <c r="K1658">
        <v>6.7442487542489999</v>
      </c>
      <c r="L1658">
        <v>0</v>
      </c>
      <c r="M1658">
        <v>1.0650988058099036E-2</v>
      </c>
      <c r="N1658">
        <v>0.19407691172003652</v>
      </c>
      <c r="O1658">
        <v>0.12284541590583925</v>
      </c>
      <c r="P1658">
        <v>8.2180238737916231E-2</v>
      </c>
      <c r="Q1658">
        <v>0</v>
      </c>
      <c r="R1658">
        <v>1.0650988058099036E-2</v>
      </c>
      <c r="S1658">
        <v>0.26782959392416744</v>
      </c>
      <c r="T1658">
        <v>5.9133741095145451</v>
      </c>
      <c r="U1658">
        <v>0</v>
      </c>
      <c r="V1658">
        <v>1.9170801527200524E-2</v>
      </c>
      <c r="W1658">
        <v>0.10293830542471336</v>
      </c>
      <c r="X1658">
        <v>-2.025495523467237E-3</v>
      </c>
      <c r="Y1658">
        <v>4.3858873018050124E-2</v>
      </c>
    </row>
    <row r="1659" spans="1:25" x14ac:dyDescent="0.25">
      <c r="A1659" s="879"/>
      <c r="B1659" s="1133">
        <v>1409</v>
      </c>
      <c r="C1659" s="883">
        <v>1.0350447547922081</v>
      </c>
      <c r="D1659" s="883">
        <v>0.9999290581429624</v>
      </c>
      <c r="E1659" s="883">
        <v>0.98058169029613351</v>
      </c>
      <c r="F1659" s="883">
        <v>0.99973144340072373</v>
      </c>
      <c r="G1659" s="883">
        <v>0.99979729454885491</v>
      </c>
      <c r="H1659" s="883">
        <v>1.0370699106887327</v>
      </c>
      <c r="I1659" s="883">
        <v>0.99820873959064382</v>
      </c>
      <c r="K1659">
        <v>6.7321977682478336</v>
      </c>
      <c r="L1659">
        <v>0</v>
      </c>
      <c r="M1659">
        <v>1.062162669832164E-2</v>
      </c>
      <c r="N1659">
        <v>0.19240812848531236</v>
      </c>
      <c r="O1659">
        <v>0.11820608582284188</v>
      </c>
      <c r="P1659">
        <v>8.1871613243554409E-2</v>
      </c>
      <c r="Q1659">
        <v>0</v>
      </c>
      <c r="R1659">
        <v>1.062162669832164E-2</v>
      </c>
      <c r="S1659">
        <v>0.26371754865500063</v>
      </c>
      <c r="T1659">
        <v>5.9131991834380875</v>
      </c>
      <c r="U1659">
        <v>0</v>
      </c>
      <c r="V1659">
        <v>1.8970511399691796E-2</v>
      </c>
      <c r="W1659">
        <v>0.10225555899046741</v>
      </c>
      <c r="X1659">
        <v>-2.1688299517421245E-3</v>
      </c>
      <c r="Y1659">
        <v>4.3737968164614012E-2</v>
      </c>
    </row>
    <row r="1660" spans="1:25" x14ac:dyDescent="0.25">
      <c r="A1660" s="879"/>
      <c r="B1660" s="1133">
        <v>1410</v>
      </c>
      <c r="C1660" s="883">
        <v>1.0000226195636006</v>
      </c>
      <c r="D1660" s="883">
        <v>1.0408479440634262</v>
      </c>
      <c r="E1660" s="883">
        <v>1.0337852300643235</v>
      </c>
      <c r="F1660" s="883">
        <v>1.015616583523592</v>
      </c>
      <c r="G1660" s="883">
        <v>1.0210587841549139</v>
      </c>
      <c r="H1660" s="883">
        <v>0.98903037069531186</v>
      </c>
      <c r="I1660" s="883">
        <v>1.0181423898909581</v>
      </c>
      <c r="K1660">
        <v>6.7412727903861818</v>
      </c>
      <c r="L1660">
        <v>0</v>
      </c>
      <c r="M1660">
        <v>9.8375479935714702E-3</v>
      </c>
      <c r="N1660">
        <v>0.19281117510211074</v>
      </c>
      <c r="O1660">
        <v>0.11941428464044378</v>
      </c>
      <c r="P1660">
        <v>8.5316487734488897E-2</v>
      </c>
      <c r="Q1660">
        <v>0</v>
      </c>
      <c r="R1660">
        <v>9.8375479935714702E-3</v>
      </c>
      <c r="S1660">
        <v>0.27351763936660994</v>
      </c>
      <c r="T1660">
        <v>5.9110462500790728</v>
      </c>
      <c r="U1660">
        <v>0</v>
      </c>
      <c r="V1660">
        <v>1.9154970339979652E-2</v>
      </c>
      <c r="W1660">
        <v>9.9805362514691895E-2</v>
      </c>
      <c r="X1660">
        <v>-3.0265101047850112E-4</v>
      </c>
      <c r="Y1660">
        <v>4.0509271619259664E-2</v>
      </c>
    </row>
    <row r="1661" spans="1:25" x14ac:dyDescent="0.25">
      <c r="A1661" s="879"/>
      <c r="B1661" s="1133">
        <v>1411</v>
      </c>
      <c r="C1661" s="883">
        <v>0.98426879384587596</v>
      </c>
      <c r="D1661" s="883">
        <v>0.99547879689470442</v>
      </c>
      <c r="E1661" s="883">
        <v>0.99230356219254823</v>
      </c>
      <c r="F1661" s="883">
        <v>1.0091650295534238</v>
      </c>
      <c r="G1661" s="883">
        <v>1.0133842202443544</v>
      </c>
      <c r="H1661" s="883">
        <v>1.027066729108741</v>
      </c>
      <c r="I1661" s="883">
        <v>1.0172314763293355</v>
      </c>
      <c r="K1661">
        <v>6.7721470852394692</v>
      </c>
      <c r="L1661">
        <v>0</v>
      </c>
      <c r="M1661">
        <v>1.0970245995535454E-2</v>
      </c>
      <c r="N1661">
        <v>0.20220792521132841</v>
      </c>
      <c r="O1661">
        <v>0.12430392044475823</v>
      </c>
      <c r="P1661">
        <v>8.2850158480909861E-2</v>
      </c>
      <c r="Q1661">
        <v>0</v>
      </c>
      <c r="R1661">
        <v>1.0970245995535454E-2</v>
      </c>
      <c r="S1661">
        <v>0.28170497165708297</v>
      </c>
      <c r="T1661">
        <v>5.9130591658895293</v>
      </c>
      <c r="U1661">
        <v>0</v>
      </c>
      <c r="V1661">
        <v>1.9242224981405844E-2</v>
      </c>
      <c r="W1661">
        <v>0.10683643814130506</v>
      </c>
      <c r="X1661">
        <v>-3.2312399454679356E-3</v>
      </c>
      <c r="Y1661">
        <v>4.5173520378618784E-2</v>
      </c>
    </row>
    <row r="1662" spans="1:25" x14ac:dyDescent="0.25">
      <c r="A1662" s="879"/>
      <c r="B1662" s="1133">
        <v>1412</v>
      </c>
      <c r="C1662" s="883">
        <v>1.0366086360953282</v>
      </c>
      <c r="D1662" s="883">
        <v>0.99363388194007896</v>
      </c>
      <c r="E1662" s="883">
        <v>0.97949220190812991</v>
      </c>
      <c r="F1662" s="883">
        <v>1.0069392675949012</v>
      </c>
      <c r="G1662" s="883">
        <v>1.0009679166307934</v>
      </c>
      <c r="H1662" s="883">
        <v>1.0309029694653156</v>
      </c>
      <c r="I1662" s="883">
        <v>0.99479665376640436</v>
      </c>
      <c r="K1662">
        <v>6.7293728229951597</v>
      </c>
      <c r="L1662">
        <v>0</v>
      </c>
      <c r="M1662">
        <v>1.0581139872136209E-2</v>
      </c>
      <c r="N1662">
        <v>0.19136513790640158</v>
      </c>
      <c r="O1662">
        <v>0.11834584762586636</v>
      </c>
      <c r="P1662">
        <v>8.178526254011656E-2</v>
      </c>
      <c r="Q1662">
        <v>0</v>
      </c>
      <c r="R1662">
        <v>1.0581139872136209E-2</v>
      </c>
      <c r="S1662">
        <v>0.26192872515688337</v>
      </c>
      <c r="T1662">
        <v>5.9136488536832115</v>
      </c>
      <c r="U1662">
        <v>0</v>
      </c>
      <c r="V1662">
        <v>1.8962565265830282E-2</v>
      </c>
      <c r="W1662">
        <v>0.10175675436749898</v>
      </c>
      <c r="X1662">
        <v>-1.9915741714184093E-3</v>
      </c>
      <c r="Y1662">
        <v>4.3571250620768831E-2</v>
      </c>
    </row>
    <row r="1663" spans="1:25" x14ac:dyDescent="0.25">
      <c r="A1663" s="879"/>
      <c r="B1663" s="1133">
        <v>1413</v>
      </c>
      <c r="C1663" s="883">
        <v>1.0218542127394739</v>
      </c>
      <c r="D1663" s="883">
        <v>0.99701763729596138</v>
      </c>
      <c r="E1663" s="883">
        <v>1.0093960074150954</v>
      </c>
      <c r="F1663" s="883">
        <v>1.0096427752952795</v>
      </c>
      <c r="G1663" s="883">
        <v>0.98300543452207367</v>
      </c>
      <c r="H1663" s="883">
        <v>0.99787812079442939</v>
      </c>
      <c r="I1663" s="883">
        <v>1.0246819443493729</v>
      </c>
      <c r="K1663">
        <v>6.7368452392189004</v>
      </c>
      <c r="L1663">
        <v>0</v>
      </c>
      <c r="M1663">
        <v>1.0107585123031317E-2</v>
      </c>
      <c r="N1663">
        <v>0.19108464495355357</v>
      </c>
      <c r="O1663">
        <v>0.11934391955278868</v>
      </c>
      <c r="P1663">
        <v>8.3760838053942424E-2</v>
      </c>
      <c r="Q1663">
        <v>0</v>
      </c>
      <c r="R1663">
        <v>1.0107585123031317E-2</v>
      </c>
      <c r="S1663">
        <v>0.27058040491171176</v>
      </c>
      <c r="T1663">
        <v>5.9121234628259467</v>
      </c>
      <c r="U1663">
        <v>0</v>
      </c>
      <c r="V1663">
        <v>1.9038500706804032E-2</v>
      </c>
      <c r="W1663">
        <v>0.10010636676441025</v>
      </c>
      <c r="X1663">
        <v>-8.1413500381309113E-4</v>
      </c>
      <c r="Y1663">
        <v>4.1621236453558037E-2</v>
      </c>
    </row>
    <row r="1664" spans="1:25" x14ac:dyDescent="0.25">
      <c r="A1664" s="879"/>
      <c r="B1664" s="1133">
        <v>1414</v>
      </c>
      <c r="C1664" s="883">
        <v>0.99541234250055122</v>
      </c>
      <c r="D1664" s="883">
        <v>1.0026619431926356</v>
      </c>
      <c r="E1664" s="883">
        <v>0.97523873753967505</v>
      </c>
      <c r="F1664" s="883">
        <v>0.9882377206919577</v>
      </c>
      <c r="G1664" s="883">
        <v>0.99878693229861593</v>
      </c>
      <c r="H1664" s="883">
        <v>1.014698253710155</v>
      </c>
      <c r="I1664" s="883">
        <v>0.97847700792439252</v>
      </c>
      <c r="K1664">
        <v>6.7440674007723711</v>
      </c>
      <c r="L1664">
        <v>0</v>
      </c>
      <c r="M1664">
        <v>1.0844023946953494E-2</v>
      </c>
      <c r="N1664">
        <v>0.19488551607364282</v>
      </c>
      <c r="O1664">
        <v>0.12287774825280222</v>
      </c>
      <c r="P1664">
        <v>8.1572714437374488E-2</v>
      </c>
      <c r="Q1664">
        <v>0</v>
      </c>
      <c r="R1664">
        <v>1.0844023946953494E-2</v>
      </c>
      <c r="S1664">
        <v>0.26668678124768214</v>
      </c>
      <c r="T1664">
        <v>5.9128714588000166</v>
      </c>
      <c r="U1664">
        <v>0</v>
      </c>
      <c r="V1664">
        <v>1.9180219109736406E-2</v>
      </c>
      <c r="W1664">
        <v>0.1038498618876994</v>
      </c>
      <c r="X1664">
        <v>-2.5106594858291861E-3</v>
      </c>
      <c r="Y1664">
        <v>4.4653760449245405E-2</v>
      </c>
    </row>
    <row r="1665" spans="1:25" x14ac:dyDescent="0.25">
      <c r="A1665" s="879"/>
      <c r="B1665" s="1133">
        <v>1415</v>
      </c>
      <c r="C1665" s="883">
        <v>1.0019313062699979</v>
      </c>
      <c r="D1665" s="883">
        <v>0.9932546568767846</v>
      </c>
      <c r="E1665" s="883">
        <v>1.0238252499193043</v>
      </c>
      <c r="F1665" s="883">
        <v>0.99306425685699962</v>
      </c>
      <c r="G1665" s="883">
        <v>0.95605802581358101</v>
      </c>
      <c r="H1665" s="883">
        <v>1.0288539111398036</v>
      </c>
      <c r="I1665" s="883">
        <v>0.97822347908201457</v>
      </c>
      <c r="K1665">
        <v>6.7514793723616204</v>
      </c>
      <c r="L1665">
        <v>0</v>
      </c>
      <c r="M1665">
        <v>1.0512210562817861E-2</v>
      </c>
      <c r="N1665">
        <v>0.20302278880635927</v>
      </c>
      <c r="O1665">
        <v>0.12162851332219693</v>
      </c>
      <c r="P1665">
        <v>8.4586286379705208E-2</v>
      </c>
      <c r="Q1665">
        <v>0</v>
      </c>
      <c r="R1665">
        <v>1.0512210562817861E-2</v>
      </c>
      <c r="S1665">
        <v>0.26636984345887976</v>
      </c>
      <c r="T1665">
        <v>5.9104035838463416</v>
      </c>
      <c r="U1665">
        <v>0</v>
      </c>
      <c r="V1665">
        <v>1.91445851864929E-2</v>
      </c>
      <c r="W1665">
        <v>0.105606235866047</v>
      </c>
      <c r="X1665">
        <v>-2.569876498361749E-3</v>
      </c>
      <c r="Y1665">
        <v>4.3287411993955562E-2</v>
      </c>
    </row>
    <row r="1666" spans="1:25" x14ac:dyDescent="0.25">
      <c r="A1666" s="879"/>
      <c r="B1666" s="1133">
        <v>1416</v>
      </c>
      <c r="C1666" s="883">
        <v>0.98601046792526215</v>
      </c>
      <c r="D1666" s="883">
        <v>1.0186732171123303</v>
      </c>
      <c r="E1666" s="883">
        <v>0.9938221158339372</v>
      </c>
      <c r="F1666" s="883">
        <v>1.007650627356014</v>
      </c>
      <c r="G1666" s="883">
        <v>0.99085902172658336</v>
      </c>
      <c r="H1666" s="883">
        <v>1.0243685063485473</v>
      </c>
      <c r="I1666" s="883">
        <v>0.98590002821409339</v>
      </c>
      <c r="K1666">
        <v>6.7564654292916426</v>
      </c>
      <c r="L1666">
        <v>0</v>
      </c>
      <c r="M1666">
        <v>1.0800582259407008E-2</v>
      </c>
      <c r="N1666">
        <v>0.19952922436192988</v>
      </c>
      <c r="O1666">
        <v>0.12291786133073106</v>
      </c>
      <c r="P1666">
        <v>8.2814694663873936E-2</v>
      </c>
      <c r="Q1666">
        <v>0</v>
      </c>
      <c r="R1666">
        <v>1.0800582259407008E-2</v>
      </c>
      <c r="S1666">
        <v>0.27204500665876397</v>
      </c>
      <c r="T1666">
        <v>5.9128925480019072</v>
      </c>
      <c r="U1666">
        <v>0</v>
      </c>
      <c r="V1666">
        <v>1.9232441403946914E-2</v>
      </c>
      <c r="W1666">
        <v>0.10534144763169923</v>
      </c>
      <c r="X1666">
        <v>-2.7826700734734353E-3</v>
      </c>
      <c r="Y1666">
        <v>4.447487531226111E-2</v>
      </c>
    </row>
    <row r="1667" spans="1:25" x14ac:dyDescent="0.25">
      <c r="A1667" s="879"/>
      <c r="B1667" s="1133">
        <v>1417</v>
      </c>
      <c r="C1667" s="883">
        <v>0.97385372828477124</v>
      </c>
      <c r="D1667" s="883">
        <v>0.99395298834678047</v>
      </c>
      <c r="E1667" s="883">
        <v>0.98249501959003593</v>
      </c>
      <c r="F1667" s="883">
        <v>0.97527445901392651</v>
      </c>
      <c r="G1667" s="883">
        <v>1.0021547134530362</v>
      </c>
      <c r="H1667" s="883">
        <v>1.0151208479303648</v>
      </c>
      <c r="I1667" s="883">
        <v>0.97563343919136536</v>
      </c>
      <c r="K1667">
        <v>6.7608919154956189</v>
      </c>
      <c r="L1667">
        <v>0</v>
      </c>
      <c r="M1667">
        <v>1.106004538461077E-2</v>
      </c>
      <c r="N1667">
        <v>0.20091946400063426</v>
      </c>
      <c r="O1667">
        <v>0.1258984622061845</v>
      </c>
      <c r="P1667">
        <v>8.2086300297415843E-2</v>
      </c>
      <c r="Q1667">
        <v>0</v>
      </c>
      <c r="R1667">
        <v>1.106004538461077E-2</v>
      </c>
      <c r="S1667">
        <v>0.27194395273771593</v>
      </c>
      <c r="T1667">
        <v>5.9117715401444162</v>
      </c>
      <c r="U1667">
        <v>0</v>
      </c>
      <c r="V1667">
        <v>1.9301460282700991E-2</v>
      </c>
      <c r="W1667">
        <v>0.10667673629736585</v>
      </c>
      <c r="X1667">
        <v>-3.2492987499502628E-3</v>
      </c>
      <c r="Y1667">
        <v>4.554329827913553E-2</v>
      </c>
    </row>
    <row r="1668" spans="1:25" x14ac:dyDescent="0.25">
      <c r="A1668" s="879"/>
      <c r="B1668" s="1133">
        <v>1418</v>
      </c>
      <c r="C1668" s="883">
        <v>1.0089437749606196</v>
      </c>
      <c r="D1668" s="883">
        <v>1.025830910156438</v>
      </c>
      <c r="E1668" s="883">
        <v>0.99038684593187409</v>
      </c>
      <c r="F1668" s="883">
        <v>0.98144090080013691</v>
      </c>
      <c r="G1668" s="883">
        <v>1.0020801488046878</v>
      </c>
      <c r="H1668" s="883">
        <v>0.95879841456117409</v>
      </c>
      <c r="I1668" s="883">
        <v>1.0170674534105009</v>
      </c>
      <c r="K1668">
        <v>6.7199478738214893</v>
      </c>
      <c r="L1668">
        <v>0</v>
      </c>
      <c r="M1668">
        <v>9.8794688722665547E-3</v>
      </c>
      <c r="N1668">
        <v>0.18158559738954028</v>
      </c>
      <c r="O1668">
        <v>0.11985088296076829</v>
      </c>
      <c r="P1668">
        <v>8.2527090182631005E-2</v>
      </c>
      <c r="Q1668">
        <v>0</v>
      </c>
      <c r="R1668">
        <v>9.8794688722665547E-3</v>
      </c>
      <c r="S1668">
        <v>0.26802401998849879</v>
      </c>
      <c r="T1668">
        <v>5.9116674608653952</v>
      </c>
      <c r="U1668">
        <v>0</v>
      </c>
      <c r="V1668">
        <v>1.9106767751909691E-2</v>
      </c>
      <c r="W1668">
        <v>9.6032337218657851E-2</v>
      </c>
      <c r="X1668">
        <v>4.7182312799988853E-4</v>
      </c>
      <c r="Y1668">
        <v>4.0681894336087765E-2</v>
      </c>
    </row>
    <row r="1669" spans="1:25" x14ac:dyDescent="0.25">
      <c r="A1669" s="879"/>
      <c r="B1669" s="1133">
        <v>1419</v>
      </c>
      <c r="C1669" s="883">
        <v>0.98157736481620417</v>
      </c>
      <c r="D1669" s="883">
        <v>0.98762146843134568</v>
      </c>
      <c r="E1669" s="883">
        <v>0.96545630738026011</v>
      </c>
      <c r="F1669" s="883">
        <v>0.95429458655818311</v>
      </c>
      <c r="G1669" s="883">
        <v>0.96472820627966516</v>
      </c>
      <c r="H1669" s="883">
        <v>0.99103215175286974</v>
      </c>
      <c r="I1669" s="883">
        <v>0.96687314859865336</v>
      </c>
      <c r="K1669">
        <v>6.7415803485400216</v>
      </c>
      <c r="L1669">
        <v>0</v>
      </c>
      <c r="M1669">
        <v>1.0902622748256867E-2</v>
      </c>
      <c r="N1669">
        <v>0.19311331408894894</v>
      </c>
      <c r="O1669">
        <v>0.12555025699493358</v>
      </c>
      <c r="P1669">
        <v>8.0920241665881229E-2</v>
      </c>
      <c r="Q1669">
        <v>0</v>
      </c>
      <c r="R1669">
        <v>1.0902622748256867E-2</v>
      </c>
      <c r="S1669">
        <v>0.26517287066283085</v>
      </c>
      <c r="T1669">
        <v>5.911569486107016</v>
      </c>
      <c r="U1669">
        <v>0</v>
      </c>
      <c r="V1669">
        <v>1.9257411936973039E-2</v>
      </c>
      <c r="W1669">
        <v>0.10341278489112234</v>
      </c>
      <c r="X1669">
        <v>-2.3110776904946822E-3</v>
      </c>
      <c r="Y1669">
        <v>4.4895059882814878E-2</v>
      </c>
    </row>
    <row r="1670" spans="1:25" x14ac:dyDescent="0.25">
      <c r="A1670" s="879"/>
      <c r="B1670" s="1133">
        <v>1420</v>
      </c>
      <c r="C1670" s="883">
        <v>0.99450452979999682</v>
      </c>
      <c r="D1670" s="883">
        <v>0.957006816911669</v>
      </c>
      <c r="E1670" s="883">
        <v>1.0175658818581945</v>
      </c>
      <c r="F1670" s="883">
        <v>1.0114092339436875</v>
      </c>
      <c r="G1670" s="883">
        <v>0.99937130901177629</v>
      </c>
      <c r="H1670" s="883">
        <v>0.98586067669872868</v>
      </c>
      <c r="I1670" s="883">
        <v>1.0164984112494859</v>
      </c>
      <c r="K1670">
        <v>6.7578307550693451</v>
      </c>
      <c r="L1670">
        <v>0</v>
      </c>
      <c r="M1670">
        <v>1.0367861429094273E-2</v>
      </c>
      <c r="N1670">
        <v>0.19838955967563271</v>
      </c>
      <c r="O1670">
        <v>0.12449384591638631</v>
      </c>
      <c r="P1670">
        <v>8.4331401933569958E-2</v>
      </c>
      <c r="Q1670">
        <v>0</v>
      </c>
      <c r="R1670">
        <v>1.0367861429094273E-2</v>
      </c>
      <c r="S1670">
        <v>0.27507748551335909</v>
      </c>
      <c r="T1670">
        <v>5.9117536023349988</v>
      </c>
      <c r="U1670">
        <v>0</v>
      </c>
      <c r="V1670">
        <v>1.9185218447832837E-2</v>
      </c>
      <c r="W1670">
        <v>0.1035147595594048</v>
      </c>
      <c r="X1670">
        <v>-1.6081262663132517E-3</v>
      </c>
      <c r="Y1670">
        <v>4.2693007954469828E-2</v>
      </c>
    </row>
    <row r="1671" spans="1:25" x14ac:dyDescent="0.25">
      <c r="A1671" s="879"/>
      <c r="B1671" s="1133">
        <v>1421</v>
      </c>
      <c r="C1671" s="883">
        <v>0.9910985565780267</v>
      </c>
      <c r="D1671" s="883">
        <v>1.0011203984472428</v>
      </c>
      <c r="E1671" s="883">
        <v>0.99136548236009614</v>
      </c>
      <c r="F1671" s="883">
        <v>1.0326869328838773</v>
      </c>
      <c r="G1671" s="883">
        <v>0.99713632036197242</v>
      </c>
      <c r="H1671" s="883">
        <v>0.98536003609778633</v>
      </c>
      <c r="I1671" s="883">
        <v>0.99446627782998698</v>
      </c>
      <c r="K1671">
        <v>6.7441501979123011</v>
      </c>
      <c r="L1671">
        <v>0</v>
      </c>
      <c r="M1671">
        <v>1.0435513290747553E-2</v>
      </c>
      <c r="N1671">
        <v>0.1920842238959474</v>
      </c>
      <c r="O1671">
        <v>0.12318625146505728</v>
      </c>
      <c r="P1671">
        <v>8.2645599062969297E-2</v>
      </c>
      <c r="Q1671">
        <v>0</v>
      </c>
      <c r="R1671">
        <v>1.0435513290747553E-2</v>
      </c>
      <c r="S1671">
        <v>0.26949510448769853</v>
      </c>
      <c r="T1671">
        <v>5.9143828272418277</v>
      </c>
      <c r="U1671">
        <v>0</v>
      </c>
      <c r="V1671">
        <v>1.9204056832512237E-2</v>
      </c>
      <c r="W1671">
        <v>0.10153503688446884</v>
      </c>
      <c r="X1671">
        <v>-1.3544882373553114E-3</v>
      </c>
      <c r="Y1671">
        <v>4.2971586279175543E-2</v>
      </c>
    </row>
    <row r="1672" spans="1:25" x14ac:dyDescent="0.25">
      <c r="A1672" s="879"/>
      <c r="B1672" s="1133">
        <v>1422</v>
      </c>
      <c r="C1672" s="883">
        <v>1.0111807868154525</v>
      </c>
      <c r="D1672" s="883">
        <v>1.0046298365943924</v>
      </c>
      <c r="E1672" s="883">
        <v>0.99110768793014381</v>
      </c>
      <c r="F1672" s="883">
        <v>0.95955044000379996</v>
      </c>
      <c r="G1672" s="883">
        <v>1.0374928097309468</v>
      </c>
      <c r="H1672" s="883">
        <v>0.99477172210511611</v>
      </c>
      <c r="I1672" s="883">
        <v>0.99098361210909447</v>
      </c>
      <c r="K1672">
        <v>6.728084597602054</v>
      </c>
      <c r="L1672">
        <v>0</v>
      </c>
      <c r="M1672">
        <v>1.0312813854404364E-2</v>
      </c>
      <c r="N1672">
        <v>0.1897531910228559</v>
      </c>
      <c r="O1672">
        <v>0.12057561132110096</v>
      </c>
      <c r="P1672">
        <v>8.2503161824944271E-2</v>
      </c>
      <c r="Q1672">
        <v>0</v>
      </c>
      <c r="R1672">
        <v>1.0312813854404364E-2</v>
      </c>
      <c r="S1672">
        <v>0.26405308432259567</v>
      </c>
      <c r="T1672">
        <v>5.9104441467660918</v>
      </c>
      <c r="U1672">
        <v>0</v>
      </c>
      <c r="V1672">
        <v>1.9094814156498188E-2</v>
      </c>
      <c r="W1672">
        <v>0.10031574982121326</v>
      </c>
      <c r="X1672">
        <v>-1.1214934732480934E-3</v>
      </c>
      <c r="Y1672">
        <v>4.2466331839999823E-2</v>
      </c>
    </row>
    <row r="1673" spans="1:25" x14ac:dyDescent="0.25">
      <c r="A1673" s="879"/>
      <c r="B1673" s="1133">
        <v>1423</v>
      </c>
      <c r="C1673" s="883">
        <v>1.012066075044167</v>
      </c>
      <c r="D1673" s="883">
        <v>1.0177688474184841</v>
      </c>
      <c r="E1673" s="883">
        <v>0.98384811470422773</v>
      </c>
      <c r="F1673" s="883">
        <v>1.0198455593160205</v>
      </c>
      <c r="G1673" s="883">
        <v>1.0119679315966856</v>
      </c>
      <c r="H1673" s="883">
        <v>1.0325437034649865</v>
      </c>
      <c r="I1673" s="883">
        <v>0.9892014035128458</v>
      </c>
      <c r="K1673">
        <v>6.7418447851837753</v>
      </c>
      <c r="L1673">
        <v>0</v>
      </c>
      <c r="M1673">
        <v>1.0703270987691303E-2</v>
      </c>
      <c r="N1673">
        <v>0.19482886023725621</v>
      </c>
      <c r="O1673">
        <v>0.11997828628791253</v>
      </c>
      <c r="P1673">
        <v>8.2129772805737591E-2</v>
      </c>
      <c r="Q1673">
        <v>0</v>
      </c>
      <c r="R1673">
        <v>1.0703270987691303E-2</v>
      </c>
      <c r="S1673">
        <v>0.26666848316793934</v>
      </c>
      <c r="T1673">
        <v>5.9141061559983212</v>
      </c>
      <c r="U1673">
        <v>0</v>
      </c>
      <c r="V1673">
        <v>1.9090098164558023E-2</v>
      </c>
      <c r="W1673">
        <v>0.1033730053048922</v>
      </c>
      <c r="X1673">
        <v>-2.4040415989377891E-3</v>
      </c>
      <c r="Y1673">
        <v>4.4074164816096516E-2</v>
      </c>
    </row>
    <row r="1674" spans="1:25" x14ac:dyDescent="0.25">
      <c r="A1674" s="879"/>
      <c r="B1674" s="1133">
        <v>1424</v>
      </c>
      <c r="C1674" s="883">
        <v>0.98564434771271747</v>
      </c>
      <c r="D1674" s="883">
        <v>0.98319442315224581</v>
      </c>
      <c r="E1674" s="883">
        <v>1.0162883433130958</v>
      </c>
      <c r="F1674" s="883">
        <v>0.99175286542924801</v>
      </c>
      <c r="G1674" s="883">
        <v>1.0247592583880143</v>
      </c>
      <c r="H1674" s="883">
        <v>1.0157215910560817</v>
      </c>
      <c r="I1674" s="883">
        <v>1.0155199457220105</v>
      </c>
      <c r="K1674">
        <v>6.7697743269757691</v>
      </c>
      <c r="L1674">
        <v>0</v>
      </c>
      <c r="M1674">
        <v>1.0665785695188152E-2</v>
      </c>
      <c r="N1674">
        <v>0.20370493234001602</v>
      </c>
      <c r="O1674">
        <v>0.12428845894614622</v>
      </c>
      <c r="P1674">
        <v>8.4304149192762384E-2</v>
      </c>
      <c r="Q1674">
        <v>0</v>
      </c>
      <c r="R1674">
        <v>1.0665785695188152E-2</v>
      </c>
      <c r="S1674">
        <v>0.27991723566483306</v>
      </c>
      <c r="T1674">
        <v>5.910764596642994</v>
      </c>
      <c r="U1674">
        <v>0</v>
      </c>
      <c r="V1674">
        <v>1.9234495155880982E-2</v>
      </c>
      <c r="W1674">
        <v>0.10635518236718772</v>
      </c>
      <c r="X1674">
        <v>-2.7145303877516703E-3</v>
      </c>
      <c r="Y1674">
        <v>4.3919807053701874E-2</v>
      </c>
    </row>
    <row r="1675" spans="1:25" x14ac:dyDescent="0.25">
      <c r="A1675" s="879"/>
      <c r="B1675" s="1133">
        <v>1425</v>
      </c>
      <c r="C1675" s="883">
        <v>0.9790063776712572</v>
      </c>
      <c r="D1675" s="883">
        <v>1.0311208263507945</v>
      </c>
      <c r="E1675" s="883">
        <v>0.98631237066198785</v>
      </c>
      <c r="F1675" s="883">
        <v>1.0237302412859342</v>
      </c>
      <c r="G1675" s="883">
        <v>0.96344012161367054</v>
      </c>
      <c r="H1675" s="883">
        <v>1.0283938631499927</v>
      </c>
      <c r="I1675" s="883">
        <v>1.01249130633986</v>
      </c>
      <c r="K1675">
        <v>6.7685741623995401</v>
      </c>
      <c r="L1675">
        <v>0</v>
      </c>
      <c r="M1675">
        <v>1.0935415270683757E-2</v>
      </c>
      <c r="N1675">
        <v>0.19978335557046928</v>
      </c>
      <c r="O1675">
        <v>0.12333859332155601</v>
      </c>
      <c r="P1675">
        <v>8.2486576066042844E-2</v>
      </c>
      <c r="Q1675">
        <v>0</v>
      </c>
      <c r="R1675">
        <v>1.0935415270683757E-2</v>
      </c>
      <c r="S1675">
        <v>0.28162541469169367</v>
      </c>
      <c r="T1675">
        <v>5.9141796594355363</v>
      </c>
      <c r="U1675">
        <v>0</v>
      </c>
      <c r="V1675">
        <v>1.9271997254562731E-2</v>
      </c>
      <c r="W1675">
        <v>0.10587133792578238</v>
      </c>
      <c r="X1675">
        <v>-3.0128655194219837E-3</v>
      </c>
      <c r="Y1675">
        <v>4.5030093653317414E-2</v>
      </c>
    </row>
    <row r="1676" spans="1:25" x14ac:dyDescent="0.25">
      <c r="A1676" s="879"/>
      <c r="B1676" s="1133">
        <v>1426</v>
      </c>
      <c r="C1676" s="883">
        <v>0.97858839553701693</v>
      </c>
      <c r="D1676" s="883">
        <v>1.0186360076716516</v>
      </c>
      <c r="E1676" s="883">
        <v>0.97447458586891045</v>
      </c>
      <c r="F1676" s="883">
        <v>1.0015482259301451</v>
      </c>
      <c r="G1676" s="883">
        <v>0.95620732530598707</v>
      </c>
      <c r="H1676" s="883">
        <v>1.0086637232240738</v>
      </c>
      <c r="I1676" s="883">
        <v>0.9789908854157171</v>
      </c>
      <c r="K1676">
        <v>6.7516277874353499</v>
      </c>
      <c r="L1676">
        <v>0</v>
      </c>
      <c r="M1676">
        <v>1.0898156014116551E-2</v>
      </c>
      <c r="N1676">
        <v>0.19563634673936622</v>
      </c>
      <c r="O1676">
        <v>0.12421686562020481</v>
      </c>
      <c r="P1676">
        <v>8.1588324475146148E-2</v>
      </c>
      <c r="Q1676">
        <v>0</v>
      </c>
      <c r="R1676">
        <v>1.0898156014116551E-2</v>
      </c>
      <c r="S1676">
        <v>0.27068518420208315</v>
      </c>
      <c r="T1676">
        <v>5.9136329479380594</v>
      </c>
      <c r="U1676">
        <v>0</v>
      </c>
      <c r="V1676">
        <v>1.9274375727299821E-2</v>
      </c>
      <c r="W1676">
        <v>0.1042899412837365</v>
      </c>
      <c r="X1676">
        <v>-2.5728652172223236E-3</v>
      </c>
      <c r="Y1676">
        <v>4.4876666666674107E-2</v>
      </c>
    </row>
    <row r="1677" spans="1:25" x14ac:dyDescent="0.25">
      <c r="A1677" s="879"/>
      <c r="B1677" s="1133">
        <v>1427</v>
      </c>
      <c r="C1677" s="883">
        <v>1.013806266613722</v>
      </c>
      <c r="D1677" s="883">
        <v>0.97476343518927</v>
      </c>
      <c r="E1677" s="883">
        <v>0.99975071377321134</v>
      </c>
      <c r="F1677" s="883">
        <v>1.0134772032282799</v>
      </c>
      <c r="G1677" s="883">
        <v>1.0393567914368893</v>
      </c>
      <c r="H1677" s="883">
        <v>0.96120785332332914</v>
      </c>
      <c r="I1677" s="883">
        <v>0.97264011391092553</v>
      </c>
      <c r="K1677">
        <v>6.7175545997441883</v>
      </c>
      <c r="L1677">
        <v>0</v>
      </c>
      <c r="M1677">
        <v>9.992717342507661E-3</v>
      </c>
      <c r="N1677">
        <v>0.18623371727935953</v>
      </c>
      <c r="O1677">
        <v>0.12156291045855636</v>
      </c>
      <c r="P1677">
        <v>8.2966772957722215E-2</v>
      </c>
      <c r="Q1677">
        <v>0</v>
      </c>
      <c r="R1677">
        <v>9.992717342507661E-3</v>
      </c>
      <c r="S1677">
        <v>0.25573137390315615</v>
      </c>
      <c r="T1677">
        <v>5.9128752699433598</v>
      </c>
      <c r="U1677">
        <v>0</v>
      </c>
      <c r="V1677">
        <v>1.9080852050156461E-2</v>
      </c>
      <c r="W1677">
        <v>9.8032637676413334E-2</v>
      </c>
      <c r="X1677">
        <v>-7.7165903599984317E-5</v>
      </c>
      <c r="Y1677">
        <v>4.1148231379064377E-2</v>
      </c>
    </row>
    <row r="1678" spans="1:25" x14ac:dyDescent="0.25">
      <c r="A1678" s="879"/>
      <c r="B1678" s="1133">
        <v>1428</v>
      </c>
      <c r="C1678" s="883">
        <v>1.0004212481118326</v>
      </c>
      <c r="D1678" s="883">
        <v>0.99764405597542194</v>
      </c>
      <c r="E1678" s="883">
        <v>1.0139276760789315</v>
      </c>
      <c r="F1678" s="883">
        <v>0.98144444395375097</v>
      </c>
      <c r="G1678" s="883">
        <v>0.98409291012883204</v>
      </c>
      <c r="H1678" s="883">
        <v>0.99104841099698049</v>
      </c>
      <c r="I1678" s="883">
        <v>0.9814710027675676</v>
      </c>
      <c r="K1678">
        <v>6.7360761149057664</v>
      </c>
      <c r="L1678">
        <v>0</v>
      </c>
      <c r="M1678">
        <v>1.0210159814495917E-2</v>
      </c>
      <c r="N1678">
        <v>0.19432294238079431</v>
      </c>
      <c r="O1678">
        <v>0.12178467613293108</v>
      </c>
      <c r="P1678">
        <v>8.3934810675962118E-2</v>
      </c>
      <c r="Q1678">
        <v>0</v>
      </c>
      <c r="R1678">
        <v>1.0210159814495917E-2</v>
      </c>
      <c r="S1678">
        <v>0.26409162978694611</v>
      </c>
      <c r="T1678">
        <v>5.9103422469793241</v>
      </c>
      <c r="U1678">
        <v>0</v>
      </c>
      <c r="V1678">
        <v>1.9152798130481697E-2</v>
      </c>
      <c r="W1678">
        <v>0.10157509059388248</v>
      </c>
      <c r="X1678">
        <v>-1.1717005499527491E-3</v>
      </c>
      <c r="Y1678">
        <v>4.2043620775394794E-2</v>
      </c>
    </row>
    <row r="1679" spans="1:25" x14ac:dyDescent="0.25">
      <c r="A1679" s="879"/>
      <c r="B1679" s="1133">
        <v>1429</v>
      </c>
      <c r="C1679" s="883">
        <v>1.0022584725058605</v>
      </c>
      <c r="D1679" s="883">
        <v>1.0354895455976467</v>
      </c>
      <c r="E1679" s="883">
        <v>0.99007406781460972</v>
      </c>
      <c r="F1679" s="883">
        <v>0.96930045783485486</v>
      </c>
      <c r="G1679" s="883">
        <v>1.0323876762814743</v>
      </c>
      <c r="H1679" s="883">
        <v>1.0367538128256266</v>
      </c>
      <c r="I1679" s="883">
        <v>1.0153556911283952</v>
      </c>
      <c r="K1679">
        <v>6.7521212696556345</v>
      </c>
      <c r="L1679">
        <v>0</v>
      </c>
      <c r="M1679">
        <v>1.071387190181681E-2</v>
      </c>
      <c r="N1679">
        <v>0.19683071246630227</v>
      </c>
      <c r="O1679">
        <v>0.12020463879835326</v>
      </c>
      <c r="P1679">
        <v>8.2613706515264007E-2</v>
      </c>
      <c r="Q1679">
        <v>0</v>
      </c>
      <c r="R1679">
        <v>1.071387190181681E-2</v>
      </c>
      <c r="S1679">
        <v>0.27661914236375562</v>
      </c>
      <c r="T1679">
        <v>5.9110286582226239</v>
      </c>
      <c r="U1679">
        <v>0</v>
      </c>
      <c r="V1679">
        <v>1.9142809047963703E-2</v>
      </c>
      <c r="W1679">
        <v>0.10411101862487128</v>
      </c>
      <c r="X1679">
        <v>-2.5472338770748579E-3</v>
      </c>
      <c r="Y1679">
        <v>4.4117817493572985E-2</v>
      </c>
    </row>
    <row r="1680" spans="1:25" x14ac:dyDescent="0.25">
      <c r="A1680" s="879"/>
      <c r="B1680" s="1133">
        <v>1430</v>
      </c>
      <c r="C1680" s="883">
        <v>1.01592882724444</v>
      </c>
      <c r="D1680" s="883">
        <v>1.0261375299863866</v>
      </c>
      <c r="E1680" s="883">
        <v>1.0085160369157762</v>
      </c>
      <c r="F1680" s="883">
        <v>0.98403659825551248</v>
      </c>
      <c r="G1680" s="883">
        <v>0.97609770109538307</v>
      </c>
      <c r="H1680" s="883">
        <v>1.017586537370617</v>
      </c>
      <c r="I1680" s="883">
        <v>1.0041814535375353</v>
      </c>
      <c r="K1680">
        <v>6.7361634651671745</v>
      </c>
      <c r="L1680">
        <v>0</v>
      </c>
      <c r="M1680">
        <v>1.0248215868340287E-2</v>
      </c>
      <c r="N1680">
        <v>0.19349103603616233</v>
      </c>
      <c r="O1680">
        <v>0.11868173783223386</v>
      </c>
      <c r="P1680">
        <v>8.3656699660444117E-2</v>
      </c>
      <c r="Q1680">
        <v>0</v>
      </c>
      <c r="R1680">
        <v>1.0248215868340287E-2</v>
      </c>
      <c r="S1680">
        <v>0.26825458435516902</v>
      </c>
      <c r="T1680">
        <v>5.9107897201047086</v>
      </c>
      <c r="U1680">
        <v>0</v>
      </c>
      <c r="V1680">
        <v>1.9069617184320251E-2</v>
      </c>
      <c r="W1680">
        <v>0.10141118636031818</v>
      </c>
      <c r="X1680">
        <v>-1.3914451975795322E-3</v>
      </c>
      <c r="Y1680">
        <v>4.2200328831400839E-2</v>
      </c>
    </row>
    <row r="1681" spans="1:25" x14ac:dyDescent="0.25">
      <c r="A1681" s="879"/>
      <c r="B1681" s="1133">
        <v>1431</v>
      </c>
      <c r="C1681" s="883">
        <v>1.0404228540834761</v>
      </c>
      <c r="D1681" s="883">
        <v>0.99046765659223945</v>
      </c>
      <c r="E1681" s="883">
        <v>0.99818652952745557</v>
      </c>
      <c r="F1681" s="883">
        <v>0.96699367425257399</v>
      </c>
      <c r="G1681" s="883">
        <v>0.98987455227176824</v>
      </c>
      <c r="H1681" s="883">
        <v>1.0272412266819204</v>
      </c>
      <c r="I1681" s="883">
        <v>0.98490371577678004</v>
      </c>
      <c r="K1681">
        <v>6.7228662764807527</v>
      </c>
      <c r="L1681">
        <v>0</v>
      </c>
      <c r="M1681">
        <v>1.0349091497946593E-2</v>
      </c>
      <c r="N1681">
        <v>0.19242897379384083</v>
      </c>
      <c r="O1681">
        <v>0.11772644681862073</v>
      </c>
      <c r="P1681">
        <v>8.2866286211520451E-2</v>
      </c>
      <c r="Q1681">
        <v>0</v>
      </c>
      <c r="R1681">
        <v>1.0349091497946593E-2</v>
      </c>
      <c r="S1681">
        <v>0.25811052302476106</v>
      </c>
      <c r="T1681">
        <v>5.9104509375744643</v>
      </c>
      <c r="U1681">
        <v>0</v>
      </c>
      <c r="V1681">
        <v>1.8943285274028263E-2</v>
      </c>
      <c r="W1681">
        <v>0.10137254588284923</v>
      </c>
      <c r="X1681">
        <v>-1.6484388182601811E-3</v>
      </c>
      <c r="Y1681">
        <v>4.2615716718926888E-2</v>
      </c>
    </row>
    <row r="1682" spans="1:25" x14ac:dyDescent="0.25">
      <c r="A1682" s="879"/>
      <c r="B1682" s="1133">
        <v>1432</v>
      </c>
      <c r="C1682" s="883">
        <v>1.0118457821864923</v>
      </c>
      <c r="D1682" s="883">
        <v>0.97244211459421692</v>
      </c>
      <c r="E1682" s="883">
        <v>0.96594282500899531</v>
      </c>
      <c r="F1682" s="883">
        <v>0.97668358896735985</v>
      </c>
      <c r="G1682" s="883">
        <v>0.9892471614206263</v>
      </c>
      <c r="H1682" s="883">
        <v>0.96762885220062977</v>
      </c>
      <c r="I1682" s="883">
        <v>0.99175205972567648</v>
      </c>
      <c r="K1682">
        <v>6.7220097388707831</v>
      </c>
      <c r="L1682">
        <v>0</v>
      </c>
      <c r="M1682">
        <v>1.0391105926194188E-2</v>
      </c>
      <c r="N1682">
        <v>0.18418608913520357</v>
      </c>
      <c r="O1682">
        <v>0.12254251189118438</v>
      </c>
      <c r="P1682">
        <v>8.0920519428430912E-2</v>
      </c>
      <c r="Q1682">
        <v>0</v>
      </c>
      <c r="R1682">
        <v>1.0391105926194188E-2</v>
      </c>
      <c r="S1682">
        <v>0.26182715753222002</v>
      </c>
      <c r="T1682">
        <v>5.9127537166016157</v>
      </c>
      <c r="U1682">
        <v>0</v>
      </c>
      <c r="V1682">
        <v>1.9091270908679479E-2</v>
      </c>
      <c r="W1682">
        <v>9.8608062783805614E-2</v>
      </c>
      <c r="X1682">
        <v>-7.0831406651578684E-4</v>
      </c>
      <c r="Y1682">
        <v>4.2788724656161022E-2</v>
      </c>
    </row>
    <row r="1683" spans="1:25" x14ac:dyDescent="0.25">
      <c r="A1683" s="879"/>
      <c r="B1683" s="1133">
        <v>1433</v>
      </c>
      <c r="C1683" s="883">
        <v>1.0273047316626518</v>
      </c>
      <c r="D1683" s="883">
        <v>1.014389364746787</v>
      </c>
      <c r="E1683" s="883">
        <v>0.99629742427045598</v>
      </c>
      <c r="F1683" s="883">
        <v>1.0165493074935226</v>
      </c>
      <c r="G1683" s="883">
        <v>0.97759600158108417</v>
      </c>
      <c r="H1683" s="883">
        <v>1.0015209047116456</v>
      </c>
      <c r="I1683" s="883">
        <v>0.99214593383101191</v>
      </c>
      <c r="K1683">
        <v>6.7218380997118405</v>
      </c>
      <c r="L1683">
        <v>0</v>
      </c>
      <c r="M1683">
        <v>1.0131600102831269E-2</v>
      </c>
      <c r="N1683">
        <v>0.18785838294191595</v>
      </c>
      <c r="O1683">
        <v>0.11813121917482573</v>
      </c>
      <c r="P1683">
        <v>8.2821019276584751E-2</v>
      </c>
      <c r="Q1683">
        <v>0</v>
      </c>
      <c r="R1683">
        <v>1.0131600102831269E-2</v>
      </c>
      <c r="S1683">
        <v>0.26074365132524358</v>
      </c>
      <c r="T1683">
        <v>5.913235037843747</v>
      </c>
      <c r="U1683">
        <v>0</v>
      </c>
      <c r="V1683">
        <v>1.9010194891757305E-2</v>
      </c>
      <c r="W1683">
        <v>9.9057732193285203E-2</v>
      </c>
      <c r="X1683">
        <v>-7.3926380138662274E-4</v>
      </c>
      <c r="Y1683">
        <v>4.1720125865867194E-2</v>
      </c>
    </row>
    <row r="1684" spans="1:25" x14ac:dyDescent="0.25">
      <c r="A1684" s="879"/>
      <c r="B1684" s="1133">
        <v>1434</v>
      </c>
      <c r="C1684" s="883">
        <v>1.0307149429139115</v>
      </c>
      <c r="D1684" s="883">
        <v>0.98499380563452255</v>
      </c>
      <c r="E1684" s="883">
        <v>0.96254181836972075</v>
      </c>
      <c r="F1684" s="883">
        <v>0.99451720020089451</v>
      </c>
      <c r="G1684" s="883">
        <v>1.0156873291876061</v>
      </c>
      <c r="H1684" s="883">
        <v>1.0023890493391936</v>
      </c>
      <c r="I1684" s="883">
        <v>1.0401614467557796</v>
      </c>
      <c r="K1684">
        <v>6.7339676500464352</v>
      </c>
      <c r="L1684">
        <v>0</v>
      </c>
      <c r="M1684">
        <v>1.0540535507881001E-2</v>
      </c>
      <c r="N1684">
        <v>0.18589328997038265</v>
      </c>
      <c r="O1684">
        <v>0.11974470988687294</v>
      </c>
      <c r="P1684">
        <v>8.0862348612254595E-2</v>
      </c>
      <c r="Q1684">
        <v>0</v>
      </c>
      <c r="R1684">
        <v>1.0540535507881001E-2</v>
      </c>
      <c r="S1684">
        <v>0.27278194316381638</v>
      </c>
      <c r="T1684">
        <v>5.9139023063396259</v>
      </c>
      <c r="U1684">
        <v>0</v>
      </c>
      <c r="V1684">
        <v>1.899263711741047E-2</v>
      </c>
      <c r="W1684">
        <v>9.9692769833617981E-2</v>
      </c>
      <c r="X1684">
        <v>-1.3064039536238128E-3</v>
      </c>
      <c r="Y1684">
        <v>4.3404049076073301E-2</v>
      </c>
    </row>
    <row r="1685" spans="1:25" x14ac:dyDescent="0.25">
      <c r="A1685" s="879"/>
      <c r="B1685" s="1133">
        <v>1435</v>
      </c>
      <c r="C1685" s="883">
        <v>1.0161972111768767</v>
      </c>
      <c r="D1685" s="883">
        <v>0.98369985197190246</v>
      </c>
      <c r="E1685" s="883">
        <v>1.0356600965606231</v>
      </c>
      <c r="F1685" s="883">
        <v>1.0007876042254151</v>
      </c>
      <c r="G1685" s="883">
        <v>0.96136753424473409</v>
      </c>
      <c r="H1685" s="883">
        <v>0.96857600316646941</v>
      </c>
      <c r="I1685" s="883">
        <v>1.0188869032520491</v>
      </c>
      <c r="K1685">
        <v>6.7319521773960886</v>
      </c>
      <c r="L1685">
        <v>0</v>
      </c>
      <c r="M1685">
        <v>9.6968010200571813E-3</v>
      </c>
      <c r="N1685">
        <v>0.19057986468478733</v>
      </c>
      <c r="O1685">
        <v>0.12016283718863571</v>
      </c>
      <c r="P1685">
        <v>8.5343403559308764E-2</v>
      </c>
      <c r="Q1685">
        <v>0</v>
      </c>
      <c r="R1685">
        <v>9.6968010200571813E-3</v>
      </c>
      <c r="S1685">
        <v>0.26794096890354147</v>
      </c>
      <c r="T1685">
        <v>5.9101363360492645</v>
      </c>
      <c r="U1685">
        <v>0</v>
      </c>
      <c r="V1685">
        <v>1.9068199951273516E-2</v>
      </c>
      <c r="W1685">
        <v>9.855984265054224E-2</v>
      </c>
      <c r="X1685">
        <v>2.3102377437405532E-4</v>
      </c>
      <c r="Y1685">
        <v>3.9929700634355199E-2</v>
      </c>
    </row>
    <row r="1686" spans="1:25" x14ac:dyDescent="0.25">
      <c r="A1686" s="879"/>
      <c r="B1686" s="1133">
        <v>1436</v>
      </c>
      <c r="C1686" s="883">
        <v>0.96509256226143159</v>
      </c>
      <c r="D1686" s="883">
        <v>0.98362052732103222</v>
      </c>
      <c r="E1686" s="883">
        <v>1.025458050690591</v>
      </c>
      <c r="F1686" s="883">
        <v>1.0074588426293742</v>
      </c>
      <c r="G1686" s="883">
        <v>0.95645046300666525</v>
      </c>
      <c r="H1686" s="883">
        <v>0.97566847656300437</v>
      </c>
      <c r="I1686" s="883">
        <v>1.0276855398766918</v>
      </c>
      <c r="K1686">
        <v>6.7738349637112263</v>
      </c>
      <c r="L1686">
        <v>0</v>
      </c>
      <c r="M1686">
        <v>1.0377777471171972E-2</v>
      </c>
      <c r="N1686">
        <v>0.20091100237945184</v>
      </c>
      <c r="O1686">
        <v>0.12673219596863522</v>
      </c>
      <c r="P1686">
        <v>8.4958659292638489E-2</v>
      </c>
      <c r="Q1686">
        <v>0</v>
      </c>
      <c r="R1686">
        <v>1.0377777471171972E-2</v>
      </c>
      <c r="S1686">
        <v>0.28526494057495955</v>
      </c>
      <c r="T1686">
        <v>5.9110872234378347</v>
      </c>
      <c r="U1686">
        <v>0</v>
      </c>
      <c r="V1686">
        <v>1.9352279181656797E-2</v>
      </c>
      <c r="W1686">
        <v>0.1044238857959324</v>
      </c>
      <c r="X1686">
        <v>-1.6290633706384546E-3</v>
      </c>
      <c r="Y1686">
        <v>4.2733840450756108E-2</v>
      </c>
    </row>
    <row r="1687" spans="1:25" x14ac:dyDescent="0.25">
      <c r="A1687" s="879"/>
      <c r="B1687" s="1133">
        <v>1437</v>
      </c>
      <c r="C1687" s="883">
        <v>1.0421238625882072</v>
      </c>
      <c r="D1687" s="883">
        <v>0.99534519112430819</v>
      </c>
      <c r="E1687" s="883">
        <v>1.0066063882795204</v>
      </c>
      <c r="F1687" s="883">
        <v>1.0033912816081214</v>
      </c>
      <c r="G1687" s="883">
        <v>0.98206576025866565</v>
      </c>
      <c r="H1687" s="883">
        <v>1.010209799704499</v>
      </c>
      <c r="I1687" s="883">
        <v>1.0088222418791726</v>
      </c>
      <c r="K1687">
        <v>6.7234232551292532</v>
      </c>
      <c r="L1687">
        <v>0</v>
      </c>
      <c r="M1687">
        <v>1.0065206301634051E-2</v>
      </c>
      <c r="N1687">
        <v>0.18949915920154192</v>
      </c>
      <c r="O1687">
        <v>0.11715170231472152</v>
      </c>
      <c r="P1687">
        <v>8.3471078728991371E-2</v>
      </c>
      <c r="Q1687">
        <v>0</v>
      </c>
      <c r="R1687">
        <v>1.0065206301634051E-2</v>
      </c>
      <c r="S1687">
        <v>0.26235028531949561</v>
      </c>
      <c r="T1687">
        <v>5.9119436846978166</v>
      </c>
      <c r="U1687">
        <v>0</v>
      </c>
      <c r="V1687">
        <v>1.893473257277983E-2</v>
      </c>
      <c r="W1687">
        <v>9.9412939053651769E-2</v>
      </c>
      <c r="X1687">
        <v>-7.8705476993745302E-4</v>
      </c>
      <c r="Y1687">
        <v>4.1446728010193119E-2</v>
      </c>
    </row>
    <row r="1688" spans="1:25" x14ac:dyDescent="0.25">
      <c r="A1688" s="879"/>
      <c r="B1688" s="1133">
        <v>1438</v>
      </c>
      <c r="C1688" s="883">
        <v>0.97193938188520168</v>
      </c>
      <c r="D1688" s="883">
        <v>1.0217063283114773</v>
      </c>
      <c r="E1688" s="883">
        <v>0.99217159053844439</v>
      </c>
      <c r="F1688" s="883">
        <v>1.0413868726860842</v>
      </c>
      <c r="G1688" s="883">
        <v>0.98123538207842331</v>
      </c>
      <c r="H1688" s="883">
        <v>0.99705541411105914</v>
      </c>
      <c r="I1688" s="883">
        <v>1.0198927536098801</v>
      </c>
      <c r="K1688">
        <v>6.7666611324278092</v>
      </c>
      <c r="L1688">
        <v>0</v>
      </c>
      <c r="M1688">
        <v>1.0666591773697567E-2</v>
      </c>
      <c r="N1688">
        <v>0.19657239171773946</v>
      </c>
      <c r="O1688">
        <v>0.12458062080418522</v>
      </c>
      <c r="P1688">
        <v>8.2880442586432526E-2</v>
      </c>
      <c r="Q1688">
        <v>0</v>
      </c>
      <c r="R1688">
        <v>1.0666591773697567E-2</v>
      </c>
      <c r="S1688">
        <v>0.28278662952159522</v>
      </c>
      <c r="T1688">
        <v>5.9148080977132258</v>
      </c>
      <c r="U1688">
        <v>0</v>
      </c>
      <c r="V1688">
        <v>1.9312486172714919E-2</v>
      </c>
      <c r="W1688">
        <v>0.10386573626802506</v>
      </c>
      <c r="X1688">
        <v>-2.0683986976429637E-3</v>
      </c>
      <c r="Y1688">
        <v>4.3923126341527022E-2</v>
      </c>
    </row>
    <row r="1689" spans="1:25" x14ac:dyDescent="0.25">
      <c r="A1689" s="879"/>
      <c r="B1689" s="1133">
        <v>1439</v>
      </c>
      <c r="C1689" s="883">
        <v>1.0066731469562427</v>
      </c>
      <c r="D1689" s="883">
        <v>0.99155294008121841</v>
      </c>
      <c r="E1689" s="883">
        <v>0.99591704091186339</v>
      </c>
      <c r="F1689" s="883">
        <v>1.0066125304290037</v>
      </c>
      <c r="G1689" s="883">
        <v>1.0120664085988977</v>
      </c>
      <c r="H1689" s="883">
        <v>0.99146481470108316</v>
      </c>
      <c r="I1689" s="883">
        <v>0.98632657359074061</v>
      </c>
      <c r="K1689">
        <v>6.7341305018590383</v>
      </c>
      <c r="L1689">
        <v>0</v>
      </c>
      <c r="M1689">
        <v>1.0339164472850432E-2</v>
      </c>
      <c r="N1689">
        <v>0.19159897218681282</v>
      </c>
      <c r="O1689">
        <v>0.12166238424967661</v>
      </c>
      <c r="P1689">
        <v>8.2832759256609129E-2</v>
      </c>
      <c r="Q1689">
        <v>0</v>
      </c>
      <c r="R1689">
        <v>1.0339164472850432E-2</v>
      </c>
      <c r="S1689">
        <v>0.26381699908622452</v>
      </c>
      <c r="T1689">
        <v>5.9127192933493582</v>
      </c>
      <c r="U1689">
        <v>0</v>
      </c>
      <c r="V1689">
        <v>1.9118955306717599E-2</v>
      </c>
      <c r="W1689">
        <v>0.1010492629582156</v>
      </c>
      <c r="X1689">
        <v>-1.2429635311016628E-3</v>
      </c>
      <c r="Y1689">
        <v>4.2574838996525491E-2</v>
      </c>
    </row>
    <row r="1690" spans="1:25" x14ac:dyDescent="0.25">
      <c r="A1690" s="879"/>
      <c r="B1690" s="1133">
        <v>1440</v>
      </c>
      <c r="C1690" s="883">
        <v>0.98501215510092144</v>
      </c>
      <c r="D1690" s="883">
        <v>0.99891315915557122</v>
      </c>
      <c r="E1690" s="883">
        <v>0.97404610616923737</v>
      </c>
      <c r="F1690" s="883">
        <v>1.0068767709615727</v>
      </c>
      <c r="G1690" s="883">
        <v>0.95829075033738709</v>
      </c>
      <c r="H1690" s="883">
        <v>1.0277578334092323</v>
      </c>
      <c r="I1690" s="883">
        <v>0.99998428521171068</v>
      </c>
      <c r="K1690">
        <v>6.7644997301155367</v>
      </c>
      <c r="L1690">
        <v>0</v>
      </c>
      <c r="M1690">
        <v>1.1128938731872455E-2</v>
      </c>
      <c r="N1690">
        <v>0.19965218379301142</v>
      </c>
      <c r="O1690">
        <v>0.12438375819869985</v>
      </c>
      <c r="P1690">
        <v>8.1644103469962134E-2</v>
      </c>
      <c r="Q1690">
        <v>0</v>
      </c>
      <c r="R1690">
        <v>1.1128938731872455E-2</v>
      </c>
      <c r="S1690">
        <v>0.27671465275579016</v>
      </c>
      <c r="T1690">
        <v>5.9139444991755852</v>
      </c>
      <c r="U1690">
        <v>0</v>
      </c>
      <c r="V1690">
        <v>1.9238045035547227E-2</v>
      </c>
      <c r="W1690">
        <v>0.10645359629164935</v>
      </c>
      <c r="X1690">
        <v>-3.3580974253136467E-3</v>
      </c>
      <c r="Y1690">
        <v>4.5826988820600482E-2</v>
      </c>
    </row>
    <row r="1691" spans="1:25" x14ac:dyDescent="0.25">
      <c r="A1691" s="879"/>
      <c r="B1691" s="1133">
        <v>1441</v>
      </c>
      <c r="C1691" s="883">
        <v>0.99768440811921388</v>
      </c>
      <c r="D1691" s="883">
        <v>0.99997940952738562</v>
      </c>
      <c r="E1691" s="883">
        <v>1.0306367974368489</v>
      </c>
      <c r="F1691" s="883">
        <v>1.020173867179724</v>
      </c>
      <c r="G1691" s="883">
        <v>1.0042517606753159</v>
      </c>
      <c r="H1691" s="883">
        <v>1.0100863934857622</v>
      </c>
      <c r="I1691" s="883">
        <v>1.0059001507592447</v>
      </c>
      <c r="K1691">
        <v>6.7555210523518747</v>
      </c>
      <c r="L1691">
        <v>0</v>
      </c>
      <c r="M1691">
        <v>1.0272981459115213E-2</v>
      </c>
      <c r="N1691">
        <v>0.2004107273922266</v>
      </c>
      <c r="O1691">
        <v>0.12168743399608846</v>
      </c>
      <c r="P1691">
        <v>8.5121389963988839E-2</v>
      </c>
      <c r="Q1691">
        <v>0</v>
      </c>
      <c r="R1691">
        <v>1.0272981459115213E-2</v>
      </c>
      <c r="S1691">
        <v>0.27322338025510806</v>
      </c>
      <c r="T1691">
        <v>5.9114749753135722</v>
      </c>
      <c r="U1691">
        <v>0</v>
      </c>
      <c r="V1691">
        <v>1.9167746690385304E-2</v>
      </c>
      <c r="W1691">
        <v>0.10389935124288592</v>
      </c>
      <c r="X1691">
        <v>-1.7662616284848845E-3</v>
      </c>
      <c r="Y1691">
        <v>4.2302309126101167E-2</v>
      </c>
    </row>
    <row r="1692" spans="1:25" x14ac:dyDescent="0.25">
      <c r="A1692" s="879"/>
      <c r="B1692" s="1133">
        <v>1442</v>
      </c>
      <c r="C1692" s="883">
        <v>1.0418766633972012</v>
      </c>
      <c r="D1692" s="883">
        <v>0.96362669570712012</v>
      </c>
      <c r="E1692" s="883">
        <v>0.97868925138931639</v>
      </c>
      <c r="F1692" s="883">
        <v>0.99496422044564559</v>
      </c>
      <c r="G1692" s="883">
        <v>1.0121769135002265</v>
      </c>
      <c r="H1692" s="883">
        <v>1.0054676200686141</v>
      </c>
      <c r="I1692" s="883">
        <v>1.0015256178432601</v>
      </c>
      <c r="K1692">
        <v>6.722951910862677</v>
      </c>
      <c r="L1692">
        <v>0</v>
      </c>
      <c r="M1692">
        <v>1.0411038173697783E-2</v>
      </c>
      <c r="N1692">
        <v>0.18806457076219379</v>
      </c>
      <c r="O1692">
        <v>0.1192151436711254</v>
      </c>
      <c r="P1692">
        <v>8.1705941462488704E-2</v>
      </c>
      <c r="Q1692">
        <v>0</v>
      </c>
      <c r="R1692">
        <v>1.0411038173697783E-2</v>
      </c>
      <c r="S1692">
        <v>0.26037378456603089</v>
      </c>
      <c r="T1692">
        <v>5.9130456629029791</v>
      </c>
      <c r="U1692">
        <v>0</v>
      </c>
      <c r="V1692">
        <v>1.8935973760399669E-2</v>
      </c>
      <c r="W1692">
        <v>0.10004193462921811</v>
      </c>
      <c r="X1692">
        <v>-1.3019029953349967E-3</v>
      </c>
      <c r="Y1692">
        <v>4.2870802103573025E-2</v>
      </c>
    </row>
    <row r="1693" spans="1:25" x14ac:dyDescent="0.25">
      <c r="A1693" s="879"/>
      <c r="B1693" s="1133">
        <v>1443</v>
      </c>
      <c r="C1693" s="883">
        <v>0.9905106335449928</v>
      </c>
      <c r="D1693" s="883">
        <v>1.032905473973962</v>
      </c>
      <c r="E1693" s="883">
        <v>1.0110955276845857</v>
      </c>
      <c r="F1693" s="883">
        <v>0.97888269505047343</v>
      </c>
      <c r="G1693" s="883">
        <v>0.98743876236189732</v>
      </c>
      <c r="H1693" s="883">
        <v>0.99955048921608003</v>
      </c>
      <c r="I1693" s="883">
        <v>1.018075618255571</v>
      </c>
      <c r="K1693">
        <v>6.7496213497326032</v>
      </c>
      <c r="L1693">
        <v>0</v>
      </c>
      <c r="M1693">
        <v>1.0272700260381927E-2</v>
      </c>
      <c r="N1693">
        <v>0.19469537696146175</v>
      </c>
      <c r="O1693">
        <v>0.1213592457538747</v>
      </c>
      <c r="P1693">
        <v>8.3934937195935741E-2</v>
      </c>
      <c r="Q1693">
        <v>0</v>
      </c>
      <c r="R1693">
        <v>1.0272700260381927E-2</v>
      </c>
      <c r="S1693">
        <v>0.27715924243395146</v>
      </c>
      <c r="T1693">
        <v>5.9103649074573061</v>
      </c>
      <c r="U1693">
        <v>0</v>
      </c>
      <c r="V1693">
        <v>1.9207321737369349E-2</v>
      </c>
      <c r="W1693">
        <v>0.10191228018092398</v>
      </c>
      <c r="X1693">
        <v>-1.313113187986959E-3</v>
      </c>
      <c r="Y1693">
        <v>4.2301151199769002E-2</v>
      </c>
    </row>
    <row r="1694" spans="1:25" x14ac:dyDescent="0.25">
      <c r="A1694" s="879"/>
      <c r="B1694" s="1133">
        <v>1444</v>
      </c>
      <c r="C1694" s="883">
        <v>1.0321676635743924</v>
      </c>
      <c r="D1694" s="883">
        <v>1.0039855015953161</v>
      </c>
      <c r="E1694" s="883">
        <v>0.96332634399971406</v>
      </c>
      <c r="F1694" s="883">
        <v>0.98388870253932081</v>
      </c>
      <c r="G1694" s="883">
        <v>1.0012646799053979</v>
      </c>
      <c r="H1694" s="883">
        <v>1.0061631769213424</v>
      </c>
      <c r="I1694" s="883">
        <v>1.0005830074090147</v>
      </c>
      <c r="K1694">
        <v>6.7198169968375323</v>
      </c>
      <c r="L1694">
        <v>0</v>
      </c>
      <c r="M1694">
        <v>1.047209332301516E-2</v>
      </c>
      <c r="N1694">
        <v>0.18490161088787091</v>
      </c>
      <c r="O1694">
        <v>0.11865225091457485</v>
      </c>
      <c r="P1694">
        <v>8.0765812935812822E-2</v>
      </c>
      <c r="Q1694">
        <v>0</v>
      </c>
      <c r="R1694">
        <v>1.047209332301516E-2</v>
      </c>
      <c r="S1694">
        <v>0.26218887854866973</v>
      </c>
      <c r="T1694">
        <v>5.9132851256439745</v>
      </c>
      <c r="U1694">
        <v>0</v>
      </c>
      <c r="V1694">
        <v>1.8985192895126478E-2</v>
      </c>
      <c r="W1694">
        <v>9.9121724563479077E-2</v>
      </c>
      <c r="X1694">
        <v>-1.205815893032402E-3</v>
      </c>
      <c r="Y1694">
        <v>4.312221634105054E-2</v>
      </c>
    </row>
    <row r="1695" spans="1:25" x14ac:dyDescent="0.25">
      <c r="A1695" s="879"/>
      <c r="B1695" s="1133">
        <v>1445</v>
      </c>
      <c r="C1695" s="883">
        <v>0.98535775512727186</v>
      </c>
      <c r="D1695" s="883">
        <v>1.0342822751177732</v>
      </c>
      <c r="E1695" s="883">
        <v>0.98889847903418693</v>
      </c>
      <c r="F1695" s="883">
        <v>1.0309993079392252</v>
      </c>
      <c r="G1695" s="883">
        <v>0.99204394292477749</v>
      </c>
      <c r="H1695" s="883">
        <v>0.98253079778790053</v>
      </c>
      <c r="I1695" s="883">
        <v>1.0077843539677398</v>
      </c>
      <c r="K1695">
        <v>6.7443740898261968</v>
      </c>
      <c r="L1695">
        <v>0</v>
      </c>
      <c r="M1695">
        <v>1.0343439721366204E-2</v>
      </c>
      <c r="N1695">
        <v>0.18969436950673652</v>
      </c>
      <c r="O1695">
        <v>0.12234538360901458</v>
      </c>
      <c r="P1695">
        <v>8.2552867512726086E-2</v>
      </c>
      <c r="Q1695">
        <v>0</v>
      </c>
      <c r="R1695">
        <v>1.0343439721366204E-2</v>
      </c>
      <c r="S1695">
        <v>0.27412363873837331</v>
      </c>
      <c r="T1695">
        <v>5.9144289647519148</v>
      </c>
      <c r="U1695">
        <v>0</v>
      </c>
      <c r="V1695">
        <v>1.9236103862381223E-2</v>
      </c>
      <c r="W1695">
        <v>0.10039519335712073</v>
      </c>
      <c r="X1695">
        <v>-9.9487522102209526E-4</v>
      </c>
      <c r="Y1695">
        <v>4.2592443708947575E-2</v>
      </c>
    </row>
    <row r="1696" spans="1:25" x14ac:dyDescent="0.25">
      <c r="A1696" s="879"/>
      <c r="B1696" s="1133">
        <v>1446</v>
      </c>
      <c r="C1696" s="883">
        <v>0.98453444027944625</v>
      </c>
      <c r="D1696" s="883">
        <v>1.0151605527899044</v>
      </c>
      <c r="E1696" s="883">
        <v>1.0027487792099261</v>
      </c>
      <c r="F1696" s="883">
        <v>0.99828007721365197</v>
      </c>
      <c r="G1696" s="883">
        <v>1.0037839615788373</v>
      </c>
      <c r="H1696" s="883">
        <v>0.99087187269145593</v>
      </c>
      <c r="I1696" s="883">
        <v>0.98465716458600017</v>
      </c>
      <c r="K1696">
        <v>6.7448292629513631</v>
      </c>
      <c r="L1696">
        <v>0</v>
      </c>
      <c r="M1696">
        <v>1.0397171140874396E-2</v>
      </c>
      <c r="N1696">
        <v>0.19463398567758597</v>
      </c>
      <c r="O1696">
        <v>0.12310360062846168</v>
      </c>
      <c r="P1696">
        <v>8.3322050786785132E-2</v>
      </c>
      <c r="Q1696">
        <v>0</v>
      </c>
      <c r="R1696">
        <v>1.0397171140874396E-2</v>
      </c>
      <c r="S1696">
        <v>0.2690235115210427</v>
      </c>
      <c r="T1696">
        <v>5.9118852802705684</v>
      </c>
      <c r="U1696">
        <v>0</v>
      </c>
      <c r="V1696">
        <v>1.9240730517598999E-2</v>
      </c>
      <c r="W1696">
        <v>0.10230214586767845</v>
      </c>
      <c r="X1696">
        <v>-1.495742449007227E-3</v>
      </c>
      <c r="Y1696">
        <v>4.281370013064615E-2</v>
      </c>
    </row>
    <row r="1697" spans="1:25" x14ac:dyDescent="0.25">
      <c r="A1697" s="879"/>
      <c r="B1697" s="1133">
        <v>1447</v>
      </c>
      <c r="C1697" s="883">
        <v>1.0351857246254488</v>
      </c>
      <c r="D1697" s="883">
        <v>0.99519389355071131</v>
      </c>
      <c r="E1697" s="883">
        <v>1.0101233416806406</v>
      </c>
      <c r="F1697" s="883">
        <v>0.98824694724059392</v>
      </c>
      <c r="G1697" s="883">
        <v>0.98329598644813643</v>
      </c>
      <c r="H1697" s="883">
        <v>1.0183759939228865</v>
      </c>
      <c r="I1697" s="883">
        <v>0.98878951033684814</v>
      </c>
      <c r="K1697">
        <v>6.7253477038036582</v>
      </c>
      <c r="L1697">
        <v>0</v>
      </c>
      <c r="M1697">
        <v>1.0183876276482665E-2</v>
      </c>
      <c r="N1697">
        <v>0.1927343506169755</v>
      </c>
      <c r="O1697">
        <v>0.11788001771513917</v>
      </c>
      <c r="P1697">
        <v>8.3641290555708792E-2</v>
      </c>
      <c r="Q1697">
        <v>0</v>
      </c>
      <c r="R1697">
        <v>1.0183876276482665E-2</v>
      </c>
      <c r="S1697">
        <v>0.25960828547035925</v>
      </c>
      <c r="T1697">
        <v>5.9109260852947925</v>
      </c>
      <c r="U1697">
        <v>0</v>
      </c>
      <c r="V1697">
        <v>1.8969794142644943E-2</v>
      </c>
      <c r="W1697">
        <v>0.10093430188561886</v>
      </c>
      <c r="X1697">
        <v>-1.2818117217319213E-3</v>
      </c>
      <c r="Y1697">
        <v>4.1935389844151599E-2</v>
      </c>
    </row>
    <row r="1698" spans="1:25" x14ac:dyDescent="0.25">
      <c r="A1698" s="879"/>
      <c r="B1698" s="1133">
        <v>1448</v>
      </c>
      <c r="C1698" s="883">
        <v>0.99258704067463199</v>
      </c>
      <c r="D1698" s="883">
        <v>1.0243014443996417</v>
      </c>
      <c r="E1698" s="883">
        <v>0.98734036514724632</v>
      </c>
      <c r="F1698" s="883">
        <v>0.97254199919349982</v>
      </c>
      <c r="G1698" s="883">
        <v>1.0163015504169366</v>
      </c>
      <c r="H1698" s="883">
        <v>0.98249696758847027</v>
      </c>
      <c r="I1698" s="883">
        <v>0.9911350146283513</v>
      </c>
      <c r="K1698">
        <v>6.7330637302886762</v>
      </c>
      <c r="L1698">
        <v>0</v>
      </c>
      <c r="M1698">
        <v>1.032446469770322E-2</v>
      </c>
      <c r="N1698">
        <v>0.18890942402478864</v>
      </c>
      <c r="O1698">
        <v>0.12195528143209255</v>
      </c>
      <c r="P1698">
        <v>8.2328323294027075E-2</v>
      </c>
      <c r="Q1698">
        <v>0</v>
      </c>
      <c r="R1698">
        <v>1.032446469770322E-2</v>
      </c>
      <c r="S1698">
        <v>0.26770830606174972</v>
      </c>
      <c r="T1698">
        <v>5.9113557152505356</v>
      </c>
      <c r="U1698">
        <v>0</v>
      </c>
      <c r="V1698">
        <v>1.919580814606095E-2</v>
      </c>
      <c r="W1698">
        <v>0.10005753554229993</v>
      </c>
      <c r="X1698">
        <v>-9.6097140180729298E-4</v>
      </c>
      <c r="Y1698">
        <v>4.2514307938931704E-2</v>
      </c>
    </row>
    <row r="1699" spans="1:25" x14ac:dyDescent="0.25">
      <c r="A1699" s="879"/>
      <c r="B1699" s="1133">
        <v>1449</v>
      </c>
      <c r="C1699" s="883">
        <v>1.0046258417005713</v>
      </c>
      <c r="D1699" s="883">
        <v>1.0104047310381041</v>
      </c>
      <c r="E1699" s="883">
        <v>0.97981422974408727</v>
      </c>
      <c r="F1699" s="883">
        <v>1.0117716098250547</v>
      </c>
      <c r="G1699" s="883">
        <v>0.99771825181478702</v>
      </c>
      <c r="H1699" s="883">
        <v>1.0086086960252045</v>
      </c>
      <c r="I1699" s="883">
        <v>0.99542969413655102</v>
      </c>
      <c r="K1699">
        <v>6.7400488502909113</v>
      </c>
      <c r="L1699">
        <v>0</v>
      </c>
      <c r="M1699">
        <v>1.0602609396735968E-2</v>
      </c>
      <c r="N1699">
        <v>0.19184506622771383</v>
      </c>
      <c r="O1699">
        <v>0.1212927104557706</v>
      </c>
      <c r="P1699">
        <v>8.1893433338289273E-2</v>
      </c>
      <c r="Q1699">
        <v>0</v>
      </c>
      <c r="R1699">
        <v>1.0602609396735968E-2</v>
      </c>
      <c r="S1699">
        <v>0.26818124606745475</v>
      </c>
      <c r="T1699">
        <v>5.9138923565274446</v>
      </c>
      <c r="U1699">
        <v>0</v>
      </c>
      <c r="V1699">
        <v>1.9129991411447392E-2</v>
      </c>
      <c r="W1699">
        <v>0.10199550242515942</v>
      </c>
      <c r="X1699">
        <v>-1.8411144640074464E-3</v>
      </c>
      <c r="Y1699">
        <v>4.3659658301637712E-2</v>
      </c>
    </row>
    <row r="1700" spans="1:25" x14ac:dyDescent="0.25">
      <c r="A1700" s="879"/>
      <c r="B1700" s="1133">
        <v>1450</v>
      </c>
      <c r="C1700" s="883">
        <v>0.98524723069947917</v>
      </c>
      <c r="D1700" s="883">
        <v>0.99953350843866917</v>
      </c>
      <c r="E1700" s="883">
        <v>0.98226417680940847</v>
      </c>
      <c r="F1700" s="883">
        <v>0.99471917968999779</v>
      </c>
      <c r="G1700" s="883">
        <v>0.99285856156762808</v>
      </c>
      <c r="H1700" s="883">
        <v>0.98748097412639457</v>
      </c>
      <c r="I1700" s="883">
        <v>1.0224820717270118</v>
      </c>
      <c r="K1700">
        <v>6.7543911078981154</v>
      </c>
      <c r="L1700">
        <v>0</v>
      </c>
      <c r="M1700">
        <v>1.0611144555566944E-2</v>
      </c>
      <c r="N1700">
        <v>0.19269862448867317</v>
      </c>
      <c r="O1700">
        <v>0.12416853439097679</v>
      </c>
      <c r="P1700">
        <v>8.217741384988396E-2</v>
      </c>
      <c r="Q1700">
        <v>0</v>
      </c>
      <c r="R1700">
        <v>1.0611144555566944E-2</v>
      </c>
      <c r="S1700">
        <v>0.27893971664320893</v>
      </c>
      <c r="T1700">
        <v>5.9128354221030834</v>
      </c>
      <c r="U1700">
        <v>0</v>
      </c>
      <c r="V1700">
        <v>1.9236724510086945E-2</v>
      </c>
      <c r="W1700">
        <v>0.10232375595057962</v>
      </c>
      <c r="X1700">
        <v>-1.6838886048842884E-3</v>
      </c>
      <c r="Y1700">
        <v>4.3694804566502043E-2</v>
      </c>
    </row>
    <row r="1701" spans="1:25" x14ac:dyDescent="0.25">
      <c r="A1701" s="879"/>
      <c r="B1701" s="1133">
        <v>1451</v>
      </c>
      <c r="C1701" s="883">
        <v>1.0009171373518726</v>
      </c>
      <c r="D1701" s="883">
        <v>1.0048048372950444</v>
      </c>
      <c r="E1701" s="883">
        <v>1.033248927538106</v>
      </c>
      <c r="F1701" s="883">
        <v>0.9716227131641666</v>
      </c>
      <c r="G1701" s="883">
        <v>1.0156046670875558</v>
      </c>
      <c r="H1701" s="883">
        <v>0.98943262706124679</v>
      </c>
      <c r="I1701" s="883">
        <v>1.0149950484581072</v>
      </c>
      <c r="K1701">
        <v>6.7440894585506221</v>
      </c>
      <c r="L1701">
        <v>0</v>
      </c>
      <c r="M1701">
        <v>9.9868717277000803E-3</v>
      </c>
      <c r="N1701">
        <v>0.19558277649220404</v>
      </c>
      <c r="O1701">
        <v>0.12101152967369423</v>
      </c>
      <c r="P1701">
        <v>8.5240646416590168E-2</v>
      </c>
      <c r="Q1701">
        <v>0</v>
      </c>
      <c r="R1701">
        <v>9.9868717277000803E-3</v>
      </c>
      <c r="S1701">
        <v>0.27278666212413422</v>
      </c>
      <c r="T1701">
        <v>5.9087010851665918</v>
      </c>
      <c r="U1701">
        <v>0</v>
      </c>
      <c r="V1701">
        <v>1.9150098342289552E-2</v>
      </c>
      <c r="W1701">
        <v>0.10126663573352943</v>
      </c>
      <c r="X1701">
        <v>-7.7413557618125149E-4</v>
      </c>
      <c r="Y1701">
        <v>4.1124160177767405E-2</v>
      </c>
    </row>
    <row r="1702" spans="1:25" x14ac:dyDescent="0.25">
      <c r="A1702" s="879"/>
      <c r="B1702" s="1133">
        <v>1452</v>
      </c>
      <c r="C1702" s="883">
        <v>1.0112620369780736</v>
      </c>
      <c r="D1702" s="883">
        <v>0.99554457276585206</v>
      </c>
      <c r="E1702" s="883">
        <v>1.0298043192139608</v>
      </c>
      <c r="F1702" s="883">
        <v>0.98966772451247442</v>
      </c>
      <c r="G1702" s="883">
        <v>1.0292949561485145</v>
      </c>
      <c r="H1702" s="883">
        <v>1.0013626140399996</v>
      </c>
      <c r="I1702" s="883">
        <v>1.0097231565833833</v>
      </c>
      <c r="K1702">
        <v>6.742530751234697</v>
      </c>
      <c r="L1702">
        <v>0</v>
      </c>
      <c r="M1702">
        <v>1.0074014377241185E-2</v>
      </c>
      <c r="N1702">
        <v>0.19628748333888801</v>
      </c>
      <c r="O1702">
        <v>0.12028291714442894</v>
      </c>
      <c r="P1702">
        <v>8.4999492825266018E-2</v>
      </c>
      <c r="Q1702">
        <v>0</v>
      </c>
      <c r="R1702">
        <v>1.0074014377241185E-2</v>
      </c>
      <c r="S1702">
        <v>0.26980167198616517</v>
      </c>
      <c r="T1702">
        <v>5.9098752998767221</v>
      </c>
      <c r="U1702">
        <v>0</v>
      </c>
      <c r="V1702">
        <v>1.9094380987100989E-2</v>
      </c>
      <c r="W1702">
        <v>0.10180329370778614</v>
      </c>
      <c r="X1702">
        <v>-1.0967867294280815E-3</v>
      </c>
      <c r="Y1702">
        <v>4.1482998097764283E-2</v>
      </c>
    </row>
    <row r="1703" spans="1:25" x14ac:dyDescent="0.25">
      <c r="A1703" s="879"/>
      <c r="B1703" s="1133">
        <v>1453</v>
      </c>
      <c r="C1703" s="883">
        <v>0.97809115038334704</v>
      </c>
      <c r="D1703" s="883">
        <v>1.0139231172962411</v>
      </c>
      <c r="E1703" s="883">
        <v>1.0282019658781461</v>
      </c>
      <c r="F1703" s="883">
        <v>0.98579199518480709</v>
      </c>
      <c r="G1703" s="883">
        <v>0.98071779302289386</v>
      </c>
      <c r="H1703" s="883">
        <v>1.0087677811827751</v>
      </c>
      <c r="I1703" s="883">
        <v>1.0158425919285909</v>
      </c>
      <c r="K1703">
        <v>6.7673811470832836</v>
      </c>
      <c r="L1703">
        <v>0</v>
      </c>
      <c r="M1703">
        <v>1.0425442669676481E-2</v>
      </c>
      <c r="N1703">
        <v>0.20265429016444059</v>
      </c>
      <c r="O1703">
        <v>0.1234864921916172</v>
      </c>
      <c r="P1703">
        <v>8.5055696599074346E-2</v>
      </c>
      <c r="Q1703">
        <v>0</v>
      </c>
      <c r="R1703">
        <v>1.0425442669676481E-2</v>
      </c>
      <c r="S1703">
        <v>0.28117138319752316</v>
      </c>
      <c r="T1703">
        <v>5.9097585327200379</v>
      </c>
      <c r="U1703">
        <v>0</v>
      </c>
      <c r="V1703">
        <v>1.9277207883545925E-2</v>
      </c>
      <c r="W1703">
        <v>0.10518808754146637</v>
      </c>
      <c r="X1703">
        <v>-2.1406604685363585E-3</v>
      </c>
      <c r="Y1703">
        <v>4.2930117254108606E-2</v>
      </c>
    </row>
    <row r="1704" spans="1:25" x14ac:dyDescent="0.25">
      <c r="A1704" s="879"/>
      <c r="B1704" s="1133">
        <v>1454</v>
      </c>
      <c r="C1704" s="883">
        <v>1.0105478147034201</v>
      </c>
      <c r="D1704" s="883">
        <v>1.0335862100270634</v>
      </c>
      <c r="E1704" s="883">
        <v>1.0118437977672692</v>
      </c>
      <c r="F1704" s="883">
        <v>0.97397084071155104</v>
      </c>
      <c r="G1704" s="883">
        <v>1.0280056010374377</v>
      </c>
      <c r="H1704" s="883">
        <v>0.97280490823731747</v>
      </c>
      <c r="I1704" s="883">
        <v>1.0429086894514634</v>
      </c>
      <c r="K1704">
        <v>6.7313361530275309</v>
      </c>
      <c r="L1704">
        <v>0</v>
      </c>
      <c r="M1704">
        <v>9.7904188023705922E-3</v>
      </c>
      <c r="N1704">
        <v>0.1857604782943833</v>
      </c>
      <c r="O1704">
        <v>0.11890781738633892</v>
      </c>
      <c r="P1704">
        <v>8.3956838983118801E-2</v>
      </c>
      <c r="Q1704">
        <v>0</v>
      </c>
      <c r="R1704">
        <v>9.7904188023705922E-3</v>
      </c>
      <c r="S1704">
        <v>0.27571972062697642</v>
      </c>
      <c r="T1704">
        <v>5.9100569937131668</v>
      </c>
      <c r="U1704">
        <v>0</v>
      </c>
      <c r="V1704">
        <v>1.9098191108910197E-2</v>
      </c>
      <c r="W1704">
        <v>9.7199395375952471E-2</v>
      </c>
      <c r="X1704">
        <v>3.2151554009721259E-4</v>
      </c>
      <c r="Y1704">
        <v>4.031520199857775E-2</v>
      </c>
    </row>
    <row r="1705" spans="1:25" x14ac:dyDescent="0.25">
      <c r="A1705" s="879"/>
      <c r="B1705" s="1133">
        <v>1455</v>
      </c>
      <c r="C1705" s="883">
        <v>0.99574737130206437</v>
      </c>
      <c r="D1705" s="883">
        <v>1.0140589846356374</v>
      </c>
      <c r="E1705" s="883">
        <v>1.0020126155029203</v>
      </c>
      <c r="F1705" s="883">
        <v>1.0318544100163942</v>
      </c>
      <c r="G1705" s="883">
        <v>0.9921279938285924</v>
      </c>
      <c r="H1705" s="883">
        <v>1.0170583514583758</v>
      </c>
      <c r="I1705" s="883">
        <v>1.0046497488228725</v>
      </c>
      <c r="K1705">
        <v>6.7546749988324883</v>
      </c>
      <c r="L1705">
        <v>0</v>
      </c>
      <c r="M1705">
        <v>1.0563467882347258E-2</v>
      </c>
      <c r="N1705">
        <v>0.19753153382287106</v>
      </c>
      <c r="O1705">
        <v>0.12178401726079323</v>
      </c>
      <c r="P1705">
        <v>8.3365004226414047E-2</v>
      </c>
      <c r="Q1705">
        <v>0</v>
      </c>
      <c r="R1705">
        <v>1.0563467882347258E-2</v>
      </c>
      <c r="S1705">
        <v>0.27387947232733439</v>
      </c>
      <c r="T1705">
        <v>5.9137411377019093</v>
      </c>
      <c r="U1705">
        <v>0</v>
      </c>
      <c r="V1705">
        <v>1.9178376403970625E-2</v>
      </c>
      <c r="W1705">
        <v>0.10386306361671808</v>
      </c>
      <c r="X1705">
        <v>-2.1660870398405481E-3</v>
      </c>
      <c r="Y1705">
        <v>4.3498480512314849E-2</v>
      </c>
    </row>
    <row r="1706" spans="1:25" x14ac:dyDescent="0.25">
      <c r="A1706" s="879"/>
      <c r="B1706" s="1133">
        <v>1456</v>
      </c>
      <c r="C1706" s="883">
        <v>0.96484806140025081</v>
      </c>
      <c r="D1706" s="883">
        <v>0.98764929351634811</v>
      </c>
      <c r="E1706" s="883">
        <v>0.97379368803365463</v>
      </c>
      <c r="F1706" s="883">
        <v>0.99544224589271002</v>
      </c>
      <c r="G1706" s="883">
        <v>1.0036879562643772</v>
      </c>
      <c r="H1706" s="883">
        <v>1.0237272383942169</v>
      </c>
      <c r="I1706" s="883">
        <v>1.0119786503376262</v>
      </c>
      <c r="K1706">
        <v>6.7832333867643655</v>
      </c>
      <c r="L1706">
        <v>0</v>
      </c>
      <c r="M1706">
        <v>1.1374579541719892E-2</v>
      </c>
      <c r="N1706">
        <v>0.20398251655720712</v>
      </c>
      <c r="O1706">
        <v>0.12756539814686399</v>
      </c>
      <c r="P1706">
        <v>8.1738697435405072E-2</v>
      </c>
      <c r="Q1706">
        <v>0</v>
      </c>
      <c r="R1706">
        <v>1.1374579541719892E-2</v>
      </c>
      <c r="S1706">
        <v>0.28561961319413737</v>
      </c>
      <c r="T1706">
        <v>5.9133401082645127</v>
      </c>
      <c r="U1706">
        <v>0</v>
      </c>
      <c r="V1706">
        <v>1.9353710639415805E-2</v>
      </c>
      <c r="W1706">
        <v>0.1087762905475643</v>
      </c>
      <c r="X1706">
        <v>-3.9814419738660985E-3</v>
      </c>
      <c r="Y1706">
        <v>4.6838493953117954E-2</v>
      </c>
    </row>
    <row r="1707" spans="1:25" x14ac:dyDescent="0.25">
      <c r="A1707" s="879"/>
      <c r="B1707" s="1133">
        <v>1457</v>
      </c>
      <c r="C1707" s="883">
        <v>0.98070495682943637</v>
      </c>
      <c r="D1707" s="883">
        <v>0.98566161775592231</v>
      </c>
      <c r="E1707" s="883">
        <v>1.0024062566325564</v>
      </c>
      <c r="F1707" s="883">
        <v>0.97795006676518503</v>
      </c>
      <c r="G1707" s="883">
        <v>0.99371111809085955</v>
      </c>
      <c r="H1707" s="883">
        <v>0.97679865371427765</v>
      </c>
      <c r="I1707" s="883">
        <v>1.0347673984929484</v>
      </c>
      <c r="K1707">
        <v>6.7603897950657341</v>
      </c>
      <c r="L1707">
        <v>0</v>
      </c>
      <c r="M1707">
        <v>1.0423428921740932E-2</v>
      </c>
      <c r="N1707">
        <v>0.19502655800727861</v>
      </c>
      <c r="O1707">
        <v>0.12505727165269676</v>
      </c>
      <c r="P1707">
        <v>8.3470051372559029E-2</v>
      </c>
      <c r="Q1707">
        <v>0</v>
      </c>
      <c r="R1707">
        <v>1.0423428921740932E-2</v>
      </c>
      <c r="S1707">
        <v>0.28270902537092601</v>
      </c>
      <c r="T1707">
        <v>5.910805931769465</v>
      </c>
      <c r="U1707">
        <v>0</v>
      </c>
      <c r="V1707">
        <v>1.9262352571948031E-2</v>
      </c>
      <c r="W1707">
        <v>0.10252590764251794</v>
      </c>
      <c r="X1707">
        <v>-1.3891283202029381E-3</v>
      </c>
      <c r="Y1707">
        <v>4.2921824998543794E-2</v>
      </c>
    </row>
    <row r="1708" spans="1:25" x14ac:dyDescent="0.25">
      <c r="A1708" s="879"/>
      <c r="B1708" s="1133">
        <v>1458</v>
      </c>
      <c r="C1708" s="883">
        <v>1.034633268554624</v>
      </c>
      <c r="D1708" s="883">
        <v>1.0029108452078788</v>
      </c>
      <c r="E1708" s="883">
        <v>1.0006617585932067</v>
      </c>
      <c r="F1708" s="883">
        <v>1.0442413853058834</v>
      </c>
      <c r="G1708" s="883">
        <v>1.0379112466191056</v>
      </c>
      <c r="H1708" s="883">
        <v>0.99717339389818638</v>
      </c>
      <c r="I1708" s="883">
        <v>0.95814780830802748</v>
      </c>
      <c r="K1708">
        <v>6.7102802265354216</v>
      </c>
      <c r="L1708">
        <v>0</v>
      </c>
      <c r="M1708">
        <v>1.0026798133964707E-2</v>
      </c>
      <c r="N1708">
        <v>0.18712126170431398</v>
      </c>
      <c r="O1708">
        <v>0.11775072394843422</v>
      </c>
      <c r="P1708">
        <v>8.2963924589643759E-2</v>
      </c>
      <c r="Q1708">
        <v>0</v>
      </c>
      <c r="R1708">
        <v>1.0026798133964707E-2</v>
      </c>
      <c r="S1708">
        <v>0.24975667279237043</v>
      </c>
      <c r="T1708">
        <v>5.9144866104981491</v>
      </c>
      <c r="U1708">
        <v>0</v>
      </c>
      <c r="V1708">
        <v>1.8972606167000753E-2</v>
      </c>
      <c r="W1708">
        <v>9.845528431852904E-2</v>
      </c>
      <c r="X1708">
        <v>-5.1542749514840985E-4</v>
      </c>
      <c r="Y1708">
        <v>4.1288570012129745E-2</v>
      </c>
    </row>
    <row r="1709" spans="1:25" x14ac:dyDescent="0.25">
      <c r="A1709" s="879"/>
      <c r="B1709" s="1133">
        <v>1459</v>
      </c>
      <c r="C1709" s="883">
        <v>1.0328650578456735</v>
      </c>
      <c r="D1709" s="883">
        <v>0.99831824508551115</v>
      </c>
      <c r="E1709" s="883">
        <v>1.0209186964802011</v>
      </c>
      <c r="F1709" s="883">
        <v>1.0159700904146569</v>
      </c>
      <c r="G1709" s="883">
        <v>0.99886056486510477</v>
      </c>
      <c r="H1709" s="883">
        <v>0.9911212761588527</v>
      </c>
      <c r="I1709" s="883">
        <v>0.99700669460726854</v>
      </c>
      <c r="K1709">
        <v>6.7205008995067388</v>
      </c>
      <c r="L1709">
        <v>0</v>
      </c>
      <c r="M1709">
        <v>9.8269970533274992E-3</v>
      </c>
      <c r="N1709">
        <v>0.18897509975786084</v>
      </c>
      <c r="O1709">
        <v>0.11779939347865707</v>
      </c>
      <c r="P1709">
        <v>8.4332554576812283E-2</v>
      </c>
      <c r="Q1709">
        <v>0</v>
      </c>
      <c r="R1709">
        <v>9.8269970533274992E-3</v>
      </c>
      <c r="S1709">
        <v>0.25985702443774567</v>
      </c>
      <c r="T1709">
        <v>5.9118079822672245</v>
      </c>
      <c r="U1709">
        <v>0</v>
      </c>
      <c r="V1709">
        <v>1.8981626655001284E-2</v>
      </c>
      <c r="W1709">
        <v>9.8439762231119388E-2</v>
      </c>
      <c r="X1709">
        <v>-1.5836862301525618E-4</v>
      </c>
      <c r="Y1709">
        <v>4.0465824725332326E-2</v>
      </c>
    </row>
    <row r="1710" spans="1:25" x14ac:dyDescent="0.25">
      <c r="A1710" s="879"/>
      <c r="B1710" s="1133">
        <v>1460</v>
      </c>
      <c r="C1710" s="883">
        <v>0.96376812533079792</v>
      </c>
      <c r="D1710" s="883">
        <v>1.0245157599481252</v>
      </c>
      <c r="E1710" s="883">
        <v>0.99259635977978478</v>
      </c>
      <c r="F1710" s="883">
        <v>1.0172773573828611</v>
      </c>
      <c r="G1710" s="883">
        <v>0.99898375280700524</v>
      </c>
      <c r="H1710" s="883">
        <v>1.0125603010925863</v>
      </c>
      <c r="I1710" s="883">
        <v>0.99360313361732089</v>
      </c>
      <c r="K1710">
        <v>6.769851657582457</v>
      </c>
      <c r="L1710">
        <v>0</v>
      </c>
      <c r="M1710">
        <v>1.0907432245294302E-2</v>
      </c>
      <c r="N1710">
        <v>0.20113739534757774</v>
      </c>
      <c r="O1710">
        <v>0.12549079906577398</v>
      </c>
      <c r="P1710">
        <v>8.284374064084471E-2</v>
      </c>
      <c r="Q1710">
        <v>0</v>
      </c>
      <c r="R1710">
        <v>1.0907432245294302E-2</v>
      </c>
      <c r="S1710">
        <v>0.27929875658702819</v>
      </c>
      <c r="T1710">
        <v>5.9134812950243099</v>
      </c>
      <c r="U1710">
        <v>0</v>
      </c>
      <c r="V1710">
        <v>1.936004193515653E-2</v>
      </c>
      <c r="W1710">
        <v>0.10625532452224669</v>
      </c>
      <c r="X1710">
        <v>-2.9305600760406955E-3</v>
      </c>
      <c r="Y1710">
        <v>4.491486453555648E-2</v>
      </c>
    </row>
    <row r="1711" spans="1:25" x14ac:dyDescent="0.25">
      <c r="A1711" s="879"/>
      <c r="B1711" s="1133">
        <v>1461</v>
      </c>
      <c r="C1711" s="883">
        <v>1.0030060273404626</v>
      </c>
      <c r="D1711" s="883">
        <v>1.0169539279413609</v>
      </c>
      <c r="E1711" s="883">
        <v>1.0063387875433565</v>
      </c>
      <c r="F1711" s="883">
        <v>1.0104476451404354</v>
      </c>
      <c r="G1711" s="883">
        <v>1.0132259641222008</v>
      </c>
      <c r="H1711" s="883">
        <v>1.009717881220384</v>
      </c>
      <c r="I1711" s="883">
        <v>0.9867913767549632</v>
      </c>
      <c r="K1711">
        <v>6.7403368402293431</v>
      </c>
      <c r="L1711">
        <v>0</v>
      </c>
      <c r="M1711">
        <v>1.0359393152627305E-2</v>
      </c>
      <c r="N1711">
        <v>0.19496058995257751</v>
      </c>
      <c r="O1711">
        <v>0.1206844460584036</v>
      </c>
      <c r="P1711">
        <v>8.351644591669552E-2</v>
      </c>
      <c r="Q1711">
        <v>0</v>
      </c>
      <c r="R1711">
        <v>1.0359393152627305E-2</v>
      </c>
      <c r="S1711">
        <v>0.26636686921580954</v>
      </c>
      <c r="T1711">
        <v>5.9123401270356242</v>
      </c>
      <c r="U1711">
        <v>0</v>
      </c>
      <c r="V1711">
        <v>1.9138755028621123E-2</v>
      </c>
      <c r="W1711">
        <v>0.10229161175941291</v>
      </c>
      <c r="X1711">
        <v>-1.6201418370752007E-3</v>
      </c>
      <c r="Y1711">
        <v>4.2658137099275864E-2</v>
      </c>
    </row>
    <row r="1712" spans="1:25" x14ac:dyDescent="0.25">
      <c r="A1712" s="879"/>
      <c r="B1712" s="1133">
        <v>1462</v>
      </c>
      <c r="C1712" s="883">
        <v>0.97943532335419381</v>
      </c>
      <c r="D1712" s="883">
        <v>1.010748904112065</v>
      </c>
      <c r="E1712" s="883">
        <v>0.96050024078549723</v>
      </c>
      <c r="F1712" s="883">
        <v>0.97550419277469635</v>
      </c>
      <c r="G1712" s="883">
        <v>1.0056634817167975</v>
      </c>
      <c r="H1712" s="883">
        <v>0.99890237091977563</v>
      </c>
      <c r="I1712" s="883">
        <v>0.98951860586370333</v>
      </c>
      <c r="K1712">
        <v>6.7488709112600755</v>
      </c>
      <c r="L1712">
        <v>0</v>
      </c>
      <c r="M1712">
        <v>1.095170507379049E-2</v>
      </c>
      <c r="N1712">
        <v>0.19255973243250429</v>
      </c>
      <c r="O1712">
        <v>0.12475790505937639</v>
      </c>
      <c r="P1712">
        <v>8.0721213541196171E-2</v>
      </c>
      <c r="Q1712">
        <v>0</v>
      </c>
      <c r="R1712">
        <v>1.095170507379049E-2</v>
      </c>
      <c r="S1712">
        <v>0.27248835469067256</v>
      </c>
      <c r="T1712">
        <v>5.9129844589933978</v>
      </c>
      <c r="U1712">
        <v>0</v>
      </c>
      <c r="V1712">
        <v>1.9269558505820131E-2</v>
      </c>
      <c r="W1712">
        <v>0.10337433820364821</v>
      </c>
      <c r="X1712">
        <v>-2.3818223295742126E-3</v>
      </c>
      <c r="Y1712">
        <v>4.509717216303407E-2</v>
      </c>
    </row>
    <row r="1713" spans="1:25" x14ac:dyDescent="0.25">
      <c r="A1713" s="879"/>
      <c r="B1713" s="1133">
        <v>1463</v>
      </c>
      <c r="C1713" s="883">
        <v>0.98900601908371955</v>
      </c>
      <c r="D1713" s="883">
        <v>1.0173877745130615</v>
      </c>
      <c r="E1713" s="883">
        <v>1.0191809618787682</v>
      </c>
      <c r="F1713" s="883">
        <v>1.0214482159597498</v>
      </c>
      <c r="G1713" s="883">
        <v>1.0097452791994002</v>
      </c>
      <c r="H1713" s="883">
        <v>0.96164717011890988</v>
      </c>
      <c r="I1713" s="883">
        <v>1.0074414647996621</v>
      </c>
      <c r="K1713">
        <v>6.7385572440880113</v>
      </c>
      <c r="L1713">
        <v>0</v>
      </c>
      <c r="M1713">
        <v>9.8922817472084333E-3</v>
      </c>
      <c r="N1713">
        <v>0.18974215798516331</v>
      </c>
      <c r="O1713">
        <v>0.12212880375700547</v>
      </c>
      <c r="P1713">
        <v>8.4386905757096939E-2</v>
      </c>
      <c r="Q1713">
        <v>0</v>
      </c>
      <c r="R1713">
        <v>9.8922817472084333E-3</v>
      </c>
      <c r="S1713">
        <v>0.2712262619519204</v>
      </c>
      <c r="T1713">
        <v>5.9122035509372362</v>
      </c>
      <c r="U1713">
        <v>0</v>
      </c>
      <c r="V1713">
        <v>1.9215694970741191E-2</v>
      </c>
      <c r="W1713">
        <v>9.8923974154140545E-2</v>
      </c>
      <c r="X1713">
        <v>-4.7608997873197683E-6</v>
      </c>
      <c r="Y1713">
        <v>4.0734655474491704E-2</v>
      </c>
    </row>
    <row r="1714" spans="1:25" x14ac:dyDescent="0.25">
      <c r="A1714" s="879"/>
      <c r="B1714" s="1133">
        <v>1464</v>
      </c>
      <c r="C1714" s="883">
        <v>0.984565510285207</v>
      </c>
      <c r="D1714" s="883">
        <v>0.97883766393193494</v>
      </c>
      <c r="E1714" s="883">
        <v>1.01679421431887</v>
      </c>
      <c r="F1714" s="883">
        <v>1.0176216459899352</v>
      </c>
      <c r="G1714" s="883">
        <v>0.98234818259195622</v>
      </c>
      <c r="H1714" s="883">
        <v>0.99306985469872</v>
      </c>
      <c r="I1714" s="883">
        <v>0.97347635288579626</v>
      </c>
      <c r="K1714">
        <v>6.7519475240720697</v>
      </c>
      <c r="L1714">
        <v>0</v>
      </c>
      <c r="M1714">
        <v>1.0454614688863832E-2</v>
      </c>
      <c r="N1714">
        <v>0.19982130983854246</v>
      </c>
      <c r="O1714">
        <v>0.12463608890988383</v>
      </c>
      <c r="P1714">
        <v>8.4173059736835254E-2</v>
      </c>
      <c r="Q1714">
        <v>0</v>
      </c>
      <c r="R1714">
        <v>1.0454614688863832E-2</v>
      </c>
      <c r="S1714">
        <v>0.26654139070780386</v>
      </c>
      <c r="T1714">
        <v>5.9121333555756719</v>
      </c>
      <c r="U1714">
        <v>0</v>
      </c>
      <c r="V1714">
        <v>1.9240555777795234E-2</v>
      </c>
      <c r="W1714">
        <v>0.10430149636785944</v>
      </c>
      <c r="X1714">
        <v>-1.9499752790180117E-3</v>
      </c>
      <c r="Y1714">
        <v>4.3050242436696272E-2</v>
      </c>
    </row>
    <row r="1715" spans="1:25" x14ac:dyDescent="0.25">
      <c r="A1715" s="879"/>
      <c r="B1715" s="1133">
        <v>1465</v>
      </c>
      <c r="C1715" s="883">
        <v>0.96261312949229938</v>
      </c>
      <c r="D1715" s="883">
        <v>1.0144170840277962</v>
      </c>
      <c r="E1715" s="883">
        <v>0.97875668730173038</v>
      </c>
      <c r="F1715" s="883">
        <v>0.98716892990070582</v>
      </c>
      <c r="G1715" s="883">
        <v>1.0163314887665782</v>
      </c>
      <c r="H1715" s="883">
        <v>1.0145074159868133</v>
      </c>
      <c r="I1715" s="883">
        <v>0.9633363640435938</v>
      </c>
      <c r="K1715">
        <v>6.7618708933678739</v>
      </c>
      <c r="L1715">
        <v>0</v>
      </c>
      <c r="M1715">
        <v>1.1121446588048351E-2</v>
      </c>
      <c r="N1715">
        <v>0.20091746285874629</v>
      </c>
      <c r="O1715">
        <v>0.1264062111822031</v>
      </c>
      <c r="P1715">
        <v>8.1855266827646725E-2</v>
      </c>
      <c r="Q1715">
        <v>0</v>
      </c>
      <c r="R1715">
        <v>1.1121446588048351E-2</v>
      </c>
      <c r="S1715">
        <v>0.27137356947500585</v>
      </c>
      <c r="T1715">
        <v>5.912620533008373</v>
      </c>
      <c r="U1715">
        <v>0</v>
      </c>
      <c r="V1715">
        <v>1.9366829001911022E-2</v>
      </c>
      <c r="W1715">
        <v>0.10687548729588142</v>
      </c>
      <c r="X1715">
        <v>-3.3406037877763309E-3</v>
      </c>
      <c r="Y1715">
        <v>4.5796137505884703E-2</v>
      </c>
    </row>
    <row r="1716" spans="1:25" x14ac:dyDescent="0.25">
      <c r="A1716" s="879"/>
      <c r="B1716" s="1133">
        <v>1466</v>
      </c>
      <c r="C1716" s="883">
        <v>0.96881026536249992</v>
      </c>
      <c r="D1716" s="883">
        <v>1.00002048525955</v>
      </c>
      <c r="E1716" s="883">
        <v>0.98963196292147737</v>
      </c>
      <c r="F1716" s="883">
        <v>0.98981843722503671</v>
      </c>
      <c r="G1716" s="883">
        <v>0.99074741379608777</v>
      </c>
      <c r="H1716" s="883">
        <v>0.99564545949961913</v>
      </c>
      <c r="I1716" s="883">
        <v>1.0074154179490287</v>
      </c>
      <c r="K1716">
        <v>6.7660368973010749</v>
      </c>
      <c r="L1716">
        <v>0</v>
      </c>
      <c r="M1716">
        <v>1.0808443791174628E-2</v>
      </c>
      <c r="N1716">
        <v>0.19843803572144067</v>
      </c>
      <c r="O1716">
        <v>0.12610905575475337</v>
      </c>
      <c r="P1716">
        <v>8.2652346573920538E-2</v>
      </c>
      <c r="Q1716">
        <v>0</v>
      </c>
      <c r="R1716">
        <v>1.0808443791174628E-2</v>
      </c>
      <c r="S1716">
        <v>0.28030073851026532</v>
      </c>
      <c r="T1716">
        <v>5.9121622717642106</v>
      </c>
      <c r="U1716">
        <v>0</v>
      </c>
      <c r="V1716">
        <v>1.9330602487793207E-2</v>
      </c>
      <c r="W1716">
        <v>0.10498433516829535</v>
      </c>
      <c r="X1716">
        <v>-2.4477363803851581E-3</v>
      </c>
      <c r="Y1716">
        <v>4.4507247700779684E-2</v>
      </c>
    </row>
    <row r="1717" spans="1:25" x14ac:dyDescent="0.25">
      <c r="A1717" s="879"/>
      <c r="B1717" s="1133">
        <v>1467</v>
      </c>
      <c r="C1717" s="883">
        <v>1.0054059071181933</v>
      </c>
      <c r="D1717" s="883">
        <v>0.98622814092989675</v>
      </c>
      <c r="E1717" s="883">
        <v>0.9977970065820666</v>
      </c>
      <c r="F1717" s="883">
        <v>0.98811441620818985</v>
      </c>
      <c r="G1717" s="883">
        <v>1.0033693613472576</v>
      </c>
      <c r="H1717" s="883">
        <v>0.99485212271432266</v>
      </c>
      <c r="I1717" s="883">
        <v>1.0256882955592757</v>
      </c>
      <c r="K1717">
        <v>6.7472699984722508</v>
      </c>
      <c r="L1717">
        <v>0</v>
      </c>
      <c r="M1717">
        <v>1.0394480347277364E-2</v>
      </c>
      <c r="N1717">
        <v>0.19316140852431757</v>
      </c>
      <c r="O1717">
        <v>0.1220432055737176</v>
      </c>
      <c r="P1717">
        <v>8.3086767638837752E-2</v>
      </c>
      <c r="Q1717">
        <v>0</v>
      </c>
      <c r="R1717">
        <v>1.0394480347277364E-2</v>
      </c>
      <c r="S1717">
        <v>0.27507674552604766</v>
      </c>
      <c r="T1717">
        <v>5.9116142355321575</v>
      </c>
      <c r="U1717">
        <v>0</v>
      </c>
      <c r="V1717">
        <v>1.9125781128450946E-2</v>
      </c>
      <c r="W1717">
        <v>0.10177809941674444</v>
      </c>
      <c r="X1717">
        <v>-1.4188647895887888E-3</v>
      </c>
      <c r="Y1717">
        <v>4.2802619921556984E-2</v>
      </c>
    </row>
    <row r="1718" spans="1:25" x14ac:dyDescent="0.25">
      <c r="A1718" s="879"/>
      <c r="B1718" s="1133">
        <v>1468</v>
      </c>
      <c r="C1718" s="883">
        <v>0.98959185228720448</v>
      </c>
      <c r="D1718" s="883">
        <v>0.97982967961782519</v>
      </c>
      <c r="E1718" s="883">
        <v>0.9637036451404235</v>
      </c>
      <c r="F1718" s="883">
        <v>1.0142911574248115</v>
      </c>
      <c r="G1718" s="883">
        <v>0.96859809193083457</v>
      </c>
      <c r="H1718" s="883">
        <v>0.99007651631049898</v>
      </c>
      <c r="I1718" s="883">
        <v>0.9778617546377496</v>
      </c>
      <c r="K1718">
        <v>6.7431393678243872</v>
      </c>
      <c r="L1718">
        <v>0</v>
      </c>
      <c r="M1718">
        <v>1.0857180556489746E-2</v>
      </c>
      <c r="N1718">
        <v>0.1918084184425716</v>
      </c>
      <c r="O1718">
        <v>0.12496151499767798</v>
      </c>
      <c r="P1718">
        <v>8.0863353852105316E-2</v>
      </c>
      <c r="Q1718">
        <v>0</v>
      </c>
      <c r="R1718">
        <v>1.0857180556489746E-2</v>
      </c>
      <c r="S1718">
        <v>0.26600080111802765</v>
      </c>
      <c r="T1718">
        <v>5.9149086783632301</v>
      </c>
      <c r="U1718">
        <v>0</v>
      </c>
      <c r="V1718">
        <v>1.921243176108018E-2</v>
      </c>
      <c r="W1718">
        <v>0.10280475866417654</v>
      </c>
      <c r="X1718">
        <v>-2.1285264000105737E-3</v>
      </c>
      <c r="Y1718">
        <v>4.470793702552648E-2</v>
      </c>
    </row>
    <row r="1719" spans="1:25" x14ac:dyDescent="0.25">
      <c r="A1719" s="879"/>
      <c r="B1719" s="1133">
        <v>1469</v>
      </c>
      <c r="C1719" s="883">
        <v>0.98995556031878795</v>
      </c>
      <c r="D1719" s="883">
        <v>1.0415286081527939</v>
      </c>
      <c r="E1719" s="883">
        <v>0.99197146424422777</v>
      </c>
      <c r="F1719" s="883">
        <v>1.0038246715006935</v>
      </c>
      <c r="G1719" s="883">
        <v>1.0368145027046849</v>
      </c>
      <c r="H1719" s="883">
        <v>0.99475040396462167</v>
      </c>
      <c r="I1719" s="883">
        <v>1.0355113141082866</v>
      </c>
      <c r="K1719">
        <v>6.7510369637753245</v>
      </c>
      <c r="L1719">
        <v>0</v>
      </c>
      <c r="M1719">
        <v>1.0364531003088508E-2</v>
      </c>
      <c r="N1719">
        <v>0.19094912195583325</v>
      </c>
      <c r="O1719">
        <v>0.12138057862414507</v>
      </c>
      <c r="P1719">
        <v>8.2822295900563392E-2</v>
      </c>
      <c r="Q1719">
        <v>0</v>
      </c>
      <c r="R1719">
        <v>1.0364531003088508E-2</v>
      </c>
      <c r="S1719">
        <v>0.28148607368417505</v>
      </c>
      <c r="T1719">
        <v>5.9127890428313421</v>
      </c>
      <c r="U1719">
        <v>0</v>
      </c>
      <c r="V1719">
        <v>1.9210407776859999E-2</v>
      </c>
      <c r="W1719">
        <v>0.10090455054342408</v>
      </c>
      <c r="X1719">
        <v>-1.1844013939937891E-3</v>
      </c>
      <c r="Y1719">
        <v>4.2679293852971811E-2</v>
      </c>
    </row>
    <row r="1720" spans="1:25" x14ac:dyDescent="0.25">
      <c r="A1720" s="879"/>
      <c r="B1720" s="1133">
        <v>1470</v>
      </c>
      <c r="C1720" s="883">
        <v>0.98728019549409773</v>
      </c>
      <c r="D1720" s="883">
        <v>0.98621159416000581</v>
      </c>
      <c r="E1720" s="883">
        <v>0.96751739954230109</v>
      </c>
      <c r="F1720" s="883">
        <v>1.0027295075081168</v>
      </c>
      <c r="G1720" s="883">
        <v>1.0066262844974458</v>
      </c>
      <c r="H1720" s="883">
        <v>1.0333792630454068</v>
      </c>
      <c r="I1720" s="883">
        <v>0.98593366237296898</v>
      </c>
      <c r="K1720">
        <v>6.7628214880901787</v>
      </c>
      <c r="L1720">
        <v>0</v>
      </c>
      <c r="M1720">
        <v>1.128947893086946E-2</v>
      </c>
      <c r="N1720">
        <v>0.20057857187047884</v>
      </c>
      <c r="O1720">
        <v>0.12485769864505462</v>
      </c>
      <c r="P1720">
        <v>8.1183019398414713E-2</v>
      </c>
      <c r="Q1720">
        <v>0</v>
      </c>
      <c r="R1720">
        <v>1.128947893086946E-2</v>
      </c>
      <c r="S1720">
        <v>0.27286562843892198</v>
      </c>
      <c r="T1720">
        <v>5.9140765147830292</v>
      </c>
      <c r="U1720">
        <v>0</v>
      </c>
      <c r="V1720">
        <v>1.9225330666564597E-2</v>
      </c>
      <c r="W1720">
        <v>0.10729904889546311</v>
      </c>
      <c r="X1720">
        <v>-3.7523893927269751E-3</v>
      </c>
      <c r="Y1720">
        <v>4.6488064784979966E-2</v>
      </c>
    </row>
    <row r="1721" spans="1:25" x14ac:dyDescent="0.25">
      <c r="A1721" s="879"/>
      <c r="B1721" s="1133">
        <v>1471</v>
      </c>
      <c r="C1721" s="883">
        <v>0.96942456719679748</v>
      </c>
      <c r="D1721" s="883">
        <v>0.9972052080480166</v>
      </c>
      <c r="E1721" s="883">
        <v>0.986772025708885</v>
      </c>
      <c r="F1721" s="883">
        <v>0.9928824858595523</v>
      </c>
      <c r="G1721" s="883">
        <v>0.9898482622643846</v>
      </c>
      <c r="H1721" s="883">
        <v>1.035110464214323</v>
      </c>
      <c r="I1721" s="883">
        <v>0.98380780331235951</v>
      </c>
      <c r="K1721">
        <v>6.775401665372323</v>
      </c>
      <c r="L1721">
        <v>0</v>
      </c>
      <c r="M1721">
        <v>1.1271401428748487E-2</v>
      </c>
      <c r="N1721">
        <v>0.20606203170762522</v>
      </c>
      <c r="O1721">
        <v>0.12622637261563757</v>
      </c>
      <c r="P1721">
        <v>8.2437327027719984E-2</v>
      </c>
      <c r="Q1721">
        <v>0</v>
      </c>
      <c r="R1721">
        <v>1.1271401428748487E-2</v>
      </c>
      <c r="S1721">
        <v>0.277361632682399</v>
      </c>
      <c r="T1721">
        <v>5.9124867172719719</v>
      </c>
      <c r="U1721">
        <v>0</v>
      </c>
      <c r="V1721">
        <v>1.9327036703235923E-2</v>
      </c>
      <c r="W1721">
        <v>0.10917353882878698</v>
      </c>
      <c r="X1721">
        <v>-4.0866163139762126E-3</v>
      </c>
      <c r="Y1721">
        <v>4.6413624848921205E-2</v>
      </c>
    </row>
    <row r="1722" spans="1:25" x14ac:dyDescent="0.25">
      <c r="A1722" s="879"/>
      <c r="B1722" s="1133">
        <v>1472</v>
      </c>
      <c r="C1722" s="883">
        <v>0.98652986974917511</v>
      </c>
      <c r="D1722" s="883">
        <v>1.0345123806861474</v>
      </c>
      <c r="E1722" s="883">
        <v>0.99955434312582736</v>
      </c>
      <c r="F1722" s="883">
        <v>0.98694459245689115</v>
      </c>
      <c r="G1722" s="883">
        <v>1.0053793880730693</v>
      </c>
      <c r="H1722" s="883">
        <v>0.99853205003835188</v>
      </c>
      <c r="I1722" s="883">
        <v>0.97509885890345893</v>
      </c>
      <c r="K1722">
        <v>6.7392669423302607</v>
      </c>
      <c r="L1722">
        <v>0</v>
      </c>
      <c r="M1722">
        <v>1.0401191031310273E-2</v>
      </c>
      <c r="N1722">
        <v>0.19379003174895454</v>
      </c>
      <c r="O1722">
        <v>0.12199002552236625</v>
      </c>
      <c r="P1722">
        <v>8.308035337887372E-2</v>
      </c>
      <c r="Q1722">
        <v>0</v>
      </c>
      <c r="R1722">
        <v>1.0401191031310273E-2</v>
      </c>
      <c r="S1722">
        <v>0.26640335609865223</v>
      </c>
      <c r="T1722">
        <v>5.9114524006238769</v>
      </c>
      <c r="U1722">
        <v>0</v>
      </c>
      <c r="V1722">
        <v>1.9229530433834002E-2</v>
      </c>
      <c r="W1722">
        <v>0.10202019989064075</v>
      </c>
      <c r="X1722">
        <v>-1.529208690886141E-3</v>
      </c>
      <c r="Y1722">
        <v>4.2830253323947284E-2</v>
      </c>
    </row>
    <row r="1723" spans="1:25" x14ac:dyDescent="0.25">
      <c r="A1723" s="879"/>
      <c r="B1723" s="1133">
        <v>1473</v>
      </c>
      <c r="C1723" s="883">
        <v>1.0112124339682418</v>
      </c>
      <c r="D1723" s="883">
        <v>0.98350422995694986</v>
      </c>
      <c r="E1723" s="883">
        <v>1.0031125573724693</v>
      </c>
      <c r="F1723" s="883">
        <v>1.0108347468746124</v>
      </c>
      <c r="G1723" s="883">
        <v>1.0019670340349318</v>
      </c>
      <c r="H1723" s="883">
        <v>1.0319654891644832</v>
      </c>
      <c r="I1723" s="883">
        <v>1.0293093007729408</v>
      </c>
      <c r="K1723">
        <v>6.7611633249438263</v>
      </c>
      <c r="L1723">
        <v>0</v>
      </c>
      <c r="M1723">
        <v>1.0683326256794837E-2</v>
      </c>
      <c r="N1723">
        <v>0.20009856712333446</v>
      </c>
      <c r="O1723">
        <v>0.12137754788524439</v>
      </c>
      <c r="P1723">
        <v>8.3473482739558139E-2</v>
      </c>
      <c r="Q1723">
        <v>0</v>
      </c>
      <c r="R1723">
        <v>1.0683326256794837E-2</v>
      </c>
      <c r="S1723">
        <v>0.2780874585607388</v>
      </c>
      <c r="T1723">
        <v>5.9125432322071889</v>
      </c>
      <c r="U1723">
        <v>0</v>
      </c>
      <c r="V1723">
        <v>1.9094645427598429E-2</v>
      </c>
      <c r="W1723">
        <v>0.10515542387832262</v>
      </c>
      <c r="X1723">
        <v>-2.6590688424558734E-3</v>
      </c>
      <c r="Y1723">
        <v>4.3992035964294636E-2</v>
      </c>
    </row>
    <row r="1724" spans="1:25" x14ac:dyDescent="0.25">
      <c r="A1724" s="879"/>
      <c r="B1724" s="1133">
        <v>1474</v>
      </c>
      <c r="C1724" s="883">
        <v>0.98835531512699115</v>
      </c>
      <c r="D1724" s="883">
        <v>0.98631577610395971</v>
      </c>
      <c r="E1724" s="883">
        <v>1.0219317739776039</v>
      </c>
      <c r="F1724" s="883">
        <v>1.0107305900172994</v>
      </c>
      <c r="G1724" s="883">
        <v>0.99214844299068217</v>
      </c>
      <c r="H1724" s="883">
        <v>1.0275060608521376</v>
      </c>
      <c r="I1724" s="883">
        <v>0.99205464539410537</v>
      </c>
      <c r="K1724">
        <v>6.7668884031248382</v>
      </c>
      <c r="L1724">
        <v>0</v>
      </c>
      <c r="M1724">
        <v>1.0692377436850951E-2</v>
      </c>
      <c r="N1724">
        <v>0.20592487863206213</v>
      </c>
      <c r="O1724">
        <v>0.12368192833736488</v>
      </c>
      <c r="P1724">
        <v>8.4584370311900095E-2</v>
      </c>
      <c r="Q1724">
        <v>0</v>
      </c>
      <c r="R1724">
        <v>1.0692377436850951E-2</v>
      </c>
      <c r="S1724">
        <v>0.27379564804775114</v>
      </c>
      <c r="T1724">
        <v>5.9114667784028043</v>
      </c>
      <c r="U1724">
        <v>0</v>
      </c>
      <c r="V1724">
        <v>1.9219324058343139E-2</v>
      </c>
      <c r="W1724">
        <v>0.10721565160252863</v>
      </c>
      <c r="X1724">
        <v>-3.0294833806347146E-3</v>
      </c>
      <c r="Y1724">
        <v>4.4029307112715715E-2</v>
      </c>
    </row>
    <row r="1725" spans="1:25" x14ac:dyDescent="0.25">
      <c r="A1725" s="879"/>
      <c r="B1725" s="1133">
        <v>1475</v>
      </c>
      <c r="C1725" s="883">
        <v>1.0165520822286278</v>
      </c>
      <c r="D1725" s="883">
        <v>0.99805475105080443</v>
      </c>
      <c r="E1725" s="883">
        <v>1.0048598977652188</v>
      </c>
      <c r="F1725" s="883">
        <v>0.99574399994478746</v>
      </c>
      <c r="G1725" s="883">
        <v>1.0371513850027272</v>
      </c>
      <c r="H1725" s="883">
        <v>0.95929937367956764</v>
      </c>
      <c r="I1725" s="883">
        <v>0.96934810980968877</v>
      </c>
      <c r="K1725">
        <v>6.7092374746138717</v>
      </c>
      <c r="L1725">
        <v>0</v>
      </c>
      <c r="M1725">
        <v>9.8019441528587291E-3</v>
      </c>
      <c r="N1725">
        <v>0.18406601780833659</v>
      </c>
      <c r="O1725">
        <v>0.12000048369831746</v>
      </c>
      <c r="P1725">
        <v>8.3244336106464631E-2</v>
      </c>
      <c r="Q1725">
        <v>0</v>
      </c>
      <c r="R1725">
        <v>9.8019441528587291E-3</v>
      </c>
      <c r="S1725">
        <v>0.25381574321090289</v>
      </c>
      <c r="T1725">
        <v>5.9116291485468908</v>
      </c>
      <c r="U1725">
        <v>0</v>
      </c>
      <c r="V1725">
        <v>1.9066327161704973E-2</v>
      </c>
      <c r="W1725">
        <v>9.6646260318839661E-2</v>
      </c>
      <c r="X1725">
        <v>4.0649642196094904E-4</v>
      </c>
      <c r="Y1725">
        <v>4.0362661340451987E-2</v>
      </c>
    </row>
    <row r="1726" spans="1:25" x14ac:dyDescent="0.25">
      <c r="A1726" s="879"/>
      <c r="B1726" s="1133">
        <v>1476</v>
      </c>
      <c r="C1726" s="883">
        <v>1.0025852053845143</v>
      </c>
      <c r="D1726" s="883">
        <v>1.0010013392994241</v>
      </c>
      <c r="E1726" s="883">
        <v>0.98761159767829876</v>
      </c>
      <c r="F1726" s="883">
        <v>1.0068022044603648</v>
      </c>
      <c r="G1726" s="883">
        <v>0.96819640474340762</v>
      </c>
      <c r="H1726" s="883">
        <v>1.015483172579092</v>
      </c>
      <c r="I1726" s="883">
        <v>1.011353419822153</v>
      </c>
      <c r="K1726">
        <v>6.7507988446595091</v>
      </c>
      <c r="L1726">
        <v>0</v>
      </c>
      <c r="M1726">
        <v>1.0666742408243576E-2</v>
      </c>
      <c r="N1726">
        <v>0.19525068244554533</v>
      </c>
      <c r="O1726">
        <v>0.12185047480314247</v>
      </c>
      <c r="P1726">
        <v>8.2449707492812441E-2</v>
      </c>
      <c r="Q1726">
        <v>0</v>
      </c>
      <c r="R1726">
        <v>1.0666742408243576E-2</v>
      </c>
      <c r="S1726">
        <v>0.27378900972970271</v>
      </c>
      <c r="T1726">
        <v>5.9131925452223397</v>
      </c>
      <c r="U1726">
        <v>0</v>
      </c>
      <c r="V1726">
        <v>1.9141036418954815E-2</v>
      </c>
      <c r="W1726">
        <v>0.10340223772381291</v>
      </c>
      <c r="X1726">
        <v>-2.2005958045792518E-3</v>
      </c>
      <c r="Y1726">
        <v>4.3923746627775546E-2</v>
      </c>
    </row>
    <row r="1727" spans="1:25" x14ac:dyDescent="0.25">
      <c r="A1727" s="879"/>
      <c r="B1727" s="1133">
        <v>1477</v>
      </c>
      <c r="C1727" s="883">
        <v>0.9875843208041174</v>
      </c>
      <c r="D1727" s="883">
        <v>1.0218800641212253</v>
      </c>
      <c r="E1727" s="883">
        <v>1.0029644502822654</v>
      </c>
      <c r="F1727" s="883">
        <v>1.0413061763879736</v>
      </c>
      <c r="G1727" s="883">
        <v>1.012639692741734</v>
      </c>
      <c r="H1727" s="883">
        <v>1.0132573962538063</v>
      </c>
      <c r="I1727" s="883">
        <v>0.97164468285166006</v>
      </c>
      <c r="K1727">
        <v>6.7490030272226482</v>
      </c>
      <c r="L1727">
        <v>0</v>
      </c>
      <c r="M1727">
        <v>1.0567347565919885E-2</v>
      </c>
      <c r="N1727">
        <v>0.19788287365614557</v>
      </c>
      <c r="O1727">
        <v>0.12239593338475943</v>
      </c>
      <c r="P1727">
        <v>8.3334462600879372E-2</v>
      </c>
      <c r="Q1727">
        <v>0</v>
      </c>
      <c r="R1727">
        <v>1.0567347565919885E-2</v>
      </c>
      <c r="S1727">
        <v>0.26664643721250508</v>
      </c>
      <c r="T1727">
        <v>5.9141982627069849</v>
      </c>
      <c r="U1727">
        <v>0</v>
      </c>
      <c r="V1727">
        <v>1.9223630216065171E-2</v>
      </c>
      <c r="W1727">
        <v>0.10399867665113227</v>
      </c>
      <c r="X1727">
        <v>-2.191705564529967E-3</v>
      </c>
      <c r="Y1727">
        <v>4.3514456358709007E-2</v>
      </c>
    </row>
    <row r="1728" spans="1:25" x14ac:dyDescent="0.25">
      <c r="A1728" s="879"/>
      <c r="B1728" s="1133">
        <v>1478</v>
      </c>
      <c r="C1728" s="883">
        <v>0.98857582033241809</v>
      </c>
      <c r="D1728" s="883">
        <v>1.002376128316127</v>
      </c>
      <c r="E1728" s="883">
        <v>1.0120155842714029</v>
      </c>
      <c r="F1728" s="883">
        <v>1.0045463631704865</v>
      </c>
      <c r="G1728" s="883">
        <v>0.9938985512743399</v>
      </c>
      <c r="H1728" s="883">
        <v>1.0351252410935201</v>
      </c>
      <c r="I1728" s="883">
        <v>1.0200829351215337</v>
      </c>
      <c r="K1728">
        <v>6.7731885481435734</v>
      </c>
      <c r="L1728">
        <v>0</v>
      </c>
      <c r="M1728">
        <v>1.0788217694921819E-2</v>
      </c>
      <c r="N1728">
        <v>0.20474447060764822</v>
      </c>
      <c r="O1728">
        <v>0.1230473163512852</v>
      </c>
      <c r="P1728">
        <v>8.4076363826780881E-2</v>
      </c>
      <c r="Q1728">
        <v>0</v>
      </c>
      <c r="R1728">
        <v>1.0788217694921819E-2</v>
      </c>
      <c r="S1728">
        <v>0.28200297693822202</v>
      </c>
      <c r="T1728">
        <v>5.9116992992214943</v>
      </c>
      <c r="U1728">
        <v>0</v>
      </c>
      <c r="V1728">
        <v>1.9218093727812118E-2</v>
      </c>
      <c r="W1728">
        <v>0.10712369714730227</v>
      </c>
      <c r="X1728">
        <v>-3.1476299134944753E-3</v>
      </c>
      <c r="Y1728">
        <v>4.4423960236521544E-2</v>
      </c>
    </row>
    <row r="1729" spans="1:25" x14ac:dyDescent="0.25">
      <c r="A1729" s="879"/>
      <c r="B1729" s="1133">
        <v>1479</v>
      </c>
      <c r="C1729" s="883">
        <v>0.99909816043005439</v>
      </c>
      <c r="D1729" s="883">
        <v>1.0298863961578693</v>
      </c>
      <c r="E1729" s="883">
        <v>0.99426001483995607</v>
      </c>
      <c r="F1729" s="883">
        <v>0.97209615303259855</v>
      </c>
      <c r="G1729" s="883">
        <v>1.0266314244532992</v>
      </c>
      <c r="H1729" s="883">
        <v>1.0267368020276342</v>
      </c>
      <c r="I1729" s="883">
        <v>1.000548654280081</v>
      </c>
      <c r="K1729">
        <v>6.7479526101565233</v>
      </c>
      <c r="L1729">
        <v>0</v>
      </c>
      <c r="M1729">
        <v>1.0629745207879545E-2</v>
      </c>
      <c r="N1729">
        <v>0.1965006848819433</v>
      </c>
      <c r="O1729">
        <v>0.12076955915312899</v>
      </c>
      <c r="P1729">
        <v>8.282247290609128E-2</v>
      </c>
      <c r="Q1729">
        <v>0</v>
      </c>
      <c r="R1729">
        <v>1.0629745207879545E-2</v>
      </c>
      <c r="S1729">
        <v>0.27257861214135576</v>
      </c>
      <c r="T1729">
        <v>5.9109464465124493</v>
      </c>
      <c r="U1729">
        <v>0</v>
      </c>
      <c r="V1729">
        <v>1.9160014580375757E-2</v>
      </c>
      <c r="W1729">
        <v>0.10371991632014413</v>
      </c>
      <c r="X1729">
        <v>-2.3164950808979741E-3</v>
      </c>
      <c r="Y1729">
        <v>4.3771398741932636E-2</v>
      </c>
    </row>
    <row r="1730" spans="1:25" x14ac:dyDescent="0.25">
      <c r="A1730" s="879"/>
      <c r="B1730" s="1133">
        <v>1480</v>
      </c>
      <c r="C1730" s="883">
        <v>1.0080074501535246</v>
      </c>
      <c r="D1730" s="883">
        <v>0.98203413134059936</v>
      </c>
      <c r="E1730" s="883">
        <v>1.0095974702007111</v>
      </c>
      <c r="F1730" s="883">
        <v>0.99473796857684527</v>
      </c>
      <c r="G1730" s="883">
        <v>1.0064649640576437</v>
      </c>
      <c r="H1730" s="883">
        <v>0.99115319387847389</v>
      </c>
      <c r="I1730" s="883">
        <v>0.99119984099731917</v>
      </c>
      <c r="K1730">
        <v>6.736798523804179</v>
      </c>
      <c r="L1730">
        <v>0</v>
      </c>
      <c r="M1730">
        <v>1.0241822009461794E-2</v>
      </c>
      <c r="N1730">
        <v>0.19368016041512981</v>
      </c>
      <c r="O1730">
        <v>0.12171454493471992</v>
      </c>
      <c r="P1730">
        <v>8.3686247419377191E-2</v>
      </c>
      <c r="Q1730">
        <v>0</v>
      </c>
      <c r="R1730">
        <v>1.0241822009461794E-2</v>
      </c>
      <c r="S1730">
        <v>0.26485855564277122</v>
      </c>
      <c r="T1730">
        <v>5.9113066596684556</v>
      </c>
      <c r="U1730">
        <v>0</v>
      </c>
      <c r="V1730">
        <v>1.9111786805856252E-2</v>
      </c>
      <c r="W1730">
        <v>0.10145600601402049</v>
      </c>
      <c r="X1730">
        <v>-1.1894371547588249E-3</v>
      </c>
      <c r="Y1730">
        <v>4.2174000058603653E-2</v>
      </c>
    </row>
    <row r="1731" spans="1:25" x14ac:dyDescent="0.25">
      <c r="A1731" s="879"/>
      <c r="B1731" s="1133">
        <v>1481</v>
      </c>
      <c r="C1731" s="883">
        <v>1.0234552287405776</v>
      </c>
      <c r="D1731" s="883">
        <v>0.98719546921689205</v>
      </c>
      <c r="E1731" s="883">
        <v>0.99530930033269116</v>
      </c>
      <c r="F1731" s="883">
        <v>0.99522510890887506</v>
      </c>
      <c r="G1731" s="883">
        <v>1.0057782330792073</v>
      </c>
      <c r="H1731" s="883">
        <v>0.99820388448249375</v>
      </c>
      <c r="I1731" s="883">
        <v>0.99111943950391668</v>
      </c>
      <c r="K1731">
        <v>6.7266763214293519</v>
      </c>
      <c r="L1731">
        <v>0</v>
      </c>
      <c r="M1731">
        <v>1.0263537653262414E-2</v>
      </c>
      <c r="N1731">
        <v>0.19002627886582898</v>
      </c>
      <c r="O1731">
        <v>0.11988959526234526</v>
      </c>
      <c r="P1731">
        <v>8.2753539783155472E-2</v>
      </c>
      <c r="Q1731">
        <v>0</v>
      </c>
      <c r="R1731">
        <v>1.0263537653262414E-2</v>
      </c>
      <c r="S1731">
        <v>0.26141202581859302</v>
      </c>
      <c r="T1731">
        <v>5.9121378505963147</v>
      </c>
      <c r="U1731">
        <v>0</v>
      </c>
      <c r="V1731">
        <v>1.903015498460155E-2</v>
      </c>
      <c r="W1731">
        <v>0.10025013243800088</v>
      </c>
      <c r="X1731">
        <v>-1.0866775340239259E-3</v>
      </c>
      <c r="Y1731">
        <v>4.2263421214534115E-2</v>
      </c>
    </row>
    <row r="1732" spans="1:25" x14ac:dyDescent="0.25">
      <c r="A1732" s="879"/>
      <c r="B1732" s="1133">
        <v>1482</v>
      </c>
      <c r="C1732" s="883">
        <v>0.97443726411971665</v>
      </c>
      <c r="D1732" s="883">
        <v>0.9990576495170761</v>
      </c>
      <c r="E1732" s="883">
        <v>0.98885103846752032</v>
      </c>
      <c r="F1732" s="883">
        <v>1.0237714565325247</v>
      </c>
      <c r="G1732" s="883">
        <v>1.0053587793951353</v>
      </c>
      <c r="H1732" s="883">
        <v>1.0182555136048388</v>
      </c>
      <c r="I1732" s="883">
        <v>0.98700392663469927</v>
      </c>
      <c r="K1732">
        <v>6.767188335109366</v>
      </c>
      <c r="L1732">
        <v>0</v>
      </c>
      <c r="M1732">
        <v>1.1002089656414065E-2</v>
      </c>
      <c r="N1732">
        <v>0.20175954222244344</v>
      </c>
      <c r="O1732">
        <v>0.12544409000377083</v>
      </c>
      <c r="P1732">
        <v>8.2559900034173572E-2</v>
      </c>
      <c r="Q1732">
        <v>0</v>
      </c>
      <c r="R1732">
        <v>1.1002089656414065E-2</v>
      </c>
      <c r="S1732">
        <v>0.2752034755654833</v>
      </c>
      <c r="T1732">
        <v>5.9140409211669036</v>
      </c>
      <c r="U1732">
        <v>0</v>
      </c>
      <c r="V1732">
        <v>1.9298107958925236E-2</v>
      </c>
      <c r="W1732">
        <v>0.10678317823525989</v>
      </c>
      <c r="X1732">
        <v>-3.2055269837542762E-3</v>
      </c>
      <c r="Y1732">
        <v>4.5304646906156577E-2</v>
      </c>
    </row>
    <row r="1733" spans="1:25" x14ac:dyDescent="0.25">
      <c r="A1733" s="879"/>
      <c r="B1733" s="1133">
        <v>1483</v>
      </c>
      <c r="C1733" s="883">
        <v>1.0261627328900758</v>
      </c>
      <c r="D1733" s="883">
        <v>0.97521476039901767</v>
      </c>
      <c r="E1733" s="883">
        <v>1.0034676057464222</v>
      </c>
      <c r="F1733" s="883">
        <v>0.98500632638611485</v>
      </c>
      <c r="G1733" s="883">
        <v>0.99647419366238144</v>
      </c>
      <c r="H1733" s="883">
        <v>0.99592218450844361</v>
      </c>
      <c r="I1733" s="883">
        <v>1.0289002918025381</v>
      </c>
      <c r="K1733">
        <v>6.736524830987034</v>
      </c>
      <c r="L1733">
        <v>0</v>
      </c>
      <c r="M1733">
        <v>1.0193747290380143E-2</v>
      </c>
      <c r="N1733">
        <v>0.19102918921013989</v>
      </c>
      <c r="O1733">
        <v>0.12000826945657102</v>
      </c>
      <c r="P1733">
        <v>8.3374985062163245E-2</v>
      </c>
      <c r="Q1733">
        <v>0</v>
      </c>
      <c r="R1733">
        <v>1.0193747290380143E-2</v>
      </c>
      <c r="S1733">
        <v>0.27058484640158659</v>
      </c>
      <c r="T1733">
        <v>5.9111274500110671</v>
      </c>
      <c r="U1733">
        <v>0</v>
      </c>
      <c r="V1733">
        <v>1.9016100656616543E-2</v>
      </c>
      <c r="W1733">
        <v>0.10037162518707353</v>
      </c>
      <c r="X1733">
        <v>-9.6367192059539607E-4</v>
      </c>
      <c r="Y1733">
        <v>4.197603692240643E-2</v>
      </c>
    </row>
    <row r="1734" spans="1:25" x14ac:dyDescent="0.25">
      <c r="A1734" s="879"/>
      <c r="B1734" s="1133">
        <v>1484</v>
      </c>
      <c r="C1734" s="883">
        <v>1.0171999465441952</v>
      </c>
      <c r="D1734" s="883">
        <v>0.98189616791998047</v>
      </c>
      <c r="E1734" s="883">
        <v>1.0060099243889191</v>
      </c>
      <c r="F1734" s="883">
        <v>1.0007876898989829</v>
      </c>
      <c r="G1734" s="883">
        <v>1.0279966677183452</v>
      </c>
      <c r="H1734" s="883">
        <v>1.0410044587776957</v>
      </c>
      <c r="I1734" s="883">
        <v>0.97393243847488786</v>
      </c>
      <c r="K1734">
        <v>6.7453019888661823</v>
      </c>
      <c r="L1734">
        <v>0</v>
      </c>
      <c r="M1734">
        <v>1.0693867758086423E-2</v>
      </c>
      <c r="N1734">
        <v>0.20115731522066499</v>
      </c>
      <c r="O1734">
        <v>0.1206882069448087</v>
      </c>
      <c r="P1734">
        <v>8.3434943615455101E-2</v>
      </c>
      <c r="Q1734">
        <v>0</v>
      </c>
      <c r="R1734">
        <v>1.0693867758086423E-2</v>
      </c>
      <c r="S1734">
        <v>0.26242306815881233</v>
      </c>
      <c r="T1734">
        <v>5.9118367241249912</v>
      </c>
      <c r="U1734">
        <v>0</v>
      </c>
      <c r="V1734">
        <v>1.9062911505607291E-2</v>
      </c>
      <c r="W1734">
        <v>0.10556009542199801</v>
      </c>
      <c r="X1734">
        <v>-2.8967201164500369E-3</v>
      </c>
      <c r="Y1734">
        <v>4.4035443990296089E-2</v>
      </c>
    </row>
    <row r="1735" spans="1:25" x14ac:dyDescent="0.25">
      <c r="A1735" s="879"/>
      <c r="B1735" s="1133">
        <v>1485</v>
      </c>
      <c r="C1735" s="883">
        <v>1.0244026935681572</v>
      </c>
      <c r="D1735" s="883">
        <v>1.0086197331284334</v>
      </c>
      <c r="E1735" s="883">
        <v>0.98887029592914633</v>
      </c>
      <c r="F1735" s="883">
        <v>1.035902829099171</v>
      </c>
      <c r="G1735" s="883">
        <v>1.0013665653036632</v>
      </c>
      <c r="H1735" s="883">
        <v>1.0140221247487602</v>
      </c>
      <c r="I1735" s="883">
        <v>1.0160962168554524</v>
      </c>
      <c r="K1735">
        <v>6.7365092855897402</v>
      </c>
      <c r="L1735">
        <v>0</v>
      </c>
      <c r="M1735">
        <v>1.0379347799680702E-2</v>
      </c>
      <c r="N1735">
        <v>0.19034495454293371</v>
      </c>
      <c r="O1735">
        <v>0.11887138838717577</v>
      </c>
      <c r="P1735">
        <v>8.2483782344900655E-2</v>
      </c>
      <c r="Q1735">
        <v>0</v>
      </c>
      <c r="R1735">
        <v>1.0379347799680702E-2</v>
      </c>
      <c r="S1735">
        <v>0.26900157211701137</v>
      </c>
      <c r="T1735">
        <v>5.9146955781500976</v>
      </c>
      <c r="U1735">
        <v>0</v>
      </c>
      <c r="V1735">
        <v>1.902522835880081E-2</v>
      </c>
      <c r="W1735">
        <v>0.10074093004366307</v>
      </c>
      <c r="X1735">
        <v>-1.3944551388918756E-3</v>
      </c>
      <c r="Y1735">
        <v>4.2740306784046993E-2</v>
      </c>
    </row>
    <row r="1736" spans="1:25" x14ac:dyDescent="0.25">
      <c r="A1736" s="879"/>
      <c r="B1736" s="1133">
        <v>1486</v>
      </c>
      <c r="C1736" s="883">
        <v>0.98859223262438767</v>
      </c>
      <c r="D1736" s="883">
        <v>1.0439720910385797</v>
      </c>
      <c r="E1736" s="883">
        <v>1.0350790160434999</v>
      </c>
      <c r="F1736" s="883">
        <v>1.0249717700083558</v>
      </c>
      <c r="G1736" s="883">
        <v>0.96861661391831322</v>
      </c>
      <c r="H1736" s="883">
        <v>0.97848099988394865</v>
      </c>
      <c r="I1736" s="883">
        <v>0.98917706060897803</v>
      </c>
      <c r="K1736">
        <v>6.7373237831807131</v>
      </c>
      <c r="L1736">
        <v>0</v>
      </c>
      <c r="M1736">
        <v>9.8213902468735678E-3</v>
      </c>
      <c r="N1736">
        <v>0.19286286250785176</v>
      </c>
      <c r="O1736">
        <v>0.12062576573188777</v>
      </c>
      <c r="P1736">
        <v>8.532572051618792E-2</v>
      </c>
      <c r="Q1736">
        <v>0</v>
      </c>
      <c r="R1736">
        <v>9.8213902468735678E-3</v>
      </c>
      <c r="S1736">
        <v>0.26780852686289186</v>
      </c>
      <c r="T1736">
        <v>5.9114763754748596</v>
      </c>
      <c r="U1736">
        <v>0</v>
      </c>
      <c r="V1736">
        <v>1.921800217575698E-2</v>
      </c>
      <c r="W1736">
        <v>9.9768887359075034E-2</v>
      </c>
      <c r="X1736">
        <v>-2.0509434212540541E-4</v>
      </c>
      <c r="Y1736">
        <v>4.0442736894329388E-2</v>
      </c>
    </row>
    <row r="1737" spans="1:25" x14ac:dyDescent="0.25">
      <c r="A1737" s="879"/>
      <c r="B1737" s="1133">
        <v>1487</v>
      </c>
      <c r="C1737" s="883">
        <v>0.987674808976298</v>
      </c>
      <c r="D1737" s="883">
        <v>1.000704126186621</v>
      </c>
      <c r="E1737" s="883">
        <v>1.0051236720001588</v>
      </c>
      <c r="F1737" s="883">
        <v>0.99783865837330288</v>
      </c>
      <c r="G1737" s="883">
        <v>1.019008734186762</v>
      </c>
      <c r="H1737" s="883">
        <v>0.98171507914790035</v>
      </c>
      <c r="I1737" s="883">
        <v>0.97647451234094362</v>
      </c>
      <c r="K1737">
        <v>6.7395676449037225</v>
      </c>
      <c r="L1737">
        <v>0</v>
      </c>
      <c r="M1737">
        <v>1.0310172068058813E-2</v>
      </c>
      <c r="N1737">
        <v>0.19368543156946053</v>
      </c>
      <c r="O1737">
        <v>0.1233730977681279</v>
      </c>
      <c r="P1737">
        <v>8.3417725962671121E-2</v>
      </c>
      <c r="Q1737">
        <v>0</v>
      </c>
      <c r="R1737">
        <v>1.0310172068058813E-2</v>
      </c>
      <c r="S1737">
        <v>0.2652242428102542</v>
      </c>
      <c r="T1737">
        <v>5.9117274443522527</v>
      </c>
      <c r="U1737">
        <v>0</v>
      </c>
      <c r="V1737">
        <v>1.9223124473283001E-2</v>
      </c>
      <c r="W1737">
        <v>0.1016837645954108</v>
      </c>
      <c r="X1737">
        <v>-1.2226400617868084E-3</v>
      </c>
      <c r="Y1737">
        <v>4.245545343404928E-2</v>
      </c>
    </row>
    <row r="1738" spans="1:25" x14ac:dyDescent="0.25">
      <c r="A1738" s="879"/>
      <c r="B1738" s="1133">
        <v>1488</v>
      </c>
      <c r="C1738" s="883">
        <v>1.0009644670529148</v>
      </c>
      <c r="D1738" s="883">
        <v>1.0087834167857681</v>
      </c>
      <c r="E1738" s="883">
        <v>1.0146182467264204</v>
      </c>
      <c r="F1738" s="883">
        <v>1.0164101648225059</v>
      </c>
      <c r="G1738" s="883">
        <v>1.0442014188715079</v>
      </c>
      <c r="H1738" s="883">
        <v>1.0323143647482045</v>
      </c>
      <c r="I1738" s="883">
        <v>1.0444910702162176</v>
      </c>
      <c r="K1738">
        <v>6.769331482697452</v>
      </c>
      <c r="L1738">
        <v>0</v>
      </c>
      <c r="M1738">
        <v>1.0572708624330593E-2</v>
      </c>
      <c r="N1738">
        <v>0.20142883679654291</v>
      </c>
      <c r="O1738">
        <v>0.12116619629183754</v>
      </c>
      <c r="P1738">
        <v>8.4283991221205362E-2</v>
      </c>
      <c r="Q1738">
        <v>0</v>
      </c>
      <c r="R1738">
        <v>1.0572708624330593E-2</v>
      </c>
      <c r="S1738">
        <v>0.28483112248454634</v>
      </c>
      <c r="T1738">
        <v>5.9121921081314746</v>
      </c>
      <c r="U1738">
        <v>0</v>
      </c>
      <c r="V1738">
        <v>1.9149840803282914E-2</v>
      </c>
      <c r="W1738">
        <v>0.10525353851182688</v>
      </c>
      <c r="X1738">
        <v>-2.5106837862785255E-3</v>
      </c>
      <c r="Y1738">
        <v>4.3536532243011468E-2</v>
      </c>
    </row>
    <row r="1739" spans="1:25" x14ac:dyDescent="0.25">
      <c r="A1739" s="879"/>
      <c r="B1739" s="1133">
        <v>1489</v>
      </c>
      <c r="C1739" s="883">
        <v>0.99096196722936425</v>
      </c>
      <c r="D1739" s="883">
        <v>0.98816996778284472</v>
      </c>
      <c r="E1739" s="883">
        <v>0.98508125585188699</v>
      </c>
      <c r="F1739" s="883">
        <v>1.0266881437492794</v>
      </c>
      <c r="G1739" s="883">
        <v>0.96781017263943359</v>
      </c>
      <c r="H1739" s="883">
        <v>0.96627734013459077</v>
      </c>
      <c r="I1739" s="883">
        <v>0.96898697006064038</v>
      </c>
      <c r="K1739">
        <v>6.7312123010085161</v>
      </c>
      <c r="L1739">
        <v>0</v>
      </c>
      <c r="M1739">
        <v>1.0348658828747945E-2</v>
      </c>
      <c r="N1739">
        <v>0.18871879480409107</v>
      </c>
      <c r="O1739">
        <v>0.12396528565151529</v>
      </c>
      <c r="P1739">
        <v>8.2137420246506276E-2</v>
      </c>
      <c r="Q1739">
        <v>0</v>
      </c>
      <c r="R1739">
        <v>1.0348658828747945E-2</v>
      </c>
      <c r="S1739">
        <v>0.26097000252334451</v>
      </c>
      <c r="T1739">
        <v>5.9144077811882543</v>
      </c>
      <c r="U1739">
        <v>0</v>
      </c>
      <c r="V1739">
        <v>1.9204815006787317E-2</v>
      </c>
      <c r="W1739">
        <v>0.10006941076570065</v>
      </c>
      <c r="X1739">
        <v>-8.7514424186705363E-4</v>
      </c>
      <c r="Y1739">
        <v>4.2613935064179091E-2</v>
      </c>
    </row>
    <row r="1740" spans="1:25" x14ac:dyDescent="0.25">
      <c r="A1740" s="879"/>
      <c r="B1740" s="1133">
        <v>1490</v>
      </c>
      <c r="C1740" s="883">
        <v>0.98551364649250572</v>
      </c>
      <c r="D1740" s="883">
        <v>1.0467868760073393</v>
      </c>
      <c r="E1740" s="883">
        <v>0.99378967491302328</v>
      </c>
      <c r="F1740" s="883">
        <v>1.0204079878357133</v>
      </c>
      <c r="G1740" s="883">
        <v>1.0103969306621379</v>
      </c>
      <c r="H1740" s="883">
        <v>0.96958936015153707</v>
      </c>
      <c r="I1740" s="883">
        <v>0.98818649071947495</v>
      </c>
      <c r="K1740">
        <v>6.731363189035906</v>
      </c>
      <c r="L1740">
        <v>0</v>
      </c>
      <c r="M1740">
        <v>1.0110017793661896E-2</v>
      </c>
      <c r="N1740">
        <v>0.18676280297031239</v>
      </c>
      <c r="O1740">
        <v>0.12164847701923845</v>
      </c>
      <c r="P1740">
        <v>8.2760752426567483E-2</v>
      </c>
      <c r="Q1740">
        <v>0</v>
      </c>
      <c r="R1740">
        <v>1.0110017793661896E-2</v>
      </c>
      <c r="S1740">
        <v>0.26745970897320215</v>
      </c>
      <c r="T1740">
        <v>5.9135838700961418</v>
      </c>
      <c r="U1740">
        <v>0</v>
      </c>
      <c r="V1740">
        <v>1.923522869419882E-2</v>
      </c>
      <c r="W1740">
        <v>9.8603008497084602E-2</v>
      </c>
      <c r="X1740">
        <v>-3.2191339905480684E-4</v>
      </c>
      <c r="Y1740">
        <v>4.1631253758215525E-2</v>
      </c>
    </row>
    <row r="1741" spans="1:25" x14ac:dyDescent="0.25">
      <c r="A1741" s="879"/>
      <c r="B1741" s="1133">
        <v>1491</v>
      </c>
      <c r="C1741" s="883">
        <v>1.0090882360318361</v>
      </c>
      <c r="D1741" s="883">
        <v>1.0269722991412766</v>
      </c>
      <c r="E1741" s="883">
        <v>0.98367165424178071</v>
      </c>
      <c r="F1741" s="883">
        <v>1.0467061500823474</v>
      </c>
      <c r="G1741" s="883">
        <v>0.98478965485565717</v>
      </c>
      <c r="H1741" s="883">
        <v>0.97642524668488029</v>
      </c>
      <c r="I1741" s="883">
        <v>0.98299695243339835</v>
      </c>
      <c r="K1741">
        <v>6.7203250104365466</v>
      </c>
      <c r="L1741">
        <v>0</v>
      </c>
      <c r="M1741">
        <v>1.0113942653993331E-2</v>
      </c>
      <c r="N1741">
        <v>0.18405328973012763</v>
      </c>
      <c r="O1741">
        <v>0.11990304084682703</v>
      </c>
      <c r="P1741">
        <v>8.2057748335711417E-2</v>
      </c>
      <c r="Q1741">
        <v>0</v>
      </c>
      <c r="R1741">
        <v>1.0113942653993331E-2</v>
      </c>
      <c r="S1741">
        <v>0.26058923984426308</v>
      </c>
      <c r="T1741">
        <v>5.9155679106421371</v>
      </c>
      <c r="U1741">
        <v>0</v>
      </c>
      <c r="V1741">
        <v>1.9105994215494273E-2</v>
      </c>
      <c r="W1741">
        <v>9.7664279454869884E-2</v>
      </c>
      <c r="X1741">
        <v>-2.6390826735039327E-4</v>
      </c>
      <c r="Y1741">
        <v>4.1647415634461289E-2</v>
      </c>
    </row>
    <row r="1742" spans="1:25" x14ac:dyDescent="0.25">
      <c r="A1742" s="879"/>
      <c r="B1742" s="1133">
        <v>1492</v>
      </c>
      <c r="C1742" s="883">
        <v>0.9936226711515157</v>
      </c>
      <c r="D1742" s="883">
        <v>1.0038462707188762</v>
      </c>
      <c r="E1742" s="883">
        <v>0.99774386641611912</v>
      </c>
      <c r="F1742" s="883">
        <v>0.98192044903886966</v>
      </c>
      <c r="G1742" s="883">
        <v>1.0033819583588102</v>
      </c>
      <c r="H1742" s="883">
        <v>0.98237913241168351</v>
      </c>
      <c r="I1742" s="883">
        <v>1.009059372947525</v>
      </c>
      <c r="K1742">
        <v>6.7424339440932046</v>
      </c>
      <c r="L1742">
        <v>0</v>
      </c>
      <c r="M1742">
        <v>1.0307875795256768E-2</v>
      </c>
      <c r="N1742">
        <v>0.19153694757825634</v>
      </c>
      <c r="O1742">
        <v>0.12261995585305277</v>
      </c>
      <c r="P1742">
        <v>8.3044794000056946E-2</v>
      </c>
      <c r="Q1742">
        <v>0</v>
      </c>
      <c r="R1742">
        <v>1.0307875795256768E-2</v>
      </c>
      <c r="S1742">
        <v>0.272455459999625</v>
      </c>
      <c r="T1742">
        <v>5.911282464258365</v>
      </c>
      <c r="U1742">
        <v>0</v>
      </c>
      <c r="V1742">
        <v>1.9190083603736075E-2</v>
      </c>
      <c r="W1742">
        <v>0.10092482548326959</v>
      </c>
      <c r="X1742">
        <v>-1.0665844745327262E-3</v>
      </c>
      <c r="Y1742">
        <v>4.244599779137178E-2</v>
      </c>
    </row>
    <row r="1743" spans="1:25" x14ac:dyDescent="0.25">
      <c r="A1743" s="879"/>
      <c r="B1743" s="1133">
        <v>1493</v>
      </c>
      <c r="C1743" s="883">
        <v>0.99187720381636246</v>
      </c>
      <c r="D1743" s="883">
        <v>0.98693055519628359</v>
      </c>
      <c r="E1743" s="883">
        <v>1.0073153136731221</v>
      </c>
      <c r="F1743" s="883">
        <v>0.97117937122497733</v>
      </c>
      <c r="G1743" s="883">
        <v>1.0089254848167575</v>
      </c>
      <c r="H1743" s="883">
        <v>0.98412548940563394</v>
      </c>
      <c r="I1743" s="883">
        <v>1.0031190047059315</v>
      </c>
      <c r="K1743">
        <v>6.746249420746218</v>
      </c>
      <c r="L1743">
        <v>0</v>
      </c>
      <c r="M1743">
        <v>1.0333171703377291E-2</v>
      </c>
      <c r="N1743">
        <v>0.19474850816030553</v>
      </c>
      <c r="O1743">
        <v>0.12349158981405983</v>
      </c>
      <c r="P1743">
        <v>8.362075081889532E-2</v>
      </c>
      <c r="Q1743">
        <v>0</v>
      </c>
      <c r="R1743">
        <v>1.0333171703377291E-2</v>
      </c>
      <c r="S1743">
        <v>0.27167406933617666</v>
      </c>
      <c r="T1743">
        <v>5.9101629514073712</v>
      </c>
      <c r="U1743">
        <v>0</v>
      </c>
      <c r="V1743">
        <v>1.9199738739071836E-2</v>
      </c>
      <c r="W1743">
        <v>0.10213093199405762</v>
      </c>
      <c r="X1743">
        <v>-1.3292813622316343E-3</v>
      </c>
      <c r="Y1743">
        <v>4.2550161838508301E-2</v>
      </c>
    </row>
    <row r="1744" spans="1:25" x14ac:dyDescent="0.25">
      <c r="A1744" s="879"/>
      <c r="B1744" s="1133">
        <v>1494</v>
      </c>
      <c r="C1744" s="883">
        <v>0.98974225391230775</v>
      </c>
      <c r="D1744" s="883">
        <v>1.0287853825845859</v>
      </c>
      <c r="E1744" s="883">
        <v>0.95988929630810482</v>
      </c>
      <c r="F1744" s="883">
        <v>1.0123665467264455</v>
      </c>
      <c r="G1744" s="883">
        <v>0.96816115286167004</v>
      </c>
      <c r="H1744" s="883">
        <v>1.0004345682314562</v>
      </c>
      <c r="I1744" s="883">
        <v>1.0255905865257342</v>
      </c>
      <c r="K1744">
        <v>6.7506100427809876</v>
      </c>
      <c r="L1744">
        <v>0</v>
      </c>
      <c r="M1744">
        <v>1.0778147067883737E-2</v>
      </c>
      <c r="N1744">
        <v>0.1893361734136737</v>
      </c>
      <c r="O1744">
        <v>0.12259953915223633</v>
      </c>
      <c r="P1744">
        <v>8.0798628682946183E-2</v>
      </c>
      <c r="Q1744">
        <v>0</v>
      </c>
      <c r="R1744">
        <v>1.0778147067883737E-2</v>
      </c>
      <c r="S1744">
        <v>0.27945428026427915</v>
      </c>
      <c r="T1744">
        <v>5.9150108257814846</v>
      </c>
      <c r="U1744">
        <v>0</v>
      </c>
      <c r="V1744">
        <v>1.921159461673597E-2</v>
      </c>
      <c r="W1744">
        <v>0.10167514432533843</v>
      </c>
      <c r="X1744">
        <v>-1.8586346425901231E-3</v>
      </c>
      <c r="Y1744">
        <v>4.4382491186883512E-2</v>
      </c>
    </row>
    <row r="1745" spans="1:25" x14ac:dyDescent="0.25">
      <c r="A1745" s="879"/>
      <c r="B1745" s="1133">
        <v>1495</v>
      </c>
      <c r="C1745" s="883">
        <v>0.97278108770381788</v>
      </c>
      <c r="D1745" s="883">
        <v>0.99248332884497426</v>
      </c>
      <c r="E1745" s="883">
        <v>1.0009415614400243</v>
      </c>
      <c r="F1745" s="883">
        <v>1.0156718532936198</v>
      </c>
      <c r="G1745" s="883">
        <v>1.0225816009330255</v>
      </c>
      <c r="H1745" s="883">
        <v>0.9787967428167158</v>
      </c>
      <c r="I1745" s="883">
        <v>0.99280220126264285</v>
      </c>
      <c r="K1745">
        <v>6.7559811889128172</v>
      </c>
      <c r="L1745">
        <v>0</v>
      </c>
      <c r="M1745">
        <v>1.0512199786903362E-2</v>
      </c>
      <c r="N1745">
        <v>0.19626121631029697</v>
      </c>
      <c r="O1745">
        <v>0.12575691476711792</v>
      </c>
      <c r="P1745">
        <v>8.3284437028223232E-2</v>
      </c>
      <c r="Q1745">
        <v>0</v>
      </c>
      <c r="R1745">
        <v>1.0512199786903362E-2</v>
      </c>
      <c r="S1745">
        <v>0.27357753009879748</v>
      </c>
      <c r="T1745">
        <v>5.9129269114526011</v>
      </c>
      <c r="U1745">
        <v>0</v>
      </c>
      <c r="V1745">
        <v>1.9307632929320407E-2</v>
      </c>
      <c r="W1745">
        <v>0.10324999753310636</v>
      </c>
      <c r="X1745">
        <v>-1.6708188273045514E-3</v>
      </c>
      <c r="Y1745">
        <v>4.3287367620657699E-2</v>
      </c>
    </row>
    <row r="1746" spans="1:25" x14ac:dyDescent="0.25">
      <c r="A1746" s="879"/>
      <c r="B1746" s="1133">
        <v>1496</v>
      </c>
      <c r="C1746" s="883">
        <v>0.97310423762853204</v>
      </c>
      <c r="D1746" s="883">
        <v>0.970987143640763</v>
      </c>
      <c r="E1746" s="883">
        <v>1.0028880136742451</v>
      </c>
      <c r="F1746" s="883">
        <v>0.96252582782338147</v>
      </c>
      <c r="G1746" s="883">
        <v>0.97082446060001226</v>
      </c>
      <c r="H1746" s="883">
        <v>1.03224902908461</v>
      </c>
      <c r="I1746" s="883">
        <v>1.0168192958430766</v>
      </c>
      <c r="K1746">
        <v>6.7861517361508188</v>
      </c>
      <c r="L1746">
        <v>0</v>
      </c>
      <c r="M1746">
        <v>1.1168086229300741E-2</v>
      </c>
      <c r="N1746">
        <v>0.20910855773849332</v>
      </c>
      <c r="O1746">
        <v>0.12678314187556367</v>
      </c>
      <c r="P1746">
        <v>8.352901977236582E-2</v>
      </c>
      <c r="Q1746">
        <v>0</v>
      </c>
      <c r="R1746">
        <v>1.1168086229300741E-2</v>
      </c>
      <c r="S1746">
        <v>0.28565882972323525</v>
      </c>
      <c r="T1746">
        <v>5.9099452664592471</v>
      </c>
      <c r="U1746">
        <v>0</v>
      </c>
      <c r="V1746">
        <v>1.9305771889706488E-2</v>
      </c>
      <c r="W1746">
        <v>0.10990257745442604</v>
      </c>
      <c r="X1746">
        <v>-4.0696200092353047E-3</v>
      </c>
      <c r="Y1746">
        <v>4.5988191247015364E-2</v>
      </c>
    </row>
    <row r="1747" spans="1:25" x14ac:dyDescent="0.25">
      <c r="A1747" s="879"/>
      <c r="B1747" s="1133">
        <v>1497</v>
      </c>
      <c r="C1747" s="883">
        <v>1.0179249834917363</v>
      </c>
      <c r="D1747" s="883">
        <v>1.0196975284706</v>
      </c>
      <c r="E1747" s="883">
        <v>0.97269634556909479</v>
      </c>
      <c r="F1747" s="883">
        <v>0.97541918329330768</v>
      </c>
      <c r="G1747" s="883">
        <v>0.97002244832319717</v>
      </c>
      <c r="H1747" s="883">
        <v>1.0219359310711942</v>
      </c>
      <c r="I1747" s="883">
        <v>1.0065378726377008</v>
      </c>
      <c r="K1747">
        <v>6.7345994394335396</v>
      </c>
      <c r="L1747">
        <v>0</v>
      </c>
      <c r="M1747">
        <v>1.0626583253302069E-2</v>
      </c>
      <c r="N1747">
        <v>0.19025838725267494</v>
      </c>
      <c r="O1747">
        <v>0.11939896224674418</v>
      </c>
      <c r="P1747">
        <v>8.1430857299226264E-2</v>
      </c>
      <c r="Q1747">
        <v>0</v>
      </c>
      <c r="R1747">
        <v>1.0626583253302069E-2</v>
      </c>
      <c r="S1747">
        <v>0.26876055695190482</v>
      </c>
      <c r="T1747">
        <v>5.9123175608674892</v>
      </c>
      <c r="U1747">
        <v>0</v>
      </c>
      <c r="V1747">
        <v>1.9059094137179607E-2</v>
      </c>
      <c r="W1747">
        <v>0.10151363829072001</v>
      </c>
      <c r="X1747">
        <v>-1.8979959881954697E-3</v>
      </c>
      <c r="Y1747">
        <v>4.3758378375789518E-2</v>
      </c>
    </row>
    <row r="1748" spans="1:25" x14ac:dyDescent="0.25">
      <c r="A1748" s="879"/>
      <c r="B1748" s="1133">
        <v>1498</v>
      </c>
      <c r="C1748" s="883">
        <v>1.0279529560874707</v>
      </c>
      <c r="D1748" s="883">
        <v>1.031858732810693</v>
      </c>
      <c r="E1748" s="883">
        <v>0.96118528961266347</v>
      </c>
      <c r="F1748" s="883">
        <v>1.0190075989920651</v>
      </c>
      <c r="G1748" s="883">
        <v>0.98157914551042336</v>
      </c>
      <c r="H1748" s="883">
        <v>1.0085394340449674</v>
      </c>
      <c r="I1748" s="883">
        <v>0.9734559412284981</v>
      </c>
      <c r="K1748">
        <v>6.7129788440419507</v>
      </c>
      <c r="L1748">
        <v>0</v>
      </c>
      <c r="M1748">
        <v>1.0436464155728589E-2</v>
      </c>
      <c r="N1748">
        <v>0.18368731323467172</v>
      </c>
      <c r="O1748">
        <v>0.11787867624050766</v>
      </c>
      <c r="P1748">
        <v>8.0577768342729117E-2</v>
      </c>
      <c r="Q1748">
        <v>0</v>
      </c>
      <c r="R1748">
        <v>1.0436464155728589E-2</v>
      </c>
      <c r="S1748">
        <v>0.25607854736856428</v>
      </c>
      <c r="T1748">
        <v>5.9152999739490095</v>
      </c>
      <c r="U1748">
        <v>0</v>
      </c>
      <c r="V1748">
        <v>1.9006848483649384E-2</v>
      </c>
      <c r="W1748">
        <v>9.8577157519801159E-2</v>
      </c>
      <c r="X1748">
        <v>-1.1029428689061647E-3</v>
      </c>
      <c r="Y1748">
        <v>4.2975501771919805E-2</v>
      </c>
    </row>
    <row r="1749" spans="1:25" x14ac:dyDescent="0.25">
      <c r="A1749" s="879"/>
      <c r="B1749" s="1133">
        <v>1499</v>
      </c>
      <c r="C1749" s="883">
        <v>1.0166387209428727</v>
      </c>
      <c r="D1749" s="883">
        <v>0.98105266372338384</v>
      </c>
      <c r="E1749" s="883">
        <v>0.99040847861027614</v>
      </c>
      <c r="F1749" s="883">
        <v>1.0134702967554527</v>
      </c>
      <c r="G1749" s="883">
        <v>1.0164954277926292</v>
      </c>
      <c r="H1749" s="883">
        <v>1.0119507541737855</v>
      </c>
      <c r="I1749" s="883">
        <v>1.0295531698331051</v>
      </c>
      <c r="K1749">
        <v>6.7489014258142994</v>
      </c>
      <c r="L1749">
        <v>0</v>
      </c>
      <c r="M1749">
        <v>1.054773114110834E-2</v>
      </c>
      <c r="N1749">
        <v>0.19387454048820846</v>
      </c>
      <c r="O1749">
        <v>0.12108588361222439</v>
      </c>
      <c r="P1749">
        <v>8.2640342081872653E-2</v>
      </c>
      <c r="Q1749">
        <v>0</v>
      </c>
      <c r="R1749">
        <v>1.054773114110834E-2</v>
      </c>
      <c r="S1749">
        <v>0.27474985946720659</v>
      </c>
      <c r="T1749">
        <v>5.9133974748904254</v>
      </c>
      <c r="U1749">
        <v>0</v>
      </c>
      <c r="V1749">
        <v>1.9065870134809502E-2</v>
      </c>
      <c r="W1749">
        <v>0.102530292640701</v>
      </c>
      <c r="X1749">
        <v>-1.8765169140808587E-3</v>
      </c>
      <c r="Y1749">
        <v>4.3433679412928514E-2</v>
      </c>
    </row>
    <row r="1750" spans="1:25" x14ac:dyDescent="0.25">
      <c r="A1750" s="879"/>
      <c r="B1750" s="1133">
        <v>1500</v>
      </c>
      <c r="C1750" s="883">
        <v>0.9941003527185418</v>
      </c>
      <c r="D1750" s="883">
        <v>0.99566949712527775</v>
      </c>
      <c r="E1750" s="883">
        <v>0.98868516283690577</v>
      </c>
      <c r="F1750" s="883">
        <v>0.98481745751836314</v>
      </c>
      <c r="G1750" s="883">
        <v>1.0051737691932241</v>
      </c>
      <c r="H1750" s="883">
        <v>1.0135233823102285</v>
      </c>
      <c r="I1750" s="883">
        <v>1.0302314370968293</v>
      </c>
      <c r="K1750">
        <v>6.7613161566786362</v>
      </c>
      <c r="L1750">
        <v>0</v>
      </c>
      <c r="M1750">
        <v>1.0751539853389103E-2</v>
      </c>
      <c r="N1750">
        <v>0.19711640054613636</v>
      </c>
      <c r="O1750">
        <v>0.123133149614314</v>
      </c>
      <c r="P1750">
        <v>8.259915151707202E-2</v>
      </c>
      <c r="Q1750">
        <v>0</v>
      </c>
      <c r="R1750">
        <v>1.0751539853389103E-2</v>
      </c>
      <c r="S1750">
        <v>0.28114927910978582</v>
      </c>
      <c r="T1750">
        <v>5.9119445863366158</v>
      </c>
      <c r="U1750">
        <v>0</v>
      </c>
      <c r="V1750">
        <v>1.9187447194624729E-2</v>
      </c>
      <c r="W1750">
        <v>0.10433438503750182</v>
      </c>
      <c r="X1750">
        <v>-2.4211700909190629E-3</v>
      </c>
      <c r="Y1750">
        <v>4.4272927413502243E-2</v>
      </c>
    </row>
    <row r="1751" spans="1:25" x14ac:dyDescent="0.25">
      <c r="A1751" s="879"/>
      <c r="B1751" s="1133">
        <v>1501</v>
      </c>
      <c r="C1751" s="883">
        <v>0.97888619976599989</v>
      </c>
      <c r="D1751" s="883">
        <v>1.0094849079556329</v>
      </c>
      <c r="E1751" s="883">
        <v>1.0169321631694364</v>
      </c>
      <c r="F1751" s="883">
        <v>0.98557205551543658</v>
      </c>
      <c r="G1751" s="883">
        <v>1.032793868895423</v>
      </c>
      <c r="H1751" s="883">
        <v>1.0030768323501522</v>
      </c>
      <c r="I1751" s="883">
        <v>0.99189371922728875</v>
      </c>
      <c r="K1751">
        <v>6.7575530120191711</v>
      </c>
      <c r="L1751">
        <v>0</v>
      </c>
      <c r="M1751">
        <v>1.0480604178501723E-2</v>
      </c>
      <c r="N1751">
        <v>0.20035894440326965</v>
      </c>
      <c r="O1751">
        <v>0.12382012919497654</v>
      </c>
      <c r="P1751">
        <v>8.4257106908989632E-2</v>
      </c>
      <c r="Q1751">
        <v>0</v>
      </c>
      <c r="R1751">
        <v>1.0480604178501723E-2</v>
      </c>
      <c r="S1751">
        <v>0.27380315182265896</v>
      </c>
      <c r="T1751">
        <v>5.9103938899986108</v>
      </c>
      <c r="U1751">
        <v>0</v>
      </c>
      <c r="V1751">
        <v>1.9272680903186585E-2</v>
      </c>
      <c r="W1751">
        <v>0.10457501204429495</v>
      </c>
      <c r="X1751">
        <v>-2.0851657858874852E-3</v>
      </c>
      <c r="Y1751">
        <v>4.3157262529068388E-2</v>
      </c>
    </row>
    <row r="1752" spans="1:25" x14ac:dyDescent="0.25">
      <c r="A1752" s="879"/>
      <c r="B1752" s="1133">
        <v>1502</v>
      </c>
      <c r="C1752" s="883">
        <v>1.0277192693908126</v>
      </c>
      <c r="D1752" s="883">
        <v>0.99281441004474558</v>
      </c>
      <c r="E1752" s="883">
        <v>0.990960435915619</v>
      </c>
      <c r="F1752" s="883">
        <v>1.0063701367917322</v>
      </c>
      <c r="G1752" s="883">
        <v>1.0090746135896786</v>
      </c>
      <c r="H1752" s="883">
        <v>0.97095776175018822</v>
      </c>
      <c r="I1752" s="883">
        <v>0.98944710209015463</v>
      </c>
      <c r="K1752">
        <v>6.712023848539169</v>
      </c>
      <c r="L1752">
        <v>0</v>
      </c>
      <c r="M1752">
        <v>9.9555441280259668E-3</v>
      </c>
      <c r="N1752">
        <v>0.18313953455984416</v>
      </c>
      <c r="O1752">
        <v>0.11920068549130795</v>
      </c>
      <c r="P1752">
        <v>8.2437231477730813E-2</v>
      </c>
      <c r="Q1752">
        <v>0</v>
      </c>
      <c r="R1752">
        <v>9.9555441280259668E-3</v>
      </c>
      <c r="S1752">
        <v>0.25734496062718648</v>
      </c>
      <c r="T1752">
        <v>5.9129829684626536</v>
      </c>
      <c r="U1752">
        <v>0</v>
      </c>
      <c r="V1752">
        <v>1.9008054386415261E-2</v>
      </c>
      <c r="W1752">
        <v>9.6826452021241349E-2</v>
      </c>
      <c r="X1752">
        <v>8.8802814374507304E-5</v>
      </c>
      <c r="Y1752">
        <v>4.0995158698414282E-2</v>
      </c>
    </row>
    <row r="1753" spans="1:25" x14ac:dyDescent="0.25">
      <c r="A1753" s="879"/>
      <c r="B1753" s="1133">
        <v>1503</v>
      </c>
      <c r="C1753" s="883">
        <v>1.0208422932731998</v>
      </c>
      <c r="D1753" s="883">
        <v>1.0402479948903072</v>
      </c>
      <c r="E1753" s="883">
        <v>1.0462984355755292</v>
      </c>
      <c r="F1753" s="883">
        <v>0.98176572228738823</v>
      </c>
      <c r="G1753" s="883">
        <v>0.9814283129302499</v>
      </c>
      <c r="H1753" s="883">
        <v>1.0201333153534786</v>
      </c>
      <c r="I1753" s="883">
        <v>1.0196608754343051</v>
      </c>
      <c r="K1753">
        <v>6.7386376005430764</v>
      </c>
      <c r="L1753">
        <v>0</v>
      </c>
      <c r="M1753">
        <v>9.8338744797679348E-3</v>
      </c>
      <c r="N1753">
        <v>0.19633475113301016</v>
      </c>
      <c r="O1753">
        <v>0.11677551100367432</v>
      </c>
      <c r="P1753">
        <v>8.603061820987222E-2</v>
      </c>
      <c r="Q1753">
        <v>0</v>
      </c>
      <c r="R1753">
        <v>9.8338744797679348E-3</v>
      </c>
      <c r="S1753">
        <v>0.27124574763050341</v>
      </c>
      <c r="T1753">
        <v>5.9084873205943529</v>
      </c>
      <c r="U1753">
        <v>0</v>
      </c>
      <c r="V1753">
        <v>1.9043789108030888E-2</v>
      </c>
      <c r="W1753">
        <v>0.10100984447601287</v>
      </c>
      <c r="X1753">
        <v>-7.8412635566193253E-4</v>
      </c>
      <c r="Y1753">
        <v>4.0494144743277782E-2</v>
      </c>
    </row>
    <row r="1754" spans="1:25" x14ac:dyDescent="0.25">
      <c r="A1754" s="879"/>
      <c r="B1754" s="1133">
        <v>1504</v>
      </c>
      <c r="C1754" s="883">
        <v>0.99490701090274847</v>
      </c>
      <c r="D1754" s="883">
        <v>1.0162368775233406</v>
      </c>
      <c r="E1754" s="883">
        <v>1.0122707339362571</v>
      </c>
      <c r="F1754" s="883">
        <v>1.0321083095977799</v>
      </c>
      <c r="G1754" s="883">
        <v>0.97927229468775379</v>
      </c>
      <c r="H1754" s="883">
        <v>1.0152397923121714</v>
      </c>
      <c r="I1754" s="883">
        <v>1.0002804839831028</v>
      </c>
      <c r="K1754">
        <v>6.7538829616352727</v>
      </c>
      <c r="L1754">
        <v>0</v>
      </c>
      <c r="M1754">
        <v>1.0449663626385258E-2</v>
      </c>
      <c r="N1754">
        <v>0.19839412473626369</v>
      </c>
      <c r="O1754">
        <v>0.12158970029005579</v>
      </c>
      <c r="P1754">
        <v>8.3986628997557489E-2</v>
      </c>
      <c r="Q1754">
        <v>0</v>
      </c>
      <c r="R1754">
        <v>1.0449663626385258E-2</v>
      </c>
      <c r="S1754">
        <v>0.27274315263341248</v>
      </c>
      <c r="T1754">
        <v>5.913174020150274</v>
      </c>
      <c r="U1754">
        <v>0</v>
      </c>
      <c r="V1754">
        <v>1.9183000852604919E-2</v>
      </c>
      <c r="W1754">
        <v>0.10378806572123658</v>
      </c>
      <c r="X1754">
        <v>-2.005586588801673E-3</v>
      </c>
      <c r="Y1754">
        <v>4.3029854842665763E-2</v>
      </c>
    </row>
    <row r="1755" spans="1:25" x14ac:dyDescent="0.25">
      <c r="A1755" s="879"/>
      <c r="B1755" s="1133">
        <v>1505</v>
      </c>
      <c r="C1755" s="883">
        <v>1.0241771541643654</v>
      </c>
      <c r="D1755" s="883">
        <v>1.0214794893400547</v>
      </c>
      <c r="E1755" s="883">
        <v>0.99791231995565566</v>
      </c>
      <c r="F1755" s="883">
        <v>0.95869223776611967</v>
      </c>
      <c r="G1755" s="883">
        <v>0.98066554186738453</v>
      </c>
      <c r="H1755" s="883">
        <v>1.0292932559550403</v>
      </c>
      <c r="I1755" s="883">
        <v>0.9633214516360642</v>
      </c>
      <c r="K1755">
        <v>6.7224306364958508</v>
      </c>
      <c r="L1755">
        <v>0</v>
      </c>
      <c r="M1755">
        <v>1.0398581609677614E-2</v>
      </c>
      <c r="N1755">
        <v>0.19327064233630456</v>
      </c>
      <c r="O1755">
        <v>0.11813303458476655</v>
      </c>
      <c r="P1755">
        <v>8.2820479445903677E-2</v>
      </c>
      <c r="Q1755">
        <v>0</v>
      </c>
      <c r="R1755">
        <v>1.0398581609677614E-2</v>
      </c>
      <c r="S1755">
        <v>0.25632129761399353</v>
      </c>
      <c r="T1755">
        <v>5.9100176637417334</v>
      </c>
      <c r="U1755">
        <v>0</v>
      </c>
      <c r="V1755">
        <v>1.9026400291503327E-2</v>
      </c>
      <c r="W1755">
        <v>0.10182981855343738</v>
      </c>
      <c r="X1755">
        <v>-1.8082082619192115E-3</v>
      </c>
      <c r="Y1755">
        <v>4.2819508190123728E-2</v>
      </c>
    </row>
    <row r="1756" spans="1:25" x14ac:dyDescent="0.25">
      <c r="A1756" s="879"/>
      <c r="B1756" s="1133">
        <v>1506</v>
      </c>
      <c r="C1756" s="883">
        <v>0.99518288488571371</v>
      </c>
      <c r="D1756" s="883">
        <v>0.97584245893400301</v>
      </c>
      <c r="E1756" s="883">
        <v>1.0192688841200415</v>
      </c>
      <c r="F1756" s="883">
        <v>1.0286098001620219</v>
      </c>
      <c r="G1756" s="883">
        <v>1.0177531813496761</v>
      </c>
      <c r="H1756" s="883">
        <v>0.97579336431972785</v>
      </c>
      <c r="I1756" s="883">
        <v>0.97812268512731393</v>
      </c>
      <c r="K1756">
        <v>6.7400495080012224</v>
      </c>
      <c r="L1756">
        <v>0</v>
      </c>
      <c r="M1756">
        <v>1.0154480178112548E-2</v>
      </c>
      <c r="N1756">
        <v>0.19479667662177119</v>
      </c>
      <c r="O1756">
        <v>0.12341016503263365</v>
      </c>
      <c r="P1756">
        <v>8.4290400948482905E-2</v>
      </c>
      <c r="Q1756">
        <v>0</v>
      </c>
      <c r="R1756">
        <v>1.0154480178112548E-2</v>
      </c>
      <c r="S1756">
        <v>0.26337395700388389</v>
      </c>
      <c r="T1756">
        <v>5.9125854282516528</v>
      </c>
      <c r="U1756">
        <v>0</v>
      </c>
      <c r="V1756">
        <v>1.9181481874910707E-2</v>
      </c>
      <c r="W1756">
        <v>0.10155479824568751</v>
      </c>
      <c r="X1756">
        <v>-9.5774192117718284E-4</v>
      </c>
      <c r="Y1756">
        <v>4.1814341943373905E-2</v>
      </c>
    </row>
    <row r="1757" spans="1:25" x14ac:dyDescent="0.25">
      <c r="A1757" s="879"/>
      <c r="B1757" s="1133">
        <v>1507</v>
      </c>
      <c r="C1757" s="883">
        <v>0.97497618248228635</v>
      </c>
      <c r="D1757" s="883">
        <v>1.0282928846337598</v>
      </c>
      <c r="E1757" s="883">
        <v>0.99645987485559651</v>
      </c>
      <c r="F1757" s="883">
        <v>1.0160213739091417</v>
      </c>
      <c r="G1757" s="883">
        <v>0.98139355848302179</v>
      </c>
      <c r="H1757" s="883">
        <v>0.99535854548617997</v>
      </c>
      <c r="I1757" s="883">
        <v>1.0175734498426363</v>
      </c>
      <c r="K1757">
        <v>6.7608002390670761</v>
      </c>
      <c r="L1757">
        <v>0</v>
      </c>
      <c r="M1757">
        <v>1.0546563841705716E-2</v>
      </c>
      <c r="N1757">
        <v>0.19559965051905107</v>
      </c>
      <c r="O1757">
        <v>0.12379248882167246</v>
      </c>
      <c r="P1757">
        <v>8.310579326321986E-2</v>
      </c>
      <c r="Q1757">
        <v>0</v>
      </c>
      <c r="R1757">
        <v>1.0546563841705716E-2</v>
      </c>
      <c r="S1757">
        <v>0.28104553747520838</v>
      </c>
      <c r="T1757">
        <v>5.9131974060714372</v>
      </c>
      <c r="U1757">
        <v>0</v>
      </c>
      <c r="V1757">
        <v>1.9295015519992294E-2</v>
      </c>
      <c r="W1757">
        <v>0.10313136973321597</v>
      </c>
      <c r="X1757">
        <v>-1.7958950184806608E-3</v>
      </c>
      <c r="Y1757">
        <v>4.3428872681760038E-2</v>
      </c>
    </row>
    <row r="1758" spans="1:25" x14ac:dyDescent="0.25">
      <c r="A1758" s="879"/>
      <c r="B1758" s="1133">
        <v>1508</v>
      </c>
      <c r="C1758" s="883">
        <v>1.0135538382694229</v>
      </c>
      <c r="D1758" s="883">
        <v>0.98511461857591043</v>
      </c>
      <c r="E1758" s="883">
        <v>1.0287502405810214</v>
      </c>
      <c r="F1758" s="883">
        <v>0.99533749918418168</v>
      </c>
      <c r="G1758" s="883">
        <v>1.0218782180131165</v>
      </c>
      <c r="H1758" s="883">
        <v>1.0011573403233316</v>
      </c>
      <c r="I1758" s="883">
        <v>1.014425261662929</v>
      </c>
      <c r="K1758">
        <v>6.7443481204588247</v>
      </c>
      <c r="L1758">
        <v>0</v>
      </c>
      <c r="M1758">
        <v>1.0103954756352229E-2</v>
      </c>
      <c r="N1758">
        <v>0.19656432872886007</v>
      </c>
      <c r="O1758">
        <v>0.12053746010737028</v>
      </c>
      <c r="P1758">
        <v>8.4948390357556525E-2</v>
      </c>
      <c r="Q1758">
        <v>0</v>
      </c>
      <c r="R1758">
        <v>1.0103954756352229E-2</v>
      </c>
      <c r="S1758">
        <v>0.27053274238844854</v>
      </c>
      <c r="T1758">
        <v>5.9102424979423569</v>
      </c>
      <c r="U1758">
        <v>0</v>
      </c>
      <c r="V1758">
        <v>1.9082191302347923E-2</v>
      </c>
      <c r="W1758">
        <v>0.10199962547100612</v>
      </c>
      <c r="X1758">
        <v>-1.1654030888754679E-3</v>
      </c>
      <c r="Y1758">
        <v>4.1606287249754743E-2</v>
      </c>
    </row>
    <row r="1759" spans="1:25" x14ac:dyDescent="0.25">
      <c r="A1759" s="879"/>
      <c r="B1759" s="1133">
        <v>1509</v>
      </c>
      <c r="C1759" s="883">
        <v>0.97452519876707</v>
      </c>
      <c r="D1759" s="883">
        <v>1.0134648325970208</v>
      </c>
      <c r="E1759" s="883">
        <v>0.99860340119179092</v>
      </c>
      <c r="F1759" s="883">
        <v>1.035622102010713</v>
      </c>
      <c r="G1759" s="883">
        <v>1.0225326742660628</v>
      </c>
      <c r="H1759" s="883">
        <v>1.032828054648383</v>
      </c>
      <c r="I1759" s="883">
        <v>1.0014332380097466</v>
      </c>
      <c r="K1759">
        <v>6.7758282506315624</v>
      </c>
      <c r="L1759">
        <v>0</v>
      </c>
      <c r="M1759">
        <v>1.0996315185586617E-2</v>
      </c>
      <c r="N1759">
        <v>0.20458965191572792</v>
      </c>
      <c r="O1759">
        <v>0.1245304918442646</v>
      </c>
      <c r="P1759">
        <v>8.3245636392491523E-2</v>
      </c>
      <c r="Q1759">
        <v>0</v>
      </c>
      <c r="R1759">
        <v>1.0996315185586617E-2</v>
      </c>
      <c r="S1759">
        <v>0.28046679043424344</v>
      </c>
      <c r="T1759">
        <v>5.9141365052976562</v>
      </c>
      <c r="U1759">
        <v>0</v>
      </c>
      <c r="V1759">
        <v>1.9297603135952253E-2</v>
      </c>
      <c r="W1759">
        <v>0.10775652588607497</v>
      </c>
      <c r="X1759">
        <v>-3.4758229379625097E-3</v>
      </c>
      <c r="Y1759">
        <v>4.528086866310662E-2</v>
      </c>
    </row>
    <row r="1760" spans="1:25" x14ac:dyDescent="0.25">
      <c r="A1760" s="879"/>
      <c r="B1760" s="1133">
        <v>1510</v>
      </c>
      <c r="C1760" s="883">
        <v>1.0164153893136465</v>
      </c>
      <c r="D1760" s="883">
        <v>1.0396690815154128</v>
      </c>
      <c r="E1760" s="883">
        <v>0.99164743307523873</v>
      </c>
      <c r="F1760" s="883">
        <v>0.98725696455565382</v>
      </c>
      <c r="G1760" s="883">
        <v>1.0247161591381759</v>
      </c>
      <c r="H1760" s="883">
        <v>0.98757228679074827</v>
      </c>
      <c r="I1760" s="883">
        <v>1.0036830725904984</v>
      </c>
      <c r="K1760">
        <v>6.7203991437609218</v>
      </c>
      <c r="L1760">
        <v>0</v>
      </c>
      <c r="M1760">
        <v>1.0032371958105905E-2</v>
      </c>
      <c r="N1760">
        <v>0.18474088864573796</v>
      </c>
      <c r="O1760">
        <v>0.11831113122272459</v>
      </c>
      <c r="P1760">
        <v>8.2570008805276054E-2</v>
      </c>
      <c r="Q1760">
        <v>0</v>
      </c>
      <c r="R1760">
        <v>1.0032371958105905E-2</v>
      </c>
      <c r="S1760">
        <v>0.2650893289396391</v>
      </c>
      <c r="T1760">
        <v>5.9119116245482166</v>
      </c>
      <c r="U1760">
        <v>0</v>
      </c>
      <c r="V1760">
        <v>1.9067048387381418E-2</v>
      </c>
      <c r="W1760">
        <v>9.7639655401796976E-2</v>
      </c>
      <c r="X1760">
        <v>-2.4206421769670865E-4</v>
      </c>
      <c r="Y1760">
        <v>4.1311522027839491E-2</v>
      </c>
    </row>
    <row r="1761" spans="1:25" x14ac:dyDescent="0.25">
      <c r="A1761" s="879"/>
      <c r="B1761" s="1133">
        <v>1511</v>
      </c>
      <c r="C1761" s="883">
        <v>0.98633475652328284</v>
      </c>
      <c r="D1761" s="883">
        <v>1.0021198018697679</v>
      </c>
      <c r="E1761" s="883">
        <v>0.98703188731947744</v>
      </c>
      <c r="F1761" s="883">
        <v>1.0278803697319503</v>
      </c>
      <c r="G1761" s="883">
        <v>1.0318859923883081</v>
      </c>
      <c r="H1761" s="883">
        <v>1.0138450646896304</v>
      </c>
      <c r="I1761" s="883">
        <v>0.97881011494641557</v>
      </c>
      <c r="K1761">
        <v>6.7537460943718797</v>
      </c>
      <c r="L1761">
        <v>0</v>
      </c>
      <c r="M1761">
        <v>1.0825289906272651E-2</v>
      </c>
      <c r="N1761">
        <v>0.19798256797949362</v>
      </c>
      <c r="O1761">
        <v>0.12381365674743815</v>
      </c>
      <c r="P1761">
        <v>8.2368742174505696E-2</v>
      </c>
      <c r="Q1761">
        <v>0</v>
      </c>
      <c r="R1761">
        <v>1.0825289906272651E-2</v>
      </c>
      <c r="S1761">
        <v>0.26917890158158314</v>
      </c>
      <c r="T1761">
        <v>5.9143640732691694</v>
      </c>
      <c r="U1761">
        <v>0</v>
      </c>
      <c r="V1761">
        <v>1.9230623579844387E-2</v>
      </c>
      <c r="W1761">
        <v>0.1048793566087458</v>
      </c>
      <c r="X1761">
        <v>-2.6484445731575481E-3</v>
      </c>
      <c r="Y1761">
        <v>4.4576617004256622E-2</v>
      </c>
    </row>
    <row r="1762" spans="1:25" x14ac:dyDescent="0.25">
      <c r="A1762" s="879"/>
      <c r="B1762" s="1133">
        <v>1512</v>
      </c>
      <c r="C1762" s="883">
        <v>1.0230328161522539</v>
      </c>
      <c r="D1762" s="883">
        <v>0.99108230127473795</v>
      </c>
      <c r="E1762" s="883">
        <v>1.0378563680215644</v>
      </c>
      <c r="F1762" s="883">
        <v>1.0446300303835896</v>
      </c>
      <c r="G1762" s="883">
        <v>0.99159181513464678</v>
      </c>
      <c r="H1762" s="883">
        <v>1.0011577901155149</v>
      </c>
      <c r="I1762" s="883">
        <v>0.96285978871270872</v>
      </c>
      <c r="K1762">
        <v>6.7262641458465966</v>
      </c>
      <c r="L1762">
        <v>0</v>
      </c>
      <c r="M1762">
        <v>9.9050746340102244E-3</v>
      </c>
      <c r="N1762">
        <v>0.19530597274460881</v>
      </c>
      <c r="O1762">
        <v>0.11896243527361333</v>
      </c>
      <c r="P1762">
        <v>8.5323821096321847E-2</v>
      </c>
      <c r="Q1762">
        <v>0</v>
      </c>
      <c r="R1762">
        <v>9.9050746340102244E-3</v>
      </c>
      <c r="S1762">
        <v>0.25435760162085896</v>
      </c>
      <c r="T1762">
        <v>5.9123764219496344</v>
      </c>
      <c r="U1762">
        <v>0</v>
      </c>
      <c r="V1762">
        <v>1.9032354385909944E-2</v>
      </c>
      <c r="W1762">
        <v>0.10089551602456118</v>
      </c>
      <c r="X1762">
        <v>-7.7731155420451598E-4</v>
      </c>
      <c r="Y1762">
        <v>4.0787334305292501E-2</v>
      </c>
    </row>
    <row r="1763" spans="1:25" x14ac:dyDescent="0.25">
      <c r="A1763" s="879"/>
      <c r="B1763" s="1133">
        <v>1513</v>
      </c>
      <c r="C1763" s="883">
        <v>0.98054282622641808</v>
      </c>
      <c r="D1763" s="883">
        <v>0.96562081015307033</v>
      </c>
      <c r="E1763" s="883">
        <v>1.0083080935629138</v>
      </c>
      <c r="F1763" s="883">
        <v>1.0011630038793362</v>
      </c>
      <c r="G1763" s="883">
        <v>1.0050416739361026</v>
      </c>
      <c r="H1763" s="883">
        <v>0.98034086605382975</v>
      </c>
      <c r="I1763" s="883">
        <v>1.0125869296355094</v>
      </c>
      <c r="K1763">
        <v>6.7615920629988988</v>
      </c>
      <c r="L1763">
        <v>0</v>
      </c>
      <c r="M1763">
        <v>1.0501196773987377E-2</v>
      </c>
      <c r="N1763">
        <v>0.19820640038862633</v>
      </c>
      <c r="O1763">
        <v>0.12599524535634907</v>
      </c>
      <c r="P1763">
        <v>8.3780315661229787E-2</v>
      </c>
      <c r="Q1763">
        <v>0</v>
      </c>
      <c r="R1763">
        <v>1.0501196773987377E-2</v>
      </c>
      <c r="S1763">
        <v>0.27726166826661192</v>
      </c>
      <c r="T1763">
        <v>5.9117269357309832</v>
      </c>
      <c r="U1763">
        <v>0</v>
      </c>
      <c r="V1763">
        <v>1.9263271721335091E-2</v>
      </c>
      <c r="W1763">
        <v>0.10389326245454505</v>
      </c>
      <c r="X1763">
        <v>-1.7770957527148965E-3</v>
      </c>
      <c r="Y1763">
        <v>4.3242059171932953E-2</v>
      </c>
    </row>
    <row r="1764" spans="1:25" x14ac:dyDescent="0.25">
      <c r="A1764" s="879"/>
      <c r="B1764" s="1133">
        <v>1514</v>
      </c>
      <c r="C1764" s="883">
        <v>0.96100721616244278</v>
      </c>
      <c r="D1764" s="883">
        <v>1.0154162834344758</v>
      </c>
      <c r="E1764" s="883">
        <v>0.99418530314907305</v>
      </c>
      <c r="F1764" s="883">
        <v>1.0078807629323461</v>
      </c>
      <c r="G1764" s="883">
        <v>1.0043774493199673</v>
      </c>
      <c r="H1764" s="883">
        <v>0.96233948677101422</v>
      </c>
      <c r="I1764" s="883">
        <v>1.0021971718451643</v>
      </c>
      <c r="K1764">
        <v>6.755268417126608</v>
      </c>
      <c r="L1764">
        <v>0</v>
      </c>
      <c r="M1764">
        <v>1.0421536274786461E-2</v>
      </c>
      <c r="N1764">
        <v>0.19263041850954377</v>
      </c>
      <c r="O1764">
        <v>0.12627054066086066</v>
      </c>
      <c r="P1764">
        <v>8.2914989578484311E-2</v>
      </c>
      <c r="Q1764">
        <v>0</v>
      </c>
      <c r="R1764">
        <v>1.0421536274786461E-2</v>
      </c>
      <c r="S1764">
        <v>0.27771501087499939</v>
      </c>
      <c r="T1764">
        <v>5.9128846941572668</v>
      </c>
      <c r="U1764">
        <v>0</v>
      </c>
      <c r="V1764">
        <v>1.9376292892575392E-2</v>
      </c>
      <c r="W1764">
        <v>0.10168083636428747</v>
      </c>
      <c r="X1764">
        <v>-1.1183973266737041E-3</v>
      </c>
      <c r="Y1764">
        <v>4.2914031415263891E-2</v>
      </c>
    </row>
    <row r="1765" spans="1:25" x14ac:dyDescent="0.25">
      <c r="A1765" s="879"/>
      <c r="B1765" s="1133">
        <v>1515</v>
      </c>
      <c r="C1765" s="883">
        <v>1.0097909459292504</v>
      </c>
      <c r="D1765" s="883">
        <v>1.0118729683083467</v>
      </c>
      <c r="E1765" s="883">
        <v>0.98985311501722639</v>
      </c>
      <c r="F1765" s="883">
        <v>0.98783545682873319</v>
      </c>
      <c r="G1765" s="883">
        <v>0.96641021153761875</v>
      </c>
      <c r="H1765" s="883">
        <v>0.95796075836980987</v>
      </c>
      <c r="I1765" s="883">
        <v>1.0035833587509155</v>
      </c>
      <c r="K1765">
        <v>6.7182042920011398</v>
      </c>
      <c r="L1765">
        <v>0</v>
      </c>
      <c r="M1765">
        <v>9.9251796207880036E-3</v>
      </c>
      <c r="N1765">
        <v>0.18228147051276519</v>
      </c>
      <c r="O1765">
        <v>0.12041817293787369</v>
      </c>
      <c r="P1765">
        <v>8.2448627063833171E-2</v>
      </c>
      <c r="Q1765">
        <v>0</v>
      </c>
      <c r="R1765">
        <v>9.9251796207880036E-3</v>
      </c>
      <c r="S1765">
        <v>0.26427680338794934</v>
      </c>
      <c r="T1765">
        <v>5.9120427886105746</v>
      </c>
      <c r="U1765">
        <v>0</v>
      </c>
      <c r="V1765">
        <v>1.9102234616749824E-2</v>
      </c>
      <c r="W1765">
        <v>9.6426012277737172E-2</v>
      </c>
      <c r="X1765">
        <v>3.3805953136180919E-4</v>
      </c>
      <c r="Y1765">
        <v>4.0870123062289168E-2</v>
      </c>
    </row>
    <row r="1766" spans="1:25" x14ac:dyDescent="0.25">
      <c r="A1766" s="879"/>
      <c r="B1766" s="1133">
        <v>1516</v>
      </c>
      <c r="C1766" s="883">
        <v>1.0140511027455108</v>
      </c>
      <c r="D1766" s="883">
        <v>0.99504146164201068</v>
      </c>
      <c r="E1766" s="883">
        <v>1.0172344617707265</v>
      </c>
      <c r="F1766" s="883">
        <v>1.0078500013294989</v>
      </c>
      <c r="G1766" s="883">
        <v>1.0308683074729816</v>
      </c>
      <c r="H1766" s="883">
        <v>0.97120782721091559</v>
      </c>
      <c r="I1766" s="883">
        <v>1.0409046313584882</v>
      </c>
      <c r="K1766">
        <v>6.7370414967460439</v>
      </c>
      <c r="L1766">
        <v>0</v>
      </c>
      <c r="M1766">
        <v>9.8537652996832439E-3</v>
      </c>
      <c r="N1766">
        <v>0.18845986792448205</v>
      </c>
      <c r="O1766">
        <v>0.12021168789002494</v>
      </c>
      <c r="P1766">
        <v>8.429799603514411E-2</v>
      </c>
      <c r="Q1766">
        <v>0</v>
      </c>
      <c r="R1766">
        <v>9.8537652996832439E-3</v>
      </c>
      <c r="S1766">
        <v>0.27442711629878985</v>
      </c>
      <c r="T1766">
        <v>5.9115802515449856</v>
      </c>
      <c r="U1766">
        <v>0</v>
      </c>
      <c r="V1766">
        <v>1.9079553715238586E-2</v>
      </c>
      <c r="W1766">
        <v>9.834976415169068E-2</v>
      </c>
      <c r="X1766">
        <v>5.9207586427561321E-5</v>
      </c>
      <c r="Y1766">
        <v>4.0576051599255071E-2</v>
      </c>
    </row>
    <row r="1767" spans="1:25" x14ac:dyDescent="0.25">
      <c r="A1767" s="879"/>
      <c r="B1767" s="1133">
        <v>1517</v>
      </c>
      <c r="C1767" s="883">
        <v>0.99476222892818389</v>
      </c>
      <c r="D1767" s="883">
        <v>1.0075552055788053</v>
      </c>
      <c r="E1767" s="883">
        <v>1.0055239270786704</v>
      </c>
      <c r="F1767" s="883">
        <v>1.0064512445327556</v>
      </c>
      <c r="G1767" s="883">
        <v>1.0458589296851679</v>
      </c>
      <c r="H1767" s="883">
        <v>1.0027100540529261</v>
      </c>
      <c r="I1767" s="883">
        <v>0.98866708509552759</v>
      </c>
      <c r="K1767">
        <v>6.7454282833576107</v>
      </c>
      <c r="L1767">
        <v>0</v>
      </c>
      <c r="M1767">
        <v>1.0421484826400738E-2</v>
      </c>
      <c r="N1767">
        <v>0.19589261561977508</v>
      </c>
      <c r="O1767">
        <v>0.12215270819799273</v>
      </c>
      <c r="P1767">
        <v>8.3492626040716361E-2</v>
      </c>
      <c r="Q1767">
        <v>0</v>
      </c>
      <c r="R1767">
        <v>1.0421484826400738E-2</v>
      </c>
      <c r="S1767">
        <v>0.26852193256729573</v>
      </c>
      <c r="T1767">
        <v>5.9121702394878914</v>
      </c>
      <c r="U1767">
        <v>0</v>
      </c>
      <c r="V1767">
        <v>1.9183798367417779E-2</v>
      </c>
      <c r="W1767">
        <v>0.10282212721668199</v>
      </c>
      <c r="X1767">
        <v>-1.7215837001342716E-3</v>
      </c>
      <c r="Y1767">
        <v>4.2913819559968938E-2</v>
      </c>
    </row>
    <row r="1768" spans="1:25" x14ac:dyDescent="0.25">
      <c r="A1768" s="879"/>
      <c r="B1768" s="1133">
        <v>1518</v>
      </c>
      <c r="C1768" s="883">
        <v>0.96022588352757432</v>
      </c>
      <c r="D1768" s="883">
        <v>0.97398165586707308</v>
      </c>
      <c r="E1768" s="883">
        <v>1.0070740541465271</v>
      </c>
      <c r="F1768" s="883">
        <v>0.9984235970797386</v>
      </c>
      <c r="G1768" s="883">
        <v>0.9672706878144588</v>
      </c>
      <c r="H1768" s="883">
        <v>0.9672440349145216</v>
      </c>
      <c r="I1768" s="883">
        <v>0.99307135977074967</v>
      </c>
      <c r="K1768">
        <v>6.7640021994126984</v>
      </c>
      <c r="L1768">
        <v>0</v>
      </c>
      <c r="M1768">
        <v>1.0552464889802512E-2</v>
      </c>
      <c r="N1768">
        <v>0.19881047633435991</v>
      </c>
      <c r="O1768">
        <v>0.1282426198996291</v>
      </c>
      <c r="P1768">
        <v>8.3690183120379638E-2</v>
      </c>
      <c r="Q1768">
        <v>0</v>
      </c>
      <c r="R1768">
        <v>1.0552464889802512E-2</v>
      </c>
      <c r="S1768">
        <v>0.27628837676241458</v>
      </c>
      <c r="T1768">
        <v>5.9116487866040526</v>
      </c>
      <c r="U1768">
        <v>0</v>
      </c>
      <c r="V1768">
        <v>1.9380908851633398E-2</v>
      </c>
      <c r="W1768">
        <v>0.10427358492007664</v>
      </c>
      <c r="X1768">
        <v>-1.7859092273243638E-3</v>
      </c>
      <c r="Y1768">
        <v>4.3453172147475246E-2</v>
      </c>
    </row>
    <row r="1769" spans="1:25" x14ac:dyDescent="0.25">
      <c r="A1769" s="879"/>
      <c r="B1769" s="1133">
        <v>1519</v>
      </c>
      <c r="C1769" s="883">
        <v>1.0174652601340801</v>
      </c>
      <c r="D1769" s="883">
        <v>1.0163339625959265</v>
      </c>
      <c r="E1769" s="883">
        <v>1.022909123377941</v>
      </c>
      <c r="F1769" s="883">
        <v>1.0051136470679083</v>
      </c>
      <c r="G1769" s="883">
        <v>1.0008710464192911</v>
      </c>
      <c r="H1769" s="883">
        <v>1.0014164192439434</v>
      </c>
      <c r="I1769" s="883">
        <v>0.98721562884522318</v>
      </c>
      <c r="K1769">
        <v>6.7284893830131844</v>
      </c>
      <c r="L1769">
        <v>0</v>
      </c>
      <c r="M1769">
        <v>9.9850397190010872E-3</v>
      </c>
      <c r="N1769">
        <v>0.19258041485485033</v>
      </c>
      <c r="O1769">
        <v>0.11869309142710653</v>
      </c>
      <c r="P1769">
        <v>8.4477469482307402E-2</v>
      </c>
      <c r="Q1769">
        <v>0</v>
      </c>
      <c r="R1769">
        <v>9.9850397190010872E-3</v>
      </c>
      <c r="S1769">
        <v>0.26197394964862869</v>
      </c>
      <c r="T1769">
        <v>5.9111071899666889</v>
      </c>
      <c r="U1769">
        <v>0</v>
      </c>
      <c r="V1769">
        <v>1.9061513980501536E-2</v>
      </c>
      <c r="W1769">
        <v>0.10021958735710636</v>
      </c>
      <c r="X1769">
        <v>-7.4044999603497608E-4</v>
      </c>
      <c r="Y1769">
        <v>4.1116616292030346E-2</v>
      </c>
    </row>
    <row r="1770" spans="1:25" x14ac:dyDescent="0.25">
      <c r="A1770" s="879"/>
      <c r="B1770" s="1133">
        <v>1520</v>
      </c>
      <c r="C1770" s="883">
        <v>0.98113804425090745</v>
      </c>
      <c r="D1770" s="883">
        <v>0.97884937643326586</v>
      </c>
      <c r="E1770" s="883">
        <v>1.0019802378823448</v>
      </c>
      <c r="F1770" s="883">
        <v>1.0009740864829322</v>
      </c>
      <c r="G1770" s="883">
        <v>0.99927161927754748</v>
      </c>
      <c r="H1770" s="883">
        <v>0.99323386888891407</v>
      </c>
      <c r="I1770" s="883">
        <v>0.97589862169008645</v>
      </c>
      <c r="K1770">
        <v>6.7529298505786155</v>
      </c>
      <c r="L1770">
        <v>0</v>
      </c>
      <c r="M1770">
        <v>1.0629625182429088E-2</v>
      </c>
      <c r="N1770">
        <v>0.19875910937744573</v>
      </c>
      <c r="O1770">
        <v>0.12535753926800036</v>
      </c>
      <c r="P1770">
        <v>8.3264554441117924E-2</v>
      </c>
      <c r="Q1770">
        <v>0</v>
      </c>
      <c r="R1770">
        <v>1.0629625182429088E-2</v>
      </c>
      <c r="S1770">
        <v>0.26812812453356483</v>
      </c>
      <c r="T1770">
        <v>5.9120741584409657</v>
      </c>
      <c r="U1770">
        <v>0</v>
      </c>
      <c r="V1770">
        <v>1.9259898806058905E-2</v>
      </c>
      <c r="W1770">
        <v>0.10451020807476276</v>
      </c>
      <c r="X1770">
        <v>-2.1946468617961698E-3</v>
      </c>
      <c r="Y1770">
        <v>4.3770904498491386E-2</v>
      </c>
    </row>
    <row r="1771" spans="1:25" x14ac:dyDescent="0.25">
      <c r="A1771" s="879"/>
      <c r="B1771" s="1133">
        <v>1521</v>
      </c>
      <c r="C1771" s="883">
        <v>0.99444271292985398</v>
      </c>
      <c r="D1771" s="883">
        <v>1.0016173711547738</v>
      </c>
      <c r="E1771" s="883">
        <v>0.97810705889813054</v>
      </c>
      <c r="F1771" s="883">
        <v>1.019990398993516</v>
      </c>
      <c r="G1771" s="883">
        <v>0.95764225292740368</v>
      </c>
      <c r="H1771" s="883">
        <v>0.97317844540288212</v>
      </c>
      <c r="I1771" s="883">
        <v>1.0107128800814216</v>
      </c>
      <c r="K1771">
        <v>6.7394109681655241</v>
      </c>
      <c r="L1771">
        <v>0</v>
      </c>
      <c r="M1771">
        <v>1.0389095815413599E-2</v>
      </c>
      <c r="N1771">
        <v>0.18750615026600009</v>
      </c>
      <c r="O1771">
        <v>0.12299545270706128</v>
      </c>
      <c r="P1771">
        <v>8.1841141557575645E-2</v>
      </c>
      <c r="Q1771">
        <v>0</v>
      </c>
      <c r="R1771">
        <v>1.0389095815413599E-2</v>
      </c>
      <c r="S1771">
        <v>0.27178292166336976</v>
      </c>
      <c r="T1771">
        <v>5.9144306283215196</v>
      </c>
      <c r="U1771">
        <v>0</v>
      </c>
      <c r="V1771">
        <v>1.9185559206191857E-2</v>
      </c>
      <c r="W1771">
        <v>9.9773979792703443E-2</v>
      </c>
      <c r="X1771">
        <v>-8.8531272665069607E-4</v>
      </c>
      <c r="Y1771">
        <v>4.2780447377752946E-2</v>
      </c>
    </row>
    <row r="1772" spans="1:25" x14ac:dyDescent="0.25">
      <c r="A1772" s="879"/>
      <c r="B1772" s="1133">
        <v>1522</v>
      </c>
      <c r="C1772" s="883">
        <v>0.98304055735530749</v>
      </c>
      <c r="D1772" s="883">
        <v>0.97658553187631247</v>
      </c>
      <c r="E1772" s="883">
        <v>0.95910390698264902</v>
      </c>
      <c r="F1772" s="883">
        <v>0.9703052398331381</v>
      </c>
      <c r="G1772" s="883">
        <v>0.95263125891098754</v>
      </c>
      <c r="H1772" s="883">
        <v>1.0234797382085483</v>
      </c>
      <c r="I1772" s="883">
        <v>0.96826361159349661</v>
      </c>
      <c r="K1772">
        <v>6.7564021160584122</v>
      </c>
      <c r="L1772">
        <v>0</v>
      </c>
      <c r="M1772">
        <v>1.1359711285217611E-2</v>
      </c>
      <c r="N1772">
        <v>0.19931957128674532</v>
      </c>
      <c r="O1772">
        <v>0.12604811649366837</v>
      </c>
      <c r="P1772">
        <v>8.0575707086417217E-2</v>
      </c>
      <c r="Q1772">
        <v>0</v>
      </c>
      <c r="R1772">
        <v>1.1359711285217611E-2</v>
      </c>
      <c r="S1772">
        <v>0.26830307112356805</v>
      </c>
      <c r="T1772">
        <v>5.9127785993055175</v>
      </c>
      <c r="U1772">
        <v>0</v>
      </c>
      <c r="V1772">
        <v>1.9249145248950199E-2</v>
      </c>
      <c r="W1772">
        <v>0.10707876943937668</v>
      </c>
      <c r="X1772">
        <v>-3.7281330451257077E-3</v>
      </c>
      <c r="Y1772">
        <v>4.6777269119292586E-2</v>
      </c>
    </row>
    <row r="1773" spans="1:25" x14ac:dyDescent="0.25">
      <c r="A1773" s="879"/>
      <c r="B1773" s="1133">
        <v>1523</v>
      </c>
      <c r="C1773" s="883">
        <v>0.9906636168320897</v>
      </c>
      <c r="D1773" s="883">
        <v>0.99028720636788681</v>
      </c>
      <c r="E1773" s="883">
        <v>1.0001448789254213</v>
      </c>
      <c r="F1773" s="883">
        <v>1.0036328534295811</v>
      </c>
      <c r="G1773" s="883">
        <v>0.96191292560936659</v>
      </c>
      <c r="H1773" s="883">
        <v>0.98235062777293258</v>
      </c>
      <c r="I1773" s="883">
        <v>0.97470882561735162</v>
      </c>
      <c r="K1773">
        <v>6.7390667167564837</v>
      </c>
      <c r="L1773">
        <v>0</v>
      </c>
      <c r="M1773">
        <v>1.0376980188815318E-2</v>
      </c>
      <c r="N1773">
        <v>0.19350816880270047</v>
      </c>
      <c r="O1773">
        <v>0.12361147017145352</v>
      </c>
      <c r="P1773">
        <v>8.3097800704524161E-2</v>
      </c>
      <c r="Q1773">
        <v>0</v>
      </c>
      <c r="R1773">
        <v>1.0376980188815318E-2</v>
      </c>
      <c r="S1773">
        <v>0.26409344500930293</v>
      </c>
      <c r="T1773">
        <v>5.9123211008102476</v>
      </c>
      <c r="U1773">
        <v>0</v>
      </c>
      <c r="V1773">
        <v>1.9206471804404851E-2</v>
      </c>
      <c r="W1773">
        <v>0.10184193953698797</v>
      </c>
      <c r="X1773">
        <v>-1.3442374670671294E-3</v>
      </c>
      <c r="Y1773">
        <v>4.2730557383922368E-2</v>
      </c>
    </row>
    <row r="1774" spans="1:25" x14ac:dyDescent="0.25">
      <c r="A1774" s="879"/>
      <c r="B1774" s="1133">
        <v>1524</v>
      </c>
      <c r="C1774" s="883">
        <v>0.98803092232830259</v>
      </c>
      <c r="D1774" s="883">
        <v>0.97959006392509329</v>
      </c>
      <c r="E1774" s="883">
        <v>1.0032267394281562</v>
      </c>
      <c r="F1774" s="883">
        <v>0.99685640016446264</v>
      </c>
      <c r="G1774" s="883">
        <v>0.99113372358817708</v>
      </c>
      <c r="H1774" s="883">
        <v>0.97699569965733135</v>
      </c>
      <c r="I1774" s="883">
        <v>1.0407855200798652</v>
      </c>
      <c r="K1774">
        <v>6.759027851707609</v>
      </c>
      <c r="L1774">
        <v>0</v>
      </c>
      <c r="M1774">
        <v>1.0368234442418063E-2</v>
      </c>
      <c r="N1774">
        <v>0.19422974652481784</v>
      </c>
      <c r="O1774">
        <v>0.12442147215016429</v>
      </c>
      <c r="P1774">
        <v>8.3529099868839732E-2</v>
      </c>
      <c r="Q1774">
        <v>0</v>
      </c>
      <c r="R1774">
        <v>1.0368234442418063E-2</v>
      </c>
      <c r="S1774">
        <v>0.28232813264290019</v>
      </c>
      <c r="T1774">
        <v>5.9117814052891866</v>
      </c>
      <c r="U1774">
        <v>0</v>
      </c>
      <c r="V1774">
        <v>1.9221135038144908E-2</v>
      </c>
      <c r="W1774">
        <v>0.10206547181334512</v>
      </c>
      <c r="X1774">
        <v>-1.2431555767346712E-3</v>
      </c>
      <c r="Y1774">
        <v>4.2694543956943297E-2</v>
      </c>
    </row>
    <row r="1775" spans="1:25" x14ac:dyDescent="0.25">
      <c r="A1775" s="879"/>
      <c r="B1775" s="1133">
        <v>1525</v>
      </c>
      <c r="C1775" s="883">
        <v>1.0311101292947527</v>
      </c>
      <c r="D1775" s="883">
        <v>1.0055002549495979</v>
      </c>
      <c r="E1775" s="883">
        <v>0.97354752817292134</v>
      </c>
      <c r="F1775" s="883">
        <v>0.99174035531885418</v>
      </c>
      <c r="G1775" s="883">
        <v>1.0160023771991415</v>
      </c>
      <c r="H1775" s="883">
        <v>0.99432863332954691</v>
      </c>
      <c r="I1775" s="883">
        <v>1.0057628268065024</v>
      </c>
      <c r="K1775">
        <v>6.7184384456330903</v>
      </c>
      <c r="L1775">
        <v>0</v>
      </c>
      <c r="M1775">
        <v>1.0261138301338632E-2</v>
      </c>
      <c r="N1775">
        <v>0.18394773557237099</v>
      </c>
      <c r="O1775">
        <v>0.1185198616538488</v>
      </c>
      <c r="P1775">
        <v>8.141544252306189E-2</v>
      </c>
      <c r="Q1775">
        <v>0</v>
      </c>
      <c r="R1775">
        <v>1.0261138301338632E-2</v>
      </c>
      <c r="S1775">
        <v>0.26273323604339843</v>
      </c>
      <c r="T1775">
        <v>5.9131534343689696</v>
      </c>
      <c r="U1775">
        <v>0</v>
      </c>
      <c r="V1775">
        <v>1.8990609974416924E-2</v>
      </c>
      <c r="W1775">
        <v>9.8104609318834551E-2</v>
      </c>
      <c r="X1775">
        <v>-6.8002493219465252E-4</v>
      </c>
      <c r="Y1775">
        <v>4.2253541110380717E-2</v>
      </c>
    </row>
    <row r="1776" spans="1:25" x14ac:dyDescent="0.25">
      <c r="A1776" s="879"/>
      <c r="B1776" s="1133">
        <v>1526</v>
      </c>
      <c r="C1776" s="883">
        <v>1.0050800303630345</v>
      </c>
      <c r="D1776" s="883">
        <v>1.0092639470046438</v>
      </c>
      <c r="E1776" s="883">
        <v>0.97746348797746896</v>
      </c>
      <c r="F1776" s="883">
        <v>1.0287232362832825</v>
      </c>
      <c r="G1776" s="883">
        <v>0.96758971426616358</v>
      </c>
      <c r="H1776" s="883">
        <v>0.99138843130816956</v>
      </c>
      <c r="I1776" s="883">
        <v>0.99532214668916896</v>
      </c>
      <c r="K1776">
        <v>6.7339077866161317</v>
      </c>
      <c r="L1776">
        <v>0</v>
      </c>
      <c r="M1776">
        <v>1.0443291671649571E-2</v>
      </c>
      <c r="N1776">
        <v>0.1883043781920094</v>
      </c>
      <c r="O1776">
        <v>0.12133590745982642</v>
      </c>
      <c r="P1776">
        <v>8.1736075276609518E-2</v>
      </c>
      <c r="Q1776">
        <v>0</v>
      </c>
      <c r="R1776">
        <v>1.0443291671649571E-2</v>
      </c>
      <c r="S1776">
        <v>0.26643742915357638</v>
      </c>
      <c r="T1776">
        <v>5.9149381232835916</v>
      </c>
      <c r="U1776">
        <v>0</v>
      </c>
      <c r="V1776">
        <v>1.9127539203245544E-2</v>
      </c>
      <c r="W1776">
        <v>0.10023104793409522</v>
      </c>
      <c r="X1776">
        <v>-1.2063301540527164E-3</v>
      </c>
      <c r="Y1776">
        <v>4.3003616267229879E-2</v>
      </c>
    </row>
    <row r="1777" spans="1:25" x14ac:dyDescent="0.25">
      <c r="A1777" s="879"/>
      <c r="B1777" s="1133">
        <v>1527</v>
      </c>
      <c r="C1777" s="883">
        <v>0.97426745788171942</v>
      </c>
      <c r="D1777" s="883">
        <v>0.99201459248728308</v>
      </c>
      <c r="E1777" s="883">
        <v>0.98560752937436868</v>
      </c>
      <c r="F1777" s="883">
        <v>1.0012939353581525</v>
      </c>
      <c r="G1777" s="883">
        <v>0.97909890337034822</v>
      </c>
      <c r="H1777" s="883">
        <v>0.9930199948710523</v>
      </c>
      <c r="I1777" s="883">
        <v>1.0219312198669019</v>
      </c>
      <c r="K1777">
        <v>6.7667755151223385</v>
      </c>
      <c r="L1777">
        <v>0</v>
      </c>
      <c r="M1777">
        <v>1.0794365731780742E-2</v>
      </c>
      <c r="N1777">
        <v>0.19700043516020241</v>
      </c>
      <c r="O1777">
        <v>0.12588370808972824</v>
      </c>
      <c r="P1777">
        <v>8.2439359124827929E-2</v>
      </c>
      <c r="Q1777">
        <v>0</v>
      </c>
      <c r="R1777">
        <v>1.0794365731780742E-2</v>
      </c>
      <c r="S1777">
        <v>0.28256300724844241</v>
      </c>
      <c r="T1777">
        <v>5.9130059384870286</v>
      </c>
      <c r="U1777">
        <v>0</v>
      </c>
      <c r="V1777">
        <v>1.9299083055432945E-2</v>
      </c>
      <c r="W1777">
        <v>0.10443334346652769</v>
      </c>
      <c r="X1777">
        <v>-2.298636267856204E-3</v>
      </c>
      <c r="Y1777">
        <v>4.4449276757996821E-2</v>
      </c>
    </row>
    <row r="1778" spans="1:25" x14ac:dyDescent="0.25">
      <c r="A1778" s="879"/>
      <c r="B1778" s="1133">
        <v>1528</v>
      </c>
      <c r="C1778" s="883">
        <v>0.99810295905075364</v>
      </c>
      <c r="D1778" s="883">
        <v>1.0079275787101956</v>
      </c>
      <c r="E1778" s="883">
        <v>1.0241909837876944</v>
      </c>
      <c r="F1778" s="883">
        <v>1.003816747718818</v>
      </c>
      <c r="G1778" s="883">
        <v>0.96840920282909115</v>
      </c>
      <c r="H1778" s="883">
        <v>1.0125682562843248</v>
      </c>
      <c r="I1778" s="883">
        <v>0.98814770150252684</v>
      </c>
      <c r="K1778">
        <v>6.7482775039132115</v>
      </c>
      <c r="L1778">
        <v>0</v>
      </c>
      <c r="M1778">
        <v>1.0317164836803353E-2</v>
      </c>
      <c r="N1778">
        <v>0.19936366193844809</v>
      </c>
      <c r="O1778">
        <v>0.12137402133237242</v>
      </c>
      <c r="P1778">
        <v>8.4645167500808124E-2</v>
      </c>
      <c r="Q1778">
        <v>0</v>
      </c>
      <c r="R1778">
        <v>1.0317164836803353E-2</v>
      </c>
      <c r="S1778">
        <v>0.2684278785641861</v>
      </c>
      <c r="T1778">
        <v>5.9109634195334495</v>
      </c>
      <c r="U1778">
        <v>0</v>
      </c>
      <c r="V1778">
        <v>1.9165455264443066E-2</v>
      </c>
      <c r="W1778">
        <v>0.10368421947619366</v>
      </c>
      <c r="X1778">
        <v>-1.8305681077560546E-3</v>
      </c>
      <c r="Y1778">
        <v>4.2484248411072852E-2</v>
      </c>
    </row>
    <row r="1779" spans="1:25" x14ac:dyDescent="0.25">
      <c r="A1779" s="879"/>
      <c r="B1779" s="1133">
        <v>1529</v>
      </c>
      <c r="C1779" s="883">
        <v>1.036207215914247</v>
      </c>
      <c r="D1779" s="883">
        <v>0.99807454832721088</v>
      </c>
      <c r="E1779" s="883">
        <v>0.99668523707514278</v>
      </c>
      <c r="F1779" s="883">
        <v>0.98414343225899215</v>
      </c>
      <c r="G1779" s="883">
        <v>1.0023380913438764</v>
      </c>
      <c r="H1779" s="883">
        <v>1.0277990484672808</v>
      </c>
      <c r="I1779" s="883">
        <v>1.0166103356072664</v>
      </c>
      <c r="K1779">
        <v>6.7337463686328176</v>
      </c>
      <c r="L1779">
        <v>0</v>
      </c>
      <c r="M1779">
        <v>1.0376412019567937E-2</v>
      </c>
      <c r="N1779">
        <v>0.19250824348195805</v>
      </c>
      <c r="O1779">
        <v>0.11787134308486957</v>
      </c>
      <c r="P1779">
        <v>8.2910961974960409E-2</v>
      </c>
      <c r="Q1779">
        <v>0</v>
      </c>
      <c r="R1779">
        <v>1.0376412019567937E-2</v>
      </c>
      <c r="S1779">
        <v>0.26746816125289608</v>
      </c>
      <c r="T1779">
        <v>5.9114619205935464</v>
      </c>
      <c r="U1779">
        <v>0</v>
      </c>
      <c r="V1779">
        <v>1.8964602607221569E-2</v>
      </c>
      <c r="W1779">
        <v>0.10149002681958737</v>
      </c>
      <c r="X1779">
        <v>-1.6571089463132036E-3</v>
      </c>
      <c r="Y1779">
        <v>4.2728217764092004E-2</v>
      </c>
    </row>
    <row r="1780" spans="1:25" x14ac:dyDescent="0.25">
      <c r="A1780" s="879"/>
      <c r="B1780" s="1133">
        <v>1530</v>
      </c>
      <c r="C1780" s="883">
        <v>0.99683128623917328</v>
      </c>
      <c r="D1780" s="883">
        <v>1.0370498029809709</v>
      </c>
      <c r="E1780" s="883">
        <v>0.98219860882935661</v>
      </c>
      <c r="F1780" s="883">
        <v>0.97661988126922461</v>
      </c>
      <c r="G1780" s="883">
        <v>1.0025335623232692</v>
      </c>
      <c r="H1780" s="883">
        <v>1.0260349295388753</v>
      </c>
      <c r="I1780" s="883">
        <v>0.99255907012125411</v>
      </c>
      <c r="K1780">
        <v>6.7449042398265178</v>
      </c>
      <c r="L1780">
        <v>0</v>
      </c>
      <c r="M1780">
        <v>1.0727403764022302E-2</v>
      </c>
      <c r="N1780">
        <v>0.19479094692407301</v>
      </c>
      <c r="O1780">
        <v>0.12093124739938871</v>
      </c>
      <c r="P1780">
        <v>8.2052784046387842E-2</v>
      </c>
      <c r="Q1780">
        <v>0</v>
      </c>
      <c r="R1780">
        <v>1.0727403764022302E-2</v>
      </c>
      <c r="S1780">
        <v>0.27086093790017707</v>
      </c>
      <c r="T1780">
        <v>5.9118606306011436</v>
      </c>
      <c r="U1780">
        <v>0</v>
      </c>
      <c r="V1780">
        <v>1.9172423204787854E-2</v>
      </c>
      <c r="W1780">
        <v>0.10343818048081913</v>
      </c>
      <c r="X1780">
        <v>-2.3764500238177069E-3</v>
      </c>
      <c r="Y1780">
        <v>4.4173539293553513E-2</v>
      </c>
    </row>
    <row r="1781" spans="1:25" x14ac:dyDescent="0.25">
      <c r="A1781" s="879"/>
      <c r="B1781" s="1133">
        <v>1531</v>
      </c>
      <c r="C1781" s="883">
        <v>1.0320450314653395</v>
      </c>
      <c r="D1781" s="883">
        <v>0.97737292939582177</v>
      </c>
      <c r="E1781" s="883">
        <v>1.0109086875743483</v>
      </c>
      <c r="F1781" s="883">
        <v>0.99845954854725028</v>
      </c>
      <c r="G1781" s="883">
        <v>0.9949054261028244</v>
      </c>
      <c r="H1781" s="883">
        <v>1.028116414970548</v>
      </c>
      <c r="I1781" s="883">
        <v>0.99269993254131139</v>
      </c>
      <c r="K1781">
        <v>6.7363478431980992</v>
      </c>
      <c r="L1781">
        <v>0</v>
      </c>
      <c r="M1781">
        <v>1.0385598439913518E-2</v>
      </c>
      <c r="N1781">
        <v>0.19678066987301759</v>
      </c>
      <c r="O1781">
        <v>0.1190819771898534</v>
      </c>
      <c r="P1781">
        <v>8.3736802039197783E-2</v>
      </c>
      <c r="Q1781">
        <v>0</v>
      </c>
      <c r="R1781">
        <v>1.0385598439913518E-2</v>
      </c>
      <c r="S1781">
        <v>0.2625148355226925</v>
      </c>
      <c r="T1781">
        <v>5.9114333213331456</v>
      </c>
      <c r="U1781">
        <v>0</v>
      </c>
      <c r="V1781">
        <v>1.8985820492824473E-2</v>
      </c>
      <c r="W1781">
        <v>0.10301333130212349</v>
      </c>
      <c r="X1781">
        <v>-1.9649603627158443E-3</v>
      </c>
      <c r="Y1781">
        <v>4.2766045807953249E-2</v>
      </c>
    </row>
    <row r="1782" spans="1:25" x14ac:dyDescent="0.25">
      <c r="A1782" s="879"/>
      <c r="B1782" s="1133">
        <v>1532</v>
      </c>
      <c r="C1782" s="883">
        <v>1.0000998189021055</v>
      </c>
      <c r="D1782" s="883">
        <v>0.99601188609999824</v>
      </c>
      <c r="E1782" s="883">
        <v>1.0281554038284646</v>
      </c>
      <c r="F1782" s="883">
        <v>0.98511763455432266</v>
      </c>
      <c r="G1782" s="883">
        <v>0.97730422185477539</v>
      </c>
      <c r="H1782" s="883">
        <v>1.0005439616693099</v>
      </c>
      <c r="I1782" s="883">
        <v>0.9840961108451779</v>
      </c>
      <c r="K1782">
        <v>6.7425834861089537</v>
      </c>
      <c r="L1782">
        <v>0</v>
      </c>
      <c r="M1782">
        <v>1.0190792165804707E-2</v>
      </c>
      <c r="N1782">
        <v>0.19807941589852446</v>
      </c>
      <c r="O1782">
        <v>0.12163394760890919</v>
      </c>
      <c r="P1782">
        <v>8.4840387014674612E-2</v>
      </c>
      <c r="Q1782">
        <v>0</v>
      </c>
      <c r="R1782">
        <v>1.0190792165804707E-2</v>
      </c>
      <c r="S1782">
        <v>0.2658053048597197</v>
      </c>
      <c r="T1782">
        <v>5.9097247930713293</v>
      </c>
      <c r="U1782">
        <v>0</v>
      </c>
      <c r="V1782">
        <v>1.9154549529595739E-2</v>
      </c>
      <c r="W1782">
        <v>0.10281584082671107</v>
      </c>
      <c r="X1782">
        <v>-1.4346209459123146E-3</v>
      </c>
      <c r="Y1782">
        <v>4.1963868245397357E-2</v>
      </c>
    </row>
    <row r="1783" spans="1:25" x14ac:dyDescent="0.25">
      <c r="A1783" s="879"/>
      <c r="B1783" s="1133">
        <v>1533</v>
      </c>
      <c r="C1783" s="883">
        <v>0.96111044364259068</v>
      </c>
      <c r="D1783" s="883">
        <v>1.0375818946361146</v>
      </c>
      <c r="E1783" s="883">
        <v>0.95274818324308641</v>
      </c>
      <c r="F1783" s="883">
        <v>1.0071784981484262</v>
      </c>
      <c r="G1783" s="883">
        <v>1.0290862291179286</v>
      </c>
      <c r="H1783" s="883">
        <v>0.98706852323776695</v>
      </c>
      <c r="I1783" s="883">
        <v>1.0107611006468649</v>
      </c>
      <c r="K1783">
        <v>6.759782914253047</v>
      </c>
      <c r="L1783">
        <v>0</v>
      </c>
      <c r="M1783">
        <v>1.097907854509278E-2</v>
      </c>
      <c r="N1783">
        <v>0.19082966190688727</v>
      </c>
      <c r="O1783">
        <v>0.12595681562419178</v>
      </c>
      <c r="P1783">
        <v>8.0385679422853906E-2</v>
      </c>
      <c r="Q1783">
        <v>0</v>
      </c>
      <c r="R1783">
        <v>1.097907854509278E-2</v>
      </c>
      <c r="S1783">
        <v>0.28221950506950455</v>
      </c>
      <c r="T1783">
        <v>5.9151140885722606</v>
      </c>
      <c r="U1783">
        <v>0</v>
      </c>
      <c r="V1783">
        <v>1.9375683606262951E-2</v>
      </c>
      <c r="W1783">
        <v>0.10284781493842547</v>
      </c>
      <c r="X1783">
        <v>-2.1562261329002002E-3</v>
      </c>
      <c r="Y1783">
        <v>4.520989124556065E-2</v>
      </c>
    </row>
    <row r="1784" spans="1:25" x14ac:dyDescent="0.25">
      <c r="A1784" s="879"/>
      <c r="B1784" s="1133">
        <v>1534</v>
      </c>
      <c r="C1784" s="883">
        <v>0.99860463598931404</v>
      </c>
      <c r="D1784" s="883">
        <v>0.98806477656518299</v>
      </c>
      <c r="E1784" s="883">
        <v>1.0465734091639469</v>
      </c>
      <c r="F1784" s="883">
        <v>1.0056660006042475</v>
      </c>
      <c r="G1784" s="883">
        <v>1.0265172784971792</v>
      </c>
      <c r="H1784" s="883">
        <v>0.98481913027052548</v>
      </c>
      <c r="I1784" s="883">
        <v>0.9985508370296815</v>
      </c>
      <c r="K1784">
        <v>6.7456443340458465</v>
      </c>
      <c r="L1784">
        <v>0</v>
      </c>
      <c r="M1784">
        <v>9.9186601442146551E-3</v>
      </c>
      <c r="N1784">
        <v>0.19810791931769245</v>
      </c>
      <c r="O1784">
        <v>0.12185365841472011</v>
      </c>
      <c r="P1784">
        <v>8.6032296365125716E-2</v>
      </c>
      <c r="Q1784">
        <v>0</v>
      </c>
      <c r="R1784">
        <v>9.9186601442146551E-3</v>
      </c>
      <c r="S1784">
        <v>0.26873701650647991</v>
      </c>
      <c r="T1784">
        <v>5.9097618602191586</v>
      </c>
      <c r="U1784">
        <v>0</v>
      </c>
      <c r="V1784">
        <v>1.9162711282447412E-2</v>
      </c>
      <c r="W1784">
        <v>0.10190844361626704</v>
      </c>
      <c r="X1784">
        <v>-7.6284869423457575E-4</v>
      </c>
      <c r="Y1784">
        <v>4.0843277018183681E-2</v>
      </c>
    </row>
    <row r="1785" spans="1:25" x14ac:dyDescent="0.25">
      <c r="A1785" s="879"/>
      <c r="B1785" s="1133">
        <v>1535</v>
      </c>
      <c r="C1785" s="883">
        <v>1.0001886524085859</v>
      </c>
      <c r="D1785" s="883">
        <v>0.97808895930789475</v>
      </c>
      <c r="E1785" s="883">
        <v>1.0178043847848599</v>
      </c>
      <c r="F1785" s="883">
        <v>1.0205556807167888</v>
      </c>
      <c r="G1785" s="883">
        <v>0.98271758514395724</v>
      </c>
      <c r="H1785" s="883">
        <v>0.99548024101978605</v>
      </c>
      <c r="I1785" s="883">
        <v>1.0277408527424183</v>
      </c>
      <c r="K1785">
        <v>6.7570039013738405</v>
      </c>
      <c r="L1785">
        <v>0</v>
      </c>
      <c r="M1785">
        <v>1.0310555496813222E-2</v>
      </c>
      <c r="N1785">
        <v>0.19736263985899496</v>
      </c>
      <c r="O1785">
        <v>0.12270755457281594</v>
      </c>
      <c r="P1785">
        <v>8.4381949016990004E-2</v>
      </c>
      <c r="Q1785">
        <v>0</v>
      </c>
      <c r="R1785">
        <v>1.0310555496813222E-2</v>
      </c>
      <c r="S1785">
        <v>0.27724932543079872</v>
      </c>
      <c r="T1785">
        <v>5.9122341228302462</v>
      </c>
      <c r="U1785">
        <v>0</v>
      </c>
      <c r="V1785">
        <v>1.9154065382228483E-2</v>
      </c>
      <c r="W1785">
        <v>0.10296682902554125</v>
      </c>
      <c r="X1785">
        <v>-1.509617069187104E-3</v>
      </c>
      <c r="Y1785">
        <v>4.2457032325412175E-2</v>
      </c>
    </row>
    <row r="1786" spans="1:25" x14ac:dyDescent="0.25">
      <c r="A1786" s="879"/>
      <c r="B1786" s="1133">
        <v>1536</v>
      </c>
      <c r="C1786" s="883">
        <v>0.99705056204267095</v>
      </c>
      <c r="D1786" s="883">
        <v>1.0000535145728171</v>
      </c>
      <c r="E1786" s="883">
        <v>0.97622178556841943</v>
      </c>
      <c r="F1786" s="883">
        <v>0.99716971039395896</v>
      </c>
      <c r="G1786" s="883">
        <v>1.0093655150946033</v>
      </c>
      <c r="H1786" s="883">
        <v>0.99615019233176894</v>
      </c>
      <c r="I1786" s="883">
        <v>0.99014286406223451</v>
      </c>
      <c r="K1786">
        <v>6.7398888664193048</v>
      </c>
      <c r="L1786">
        <v>0</v>
      </c>
      <c r="M1786">
        <v>1.0631065210882199E-2</v>
      </c>
      <c r="N1786">
        <v>0.19133724177345982</v>
      </c>
      <c r="O1786">
        <v>0.12278548527589982</v>
      </c>
      <c r="P1786">
        <v>8.1653709112731523E-2</v>
      </c>
      <c r="Q1786">
        <v>0</v>
      </c>
      <c r="R1786">
        <v>1.0631065210882199E-2</v>
      </c>
      <c r="S1786">
        <v>0.26771591474705309</v>
      </c>
      <c r="T1786">
        <v>5.9133004476813555</v>
      </c>
      <c r="U1786">
        <v>0</v>
      </c>
      <c r="V1786">
        <v>1.9171220447743231E-2</v>
      </c>
      <c r="W1786">
        <v>0.10190880903079907</v>
      </c>
      <c r="X1786">
        <v>-1.7607959290848599E-3</v>
      </c>
      <c r="Y1786">
        <v>4.3776834279345783E-2</v>
      </c>
    </row>
    <row r="1787" spans="1:25" x14ac:dyDescent="0.25">
      <c r="A1787" s="879"/>
      <c r="B1787" s="1133">
        <v>1537</v>
      </c>
      <c r="C1787" s="883">
        <v>1.0087765935872355</v>
      </c>
      <c r="D1787" s="883">
        <v>0.97635541885179178</v>
      </c>
      <c r="E1787" s="883">
        <v>0.97713489588842639</v>
      </c>
      <c r="F1787" s="883">
        <v>1.0057246135060287</v>
      </c>
      <c r="G1787" s="883">
        <v>1.0081858254631926</v>
      </c>
      <c r="H1787" s="883">
        <v>0.98908311147116379</v>
      </c>
      <c r="I1787" s="883">
        <v>0.98956250942534374</v>
      </c>
      <c r="K1787">
        <v>6.7338115141907373</v>
      </c>
      <c r="L1787">
        <v>0</v>
      </c>
      <c r="M1787">
        <v>1.0532330031770206E-2</v>
      </c>
      <c r="N1787">
        <v>0.18981725883874873</v>
      </c>
      <c r="O1787">
        <v>0.12251106898876594</v>
      </c>
      <c r="P1787">
        <v>8.1667299043491084E-2</v>
      </c>
      <c r="Q1787">
        <v>0</v>
      </c>
      <c r="R1787">
        <v>1.0532330031770206E-2</v>
      </c>
      <c r="S1787">
        <v>0.26402961509266754</v>
      </c>
      <c r="T1787">
        <v>5.9137128223829416</v>
      </c>
      <c r="U1787">
        <v>0</v>
      </c>
      <c r="V1787">
        <v>1.9107663223820879E-2</v>
      </c>
      <c r="W1787">
        <v>0.10105297037866803</v>
      </c>
      <c r="X1787">
        <v>-1.457444144337939E-3</v>
      </c>
      <c r="Y1787">
        <v>4.3370260385969348E-2</v>
      </c>
    </row>
    <row r="1788" spans="1:25" x14ac:dyDescent="0.25">
      <c r="A1788" s="879"/>
      <c r="B1788" s="1133">
        <v>1538</v>
      </c>
      <c r="C1788" s="883">
        <v>1.0253173065483467</v>
      </c>
      <c r="D1788" s="883">
        <v>0.99404370911673523</v>
      </c>
      <c r="E1788" s="883">
        <v>0.99124727502357035</v>
      </c>
      <c r="F1788" s="883">
        <v>1.0042191771132172</v>
      </c>
      <c r="G1788" s="883">
        <v>1.0019370281157709</v>
      </c>
      <c r="H1788" s="883">
        <v>1.0465282938097602</v>
      </c>
      <c r="I1788" s="883">
        <v>0.98519479520248587</v>
      </c>
      <c r="K1788">
        <v>6.7413046548803717</v>
      </c>
      <c r="L1788">
        <v>0</v>
      </c>
      <c r="M1788">
        <v>1.0747139711379772E-2</v>
      </c>
      <c r="N1788">
        <v>0.19778560169356144</v>
      </c>
      <c r="O1788">
        <v>0.11941557431845119</v>
      </c>
      <c r="P1788">
        <v>8.2538110523578387E-2</v>
      </c>
      <c r="Q1788">
        <v>0</v>
      </c>
      <c r="R1788">
        <v>1.0747139711379772E-2</v>
      </c>
      <c r="S1788">
        <v>0.26369112622756846</v>
      </c>
      <c r="T1788">
        <v>5.9128507290220584</v>
      </c>
      <c r="U1788">
        <v>0</v>
      </c>
      <c r="V1788">
        <v>1.9020481192982507E-2</v>
      </c>
      <c r="W1788">
        <v>0.10455492452845115</v>
      </c>
      <c r="X1788">
        <v>-2.8067010381832491E-3</v>
      </c>
      <c r="Y1788">
        <v>4.4254808411903906E-2</v>
      </c>
    </row>
    <row r="1789" spans="1:25" x14ac:dyDescent="0.25">
      <c r="A1789" s="879"/>
      <c r="B1789" s="1133">
        <v>1539</v>
      </c>
      <c r="C1789" s="883">
        <v>0.97342992161631781</v>
      </c>
      <c r="D1789" s="883">
        <v>0.98550978164692471</v>
      </c>
      <c r="E1789" s="883">
        <v>1.0132994883122273</v>
      </c>
      <c r="F1789" s="883">
        <v>1.0104108521434003</v>
      </c>
      <c r="G1789" s="883">
        <v>0.99046883758640847</v>
      </c>
      <c r="H1789" s="883">
        <v>0.99854729650162688</v>
      </c>
      <c r="I1789" s="883">
        <v>0.994315455532363</v>
      </c>
      <c r="K1789">
        <v>6.7662229102311766</v>
      </c>
      <c r="L1789">
        <v>0</v>
      </c>
      <c r="M1789">
        <v>1.0634089162374526E-2</v>
      </c>
      <c r="N1789">
        <v>0.20220321982184708</v>
      </c>
      <c r="O1789">
        <v>0.12578794085788825</v>
      </c>
      <c r="P1789">
        <v>8.4077784268905748E-2</v>
      </c>
      <c r="Q1789">
        <v>0</v>
      </c>
      <c r="R1789">
        <v>1.0634089162374526E-2</v>
      </c>
      <c r="S1789">
        <v>0.27581535515529398</v>
      </c>
      <c r="T1789">
        <v>5.9119431069157162</v>
      </c>
      <c r="U1789">
        <v>0</v>
      </c>
      <c r="V1789">
        <v>1.9303897506465089E-2</v>
      </c>
      <c r="W1789">
        <v>0.10572700915691126</v>
      </c>
      <c r="X1789">
        <v>-2.424689825200459E-3</v>
      </c>
      <c r="Y1789">
        <v>4.3789286373347891E-2</v>
      </c>
    </row>
    <row r="1790" spans="1:25" x14ac:dyDescent="0.25">
      <c r="A1790" s="879"/>
      <c r="B1790" s="1133">
        <v>1540</v>
      </c>
      <c r="C1790" s="883">
        <v>0.98541429492170129</v>
      </c>
      <c r="D1790" s="883">
        <v>0.99789066151458927</v>
      </c>
      <c r="E1790" s="883">
        <v>0.99791426871506905</v>
      </c>
      <c r="F1790" s="883">
        <v>0.99671488672724029</v>
      </c>
      <c r="G1790" s="883">
        <v>0.98516875843255824</v>
      </c>
      <c r="H1790" s="883">
        <v>0.98863107441505849</v>
      </c>
      <c r="I1790" s="883">
        <v>1.0148291423180704</v>
      </c>
      <c r="K1790">
        <v>6.7544430010332723</v>
      </c>
      <c r="L1790">
        <v>0</v>
      </c>
      <c r="M1790">
        <v>1.0485017192444988E-2</v>
      </c>
      <c r="N1790">
        <v>0.19487771843526513</v>
      </c>
      <c r="O1790">
        <v>0.12393276473890463</v>
      </c>
      <c r="P1790">
        <v>8.3126933734713318E-2</v>
      </c>
      <c r="Q1790">
        <v>0</v>
      </c>
      <c r="R1790">
        <v>1.0485017192444988E-2</v>
      </c>
      <c r="S1790">
        <v>0.27696046809556535</v>
      </c>
      <c r="T1790">
        <v>5.9120724685332293</v>
      </c>
      <c r="U1790">
        <v>0</v>
      </c>
      <c r="V1790">
        <v>1.923578641812821E-2</v>
      </c>
      <c r="W1790">
        <v>0.10267645021689846</v>
      </c>
      <c r="X1790">
        <v>-1.615023674433507E-3</v>
      </c>
      <c r="Y1790">
        <v>4.3175434534999557E-2</v>
      </c>
    </row>
    <row r="1791" spans="1:25" x14ac:dyDescent="0.25">
      <c r="A1791" s="879"/>
      <c r="B1791" s="1133">
        <v>1541</v>
      </c>
      <c r="C1791" s="883">
        <v>1.0346079450028678</v>
      </c>
      <c r="D1791" s="883">
        <v>0.99036884585446017</v>
      </c>
      <c r="E1791" s="883">
        <v>1.025001690949811</v>
      </c>
      <c r="F1791" s="883">
        <v>0.98648619899171641</v>
      </c>
      <c r="G1791" s="883">
        <v>0.98874000980428867</v>
      </c>
      <c r="H1791" s="883">
        <v>1.0219432067056695</v>
      </c>
      <c r="I1791" s="883">
        <v>0.98662995850294843</v>
      </c>
      <c r="K1791">
        <v>6.7286815468506243</v>
      </c>
      <c r="L1791">
        <v>0</v>
      </c>
      <c r="M1791">
        <v>1.0114004470023941E-2</v>
      </c>
      <c r="N1791">
        <v>0.19567233786298996</v>
      </c>
      <c r="O1791">
        <v>0.11790257629657264</v>
      </c>
      <c r="P1791">
        <v>8.4559164366537806E-2</v>
      </c>
      <c r="Q1791">
        <v>0</v>
      </c>
      <c r="R1791">
        <v>1.0114004470023941E-2</v>
      </c>
      <c r="S1791">
        <v>0.25958338932457847</v>
      </c>
      <c r="T1791">
        <v>5.9099805373230403</v>
      </c>
      <c r="U1791">
        <v>0</v>
      </c>
      <c r="V1791">
        <v>1.8972735136914817E-2</v>
      </c>
      <c r="W1791">
        <v>0.10172389585083008</v>
      </c>
      <c r="X1791">
        <v>-1.3607594927111789E-3</v>
      </c>
      <c r="Y1791">
        <v>4.1647670181872494E-2</v>
      </c>
    </row>
    <row r="1792" spans="1:25" x14ac:dyDescent="0.25">
      <c r="A1792" s="879"/>
      <c r="B1792" s="1133">
        <v>1542</v>
      </c>
      <c r="C1792" s="883">
        <v>0.98524541881353545</v>
      </c>
      <c r="D1792" s="883">
        <v>0.95441372162604776</v>
      </c>
      <c r="E1792" s="883">
        <v>1.0154269468818888</v>
      </c>
      <c r="F1792" s="883">
        <v>1.0324254397045047</v>
      </c>
      <c r="G1792" s="883">
        <v>1.0052929382330844</v>
      </c>
      <c r="H1792" s="883">
        <v>1.0052246806637954</v>
      </c>
      <c r="I1792" s="883">
        <v>1.0292948110532785</v>
      </c>
      <c r="K1792">
        <v>6.7777185394399417</v>
      </c>
      <c r="L1792">
        <v>0</v>
      </c>
      <c r="M1792">
        <v>1.0703298523367695E-2</v>
      </c>
      <c r="N1792">
        <v>0.20416098781960443</v>
      </c>
      <c r="O1792">
        <v>0.12584204301897814</v>
      </c>
      <c r="P1792">
        <v>8.4324041955535972E-2</v>
      </c>
      <c r="Q1792">
        <v>0</v>
      </c>
      <c r="R1792">
        <v>1.0703298523367695E-2</v>
      </c>
      <c r="S1792">
        <v>0.28313006185609652</v>
      </c>
      <c r="T1792">
        <v>5.9130112743220122</v>
      </c>
      <c r="U1792">
        <v>0</v>
      </c>
      <c r="V1792">
        <v>1.9236734685856172E-2</v>
      </c>
      <c r="W1792">
        <v>0.10663860646874855</v>
      </c>
      <c r="X1792">
        <v>-2.6994888900021209E-3</v>
      </c>
      <c r="Y1792">
        <v>4.4074278203110724E-2</v>
      </c>
    </row>
    <row r="1793" spans="1:25" x14ac:dyDescent="0.25">
      <c r="A1793" s="879"/>
      <c r="B1793" s="1133">
        <v>1543</v>
      </c>
      <c r="C1793" s="883">
        <v>0.95632378668935525</v>
      </c>
      <c r="D1793" s="883">
        <v>0.9739211184986919</v>
      </c>
      <c r="E1793" s="883">
        <v>1.0190488790379988</v>
      </c>
      <c r="F1793" s="883">
        <v>1.0060783042212118</v>
      </c>
      <c r="G1793" s="883">
        <v>1.0231324659376191</v>
      </c>
      <c r="H1793" s="883">
        <v>0.9912971817135634</v>
      </c>
      <c r="I1793" s="883">
        <v>0.99543091467729727</v>
      </c>
      <c r="K1793">
        <v>6.7792911987423672</v>
      </c>
      <c r="L1793">
        <v>0</v>
      </c>
      <c r="M1793">
        <v>1.074613394521731E-2</v>
      </c>
      <c r="N1793">
        <v>0.206079478218121</v>
      </c>
      <c r="O1793">
        <v>0.12853047142464061</v>
      </c>
      <c r="P1793">
        <v>8.4495836003636485E-2</v>
      </c>
      <c r="Q1793">
        <v>0</v>
      </c>
      <c r="R1793">
        <v>1.074613394521731E-2</v>
      </c>
      <c r="S1793">
        <v>0.28048399753690872</v>
      </c>
      <c r="T1793">
        <v>5.9113807344209661</v>
      </c>
      <c r="U1793">
        <v>0</v>
      </c>
      <c r="V1793">
        <v>1.9404074567079894E-2</v>
      </c>
      <c r="W1793">
        <v>0.10744859289998528</v>
      </c>
      <c r="X1793">
        <v>-2.7826531748394541E-3</v>
      </c>
      <c r="Y1793">
        <v>4.4250666845866579E-2</v>
      </c>
    </row>
    <row r="1794" spans="1:25" x14ac:dyDescent="0.25">
      <c r="A1794" s="879"/>
      <c r="B1794" s="1133">
        <v>1544</v>
      </c>
      <c r="C1794" s="883">
        <v>0.98169859526076231</v>
      </c>
      <c r="D1794" s="883">
        <v>1.0263982941755372</v>
      </c>
      <c r="E1794" s="883">
        <v>1.0323551053830493</v>
      </c>
      <c r="F1794" s="883">
        <v>1.013834040366655</v>
      </c>
      <c r="G1794" s="883">
        <v>1.0233324173778771</v>
      </c>
      <c r="H1794" s="883">
        <v>0.96020805059743519</v>
      </c>
      <c r="I1794" s="883">
        <v>0.98518840524342099</v>
      </c>
      <c r="K1794">
        <v>6.7361682889650796</v>
      </c>
      <c r="L1794">
        <v>0</v>
      </c>
      <c r="M1794">
        <v>9.7997722089362554E-3</v>
      </c>
      <c r="N1794">
        <v>0.19166527013424756</v>
      </c>
      <c r="O1794">
        <v>0.12235279202618742</v>
      </c>
      <c r="P1794">
        <v>8.5139099514283903E-2</v>
      </c>
      <c r="Q1794">
        <v>0</v>
      </c>
      <c r="R1794">
        <v>9.7997722089362554E-3</v>
      </c>
      <c r="S1794">
        <v>0.26702748245653773</v>
      </c>
      <c r="T1794">
        <v>5.911032956028893</v>
      </c>
      <c r="U1794">
        <v>0</v>
      </c>
      <c r="V1794">
        <v>1.9256726077669428E-2</v>
      </c>
      <c r="W1794">
        <v>9.9281749093438884E-2</v>
      </c>
      <c r="X1794">
        <v>5.8495971851262729E-5</v>
      </c>
      <c r="Y1794">
        <v>4.035371766197085E-2</v>
      </c>
    </row>
    <row r="1795" spans="1:25" x14ac:dyDescent="0.25">
      <c r="A1795" s="879"/>
      <c r="B1795" s="1133">
        <v>1545</v>
      </c>
      <c r="C1795" s="883">
        <v>0.98385397318436663</v>
      </c>
      <c r="D1795" s="883">
        <v>0.96438313237071982</v>
      </c>
      <c r="E1795" s="883">
        <v>1.0076632030585839</v>
      </c>
      <c r="F1795" s="883">
        <v>0.98684996191645558</v>
      </c>
      <c r="G1795" s="883">
        <v>1.0038887589500733</v>
      </c>
      <c r="H1795" s="883">
        <v>1.018875787685078</v>
      </c>
      <c r="I1795" s="883">
        <v>0.96385982859290609</v>
      </c>
      <c r="K1795">
        <v>6.760660660250319</v>
      </c>
      <c r="L1795">
        <v>0</v>
      </c>
      <c r="M1795">
        <v>1.0889366863588408E-2</v>
      </c>
      <c r="N1795">
        <v>0.20533681939274331</v>
      </c>
      <c r="O1795">
        <v>0.12564815829544235</v>
      </c>
      <c r="P1795">
        <v>8.3586723645197411E-2</v>
      </c>
      <c r="Q1795">
        <v>0</v>
      </c>
      <c r="R1795">
        <v>1.0889366863588408E-2</v>
      </c>
      <c r="S1795">
        <v>0.26665755308304873</v>
      </c>
      <c r="T1795">
        <v>5.9109900426079669</v>
      </c>
      <c r="U1795">
        <v>0</v>
      </c>
      <c r="V1795">
        <v>1.9244560278080157E-2</v>
      </c>
      <c r="W1795">
        <v>0.10766515768515965</v>
      </c>
      <c r="X1795">
        <v>-3.3088292465248735E-3</v>
      </c>
      <c r="Y1795">
        <v>4.4840474509209687E-2</v>
      </c>
    </row>
    <row r="1796" spans="1:25" x14ac:dyDescent="0.25">
      <c r="A1796" s="879"/>
      <c r="B1796" s="1133">
        <v>1546</v>
      </c>
      <c r="C1796" s="883">
        <v>1.0291636076612123</v>
      </c>
      <c r="D1796" s="883">
        <v>0.99318487184206661</v>
      </c>
      <c r="E1796" s="883">
        <v>1.0370502049951684</v>
      </c>
      <c r="F1796" s="883">
        <v>0.97584658735955276</v>
      </c>
      <c r="G1796" s="883">
        <v>0.98921493919958137</v>
      </c>
      <c r="H1796" s="883">
        <v>0.9878011266553981</v>
      </c>
      <c r="I1796" s="883">
        <v>1.0189033771826721</v>
      </c>
      <c r="K1796">
        <v>6.7276681171709711</v>
      </c>
      <c r="L1796">
        <v>0</v>
      </c>
      <c r="M1796">
        <v>9.7127594397859954E-3</v>
      </c>
      <c r="N1796">
        <v>0.19128598667983618</v>
      </c>
      <c r="O1796">
        <v>0.11816854564632984</v>
      </c>
      <c r="P1796">
        <v>8.5386925323609197E-2</v>
      </c>
      <c r="Q1796">
        <v>0</v>
      </c>
      <c r="R1796">
        <v>9.7127594397859954E-3</v>
      </c>
      <c r="S1796">
        <v>0.26628574640985581</v>
      </c>
      <c r="T1796">
        <v>5.9087083455360094</v>
      </c>
      <c r="U1796">
        <v>0</v>
      </c>
      <c r="V1796">
        <v>1.9000609877751793E-2</v>
      </c>
      <c r="W1796">
        <v>9.8857753010985705E-2</v>
      </c>
      <c r="X1796">
        <v>-2.1209879710070045E-5</v>
      </c>
      <c r="Y1796">
        <v>3.9995414566305641E-2</v>
      </c>
    </row>
    <row r="1797" spans="1:25" x14ac:dyDescent="0.25">
      <c r="A1797" s="879"/>
      <c r="B1797" s="1133">
        <v>1547</v>
      </c>
      <c r="C1797" s="883">
        <v>1.0207361032571183</v>
      </c>
      <c r="D1797" s="883">
        <v>0.99111275282104383</v>
      </c>
      <c r="E1797" s="883">
        <v>1.031439952809432</v>
      </c>
      <c r="F1797" s="883">
        <v>0.97832180301349236</v>
      </c>
      <c r="G1797" s="883">
        <v>1.0115472428324976</v>
      </c>
      <c r="H1797" s="883">
        <v>0.98995849635222899</v>
      </c>
      <c r="I1797" s="883">
        <v>0.98114652050541895</v>
      </c>
      <c r="K1797">
        <v>6.7241507887995686</v>
      </c>
      <c r="L1797">
        <v>0</v>
      </c>
      <c r="M1797">
        <v>9.8715638522493161E-3</v>
      </c>
      <c r="N1797">
        <v>0.19280841444326641</v>
      </c>
      <c r="O1797">
        <v>0.11934878725741212</v>
      </c>
      <c r="P1797">
        <v>8.4939755858310914E-2</v>
      </c>
      <c r="Q1797">
        <v>0</v>
      </c>
      <c r="R1797">
        <v>9.8715638522493161E-3</v>
      </c>
      <c r="S1797">
        <v>0.25874174421977297</v>
      </c>
      <c r="T1797">
        <v>5.9091677781684062</v>
      </c>
      <c r="U1797">
        <v>0</v>
      </c>
      <c r="V1797">
        <v>1.9044344676509513E-2</v>
      </c>
      <c r="W1797">
        <v>9.9918707555757616E-2</v>
      </c>
      <c r="X1797">
        <v>-4.6808625056698886E-4</v>
      </c>
      <c r="Y1797">
        <v>4.064934287069788E-2</v>
      </c>
    </row>
    <row r="1798" spans="1:25" x14ac:dyDescent="0.25">
      <c r="A1798" s="879"/>
      <c r="B1798" s="1133">
        <v>1548</v>
      </c>
      <c r="C1798" s="883">
        <v>1.0089477878569679</v>
      </c>
      <c r="D1798" s="883">
        <v>1.0150579114991074</v>
      </c>
      <c r="E1798" s="883">
        <v>1.0204262160134008</v>
      </c>
      <c r="F1798" s="883">
        <v>0.99159769137134202</v>
      </c>
      <c r="G1798" s="883">
        <v>1.0124116541622661</v>
      </c>
      <c r="H1798" s="883">
        <v>1.0276791294795946</v>
      </c>
      <c r="I1798" s="883">
        <v>0.97582857052278626</v>
      </c>
      <c r="K1798">
        <v>6.7407577178465719</v>
      </c>
      <c r="L1798">
        <v>0</v>
      </c>
      <c r="M1798">
        <v>1.0361467488354191E-2</v>
      </c>
      <c r="N1798">
        <v>0.19910797203585717</v>
      </c>
      <c r="O1798">
        <v>0.11980156864255864</v>
      </c>
      <c r="P1798">
        <v>8.4335844501743709E-2</v>
      </c>
      <c r="Q1798">
        <v>0</v>
      </c>
      <c r="R1798">
        <v>1.0361467488354191E-2</v>
      </c>
      <c r="S1798">
        <v>0.2635252955619326</v>
      </c>
      <c r="T1798">
        <v>5.9105195029437247</v>
      </c>
      <c r="U1798">
        <v>0</v>
      </c>
      <c r="V1798">
        <v>1.9106746261320362E-2</v>
      </c>
      <c r="W1798">
        <v>0.10374327395497904</v>
      </c>
      <c r="X1798">
        <v>-2.0491649001300989E-3</v>
      </c>
      <c r="Y1798">
        <v>4.2666678844581196E-2</v>
      </c>
    </row>
    <row r="1799" spans="1:25" x14ac:dyDescent="0.25">
      <c r="A1799" s="879"/>
      <c r="B1799" s="1133">
        <v>1549</v>
      </c>
      <c r="C1799" s="883">
        <v>1.0354382023120825</v>
      </c>
      <c r="D1799" s="883">
        <v>0.97625472762137488</v>
      </c>
      <c r="E1799" s="883">
        <v>0.98633905628403185</v>
      </c>
      <c r="F1799" s="883">
        <v>0.99302213989616139</v>
      </c>
      <c r="G1799" s="883">
        <v>0.95741122426012859</v>
      </c>
      <c r="H1799" s="883">
        <v>1.0221248784633865</v>
      </c>
      <c r="I1799" s="883">
        <v>0.96938973431206665</v>
      </c>
      <c r="K1799">
        <v>6.723195412071151</v>
      </c>
      <c r="L1799">
        <v>0</v>
      </c>
      <c r="M1799">
        <v>1.0519636070631831E-2</v>
      </c>
      <c r="N1799">
        <v>0.19219492945929542</v>
      </c>
      <c r="O1799">
        <v>0.11919475305482376</v>
      </c>
      <c r="P1799">
        <v>8.210853038236246E-2</v>
      </c>
      <c r="Q1799">
        <v>0</v>
      </c>
      <c r="R1799">
        <v>1.0519636070631831E-2</v>
      </c>
      <c r="S1799">
        <v>0.25494896253924432</v>
      </c>
      <c r="T1799">
        <v>5.9125182715991969</v>
      </c>
      <c r="U1799">
        <v>0</v>
      </c>
      <c r="V1799">
        <v>1.8968510019763244E-2</v>
      </c>
      <c r="W1799">
        <v>0.10184864042420247</v>
      </c>
      <c r="X1799">
        <v>-1.9051743211846402E-3</v>
      </c>
      <c r="Y1799">
        <v>4.3317988913442372E-2</v>
      </c>
    </row>
    <row r="1800" spans="1:25" x14ac:dyDescent="0.25">
      <c r="A1800" s="879"/>
      <c r="B1800" s="1133">
        <v>1550</v>
      </c>
      <c r="C1800" s="883">
        <v>0.99484399361782416</v>
      </c>
      <c r="D1800" s="883">
        <v>0.99986050683263261</v>
      </c>
      <c r="E1800" s="883">
        <v>1.0265576682823834</v>
      </c>
      <c r="F1800" s="883">
        <v>1.0249930230108957</v>
      </c>
      <c r="G1800" s="883">
        <v>0.98224263042239046</v>
      </c>
      <c r="H1800" s="883">
        <v>1.0075800797846453</v>
      </c>
      <c r="I1800" s="883">
        <v>1.0026498324997997</v>
      </c>
      <c r="K1800">
        <v>6.7555887959147096</v>
      </c>
      <c r="L1800">
        <v>0</v>
      </c>
      <c r="M1800">
        <v>1.0314073357050048E-2</v>
      </c>
      <c r="N1800">
        <v>0.20000263393391296</v>
      </c>
      <c r="O1800">
        <v>0.12211855149659438</v>
      </c>
      <c r="P1800">
        <v>8.4868100847896921E-2</v>
      </c>
      <c r="Q1800">
        <v>0</v>
      </c>
      <c r="R1800">
        <v>1.0314073357050048E-2</v>
      </c>
      <c r="S1800">
        <v>0.27287405087843741</v>
      </c>
      <c r="T1800">
        <v>5.9119710403127943</v>
      </c>
      <c r="U1800">
        <v>0</v>
      </c>
      <c r="V1800">
        <v>1.9183347947523195E-2</v>
      </c>
      <c r="W1800">
        <v>0.10389560569830975</v>
      </c>
      <c r="X1800">
        <v>-1.7960534484743006E-3</v>
      </c>
      <c r="Y1800">
        <v>4.2471518247711629E-2</v>
      </c>
    </row>
    <row r="1801" spans="1:25" x14ac:dyDescent="0.25">
      <c r="A1801" s="879"/>
      <c r="B1801" s="1133">
        <v>1551</v>
      </c>
      <c r="C1801" s="883">
        <v>0.96518499488404264</v>
      </c>
      <c r="D1801" s="883">
        <v>1.0357881163576217</v>
      </c>
      <c r="E1801" s="883">
        <v>1.0254980589241787</v>
      </c>
      <c r="F1801" s="883">
        <v>0.97731100634209089</v>
      </c>
      <c r="G1801" s="883">
        <v>1.034908970221905</v>
      </c>
      <c r="H1801" s="883">
        <v>1.0193364612069662</v>
      </c>
      <c r="I1801" s="883">
        <v>1.0284354546074377</v>
      </c>
      <c r="K1801">
        <v>6.7801901482766693</v>
      </c>
      <c r="L1801">
        <v>0</v>
      </c>
      <c r="M1801">
        <v>1.060360006702846E-2</v>
      </c>
      <c r="N1801">
        <v>0.20529501242522732</v>
      </c>
      <c r="O1801">
        <v>0.12412672810765348</v>
      </c>
      <c r="P1801">
        <v>8.4993798690700575E-2</v>
      </c>
      <c r="Q1801">
        <v>0</v>
      </c>
      <c r="R1801">
        <v>1.060360006702846E-2</v>
      </c>
      <c r="S1801">
        <v>0.28928343668493373</v>
      </c>
      <c r="T1801">
        <v>5.9094563046091011</v>
      </c>
      <c r="U1801">
        <v>0</v>
      </c>
      <c r="V1801">
        <v>1.9351738213394764E-2</v>
      </c>
      <c r="W1801">
        <v>0.10670038542681493</v>
      </c>
      <c r="X1801">
        <v>-2.6809935867274032E-3</v>
      </c>
      <c r="Y1801">
        <v>4.3663737705569458E-2</v>
      </c>
    </row>
    <row r="1802" spans="1:25" x14ac:dyDescent="0.25">
      <c r="A1802" s="879"/>
      <c r="B1802" s="1133">
        <v>1552</v>
      </c>
      <c r="C1802" s="883">
        <v>0.98994196776073873</v>
      </c>
      <c r="D1802" s="883">
        <v>1.0003760660992689</v>
      </c>
      <c r="E1802" s="883">
        <v>0.98739366899184688</v>
      </c>
      <c r="F1802" s="883">
        <v>1.0019895419261808</v>
      </c>
      <c r="G1802" s="883">
        <v>1.0008643769953391</v>
      </c>
      <c r="H1802" s="883">
        <v>0.99243716673725757</v>
      </c>
      <c r="I1802" s="883">
        <v>0.99065742366319809</v>
      </c>
      <c r="K1802">
        <v>6.7448451228227908</v>
      </c>
      <c r="L1802">
        <v>0</v>
      </c>
      <c r="M1802">
        <v>1.0562639193820052E-2</v>
      </c>
      <c r="N1802">
        <v>0.19328264187889424</v>
      </c>
      <c r="O1802">
        <v>0.12344165950990083</v>
      </c>
      <c r="P1802">
        <v>8.2375960602506987E-2</v>
      </c>
      <c r="Q1802">
        <v>0</v>
      </c>
      <c r="R1802">
        <v>1.0562639193820052E-2</v>
      </c>
      <c r="S1802">
        <v>0.26944424226021502</v>
      </c>
      <c r="T1802">
        <v>5.912944500925934</v>
      </c>
      <c r="U1802">
        <v>0</v>
      </c>
      <c r="V1802">
        <v>1.9210483390788423E-2</v>
      </c>
      <c r="W1802">
        <v>0.10237112470518334</v>
      </c>
      <c r="X1802">
        <v>-1.7205585710987244E-3</v>
      </c>
      <c r="Y1802">
        <v>4.3495068120460875E-2</v>
      </c>
    </row>
    <row r="1803" spans="1:25" x14ac:dyDescent="0.25">
      <c r="A1803" s="879"/>
      <c r="B1803" s="1133">
        <v>1553</v>
      </c>
      <c r="C1803" s="883">
        <v>1.0296429505595557</v>
      </c>
      <c r="D1803" s="883">
        <v>0.99733137456638277</v>
      </c>
      <c r="E1803" s="883">
        <v>0.98884040922951477</v>
      </c>
      <c r="F1803" s="883">
        <v>0.98397458859631037</v>
      </c>
      <c r="G1803" s="883">
        <v>0.99054748641549406</v>
      </c>
      <c r="H1803" s="883">
        <v>0.97769302918464795</v>
      </c>
      <c r="I1803" s="883">
        <v>1.0077024498054099</v>
      </c>
      <c r="K1803">
        <v>6.7159376469338765</v>
      </c>
      <c r="L1803">
        <v>0</v>
      </c>
      <c r="M1803">
        <v>1.0004926569681978E-2</v>
      </c>
      <c r="N1803">
        <v>0.1834703819824392</v>
      </c>
      <c r="O1803">
        <v>0.11880058257907854</v>
      </c>
      <c r="P1803">
        <v>8.235373248015837E-2</v>
      </c>
      <c r="Q1803">
        <v>0</v>
      </c>
      <c r="R1803">
        <v>1.0004926569681978E-2</v>
      </c>
      <c r="S1803">
        <v>0.26218200130809194</v>
      </c>
      <c r="T1803">
        <v>5.9118904018477858</v>
      </c>
      <c r="U1803">
        <v>0</v>
      </c>
      <c r="V1803">
        <v>1.8998143831218114E-2</v>
      </c>
      <c r="W1803">
        <v>9.710397921063986E-2</v>
      </c>
      <c r="X1803">
        <v>-6.0083108945339526E-5</v>
      </c>
      <c r="Y1803">
        <v>4.1198506803406781E-2</v>
      </c>
    </row>
    <row r="1804" spans="1:25" x14ac:dyDescent="0.25">
      <c r="A1804" s="879"/>
      <c r="B1804" s="1133">
        <v>1554</v>
      </c>
      <c r="C1804" s="883">
        <v>1.0015302819791341</v>
      </c>
      <c r="D1804" s="883">
        <v>0.9965713681799061</v>
      </c>
      <c r="E1804" s="883">
        <v>1.0081279808651487</v>
      </c>
      <c r="F1804" s="883">
        <v>0.98104347968552097</v>
      </c>
      <c r="G1804" s="883">
        <v>0.98852959727543033</v>
      </c>
      <c r="H1804" s="883">
        <v>0.97917227211450419</v>
      </c>
      <c r="I1804" s="883">
        <v>0.98310039949030503</v>
      </c>
      <c r="K1804">
        <v>6.7307115556942492</v>
      </c>
      <c r="L1804">
        <v>0</v>
      </c>
      <c r="M1804">
        <v>1.0132548384911996E-2</v>
      </c>
      <c r="N1804">
        <v>0.19119729790930914</v>
      </c>
      <c r="O1804">
        <v>0.12181141692945031</v>
      </c>
      <c r="P1804">
        <v>8.3562526216564501E-2</v>
      </c>
      <c r="Q1804">
        <v>0</v>
      </c>
      <c r="R1804">
        <v>1.0132548384911996E-2</v>
      </c>
      <c r="S1804">
        <v>0.26313704655174064</v>
      </c>
      <c r="T1804">
        <v>5.9106499668041792</v>
      </c>
      <c r="U1804">
        <v>0</v>
      </c>
      <c r="V1804">
        <v>1.9146763872723929E-2</v>
      </c>
      <c r="W1804">
        <v>0.10022825692105504</v>
      </c>
      <c r="X1804">
        <v>-7.4575023346883573E-4</v>
      </c>
      <c r="Y1804">
        <v>4.1724030722687711E-2</v>
      </c>
    </row>
    <row r="1805" spans="1:25" x14ac:dyDescent="0.25">
      <c r="A1805" s="879"/>
      <c r="B1805" s="1133">
        <v>1555</v>
      </c>
      <c r="C1805" s="883">
        <v>1.0360021120400948</v>
      </c>
      <c r="D1805" s="883">
        <v>1.0062895381562542</v>
      </c>
      <c r="E1805" s="883">
        <v>1.0184681610960427</v>
      </c>
      <c r="F1805" s="883">
        <v>0.97431060259606361</v>
      </c>
      <c r="G1805" s="883">
        <v>1.0191845731388267</v>
      </c>
      <c r="H1805" s="883">
        <v>1.0260935684837671</v>
      </c>
      <c r="I1805" s="883">
        <v>0.9861259028062207</v>
      </c>
      <c r="K1805">
        <v>6.7249314357209302</v>
      </c>
      <c r="L1805">
        <v>0</v>
      </c>
      <c r="M1805">
        <v>1.0130161301592888E-2</v>
      </c>
      <c r="N1805">
        <v>0.1941000924118467</v>
      </c>
      <c r="O1805">
        <v>0.11711430459590312</v>
      </c>
      <c r="P1805">
        <v>8.4142751377341424E-2</v>
      </c>
      <c r="Q1805">
        <v>0</v>
      </c>
      <c r="R1805">
        <v>1.0130161301592888E-2</v>
      </c>
      <c r="S1805">
        <v>0.25929612777641459</v>
      </c>
      <c r="T1805">
        <v>5.9096976639386245</v>
      </c>
      <c r="U1805">
        <v>0</v>
      </c>
      <c r="V1805">
        <v>1.8965644187268312E-2</v>
      </c>
      <c r="W1805">
        <v>0.10123158224621666</v>
      </c>
      <c r="X1805">
        <v>-1.3309319511542305E-3</v>
      </c>
      <c r="Y1805">
        <v>4.17142011384646E-2</v>
      </c>
    </row>
    <row r="1806" spans="1:25" x14ac:dyDescent="0.25">
      <c r="A1806" s="879"/>
      <c r="B1806" s="1133">
        <v>1556</v>
      </c>
      <c r="C1806" s="883">
        <v>0.98817855151109113</v>
      </c>
      <c r="D1806" s="883">
        <v>1.0093359702176006</v>
      </c>
      <c r="E1806" s="883">
        <v>1.0079022069040298</v>
      </c>
      <c r="F1806" s="883">
        <v>1.0397118636415137</v>
      </c>
      <c r="G1806" s="883">
        <v>0.99134180550753848</v>
      </c>
      <c r="H1806" s="883">
        <v>1.0195260015857788</v>
      </c>
      <c r="I1806" s="883">
        <v>1.0220939726084817</v>
      </c>
      <c r="K1806">
        <v>6.7679471463881233</v>
      </c>
      <c r="L1806">
        <v>0</v>
      </c>
      <c r="M1806">
        <v>1.0636655364918207E-2</v>
      </c>
      <c r="N1806">
        <v>0.2006425207944369</v>
      </c>
      <c r="O1806">
        <v>0.1228346394843009</v>
      </c>
      <c r="P1806">
        <v>8.3833896356584323E-2</v>
      </c>
      <c r="Q1806">
        <v>0</v>
      </c>
      <c r="R1806">
        <v>1.0636655364918207E-2</v>
      </c>
      <c r="S1806">
        <v>0.2810694801001824</v>
      </c>
      <c r="T1806">
        <v>5.9138329523739603</v>
      </c>
      <c r="U1806">
        <v>0</v>
      </c>
      <c r="V1806">
        <v>1.9220310724864915E-2</v>
      </c>
      <c r="W1806">
        <v>0.10519132841719621</v>
      </c>
      <c r="X1806">
        <v>-2.4778354020610731E-3</v>
      </c>
      <c r="Y1806">
        <v>4.3799853538655738E-2</v>
      </c>
    </row>
    <row r="1807" spans="1:25" x14ac:dyDescent="0.25">
      <c r="A1807" s="879"/>
      <c r="B1807" s="1133">
        <v>1557</v>
      </c>
      <c r="C1807" s="883">
        <v>0.97938504319287245</v>
      </c>
      <c r="D1807" s="883">
        <v>1.0088381822430237</v>
      </c>
      <c r="E1807" s="883">
        <v>1.0087881956454952</v>
      </c>
      <c r="F1807" s="883">
        <v>0.95835173585164701</v>
      </c>
      <c r="G1807" s="883">
        <v>0.99162974826130124</v>
      </c>
      <c r="H1807" s="883">
        <v>0.9961567922550425</v>
      </c>
      <c r="I1807" s="883">
        <v>0.98763330219468326</v>
      </c>
      <c r="K1807">
        <v>6.7510832305463877</v>
      </c>
      <c r="L1807">
        <v>0</v>
      </c>
      <c r="M1807">
        <v>1.048025220060762E-2</v>
      </c>
      <c r="N1807">
        <v>0.19795173544778871</v>
      </c>
      <c r="O1807">
        <v>0.12394502062580212</v>
      </c>
      <c r="P1807">
        <v>8.3705728580632785E-2</v>
      </c>
      <c r="Q1807">
        <v>0</v>
      </c>
      <c r="R1807">
        <v>1.048025220060762E-2</v>
      </c>
      <c r="S1807">
        <v>0.27182509458277426</v>
      </c>
      <c r="T1807">
        <v>5.9093864123040438</v>
      </c>
      <c r="U1807">
        <v>0</v>
      </c>
      <c r="V1807">
        <v>1.9269844260580028E-2</v>
      </c>
      <c r="W1807">
        <v>0.10373512470652106</v>
      </c>
      <c r="X1807">
        <v>-1.8915431085103108E-3</v>
      </c>
      <c r="Y1807">
        <v>4.315581314675021E-2</v>
      </c>
    </row>
    <row r="1808" spans="1:25" x14ac:dyDescent="0.25">
      <c r="A1808" s="879"/>
      <c r="B1808" s="1133">
        <v>1558</v>
      </c>
      <c r="C1808" s="883">
        <v>1.0043229884335552</v>
      </c>
      <c r="D1808" s="883">
        <v>0.96311777143679067</v>
      </c>
      <c r="E1808" s="883">
        <v>0.96592212239514241</v>
      </c>
      <c r="F1808" s="883">
        <v>0.99569443965238824</v>
      </c>
      <c r="G1808" s="883">
        <v>1.0003524056102799</v>
      </c>
      <c r="H1808" s="883">
        <v>1.0395076882788412</v>
      </c>
      <c r="I1808" s="883">
        <v>0.96469079178862382</v>
      </c>
      <c r="K1808">
        <v>6.7511075290468412</v>
      </c>
      <c r="L1808">
        <v>0</v>
      </c>
      <c r="M1808">
        <v>1.1293378510713914E-2</v>
      </c>
      <c r="N1808">
        <v>0.2001730401070409</v>
      </c>
      <c r="O1808">
        <v>0.12393751913770389</v>
      </c>
      <c r="P1808">
        <v>8.0952266546542154E-2</v>
      </c>
      <c r="Q1808">
        <v>0</v>
      </c>
      <c r="R1808">
        <v>1.1293378510713914E-2</v>
      </c>
      <c r="S1808">
        <v>0.26329160440370397</v>
      </c>
      <c r="T1808">
        <v>5.9137827941418033</v>
      </c>
      <c r="U1808">
        <v>0</v>
      </c>
      <c r="V1808">
        <v>1.9131627777853998E-2</v>
      </c>
      <c r="W1808">
        <v>0.10716814495462715</v>
      </c>
      <c r="X1808">
        <v>-3.8335905831209283E-3</v>
      </c>
      <c r="Y1808">
        <v>4.6504122560680067E-2</v>
      </c>
    </row>
    <row r="1809" spans="1:25" x14ac:dyDescent="0.25">
      <c r="A1809" s="879"/>
      <c r="B1809" s="1133">
        <v>1559</v>
      </c>
      <c r="C1809" s="883">
        <v>0.99310393551178944</v>
      </c>
      <c r="D1809" s="883">
        <v>0.98544303849765758</v>
      </c>
      <c r="E1809" s="883">
        <v>0.99007863418862008</v>
      </c>
      <c r="F1809" s="883">
        <v>0.96772699976074017</v>
      </c>
      <c r="G1809" s="883">
        <v>0.98510991403425663</v>
      </c>
      <c r="H1809" s="883">
        <v>0.97954484141395071</v>
      </c>
      <c r="I1809" s="883">
        <v>1.0085536525279215</v>
      </c>
      <c r="K1809">
        <v>6.7435771260023145</v>
      </c>
      <c r="L1809">
        <v>0</v>
      </c>
      <c r="M1809">
        <v>1.0434936668916065E-2</v>
      </c>
      <c r="N1809">
        <v>0.19170753047200964</v>
      </c>
      <c r="O1809">
        <v>0.12374043717482706</v>
      </c>
      <c r="P1809">
        <v>8.2556790403714261E-2</v>
      </c>
      <c r="Q1809">
        <v>0</v>
      </c>
      <c r="R1809">
        <v>1.0434936668916065E-2</v>
      </c>
      <c r="S1809">
        <v>0.27235225542307162</v>
      </c>
      <c r="T1809">
        <v>5.9109433569603995</v>
      </c>
      <c r="U1809">
        <v>0</v>
      </c>
      <c r="V1809">
        <v>1.9192949470086186E-2</v>
      </c>
      <c r="W1809">
        <v>0.1014009479441197</v>
      </c>
      <c r="X1809">
        <v>-1.2863536990199514E-3</v>
      </c>
      <c r="Y1809">
        <v>4.2969211853108341E-2</v>
      </c>
    </row>
    <row r="1810" spans="1:25" x14ac:dyDescent="0.25">
      <c r="A1810" s="879"/>
      <c r="B1810" s="1133">
        <v>1560</v>
      </c>
      <c r="C1810" s="883">
        <v>1.0121427536816792</v>
      </c>
      <c r="D1810" s="883">
        <v>1.0290165379840714</v>
      </c>
      <c r="E1810" s="883">
        <v>0.99723851316901635</v>
      </c>
      <c r="F1810" s="883">
        <v>1.0448077275678151</v>
      </c>
      <c r="G1810" s="883">
        <v>1.0372008086998654</v>
      </c>
      <c r="H1810" s="883">
        <v>1.0055622079800588</v>
      </c>
      <c r="I1810" s="883">
        <v>1.0053306721526467</v>
      </c>
      <c r="K1810">
        <v>6.7362559616773412</v>
      </c>
      <c r="L1810">
        <v>0</v>
      </c>
      <c r="M1810">
        <v>1.0253369106137229E-2</v>
      </c>
      <c r="N1810">
        <v>0.19038151234537556</v>
      </c>
      <c r="O1810">
        <v>0.11919896276092694</v>
      </c>
      <c r="P1810">
        <v>8.3003305443683895E-2</v>
      </c>
      <c r="Q1810">
        <v>0</v>
      </c>
      <c r="R1810">
        <v>1.0253369106137229E-2</v>
      </c>
      <c r="S1810">
        <v>0.26840688993673761</v>
      </c>
      <c r="T1810">
        <v>5.9147095327220542</v>
      </c>
      <c r="U1810">
        <v>0</v>
      </c>
      <c r="V1810">
        <v>1.9089690080348123E-2</v>
      </c>
      <c r="W1810">
        <v>0.10034120832879147</v>
      </c>
      <c r="X1810">
        <v>-1.0966888879883074E-3</v>
      </c>
      <c r="Y1810">
        <v>4.2221548947406526E-2</v>
      </c>
    </row>
    <row r="1811" spans="1:25" x14ac:dyDescent="0.25">
      <c r="A1811" s="879"/>
      <c r="B1811" s="1133">
        <v>1561</v>
      </c>
      <c r="C1811" s="883">
        <v>0.99510792306130214</v>
      </c>
      <c r="D1811" s="883">
        <v>0.98654193440096538</v>
      </c>
      <c r="E1811" s="883">
        <v>0.99064198427924599</v>
      </c>
      <c r="F1811" s="883">
        <v>0.96355451343365228</v>
      </c>
      <c r="G1811" s="883">
        <v>1.0157335901533431</v>
      </c>
      <c r="H1811" s="883">
        <v>1.0262111024469271</v>
      </c>
      <c r="I1811" s="883">
        <v>0.97822880069493845</v>
      </c>
      <c r="K1811">
        <v>6.7519977403948603</v>
      </c>
      <c r="L1811">
        <v>0</v>
      </c>
      <c r="M1811">
        <v>1.0899480425253216E-2</v>
      </c>
      <c r="N1811">
        <v>0.20040929898299178</v>
      </c>
      <c r="O1811">
        <v>0.1234255866796327</v>
      </c>
      <c r="P1811">
        <v>8.2530398700876612E-2</v>
      </c>
      <c r="Q1811">
        <v>0</v>
      </c>
      <c r="R1811">
        <v>1.0899480425253216E-2</v>
      </c>
      <c r="S1811">
        <v>0.2679710846313349</v>
      </c>
      <c r="T1811">
        <v>5.9106864892312068</v>
      </c>
      <c r="U1811">
        <v>0</v>
      </c>
      <c r="V1811">
        <v>1.9181894535606658E-2</v>
      </c>
      <c r="W1811">
        <v>0.10597385313018211</v>
      </c>
      <c r="X1811">
        <v>-3.0629858529755381E-3</v>
      </c>
      <c r="Y1811">
        <v>4.4882120355998506E-2</v>
      </c>
    </row>
    <row r="1812" spans="1:25" x14ac:dyDescent="0.25">
      <c r="A1812" s="879"/>
      <c r="B1812" s="1133">
        <v>1562</v>
      </c>
      <c r="C1812" s="883">
        <v>1.012833850172641</v>
      </c>
      <c r="D1812" s="883">
        <v>1.0110079518542736</v>
      </c>
      <c r="E1812" s="883">
        <v>0.9770320984227916</v>
      </c>
      <c r="F1812" s="883">
        <v>1.0123996101458179</v>
      </c>
      <c r="G1812" s="883">
        <v>0.98097541158482515</v>
      </c>
      <c r="H1812" s="883">
        <v>1.0183969687045042</v>
      </c>
      <c r="I1812" s="883">
        <v>0.98616507374301099</v>
      </c>
      <c r="K1812">
        <v>6.7352563725876236</v>
      </c>
      <c r="L1812">
        <v>0</v>
      </c>
      <c r="M1812">
        <v>1.0641805454403614E-2</v>
      </c>
      <c r="N1812">
        <v>0.19176100673669103</v>
      </c>
      <c r="O1812">
        <v>0.12033174559562763</v>
      </c>
      <c r="P1812">
        <v>8.1670441229528698E-2</v>
      </c>
      <c r="Q1812">
        <v>0</v>
      </c>
      <c r="R1812">
        <v>1.0641805454403614E-2</v>
      </c>
      <c r="S1812">
        <v>0.2644156938909823</v>
      </c>
      <c r="T1812">
        <v>5.9140793346283784</v>
      </c>
      <c r="U1812">
        <v>0</v>
      </c>
      <c r="V1812">
        <v>1.9086014848417106E-2</v>
      </c>
      <c r="W1812">
        <v>0.10209302403550556</v>
      </c>
      <c r="X1812">
        <v>-2.0019490679808027E-3</v>
      </c>
      <c r="Y1812">
        <v>4.3821060690474894E-2</v>
      </c>
    </row>
    <row r="1813" spans="1:25" x14ac:dyDescent="0.25">
      <c r="A1813" s="879"/>
      <c r="B1813" s="1133">
        <v>1563</v>
      </c>
      <c r="C1813" s="883">
        <v>1.0054714521947896</v>
      </c>
      <c r="D1813" s="883">
        <v>1.0139942895803487</v>
      </c>
      <c r="E1813" s="883">
        <v>0.99270695367969231</v>
      </c>
      <c r="F1813" s="883">
        <v>0.969308156198883</v>
      </c>
      <c r="G1813" s="883">
        <v>0.99200337920343873</v>
      </c>
      <c r="H1813" s="883">
        <v>0.97788617521959753</v>
      </c>
      <c r="I1813" s="883">
        <v>1.0368825428482307</v>
      </c>
      <c r="K1813">
        <v>6.7368304576478435</v>
      </c>
      <c r="L1813">
        <v>0</v>
      </c>
      <c r="M1813">
        <v>1.0140739983676988E-2</v>
      </c>
      <c r="N1813">
        <v>0.1870299423359871</v>
      </c>
      <c r="O1813">
        <v>0.12078155341337608</v>
      </c>
      <c r="P1813">
        <v>8.2770807770275637E-2</v>
      </c>
      <c r="Q1813">
        <v>0</v>
      </c>
      <c r="R1813">
        <v>1.0140739983676988E-2</v>
      </c>
      <c r="S1813">
        <v>0.27613171181867235</v>
      </c>
      <c r="T1813">
        <v>5.9108824390910089</v>
      </c>
      <c r="U1813">
        <v>0</v>
      </c>
      <c r="V1813">
        <v>1.912542765651427E-2</v>
      </c>
      <c r="W1813">
        <v>9.8797304289231211E-2</v>
      </c>
      <c r="X1813">
        <v>-4.4649099556660747E-4</v>
      </c>
      <c r="Y1813">
        <v>4.1757762268351706E-2</v>
      </c>
    </row>
    <row r="1814" spans="1:25" x14ac:dyDescent="0.25">
      <c r="A1814" s="879"/>
      <c r="B1814" s="1133">
        <v>1564</v>
      </c>
      <c r="C1814" s="883">
        <v>1.0199422316983349</v>
      </c>
      <c r="D1814" s="883">
        <v>0.99983424936830334</v>
      </c>
      <c r="E1814" s="883">
        <v>1.0012201392903048</v>
      </c>
      <c r="F1814" s="883">
        <v>0.98764642755907595</v>
      </c>
      <c r="G1814" s="883">
        <v>1.0339984156161688</v>
      </c>
      <c r="H1814" s="883">
        <v>1.0219738730353951</v>
      </c>
      <c r="I1814" s="883">
        <v>0.97833266620881798</v>
      </c>
      <c r="K1814">
        <v>6.732536231411224</v>
      </c>
      <c r="L1814">
        <v>0</v>
      </c>
      <c r="M1814">
        <v>1.0432823600242511E-2</v>
      </c>
      <c r="N1814">
        <v>0.19485967174001972</v>
      </c>
      <c r="O1814">
        <v>0.11958340143589014</v>
      </c>
      <c r="P1814">
        <v>8.3108836805043343E-2</v>
      </c>
      <c r="Q1814">
        <v>0</v>
      </c>
      <c r="R1814">
        <v>1.0432823600242511E-2</v>
      </c>
      <c r="S1814">
        <v>0.26096402688365472</v>
      </c>
      <c r="T1814">
        <v>5.9113966950550418</v>
      </c>
      <c r="U1814">
        <v>0</v>
      </c>
      <c r="V1814">
        <v>1.9048501745515312E-2</v>
      </c>
      <c r="W1814">
        <v>0.10249849105524536</v>
      </c>
      <c r="X1814">
        <v>-1.8839039216112493E-3</v>
      </c>
      <c r="Y1814">
        <v>4.2960510612422842E-2</v>
      </c>
    </row>
    <row r="1815" spans="1:25" x14ac:dyDescent="0.25">
      <c r="A1815" s="879"/>
      <c r="B1815" s="1133">
        <v>1565</v>
      </c>
      <c r="C1815" s="883">
        <v>0.98533106279097848</v>
      </c>
      <c r="D1815" s="883">
        <v>0.98866586653063715</v>
      </c>
      <c r="E1815" s="883">
        <v>0.99768145897602034</v>
      </c>
      <c r="F1815" s="883">
        <v>1.0215927257587758</v>
      </c>
      <c r="G1815" s="883">
        <v>1.0013675263395367</v>
      </c>
      <c r="H1815" s="883">
        <v>0.98752804335629585</v>
      </c>
      <c r="I1815" s="883">
        <v>0.9829641584221297</v>
      </c>
      <c r="K1815">
        <v>6.7483419637669284</v>
      </c>
      <c r="L1815">
        <v>0</v>
      </c>
      <c r="M1815">
        <v>1.0518100938225102E-2</v>
      </c>
      <c r="N1815">
        <v>0.19542519757200791</v>
      </c>
      <c r="O1815">
        <v>0.12440897213761135</v>
      </c>
      <c r="P1815">
        <v>8.3014222849967789E-2</v>
      </c>
      <c r="Q1815">
        <v>0</v>
      </c>
      <c r="R1815">
        <v>1.0518100938225102E-2</v>
      </c>
      <c r="S1815">
        <v>0.26827227165209377</v>
      </c>
      <c r="T1815">
        <v>5.9134300378069433</v>
      </c>
      <c r="U1815">
        <v>0</v>
      </c>
      <c r="V1815">
        <v>1.9236253739907189E-2</v>
      </c>
      <c r="W1815">
        <v>0.10297682032601105</v>
      </c>
      <c r="X1815">
        <v>-1.7334798290504331E-3</v>
      </c>
      <c r="Y1815">
        <v>4.3311667511434844E-2</v>
      </c>
    </row>
    <row r="1816" spans="1:25" x14ac:dyDescent="0.25">
      <c r="A1816" s="879"/>
      <c r="B1816" s="1133">
        <v>1566</v>
      </c>
      <c r="C1816" s="883">
        <v>1.0095332228503007</v>
      </c>
      <c r="D1816" s="883">
        <v>1.0303903772544565</v>
      </c>
      <c r="E1816" s="883">
        <v>1.0185205664209278</v>
      </c>
      <c r="F1816" s="883">
        <v>0.99279714242728134</v>
      </c>
      <c r="G1816" s="883">
        <v>1.0216149217041146</v>
      </c>
      <c r="H1816" s="883">
        <v>1.0027584772588238</v>
      </c>
      <c r="I1816" s="883">
        <v>1.0447280841692754</v>
      </c>
      <c r="K1816">
        <v>6.7464885222011253</v>
      </c>
      <c r="L1816">
        <v>0</v>
      </c>
      <c r="M1816">
        <v>1.0056485806655595E-2</v>
      </c>
      <c r="N1816">
        <v>0.19270336478735353</v>
      </c>
      <c r="O1816">
        <v>0.1190515055942646</v>
      </c>
      <c r="P1816">
        <v>8.4434548219602459E-2</v>
      </c>
      <c r="Q1816">
        <v>0</v>
      </c>
      <c r="R1816">
        <v>1.0056485806655595E-2</v>
      </c>
      <c r="S1816">
        <v>0.27940118566931804</v>
      </c>
      <c r="T1816">
        <v>5.9106934362675627</v>
      </c>
      <c r="U1816">
        <v>0</v>
      </c>
      <c r="V1816">
        <v>1.9103612864410327E-2</v>
      </c>
      <c r="W1816">
        <v>0.10050053245817156</v>
      </c>
      <c r="X1816">
        <v>-8.1048222362436952E-4</v>
      </c>
      <c r="Y1816">
        <v>4.1410818564062077E-2</v>
      </c>
    </row>
    <row r="1817" spans="1:25" x14ac:dyDescent="0.25">
      <c r="A1817" s="879"/>
      <c r="B1817" s="1133">
        <v>1567</v>
      </c>
      <c r="C1817" s="883">
        <v>1.0036567937786669</v>
      </c>
      <c r="D1817" s="883">
        <v>0.98099458421681751</v>
      </c>
      <c r="E1817" s="883">
        <v>1.0168493292089327</v>
      </c>
      <c r="F1817" s="883">
        <v>0.99296803449687865</v>
      </c>
      <c r="G1817" s="883">
        <v>0.99332140210091302</v>
      </c>
      <c r="H1817" s="883">
        <v>0.98433820425451934</v>
      </c>
      <c r="I1817" s="883">
        <v>0.98398090119350889</v>
      </c>
      <c r="K1817">
        <v>6.7359194906009456</v>
      </c>
      <c r="L1817">
        <v>0</v>
      </c>
      <c r="M1817">
        <v>1.015549872894189E-2</v>
      </c>
      <c r="N1817">
        <v>0.19412007171675391</v>
      </c>
      <c r="O1817">
        <v>0.12215664881660478</v>
      </c>
      <c r="P1817">
        <v>8.4115143461896899E-2</v>
      </c>
      <c r="Q1817">
        <v>0</v>
      </c>
      <c r="R1817">
        <v>1.015549872894189E-2</v>
      </c>
      <c r="S1817">
        <v>0.26345699873249473</v>
      </c>
      <c r="T1817">
        <v>5.9107982135898718</v>
      </c>
      <c r="U1817">
        <v>0</v>
      </c>
      <c r="V1817">
        <v>1.9135230813448801E-2</v>
      </c>
      <c r="W1817">
        <v>0.10132284476756978</v>
      </c>
      <c r="X1817">
        <v>-1.0041974520952675E-3</v>
      </c>
      <c r="Y1817">
        <v>4.1818536154393848E-2</v>
      </c>
    </row>
    <row r="1818" spans="1:25" x14ac:dyDescent="0.25">
      <c r="A1818" s="879"/>
      <c r="B1818" s="1133">
        <v>1568</v>
      </c>
      <c r="C1818" s="883">
        <v>0.9613692165195874</v>
      </c>
      <c r="D1818" s="883">
        <v>0.9831047095674561</v>
      </c>
      <c r="E1818" s="883">
        <v>0.99997813521562073</v>
      </c>
      <c r="F1818" s="883">
        <v>1.0149387716739442</v>
      </c>
      <c r="G1818" s="883">
        <v>1.0324333603870741</v>
      </c>
      <c r="H1818" s="883">
        <v>0.98843478970645937</v>
      </c>
      <c r="I1818" s="883">
        <v>1.0289062649211662</v>
      </c>
      <c r="K1818">
        <v>6.7805738628331369</v>
      </c>
      <c r="L1818">
        <v>0</v>
      </c>
      <c r="M1818">
        <v>1.0794598877259292E-2</v>
      </c>
      <c r="N1818">
        <v>0.20124613207725542</v>
      </c>
      <c r="O1818">
        <v>0.12775280863321697</v>
      </c>
      <c r="P1818">
        <v>8.3417714229501297E-2</v>
      </c>
      <c r="Q1818">
        <v>0</v>
      </c>
      <c r="R1818">
        <v>1.0794598877259292E-2</v>
      </c>
      <c r="S1818">
        <v>0.28796603659567616</v>
      </c>
      <c r="T1818">
        <v>5.9129414752032821</v>
      </c>
      <c r="U1818">
        <v>0</v>
      </c>
      <c r="V1818">
        <v>1.9374156809300918E-2</v>
      </c>
      <c r="W1818">
        <v>0.10592314420877989</v>
      </c>
      <c r="X1818">
        <v>-2.4978417334612386E-3</v>
      </c>
      <c r="Y1818">
        <v>4.4450236809579144E-2</v>
      </c>
    </row>
    <row r="1819" spans="1:25" x14ac:dyDescent="0.25">
      <c r="A1819" s="879"/>
      <c r="B1819" s="1133">
        <v>1569</v>
      </c>
      <c r="C1819" s="883">
        <v>1.0016478949477621</v>
      </c>
      <c r="D1819" s="883">
        <v>1.0265146517573152</v>
      </c>
      <c r="E1819" s="883">
        <v>0.9987495325000072</v>
      </c>
      <c r="F1819" s="883">
        <v>1.0430089004643233</v>
      </c>
      <c r="G1819" s="883">
        <v>0.99813298380699311</v>
      </c>
      <c r="H1819" s="883">
        <v>0.98428384772209254</v>
      </c>
      <c r="I1819" s="883">
        <v>0.98294527470100412</v>
      </c>
      <c r="K1819">
        <v>6.7296573080988029</v>
      </c>
      <c r="L1819">
        <v>0</v>
      </c>
      <c r="M1819">
        <v>1.0138738309528876E-2</v>
      </c>
      <c r="N1819">
        <v>0.1886750299572445</v>
      </c>
      <c r="O1819">
        <v>0.12053727311431454</v>
      </c>
      <c r="P1819">
        <v>8.3027707231740577E-2</v>
      </c>
      <c r="Q1819">
        <v>0</v>
      </c>
      <c r="R1819">
        <v>1.0138738309528876E-2</v>
      </c>
      <c r="S1819">
        <v>0.26325881471564627</v>
      </c>
      <c r="T1819">
        <v>5.9145275094412399</v>
      </c>
      <c r="U1819">
        <v>0</v>
      </c>
      <c r="V1819">
        <v>1.9146124723765826E-2</v>
      </c>
      <c r="W1819">
        <v>9.9367144527685317E-2</v>
      </c>
      <c r="X1819">
        <v>-6.3181534333434108E-4</v>
      </c>
      <c r="Y1819">
        <v>4.174951973049449E-2</v>
      </c>
    </row>
    <row r="1820" spans="1:25" x14ac:dyDescent="0.25">
      <c r="A1820" s="879"/>
      <c r="B1820" s="1133">
        <v>1570</v>
      </c>
      <c r="C1820" s="883">
        <v>0.9777453080698788</v>
      </c>
      <c r="D1820" s="883">
        <v>1.0157278516941037</v>
      </c>
      <c r="E1820" s="883">
        <v>1.037923373375176</v>
      </c>
      <c r="F1820" s="883">
        <v>0.95884233970739996</v>
      </c>
      <c r="G1820" s="883">
        <v>0.98962188639611248</v>
      </c>
      <c r="H1820" s="883">
        <v>0.99448261958454165</v>
      </c>
      <c r="I1820" s="883">
        <v>0.96281580904102615</v>
      </c>
      <c r="K1820">
        <v>6.7460049008230802</v>
      </c>
      <c r="L1820">
        <v>0</v>
      </c>
      <c r="M1820">
        <v>1.0186433807791603E-2</v>
      </c>
      <c r="N1820">
        <v>0.20087363128440069</v>
      </c>
      <c r="O1820">
        <v>0.12325428651840972</v>
      </c>
      <c r="P1820">
        <v>8.5417969738608324E-2</v>
      </c>
      <c r="Q1820">
        <v>0</v>
      </c>
      <c r="R1820">
        <v>1.0186433807791603E-2</v>
      </c>
      <c r="S1820">
        <v>0.26527015246123808</v>
      </c>
      <c r="T1820">
        <v>5.9077390899745188</v>
      </c>
      <c r="U1820">
        <v>0</v>
      </c>
      <c r="V1820">
        <v>1.9279179394065031E-2</v>
      </c>
      <c r="W1820">
        <v>0.10376838111554749</v>
      </c>
      <c r="X1820">
        <v>-1.5437109665652365E-3</v>
      </c>
      <c r="Y1820">
        <v>4.1945921302858201E-2</v>
      </c>
    </row>
    <row r="1821" spans="1:25" x14ac:dyDescent="0.25">
      <c r="A1821" s="879"/>
      <c r="B1821" s="1133">
        <v>1571</v>
      </c>
      <c r="C1821" s="883">
        <v>1.0149356955865139</v>
      </c>
      <c r="D1821" s="883">
        <v>0.99823862912581762</v>
      </c>
      <c r="E1821" s="883">
        <v>0.96468622419671834</v>
      </c>
      <c r="F1821" s="883">
        <v>0.98688207785545801</v>
      </c>
      <c r="G1821" s="883">
        <v>1.0127220185371513</v>
      </c>
      <c r="H1821" s="883">
        <v>0.99643721358682535</v>
      </c>
      <c r="I1821" s="883">
        <v>0.98905451910432352</v>
      </c>
      <c r="K1821">
        <v>6.7259853535614136</v>
      </c>
      <c r="L1821">
        <v>0</v>
      </c>
      <c r="M1821">
        <v>1.0560406844299127E-2</v>
      </c>
      <c r="N1821">
        <v>0.18683796387937854</v>
      </c>
      <c r="O1821">
        <v>0.12091948785724385</v>
      </c>
      <c r="P1821">
        <v>8.0860983155453189E-2</v>
      </c>
      <c r="Q1821">
        <v>0</v>
      </c>
      <c r="R1821">
        <v>1.0560406844299127E-2</v>
      </c>
      <c r="S1821">
        <v>0.26273381121736367</v>
      </c>
      <c r="T1821">
        <v>5.9133733288339512</v>
      </c>
      <c r="U1821">
        <v>0</v>
      </c>
      <c r="V1821">
        <v>1.9074868051781855E-2</v>
      </c>
      <c r="W1821">
        <v>0.10009113793052719</v>
      </c>
      <c r="X1821">
        <v>-1.3921030667649785E-3</v>
      </c>
      <c r="Y1821">
        <v>4.3485875702477111E-2</v>
      </c>
    </row>
    <row r="1822" spans="1:25" x14ac:dyDescent="0.25">
      <c r="A1822" s="879"/>
      <c r="B1822" s="1133">
        <v>1572</v>
      </c>
      <c r="C1822" s="883">
        <v>1.0011885573204773</v>
      </c>
      <c r="D1822" s="883">
        <v>1.0273109959360658</v>
      </c>
      <c r="E1822" s="883">
        <v>1.0128619279590474</v>
      </c>
      <c r="F1822" s="883">
        <v>0.96895577697361901</v>
      </c>
      <c r="G1822" s="883">
        <v>0.98856967563646259</v>
      </c>
      <c r="H1822" s="883">
        <v>1.0054700908305279</v>
      </c>
      <c r="I1822" s="883">
        <v>1.0034223188216083</v>
      </c>
      <c r="K1822">
        <v>6.740905750136835</v>
      </c>
      <c r="L1822">
        <v>0</v>
      </c>
      <c r="M1822">
        <v>1.0231290271233902E-2</v>
      </c>
      <c r="N1822">
        <v>0.19441820191131917</v>
      </c>
      <c r="O1822">
        <v>0.12029313645863768</v>
      </c>
      <c r="P1822">
        <v>8.3951284811387472E-2</v>
      </c>
      <c r="Q1822">
        <v>0</v>
      </c>
      <c r="R1822">
        <v>1.0231290271233902E-2</v>
      </c>
      <c r="S1822">
        <v>0.27086265195357645</v>
      </c>
      <c r="T1822">
        <v>5.9097281300090589</v>
      </c>
      <c r="U1822">
        <v>0</v>
      </c>
      <c r="V1822">
        <v>1.9148621772990145E-2</v>
      </c>
      <c r="W1822">
        <v>0.10167839321998949</v>
      </c>
      <c r="X1822">
        <v>-1.3053022352844019E-3</v>
      </c>
      <c r="Y1822">
        <v>4.2130632235160732E-2</v>
      </c>
    </row>
    <row r="1823" spans="1:25" x14ac:dyDescent="0.25">
      <c r="A1823" s="879"/>
      <c r="B1823" s="1133">
        <v>1573</v>
      </c>
      <c r="C1823" s="883">
        <v>1.0344209380319307</v>
      </c>
      <c r="D1823" s="883">
        <v>0.97203861510622436</v>
      </c>
      <c r="E1823" s="883">
        <v>1.0358611852857165</v>
      </c>
      <c r="F1823" s="883">
        <v>1.0078526368889638</v>
      </c>
      <c r="G1823" s="883">
        <v>0.99685157179265615</v>
      </c>
      <c r="H1823" s="883">
        <v>0.97867336582865261</v>
      </c>
      <c r="I1823" s="883">
        <v>1.016697926945811</v>
      </c>
      <c r="K1823">
        <v>6.7256234131924488</v>
      </c>
      <c r="L1823">
        <v>0</v>
      </c>
      <c r="M1823">
        <v>9.6729030886901698E-3</v>
      </c>
      <c r="N1823">
        <v>0.19016667170027213</v>
      </c>
      <c r="O1823">
        <v>0.11860658188346454</v>
      </c>
      <c r="P1823">
        <v>8.5301563087784221E-2</v>
      </c>
      <c r="Q1823">
        <v>0</v>
      </c>
      <c r="R1823">
        <v>9.6729030886901698E-3</v>
      </c>
      <c r="S1823">
        <v>0.2637119775489053</v>
      </c>
      <c r="T1823">
        <v>5.9105062373570671</v>
      </c>
      <c r="U1823">
        <v>0</v>
      </c>
      <c r="V1823">
        <v>1.8973687737238967E-2</v>
      </c>
      <c r="W1823">
        <v>9.8336477999996147E-2</v>
      </c>
      <c r="X1823">
        <v>1.8892267106349235E-4</v>
      </c>
      <c r="Y1823">
        <v>3.9831293206659048E-2</v>
      </c>
    </row>
    <row r="1824" spans="1:25" x14ac:dyDescent="0.25">
      <c r="A1824" s="879"/>
      <c r="B1824" s="1133">
        <v>1574</v>
      </c>
      <c r="C1824" s="883">
        <v>1.0145675213050647</v>
      </c>
      <c r="D1824" s="883">
        <v>0.9969277668524531</v>
      </c>
      <c r="E1824" s="883">
        <v>1.0213153898784069</v>
      </c>
      <c r="F1824" s="883">
        <v>0.98453879560624369</v>
      </c>
      <c r="G1824" s="883">
        <v>1.0140789163768258</v>
      </c>
      <c r="H1824" s="883">
        <v>0.98707164578560358</v>
      </c>
      <c r="I1824" s="883">
        <v>1.0271112978130668</v>
      </c>
      <c r="K1824">
        <v>6.737978784774274</v>
      </c>
      <c r="L1824">
        <v>0</v>
      </c>
      <c r="M1824">
        <v>9.9658370065771086E-3</v>
      </c>
      <c r="N1824">
        <v>0.19175750526949709</v>
      </c>
      <c r="O1824">
        <v>0.11998335230996089</v>
      </c>
      <c r="P1824">
        <v>8.4502745075579117E-2</v>
      </c>
      <c r="Q1824">
        <v>0</v>
      </c>
      <c r="R1824">
        <v>9.9658370065771086E-3</v>
      </c>
      <c r="S1824">
        <v>0.27215876172056686</v>
      </c>
      <c r="T1824">
        <v>5.9100871613188817</v>
      </c>
      <c r="U1824">
        <v>0</v>
      </c>
      <c r="V1824">
        <v>1.9076817267956153E-2</v>
      </c>
      <c r="W1824">
        <v>9.98696476435805E-2</v>
      </c>
      <c r="X1824">
        <v>-4.9474877197341666E-4</v>
      </c>
      <c r="Y1824">
        <v>4.1037542940223791E-2</v>
      </c>
    </row>
    <row r="1825" spans="1:25" x14ac:dyDescent="0.25">
      <c r="A1825" s="879"/>
      <c r="B1825" s="1133">
        <v>1575</v>
      </c>
      <c r="C1825" s="883">
        <v>0.97257136147571055</v>
      </c>
      <c r="D1825" s="883">
        <v>0.99123455414441364</v>
      </c>
      <c r="E1825" s="883">
        <v>1.0031069710180645</v>
      </c>
      <c r="F1825" s="883">
        <v>1.0232078016140589</v>
      </c>
      <c r="G1825" s="883">
        <v>0.96616024388142285</v>
      </c>
      <c r="H1825" s="883">
        <v>0.97509262958592358</v>
      </c>
      <c r="I1825" s="883">
        <v>0.97898641357228133</v>
      </c>
      <c r="K1825">
        <v>6.7516053470929958</v>
      </c>
      <c r="L1825">
        <v>0</v>
      </c>
      <c r="M1825">
        <v>1.0460517540173712E-2</v>
      </c>
      <c r="N1825">
        <v>0.19592374153477721</v>
      </c>
      <c r="O1825">
        <v>0.12580548456349122</v>
      </c>
      <c r="P1825">
        <v>8.3369538998471326E-2</v>
      </c>
      <c r="Q1825">
        <v>0</v>
      </c>
      <c r="R1825">
        <v>1.0460517540173712E-2</v>
      </c>
      <c r="S1825">
        <v>0.2694913998291929</v>
      </c>
      <c r="T1825">
        <v>5.9132121874044872</v>
      </c>
      <c r="U1825">
        <v>0</v>
      </c>
      <c r="V1825">
        <v>1.9308841416900469E-2</v>
      </c>
      <c r="W1825">
        <v>0.10296176265256347</v>
      </c>
      <c r="X1825">
        <v>-1.5421586346137776E-3</v>
      </c>
      <c r="Y1825">
        <v>4.3074549327721992E-2</v>
      </c>
    </row>
    <row r="1826" spans="1:25" x14ac:dyDescent="0.25">
      <c r="A1826" s="879"/>
      <c r="B1826" s="1133">
        <v>1576</v>
      </c>
      <c r="C1826" s="883">
        <v>0.98954530953040254</v>
      </c>
      <c r="D1826" s="883">
        <v>0.98850217001132512</v>
      </c>
      <c r="E1826" s="883">
        <v>1.0134891055658564</v>
      </c>
      <c r="F1826" s="883">
        <v>1.0333831806515028</v>
      </c>
      <c r="G1826" s="883">
        <v>1.0109554285975773</v>
      </c>
      <c r="H1826" s="883">
        <v>1.0285647555437702</v>
      </c>
      <c r="I1826" s="883">
        <v>0.97480284968018638</v>
      </c>
      <c r="K1826">
        <v>6.7616068370063998</v>
      </c>
      <c r="L1826">
        <v>0</v>
      </c>
      <c r="M1826">
        <v>1.0759597423364209E-2</v>
      </c>
      <c r="N1826">
        <v>0.20464713566267648</v>
      </c>
      <c r="O1826">
        <v>0.12358580223881585</v>
      </c>
      <c r="P1826">
        <v>8.4009732800643735E-2</v>
      </c>
      <c r="Q1826">
        <v>0</v>
      </c>
      <c r="R1826">
        <v>1.0759597423364209E-2</v>
      </c>
      <c r="S1826">
        <v>0.26877012582125503</v>
      </c>
      <c r="T1826">
        <v>5.9131735299470858</v>
      </c>
      <c r="U1826">
        <v>0</v>
      </c>
      <c r="V1826">
        <v>1.9212690872377775E-2</v>
      </c>
      <c r="W1826">
        <v>0.1069948504285872</v>
      </c>
      <c r="X1826">
        <v>-3.0931378175107489E-3</v>
      </c>
      <c r="Y1826">
        <v>4.4306107052465731E-2</v>
      </c>
    </row>
    <row r="1827" spans="1:25" x14ac:dyDescent="0.25">
      <c r="A1827" s="879"/>
      <c r="B1827" s="1133">
        <v>1577</v>
      </c>
      <c r="C1827" s="883">
        <v>1.01391017360338</v>
      </c>
      <c r="D1827" s="883">
        <v>1.0213486232406734</v>
      </c>
      <c r="E1827" s="883">
        <v>0.98495244074457355</v>
      </c>
      <c r="F1827" s="883">
        <v>1.0413510052722363</v>
      </c>
      <c r="G1827" s="883">
        <v>1.0068229701398679</v>
      </c>
      <c r="H1827" s="883">
        <v>1.0332899801870286</v>
      </c>
      <c r="I1827" s="883">
        <v>0.9836125020391363</v>
      </c>
      <c r="K1827">
        <v>6.7399249967273409</v>
      </c>
      <c r="L1827">
        <v>0</v>
      </c>
      <c r="M1827">
        <v>1.0665194741787027E-2</v>
      </c>
      <c r="N1827">
        <v>0.19445400983069772</v>
      </c>
      <c r="O1827">
        <v>0.1195719064308584</v>
      </c>
      <c r="P1827">
        <v>8.2187815097284025E-2</v>
      </c>
      <c r="Q1827">
        <v>0</v>
      </c>
      <c r="R1827">
        <v>1.0665194741787027E-2</v>
      </c>
      <c r="S1827">
        <v>0.26471226971199319</v>
      </c>
      <c r="T1827">
        <v>5.9152075254134822</v>
      </c>
      <c r="U1827">
        <v>0</v>
      </c>
      <c r="V1827">
        <v>1.9080300967996875E-2</v>
      </c>
      <c r="W1827">
        <v>0.10311718423929024</v>
      </c>
      <c r="X1827">
        <v>-2.3233885770427565E-3</v>
      </c>
      <c r="Y1827">
        <v>4.3917373612781828E-2</v>
      </c>
    </row>
    <row r="1828" spans="1:25" x14ac:dyDescent="0.25">
      <c r="A1828" s="879"/>
      <c r="B1828" s="1133">
        <v>1578</v>
      </c>
      <c r="C1828" s="883">
        <v>1.0372503923278629</v>
      </c>
      <c r="D1828" s="883">
        <v>1.0064562811341977</v>
      </c>
      <c r="E1828" s="883">
        <v>1.0053485325544063</v>
      </c>
      <c r="F1828" s="883">
        <v>0.98670937079878673</v>
      </c>
      <c r="G1828" s="883">
        <v>1.0029113648629979</v>
      </c>
      <c r="H1828" s="883">
        <v>1.0200078449422758</v>
      </c>
      <c r="I1828" s="883">
        <v>1.0169129992122898</v>
      </c>
      <c r="K1828">
        <v>6.7294762623897908</v>
      </c>
      <c r="L1828">
        <v>0</v>
      </c>
      <c r="M1828">
        <v>1.0173325601092272E-2</v>
      </c>
      <c r="N1828">
        <v>0.19117830454787396</v>
      </c>
      <c r="O1828">
        <v>0.11720336911959826</v>
      </c>
      <c r="P1828">
        <v>8.3436991638927191E-2</v>
      </c>
      <c r="Q1828">
        <v>0</v>
      </c>
      <c r="R1828">
        <v>1.0173325601092272E-2</v>
      </c>
      <c r="S1828">
        <v>0.26648460394638496</v>
      </c>
      <c r="T1828">
        <v>5.9111133367909172</v>
      </c>
      <c r="U1828">
        <v>0</v>
      </c>
      <c r="V1828">
        <v>1.8959311414502421E-2</v>
      </c>
      <c r="W1828">
        <v>0.10035635317482364</v>
      </c>
      <c r="X1828">
        <v>-1.1479522840837765E-3</v>
      </c>
      <c r="Y1828">
        <v>4.1891944040844162E-2</v>
      </c>
    </row>
    <row r="1829" spans="1:25" x14ac:dyDescent="0.25">
      <c r="A1829" s="879"/>
      <c r="B1829" s="1133">
        <v>1579</v>
      </c>
      <c r="C1829" s="883">
        <v>1.0406791325499833</v>
      </c>
      <c r="D1829" s="883">
        <v>1.0191497046489981</v>
      </c>
      <c r="E1829" s="883">
        <v>0.96907069297294635</v>
      </c>
      <c r="F1829" s="883">
        <v>1.0141153123595106</v>
      </c>
      <c r="G1829" s="883">
        <v>1.0171300063760313</v>
      </c>
      <c r="H1829" s="883">
        <v>1.0087182771829222</v>
      </c>
      <c r="I1829" s="883">
        <v>1.0374854541631557</v>
      </c>
      <c r="K1829">
        <v>6.7243347892250265</v>
      </c>
      <c r="L1829">
        <v>0</v>
      </c>
      <c r="M1829">
        <v>1.0294607719224949E-2</v>
      </c>
      <c r="N1829">
        <v>0.18332520535220287</v>
      </c>
      <c r="O1829">
        <v>0.11687731311544217</v>
      </c>
      <c r="P1829">
        <v>8.1243360158658504E-2</v>
      </c>
      <c r="Q1829">
        <v>0</v>
      </c>
      <c r="R1829">
        <v>1.0294607719224949E-2</v>
      </c>
      <c r="S1829">
        <v>0.26973443934748986</v>
      </c>
      <c r="T1829">
        <v>5.9146076001230536</v>
      </c>
      <c r="U1829">
        <v>0</v>
      </c>
      <c r="V1829">
        <v>1.894199491243545E-2</v>
      </c>
      <c r="W1829">
        <v>9.7992790468183169E-2</v>
      </c>
      <c r="X1829">
        <v>-7.7927646834470771E-4</v>
      </c>
      <c r="Y1829">
        <v>4.2391362215902249E-2</v>
      </c>
    </row>
    <row r="1830" spans="1:25" x14ac:dyDescent="0.25">
      <c r="A1830" s="879"/>
      <c r="B1830" s="1133">
        <v>1580</v>
      </c>
      <c r="C1830" s="883">
        <v>1.0199786374267827</v>
      </c>
      <c r="D1830" s="883">
        <v>0.95699564696898753</v>
      </c>
      <c r="E1830" s="883">
        <v>0.97941478442749286</v>
      </c>
      <c r="F1830" s="883">
        <v>1.0351020263821371</v>
      </c>
      <c r="G1830" s="883">
        <v>0.98486262947914294</v>
      </c>
      <c r="H1830" s="883">
        <v>1.0060258704675171</v>
      </c>
      <c r="I1830" s="883">
        <v>1.0196648999410425</v>
      </c>
      <c r="K1830">
        <v>6.7465102061595532</v>
      </c>
      <c r="L1830">
        <v>0</v>
      </c>
      <c r="M1830">
        <v>1.0665277445272823E-2</v>
      </c>
      <c r="N1830">
        <v>0.19286465231935401</v>
      </c>
      <c r="O1830">
        <v>0.12209797149623262</v>
      </c>
      <c r="P1830">
        <v>8.1920132365051787E-2</v>
      </c>
      <c r="Q1830">
        <v>0</v>
      </c>
      <c r="R1830">
        <v>1.0665277445272823E-2</v>
      </c>
      <c r="S1830">
        <v>0.27091385857864142</v>
      </c>
      <c r="T1830">
        <v>5.9151756045861017</v>
      </c>
      <c r="U1830">
        <v>0</v>
      </c>
      <c r="V1830">
        <v>1.9048310967153217E-2</v>
      </c>
      <c r="W1830">
        <v>0.10255808450870831</v>
      </c>
      <c r="X1830">
        <v>-1.9861228327093488E-3</v>
      </c>
      <c r="Y1830">
        <v>4.3917714171015657E-2</v>
      </c>
    </row>
    <row r="1831" spans="1:25" x14ac:dyDescent="0.25">
      <c r="A1831" s="879"/>
      <c r="B1831" s="1133">
        <v>1581</v>
      </c>
      <c r="C1831" s="883">
        <v>1.0069068209925054</v>
      </c>
      <c r="D1831" s="883">
        <v>0.99994389917431048</v>
      </c>
      <c r="E1831" s="883">
        <v>1.0364757572158119</v>
      </c>
      <c r="F1831" s="883">
        <v>1.0230971676710563</v>
      </c>
      <c r="G1831" s="883">
        <v>1.0035927133312497</v>
      </c>
      <c r="H1831" s="883">
        <v>1.0243048690666507</v>
      </c>
      <c r="I1831" s="883">
        <v>0.99994166578681187</v>
      </c>
      <c r="K1831">
        <v>6.7536194637127327</v>
      </c>
      <c r="L1831">
        <v>0</v>
      </c>
      <c r="M1831">
        <v>1.0269623059667405E-2</v>
      </c>
      <c r="N1831">
        <v>0.20208144133300754</v>
      </c>
      <c r="O1831">
        <v>0.12046420593715311</v>
      </c>
      <c r="P1831">
        <v>8.5445650165169168E-2</v>
      </c>
      <c r="Q1831">
        <v>0</v>
      </c>
      <c r="R1831">
        <v>1.0269623059667405E-2</v>
      </c>
      <c r="S1831">
        <v>0.2704590733046624</v>
      </c>
      <c r="T1831">
        <v>5.911293855729217</v>
      </c>
      <c r="U1831">
        <v>0</v>
      </c>
      <c r="V1831">
        <v>1.911769852824111E-2</v>
      </c>
      <c r="W1831">
        <v>0.10446626417046015</v>
      </c>
      <c r="X1831">
        <v>-1.9972052901273706E-3</v>
      </c>
      <c r="Y1831">
        <v>4.2288479834947906E-2</v>
      </c>
    </row>
    <row r="1832" spans="1:25" x14ac:dyDescent="0.25">
      <c r="A1832" s="879"/>
      <c r="B1832" s="1133">
        <v>1582</v>
      </c>
      <c r="C1832" s="883">
        <v>1.0039700387622832</v>
      </c>
      <c r="D1832" s="883">
        <v>1.0077435474242067</v>
      </c>
      <c r="E1832" s="883">
        <v>1.0256629780970954</v>
      </c>
      <c r="F1832" s="883">
        <v>1.0426280809399384</v>
      </c>
      <c r="G1832" s="883">
        <v>1.0201635712688444</v>
      </c>
      <c r="H1832" s="883">
        <v>1.0061465027334584</v>
      </c>
      <c r="I1832" s="883">
        <v>1.0266257951555395</v>
      </c>
      <c r="K1832">
        <v>6.754430979295047</v>
      </c>
      <c r="L1832">
        <v>0</v>
      </c>
      <c r="M1832">
        <v>1.017948656083043E-2</v>
      </c>
      <c r="N1832">
        <v>0.19713186959934911</v>
      </c>
      <c r="O1832">
        <v>0.12064582612513268</v>
      </c>
      <c r="P1832">
        <v>8.4876466603280118E-2</v>
      </c>
      <c r="Q1832">
        <v>0</v>
      </c>
      <c r="R1832">
        <v>1.017948656083043E-2</v>
      </c>
      <c r="S1832">
        <v>0.2766380759984659</v>
      </c>
      <c r="T1832">
        <v>5.9129752866333778</v>
      </c>
      <c r="U1832">
        <v>0</v>
      </c>
      <c r="V1832">
        <v>1.9133536069138018E-2</v>
      </c>
      <c r="W1832">
        <v>0.10244935524951802</v>
      </c>
      <c r="X1832">
        <v>-1.3367507596517443E-3</v>
      </c>
      <c r="Y1832">
        <v>4.1917313776435934E-2</v>
      </c>
    </row>
    <row r="1833" spans="1:25" x14ac:dyDescent="0.25">
      <c r="A1833" s="879"/>
      <c r="B1833" s="1133">
        <v>1583</v>
      </c>
      <c r="C1833" s="883">
        <v>1.0012564427426858</v>
      </c>
      <c r="D1833" s="883">
        <v>0.99409675151859267</v>
      </c>
      <c r="E1833" s="883">
        <v>1.0027048330059178</v>
      </c>
      <c r="F1833" s="883">
        <v>1.0022734229655574</v>
      </c>
      <c r="G1833" s="883">
        <v>1.0142031005908883</v>
      </c>
      <c r="H1833" s="883">
        <v>1.0176049808747099</v>
      </c>
      <c r="I1833" s="883">
        <v>0.96102557685963985</v>
      </c>
      <c r="K1833">
        <v>6.7411599524756642</v>
      </c>
      <c r="L1833">
        <v>0</v>
      </c>
      <c r="M1833">
        <v>1.0594459200863153E-2</v>
      </c>
      <c r="N1833">
        <v>0.19831428892213793</v>
      </c>
      <c r="O1833">
        <v>0.12206796882882616</v>
      </c>
      <c r="P1833">
        <v>8.3210550910845976E-2</v>
      </c>
      <c r="Q1833">
        <v>0</v>
      </c>
      <c r="R1833">
        <v>1.0594459200863153E-2</v>
      </c>
      <c r="S1833">
        <v>0.26079833726088053</v>
      </c>
      <c r="T1833">
        <v>5.9121035584954349</v>
      </c>
      <c r="U1833">
        <v>0</v>
      </c>
      <c r="V1833">
        <v>1.9148252590271683E-2</v>
      </c>
      <c r="W1833">
        <v>0.1042388334322619</v>
      </c>
      <c r="X1833">
        <v>-2.3479352107068836E-3</v>
      </c>
      <c r="Y1833">
        <v>4.3626097245714257E-2</v>
      </c>
    </row>
    <row r="1834" spans="1:25" x14ac:dyDescent="0.25">
      <c r="A1834" s="879"/>
      <c r="B1834" s="1133">
        <v>1584</v>
      </c>
      <c r="C1834" s="883">
        <v>1.0093580731470828</v>
      </c>
      <c r="D1834" s="883">
        <v>1.0252319032764232</v>
      </c>
      <c r="E1834" s="883">
        <v>1.0466661510196369</v>
      </c>
      <c r="F1834" s="883">
        <v>1.0048868982495218</v>
      </c>
      <c r="G1834" s="883">
        <v>0.99968457517886911</v>
      </c>
      <c r="H1834" s="883">
        <v>0.99586859267660255</v>
      </c>
      <c r="I1834" s="883">
        <v>1.0138892745571382</v>
      </c>
      <c r="K1834">
        <v>6.7396152929327728</v>
      </c>
      <c r="L1834">
        <v>0</v>
      </c>
      <c r="M1834">
        <v>9.7666228202063117E-3</v>
      </c>
      <c r="N1834">
        <v>0.19509795068510255</v>
      </c>
      <c r="O1834">
        <v>0.11878615788598594</v>
      </c>
      <c r="P1834">
        <v>8.606317133307205E-2</v>
      </c>
      <c r="Q1834">
        <v>0</v>
      </c>
      <c r="R1834">
        <v>9.7666228202063117E-3</v>
      </c>
      <c r="S1834">
        <v>0.27065126510033433</v>
      </c>
      <c r="T1834">
        <v>5.9097143373193965</v>
      </c>
      <c r="U1834">
        <v>0</v>
      </c>
      <c r="V1834">
        <v>1.9104549929093179E-2</v>
      </c>
      <c r="W1834">
        <v>0.10035555426358488</v>
      </c>
      <c r="X1834">
        <v>-3.7490796335170375E-4</v>
      </c>
      <c r="Y1834">
        <v>4.0217214379552182E-2</v>
      </c>
    </row>
    <row r="1835" spans="1:25" x14ac:dyDescent="0.25">
      <c r="A1835" s="879"/>
      <c r="B1835" s="1133">
        <v>1585</v>
      </c>
      <c r="C1835" s="883">
        <v>0.97577831308266927</v>
      </c>
      <c r="D1835" s="883">
        <v>0.99073952087075801</v>
      </c>
      <c r="E1835" s="883">
        <v>1.0117299923200775</v>
      </c>
      <c r="F1835" s="883">
        <v>0.97103095612180834</v>
      </c>
      <c r="G1835" s="883">
        <v>0.95898268245543417</v>
      </c>
      <c r="H1835" s="883">
        <v>1.0012047048789174</v>
      </c>
      <c r="I1835" s="883">
        <v>1.0153109072269135</v>
      </c>
      <c r="K1835">
        <v>6.7681103861884564</v>
      </c>
      <c r="L1835">
        <v>0</v>
      </c>
      <c r="M1835">
        <v>1.0627212605789573E-2</v>
      </c>
      <c r="N1835">
        <v>0.20160358994893324</v>
      </c>
      <c r="O1835">
        <v>0.12525026668662428</v>
      </c>
      <c r="P1835">
        <v>8.4023821370689061E-2</v>
      </c>
      <c r="Q1835">
        <v>0</v>
      </c>
      <c r="R1835">
        <v>1.0627212605789573E-2</v>
      </c>
      <c r="S1835">
        <v>0.28116383776475362</v>
      </c>
      <c r="T1835">
        <v>5.9099046114049081</v>
      </c>
      <c r="U1835">
        <v>0</v>
      </c>
      <c r="V1835">
        <v>1.9290419033825997E-2</v>
      </c>
      <c r="W1835">
        <v>0.10549525649324623</v>
      </c>
      <c r="X1835">
        <v>-2.3823864518357583E-3</v>
      </c>
      <c r="Y1835">
        <v>4.3760969937312502E-2</v>
      </c>
    </row>
    <row r="1836" spans="1:25" x14ac:dyDescent="0.25">
      <c r="A1836" s="879"/>
      <c r="B1836" s="1133">
        <v>1586</v>
      </c>
      <c r="C1836" s="883">
        <v>0.96551178003024885</v>
      </c>
      <c r="D1836" s="883">
        <v>0.97554326354006438</v>
      </c>
      <c r="E1836" s="883">
        <v>0.97996319895763284</v>
      </c>
      <c r="F1836" s="883">
        <v>0.97629285485795447</v>
      </c>
      <c r="G1836" s="883">
        <v>1.006534077007603</v>
      </c>
      <c r="H1836" s="883">
        <v>0.99380271792008879</v>
      </c>
      <c r="I1836" s="883">
        <v>0.99093257418368419</v>
      </c>
      <c r="K1836">
        <v>6.7663730685877699</v>
      </c>
      <c r="L1836">
        <v>0</v>
      </c>
      <c r="M1836">
        <v>1.1033510725622373E-2</v>
      </c>
      <c r="N1836">
        <v>0.19968598447251376</v>
      </c>
      <c r="O1836">
        <v>0.12798857403786501</v>
      </c>
      <c r="P1836">
        <v>8.1992974441525993E-2</v>
      </c>
      <c r="Q1836">
        <v>0</v>
      </c>
      <c r="R1836">
        <v>1.1033510725622373E-2</v>
      </c>
      <c r="S1836">
        <v>0.27671788822057536</v>
      </c>
      <c r="T1836">
        <v>5.9119661733548483</v>
      </c>
      <c r="U1836">
        <v>0</v>
      </c>
      <c r="V1836">
        <v>1.9349826511325417E-2</v>
      </c>
      <c r="W1836">
        <v>0.10615625157498564</v>
      </c>
      <c r="X1836">
        <v>-2.9186373022842154E-3</v>
      </c>
      <c r="Y1836">
        <v>4.543403327641455E-2</v>
      </c>
    </row>
    <row r="1837" spans="1:25" x14ac:dyDescent="0.25">
      <c r="A1837" s="879"/>
      <c r="B1837" s="1133">
        <v>1587</v>
      </c>
      <c r="C1837" s="883">
        <v>1.0192411973007298</v>
      </c>
      <c r="D1837" s="883">
        <v>0.99436510945996726</v>
      </c>
      <c r="E1837" s="883">
        <v>1.0325567820595083</v>
      </c>
      <c r="F1837" s="883">
        <v>1.0379442771173482</v>
      </c>
      <c r="G1837" s="883">
        <v>0.98424394134238447</v>
      </c>
      <c r="H1837" s="883">
        <v>1.0057226104915558</v>
      </c>
      <c r="I1837" s="883">
        <v>1.0110140045789127</v>
      </c>
      <c r="K1837">
        <v>6.7421651736607684</v>
      </c>
      <c r="L1837">
        <v>0</v>
      </c>
      <c r="M1837">
        <v>1.0019566686982926E-2</v>
      </c>
      <c r="N1837">
        <v>0.19602245872726479</v>
      </c>
      <c r="O1837">
        <v>0.11934641523690676</v>
      </c>
      <c r="P1837">
        <v>8.5186223773519879E-2</v>
      </c>
      <c r="Q1837">
        <v>0</v>
      </c>
      <c r="R1837">
        <v>1.0019566686982926E-2</v>
      </c>
      <c r="S1837">
        <v>0.26845721262576339</v>
      </c>
      <c r="T1837">
        <v>5.9123235723219194</v>
      </c>
      <c r="U1837">
        <v>0</v>
      </c>
      <c r="V1837">
        <v>1.9052178061436779E-2</v>
      </c>
      <c r="W1837">
        <v>0.1015287175526037</v>
      </c>
      <c r="X1837">
        <v>-1.0103968392534341E-3</v>
      </c>
      <c r="Y1837">
        <v>4.1258792200608352E-2</v>
      </c>
    </row>
    <row r="1838" spans="1:25" x14ac:dyDescent="0.25">
      <c r="A1838" s="879"/>
      <c r="B1838" s="1133">
        <v>1588</v>
      </c>
      <c r="C1838" s="883">
        <v>0.97400656769375282</v>
      </c>
      <c r="D1838" s="883">
        <v>0.9865364470600686</v>
      </c>
      <c r="E1838" s="883">
        <v>0.99968213828351904</v>
      </c>
      <c r="F1838" s="883">
        <v>0.99558020195793195</v>
      </c>
      <c r="G1838" s="883">
        <v>0.97004734408784132</v>
      </c>
      <c r="H1838" s="883">
        <v>0.9819637619806334</v>
      </c>
      <c r="I1838" s="883">
        <v>1.0122598819181678</v>
      </c>
      <c r="K1838">
        <v>6.761769983101428</v>
      </c>
      <c r="L1838">
        <v>0</v>
      </c>
      <c r="M1838">
        <v>1.057172837721825E-2</v>
      </c>
      <c r="N1838">
        <v>0.19700469792836756</v>
      </c>
      <c r="O1838">
        <v>0.12592535540536576</v>
      </c>
      <c r="P1838">
        <v>8.3263629255920818E-2</v>
      </c>
      <c r="Q1838">
        <v>0</v>
      </c>
      <c r="R1838">
        <v>1.057172837721825E-2</v>
      </c>
      <c r="S1838">
        <v>0.27895710809639018</v>
      </c>
      <c r="T1838">
        <v>5.9119119166453205</v>
      </c>
      <c r="U1838">
        <v>0</v>
      </c>
      <c r="V1838">
        <v>1.9300581855502884E-2</v>
      </c>
      <c r="W1838">
        <v>0.10370596838958658</v>
      </c>
      <c r="X1838">
        <v>-1.8317702349105532E-3</v>
      </c>
      <c r="Y1838">
        <v>4.3532495759880316E-2</v>
      </c>
    </row>
    <row r="1839" spans="1:25" x14ac:dyDescent="0.25">
      <c r="A1839" s="879"/>
      <c r="B1839" s="1133">
        <v>1589</v>
      </c>
      <c r="C1839" s="883">
        <v>0.99258095592826179</v>
      </c>
      <c r="D1839" s="883">
        <v>1.0302687462072195</v>
      </c>
      <c r="E1839" s="883">
        <v>1.0121670428250078</v>
      </c>
      <c r="F1839" s="883">
        <v>0.98231760564394743</v>
      </c>
      <c r="G1839" s="883">
        <v>1.0099253592592055</v>
      </c>
      <c r="H1839" s="883">
        <v>0.99492457864294226</v>
      </c>
      <c r="I1839" s="883">
        <v>1.0124503464482897</v>
      </c>
      <c r="K1839">
        <v>6.7455041083031189</v>
      </c>
      <c r="L1839">
        <v>0</v>
      </c>
      <c r="M1839">
        <v>1.0205425435721519E-2</v>
      </c>
      <c r="N1839">
        <v>0.19372735789965742</v>
      </c>
      <c r="O1839">
        <v>0.12120989624898597</v>
      </c>
      <c r="P1839">
        <v>8.3969687575869534E-2</v>
      </c>
      <c r="Q1839">
        <v>0</v>
      </c>
      <c r="R1839">
        <v>1.0205425435721519E-2</v>
      </c>
      <c r="S1839">
        <v>0.27463950922267322</v>
      </c>
      <c r="T1839">
        <v>5.9104896148486095</v>
      </c>
      <c r="U1839">
        <v>0</v>
      </c>
      <c r="V1839">
        <v>1.9195841815352832E-2</v>
      </c>
      <c r="W1839">
        <v>0.10135188262502702</v>
      </c>
      <c r="X1839">
        <v>-1.103807379352361E-3</v>
      </c>
      <c r="Y1839">
        <v>4.2024125446289827E-2</v>
      </c>
    </row>
    <row r="1840" spans="1:25" x14ac:dyDescent="0.25">
      <c r="A1840" s="879"/>
      <c r="B1840" s="1133">
        <v>1590</v>
      </c>
      <c r="C1840" s="883">
        <v>1.0059057226872832</v>
      </c>
      <c r="D1840" s="883">
        <v>1.0006895965605864</v>
      </c>
      <c r="E1840" s="883">
        <v>1.0071637623663441</v>
      </c>
      <c r="F1840" s="883">
        <v>0.97638317804103003</v>
      </c>
      <c r="G1840" s="883">
        <v>0.99534251871439394</v>
      </c>
      <c r="H1840" s="883">
        <v>1.0193077851558099</v>
      </c>
      <c r="I1840" s="883">
        <v>1.0024122026679776</v>
      </c>
      <c r="K1840">
        <v>6.7476437894455836</v>
      </c>
      <c r="L1840">
        <v>0</v>
      </c>
      <c r="M1840">
        <v>1.0492299902132157E-2</v>
      </c>
      <c r="N1840">
        <v>0.19770321572399829</v>
      </c>
      <c r="O1840">
        <v>0.12109969529494526</v>
      </c>
      <c r="P1840">
        <v>8.3603255694518014E-2</v>
      </c>
      <c r="Q1840">
        <v>0</v>
      </c>
      <c r="R1840">
        <v>1.0492299902132157E-2</v>
      </c>
      <c r="S1840">
        <v>0.27086883902881809</v>
      </c>
      <c r="T1840">
        <v>5.9104527213670215</v>
      </c>
      <c r="U1840">
        <v>0</v>
      </c>
      <c r="V1840">
        <v>1.9123086883301228E-2</v>
      </c>
      <c r="W1840">
        <v>0.10368823449007089</v>
      </c>
      <c r="X1840">
        <v>-2.1006824743110795E-3</v>
      </c>
      <c r="Y1840">
        <v>4.3205423437217325E-2</v>
      </c>
    </row>
    <row r="1841" spans="1:25" x14ac:dyDescent="0.25">
      <c r="A1841" s="879"/>
      <c r="B1841" s="1133">
        <v>1591</v>
      </c>
      <c r="C1841" s="883">
        <v>1.0017752633266008</v>
      </c>
      <c r="D1841" s="883">
        <v>1.0084225243549985</v>
      </c>
      <c r="E1841" s="883">
        <v>1.0051511961162023</v>
      </c>
      <c r="F1841" s="883">
        <v>0.9611702199274037</v>
      </c>
      <c r="G1841" s="883">
        <v>1.0054694515348217</v>
      </c>
      <c r="H1841" s="883">
        <v>1.0117883960899781</v>
      </c>
      <c r="I1841" s="883">
        <v>1.0020276834207269</v>
      </c>
      <c r="K1841">
        <v>6.745008070580548</v>
      </c>
      <c r="L1841">
        <v>0</v>
      </c>
      <c r="M1841">
        <v>1.0441776451310759E-2</v>
      </c>
      <c r="N1841">
        <v>0.1961657286053253</v>
      </c>
      <c r="O1841">
        <v>0.12126279113354571</v>
      </c>
      <c r="P1841">
        <v>8.3470657338260201E-2</v>
      </c>
      <c r="Q1841">
        <v>0</v>
      </c>
      <c r="R1841">
        <v>1.0441776451310759E-2</v>
      </c>
      <c r="S1841">
        <v>0.27108923459283302</v>
      </c>
      <c r="T1841">
        <v>5.9097443903640752</v>
      </c>
      <c r="U1841">
        <v>0</v>
      </c>
      <c r="V1841">
        <v>1.914543272985025E-2</v>
      </c>
      <c r="W1841">
        <v>0.10298450182465342</v>
      </c>
      <c r="X1841">
        <v>-1.8520428675769291E-3</v>
      </c>
      <c r="Y1841">
        <v>4.2997376859573812E-2</v>
      </c>
    </row>
    <row r="1842" spans="1:25" x14ac:dyDescent="0.25">
      <c r="A1842" s="879"/>
      <c r="B1842" s="1133">
        <v>1592</v>
      </c>
      <c r="C1842" s="883">
        <v>0.99733445670580789</v>
      </c>
      <c r="D1842" s="883">
        <v>1.0096058110405277</v>
      </c>
      <c r="E1842" s="883">
        <v>0.96499743322259246</v>
      </c>
      <c r="F1842" s="883">
        <v>1.0040043963426519</v>
      </c>
      <c r="G1842" s="883">
        <v>0.99508004766305436</v>
      </c>
      <c r="H1842" s="883">
        <v>1.0109707641960193</v>
      </c>
      <c r="I1842" s="883">
        <v>1.0135507906490058</v>
      </c>
      <c r="K1842">
        <v>6.7495384545889987</v>
      </c>
      <c r="L1842">
        <v>0</v>
      </c>
      <c r="M1842">
        <v>1.0847845189941998E-2</v>
      </c>
      <c r="N1842">
        <v>0.19201214936445601</v>
      </c>
      <c r="O1842">
        <v>0.1224917155392275</v>
      </c>
      <c r="P1842">
        <v>8.1057143318275751E-2</v>
      </c>
      <c r="Q1842">
        <v>0</v>
      </c>
      <c r="R1842">
        <v>1.0847845189941998E-2</v>
      </c>
      <c r="S1842">
        <v>0.27526720436647811</v>
      </c>
      <c r="T1842">
        <v>5.9142823077516056</v>
      </c>
      <c r="U1842">
        <v>0</v>
      </c>
      <c r="V1842">
        <v>1.9169664033261327E-2</v>
      </c>
      <c r="W1842">
        <v>0.10284687854522383</v>
      </c>
      <c r="X1842">
        <v>-2.258103977243929E-3</v>
      </c>
      <c r="Y1842">
        <v>4.4669495647716169E-2</v>
      </c>
    </row>
    <row r="1843" spans="1:25" x14ac:dyDescent="0.25">
      <c r="A1843" s="879"/>
      <c r="B1843" s="1133">
        <v>1593</v>
      </c>
      <c r="C1843" s="883">
        <v>0.98451412746597866</v>
      </c>
      <c r="D1843" s="883">
        <v>1.0008299608501259</v>
      </c>
      <c r="E1843" s="883">
        <v>1.0334129363701339</v>
      </c>
      <c r="F1843" s="883">
        <v>1.0294042000381669</v>
      </c>
      <c r="G1843" s="883">
        <v>0.99841855526055345</v>
      </c>
      <c r="H1843" s="883">
        <v>0.98281223318349364</v>
      </c>
      <c r="I1843" s="883">
        <v>1.0117301387945361</v>
      </c>
      <c r="K1843">
        <v>6.7563128844579641</v>
      </c>
      <c r="L1843">
        <v>0</v>
      </c>
      <c r="M1843">
        <v>1.0101008996579749E-2</v>
      </c>
      <c r="N1843">
        <v>0.19786599187918419</v>
      </c>
      <c r="O1843">
        <v>0.12321974914512417</v>
      </c>
      <c r="P1843">
        <v>8.5336737982968064E-2</v>
      </c>
      <c r="Q1843">
        <v>0</v>
      </c>
      <c r="R1843">
        <v>1.0101008996579749E-2</v>
      </c>
      <c r="S1843">
        <v>0.27583727293371113</v>
      </c>
      <c r="T1843">
        <v>5.9118125920026632</v>
      </c>
      <c r="U1843">
        <v>0</v>
      </c>
      <c r="V1843">
        <v>1.9240844764191557E-2</v>
      </c>
      <c r="W1843">
        <v>0.10244058159733982</v>
      </c>
      <c r="X1843">
        <v>-1.0350429825532704E-3</v>
      </c>
      <c r="Y1843">
        <v>4.1594157135337359E-2</v>
      </c>
    </row>
    <row r="1844" spans="1:25" x14ac:dyDescent="0.25">
      <c r="A1844" s="879"/>
      <c r="B1844" s="1133">
        <v>1594</v>
      </c>
      <c r="C1844" s="883">
        <v>1.0016017694011323</v>
      </c>
      <c r="D1844" s="883">
        <v>0.98945686012414691</v>
      </c>
      <c r="E1844" s="883">
        <v>0.97540137616811884</v>
      </c>
      <c r="F1844" s="883">
        <v>0.9795656666031054</v>
      </c>
      <c r="G1844" s="883">
        <v>1.0196093645717363</v>
      </c>
      <c r="H1844" s="883">
        <v>0.95556675415204617</v>
      </c>
      <c r="I1844" s="883">
        <v>1.0167160952540581</v>
      </c>
      <c r="K1844">
        <v>6.728812538031077</v>
      </c>
      <c r="L1844">
        <v>0</v>
      </c>
      <c r="M1844">
        <v>1.0205339615089234E-2</v>
      </c>
      <c r="N1844">
        <v>0.18345155213049558</v>
      </c>
      <c r="O1844">
        <v>0.12276471863531244</v>
      </c>
      <c r="P1844">
        <v>8.1617938503956683E-2</v>
      </c>
      <c r="Q1844">
        <v>0</v>
      </c>
      <c r="R1844">
        <v>1.0205339615089234E-2</v>
      </c>
      <c r="S1844">
        <v>0.26985790760860978</v>
      </c>
      <c r="T1844">
        <v>5.9123937006313447</v>
      </c>
      <c r="U1844">
        <v>0</v>
      </c>
      <c r="V1844">
        <v>1.9146375367816874E-2</v>
      </c>
      <c r="W1844">
        <v>9.7748998386035943E-2</v>
      </c>
      <c r="X1844">
        <v>-1.9242528469878628E-4</v>
      </c>
      <c r="Y1844">
        <v>4.2023772052201584E-2</v>
      </c>
    </row>
    <row r="1845" spans="1:25" x14ac:dyDescent="0.25">
      <c r="A1845" s="879"/>
      <c r="B1845" s="1133">
        <v>1595</v>
      </c>
      <c r="C1845" s="883">
        <v>0.976893408487017</v>
      </c>
      <c r="D1845" s="883">
        <v>0.98918833232273895</v>
      </c>
      <c r="E1845" s="883">
        <v>0.98868996586777125</v>
      </c>
      <c r="F1845" s="883">
        <v>1.0163771005865425</v>
      </c>
      <c r="G1845" s="883">
        <v>1.0102093693902288</v>
      </c>
      <c r="H1845" s="883">
        <v>1.0445314335130531</v>
      </c>
      <c r="I1845" s="883">
        <v>0.99794686801241972</v>
      </c>
      <c r="K1845">
        <v>6.7806812230357876</v>
      </c>
      <c r="L1845">
        <v>0</v>
      </c>
      <c r="M1845">
        <v>1.1307192521858191E-2</v>
      </c>
      <c r="N1845">
        <v>0.20730509242665812</v>
      </c>
      <c r="O1845">
        <v>0.12562966661173475</v>
      </c>
      <c r="P1845">
        <v>8.2610849184011903E-2</v>
      </c>
      <c r="Q1845">
        <v>0</v>
      </c>
      <c r="R1845">
        <v>1.1307192521858191E-2</v>
      </c>
      <c r="S1845">
        <v>0.2802073279207159</v>
      </c>
      <c r="T1845">
        <v>5.9136501933155339</v>
      </c>
      <c r="U1845">
        <v>0</v>
      </c>
      <c r="V1845">
        <v>1.9284041691555075E-2</v>
      </c>
      <c r="W1845">
        <v>0.10972703154969381</v>
      </c>
      <c r="X1845">
        <v>-4.2939858638824128E-3</v>
      </c>
      <c r="Y1845">
        <v>4.6561006199769883E-2</v>
      </c>
    </row>
    <row r="1846" spans="1:25" x14ac:dyDescent="0.25">
      <c r="A1846" s="879"/>
      <c r="B1846" s="1133">
        <v>1596</v>
      </c>
      <c r="C1846" s="883">
        <v>0.99378618184935286</v>
      </c>
      <c r="D1846" s="883">
        <v>1.0395191943293158</v>
      </c>
      <c r="E1846" s="883">
        <v>0.97845171255218943</v>
      </c>
      <c r="F1846" s="883">
        <v>0.97954642411454407</v>
      </c>
      <c r="G1846" s="883">
        <v>0.97375439066892933</v>
      </c>
      <c r="H1846" s="883">
        <v>1.0337338545349615</v>
      </c>
      <c r="I1846" s="883">
        <v>1.007107749265963</v>
      </c>
      <c r="K1846">
        <v>6.7535196043959189</v>
      </c>
      <c r="L1846">
        <v>0</v>
      </c>
      <c r="M1846">
        <v>1.0865421832903073E-2</v>
      </c>
      <c r="N1846">
        <v>0.19620337095598361</v>
      </c>
      <c r="O1846">
        <v>0.12125535347903711</v>
      </c>
      <c r="P1846">
        <v>8.1894293967188059E-2</v>
      </c>
      <c r="Q1846">
        <v>0</v>
      </c>
      <c r="R1846">
        <v>1.0865421832903073E-2</v>
      </c>
      <c r="S1846">
        <v>0.27636578691992686</v>
      </c>
      <c r="T1846">
        <v>5.912225222718126</v>
      </c>
      <c r="U1846">
        <v>0</v>
      </c>
      <c r="V1846">
        <v>1.918918087396107E-2</v>
      </c>
      <c r="W1846">
        <v>0.10438383379967256</v>
      </c>
      <c r="X1846">
        <v>-2.7393114528830344E-3</v>
      </c>
      <c r="Y1846">
        <v>4.4741873134904055E-2</v>
      </c>
    </row>
    <row r="1847" spans="1:25" x14ac:dyDescent="0.25">
      <c r="A1847" s="879"/>
      <c r="B1847" s="1133">
        <v>1597</v>
      </c>
      <c r="C1847" s="883">
        <v>1.0375513616007428</v>
      </c>
      <c r="D1847" s="883">
        <v>0.99720288335249674</v>
      </c>
      <c r="E1847" s="883">
        <v>1.014622306175389</v>
      </c>
      <c r="F1847" s="883">
        <v>1.0380031815100998</v>
      </c>
      <c r="G1847" s="883">
        <v>0.9837347392595599</v>
      </c>
      <c r="H1847" s="883">
        <v>1.0262124302208064</v>
      </c>
      <c r="I1847" s="883">
        <v>1.0302012369940237</v>
      </c>
      <c r="K1847">
        <v>6.7406002596088328</v>
      </c>
      <c r="L1847">
        <v>0</v>
      </c>
      <c r="M1847">
        <v>1.018982178847946E-2</v>
      </c>
      <c r="N1847">
        <v>0.19413533026468202</v>
      </c>
      <c r="O1847">
        <v>0.11743458661893208</v>
      </c>
      <c r="P1847">
        <v>8.4104443455187083E-2</v>
      </c>
      <c r="Q1847">
        <v>0</v>
      </c>
      <c r="R1847">
        <v>1.018982178847946E-2</v>
      </c>
      <c r="S1847">
        <v>0.27058473108485337</v>
      </c>
      <c r="T1847">
        <v>5.913358551485719</v>
      </c>
      <c r="U1847">
        <v>0</v>
      </c>
      <c r="V1847">
        <v>1.8957786817759576E-2</v>
      </c>
      <c r="W1847">
        <v>0.10144222563069265</v>
      </c>
      <c r="X1847">
        <v>-1.3772681532878701E-3</v>
      </c>
      <c r="Y1847">
        <v>4.195987240429272E-2</v>
      </c>
    </row>
    <row r="1848" spans="1:25" x14ac:dyDescent="0.25">
      <c r="A1848" s="879"/>
      <c r="B1848" s="1133">
        <v>1598</v>
      </c>
      <c r="C1848" s="883">
        <v>1.0128575882128652</v>
      </c>
      <c r="D1848" s="883">
        <v>1.0147562865346975</v>
      </c>
      <c r="E1848" s="883">
        <v>1.014854560564969</v>
      </c>
      <c r="F1848" s="883">
        <v>1.003499382670916</v>
      </c>
      <c r="G1848" s="883">
        <v>1.0168272792710833</v>
      </c>
      <c r="H1848" s="883">
        <v>0.96988973699997738</v>
      </c>
      <c r="I1848" s="883">
        <v>1.0079880729583361</v>
      </c>
      <c r="K1848">
        <v>6.7244549192710918</v>
      </c>
      <c r="L1848">
        <v>0</v>
      </c>
      <c r="M1848">
        <v>9.7899279250746596E-3</v>
      </c>
      <c r="N1848">
        <v>0.18658071545394153</v>
      </c>
      <c r="O1848">
        <v>0.11945664366570447</v>
      </c>
      <c r="P1848">
        <v>8.4030045892441646E-2</v>
      </c>
      <c r="Q1848">
        <v>0</v>
      </c>
      <c r="R1848">
        <v>9.7899279250746596E-3</v>
      </c>
      <c r="S1848">
        <v>0.26576482343899793</v>
      </c>
      <c r="T1848">
        <v>5.911481062178007</v>
      </c>
      <c r="U1848">
        <v>0</v>
      </c>
      <c r="V1848">
        <v>1.9085888699272895E-2</v>
      </c>
      <c r="W1848">
        <v>9.748350842425571E-2</v>
      </c>
      <c r="X1848">
        <v>2.5905086521878532E-4</v>
      </c>
      <c r="Y1848">
        <v>4.031318065324601E-2</v>
      </c>
    </row>
    <row r="1849" spans="1:25" x14ac:dyDescent="0.25">
      <c r="A1849" s="879"/>
      <c r="B1849" s="1133">
        <v>1599</v>
      </c>
      <c r="C1849" s="883">
        <v>0.9888556102100603</v>
      </c>
      <c r="D1849" s="883">
        <v>1.0051494761810178</v>
      </c>
      <c r="E1849" s="883">
        <v>0.9875658350201405</v>
      </c>
      <c r="F1849" s="883">
        <v>0.98778390288742868</v>
      </c>
      <c r="G1849" s="883">
        <v>0.95901980095604189</v>
      </c>
      <c r="H1849" s="883">
        <v>1.0106237124036157</v>
      </c>
      <c r="I1849" s="883">
        <v>1.0357067034312457</v>
      </c>
      <c r="K1849">
        <v>6.7637542131855213</v>
      </c>
      <c r="L1849">
        <v>0</v>
      </c>
      <c r="M1849">
        <v>1.0744473644139673E-2</v>
      </c>
      <c r="N1849">
        <v>0.19666017769805202</v>
      </c>
      <c r="O1849">
        <v>0.12333895568875944</v>
      </c>
      <c r="P1849">
        <v>8.2566438392157715E-2</v>
      </c>
      <c r="Q1849">
        <v>0</v>
      </c>
      <c r="R1849">
        <v>1.0744473644139673E-2</v>
      </c>
      <c r="S1849">
        <v>0.2837502563089408</v>
      </c>
      <c r="T1849">
        <v>5.9121670828562465</v>
      </c>
      <c r="U1849">
        <v>0</v>
      </c>
      <c r="V1849">
        <v>1.9216533402428529E-2</v>
      </c>
      <c r="W1849">
        <v>0.10415106727081905</v>
      </c>
      <c r="X1849">
        <v>-2.3401284534344674E-3</v>
      </c>
      <c r="Y1849">
        <v>4.4243830021551446E-2</v>
      </c>
    </row>
    <row r="1850" spans="1:25" x14ac:dyDescent="0.25">
      <c r="A1850" s="879"/>
      <c r="B1850" s="1133">
        <v>1600</v>
      </c>
      <c r="C1850" s="883">
        <v>1.0044344396965812</v>
      </c>
      <c r="D1850" s="883">
        <v>1.0002109193629125</v>
      </c>
      <c r="E1850" s="883">
        <v>0.98838445974907119</v>
      </c>
      <c r="F1850" s="883">
        <v>1.0257876679834828</v>
      </c>
      <c r="G1850" s="883">
        <v>1.0140026848920642</v>
      </c>
      <c r="H1850" s="883">
        <v>1.0112650880906702</v>
      </c>
      <c r="I1850" s="883">
        <v>0.99806828522222668</v>
      </c>
      <c r="K1850">
        <v>6.745429889582315</v>
      </c>
      <c r="L1850">
        <v>0</v>
      </c>
      <c r="M1850">
        <v>1.059931740138588E-2</v>
      </c>
      <c r="N1850">
        <v>0.194238963505384</v>
      </c>
      <c r="O1850">
        <v>0.12165024281277692</v>
      </c>
      <c r="P1850">
        <v>8.2451806284391374E-2</v>
      </c>
      <c r="Q1850">
        <v>0</v>
      </c>
      <c r="R1850">
        <v>1.059931740138588E-2</v>
      </c>
      <c r="S1850">
        <v>0.26930969815998662</v>
      </c>
      <c r="T1850">
        <v>5.9141758377591866</v>
      </c>
      <c r="U1850">
        <v>0</v>
      </c>
      <c r="V1850">
        <v>1.9131025473452787E-2</v>
      </c>
      <c r="W1850">
        <v>0.10282677480783052</v>
      </c>
      <c r="X1850">
        <v>-2.0005616714294299E-3</v>
      </c>
      <c r="Y1850">
        <v>4.3646102450739382E-2</v>
      </c>
    </row>
    <row r="1851" spans="1:25" x14ac:dyDescent="0.25">
      <c r="A1851" s="879"/>
      <c r="B1851" s="1133">
        <v>1601</v>
      </c>
      <c r="C1851" s="883">
        <v>1.0056683569813418</v>
      </c>
      <c r="D1851" s="883">
        <v>1.0378446244415902</v>
      </c>
      <c r="E1851" s="883">
        <v>1.0044622411881068</v>
      </c>
      <c r="F1851" s="883">
        <v>1.005714299832853</v>
      </c>
      <c r="G1851" s="883">
        <v>0.97016287298372983</v>
      </c>
      <c r="H1851" s="883">
        <v>1.0136316338431752</v>
      </c>
      <c r="I1851" s="883">
        <v>1.0216146147330645</v>
      </c>
      <c r="K1851">
        <v>6.745263618983393</v>
      </c>
      <c r="L1851">
        <v>0</v>
      </c>
      <c r="M1851">
        <v>1.029904305432033E-2</v>
      </c>
      <c r="N1851">
        <v>0.19328693656709395</v>
      </c>
      <c r="O1851">
        <v>0.11942445185952376</v>
      </c>
      <c r="P1851">
        <v>8.3515247288253061E-2</v>
      </c>
      <c r="Q1851">
        <v>0</v>
      </c>
      <c r="R1851">
        <v>1.029904305432033E-2</v>
      </c>
      <c r="S1851">
        <v>0.27520241288634761</v>
      </c>
      <c r="T1851">
        <v>5.9121903816522812</v>
      </c>
      <c r="U1851">
        <v>0</v>
      </c>
      <c r="V1851">
        <v>1.912436606415353E-2</v>
      </c>
      <c r="W1851">
        <v>0.10150783046589958</v>
      </c>
      <c r="X1851">
        <v>-1.3976339365266769E-3</v>
      </c>
      <c r="Y1851">
        <v>4.24096261363648E-2</v>
      </c>
    </row>
    <row r="1852" spans="1:25" x14ac:dyDescent="0.25">
      <c r="A1852" s="879"/>
      <c r="B1852" s="1133">
        <v>1602</v>
      </c>
      <c r="C1852" s="883">
        <v>0.97303431416859443</v>
      </c>
      <c r="D1852" s="883">
        <v>0.97934960879867039</v>
      </c>
      <c r="E1852" s="883">
        <v>1.0246870313438563</v>
      </c>
      <c r="F1852" s="883">
        <v>1.0264371001118631</v>
      </c>
      <c r="G1852" s="883">
        <v>0.98387174829917234</v>
      </c>
      <c r="H1852" s="883">
        <v>0.99754514492559965</v>
      </c>
      <c r="I1852" s="883">
        <v>0.97775909459515165</v>
      </c>
      <c r="K1852">
        <v>6.7646064535582768</v>
      </c>
      <c r="L1852">
        <v>0</v>
      </c>
      <c r="M1852">
        <v>1.0550639333584562E-2</v>
      </c>
      <c r="N1852">
        <v>0.20402481374372791</v>
      </c>
      <c r="O1852">
        <v>0.12593195895457382</v>
      </c>
      <c r="P1852">
        <v>8.473392056513826E-2</v>
      </c>
      <c r="Q1852">
        <v>0</v>
      </c>
      <c r="R1852">
        <v>1.0550639333584562E-2</v>
      </c>
      <c r="S1852">
        <v>0.2713226741676647</v>
      </c>
      <c r="T1852">
        <v>5.9121568602914856</v>
      </c>
      <c r="U1852">
        <v>0</v>
      </c>
      <c r="V1852">
        <v>1.9306174478267654E-2</v>
      </c>
      <c r="W1852">
        <v>0.10608249437220973</v>
      </c>
      <c r="X1852">
        <v>-2.3980978466985178E-3</v>
      </c>
      <c r="Y1852">
        <v>4.3445654831906627E-2</v>
      </c>
    </row>
    <row r="1853" spans="1:25" x14ac:dyDescent="0.25">
      <c r="A1853" s="879"/>
      <c r="B1853" s="1133">
        <v>1603</v>
      </c>
      <c r="C1853" s="883">
        <v>0.95577699300734309</v>
      </c>
      <c r="D1853" s="883">
        <v>1.0250388904522949</v>
      </c>
      <c r="E1853" s="883">
        <v>0.99925427067896977</v>
      </c>
      <c r="F1853" s="883">
        <v>0.99433027712362421</v>
      </c>
      <c r="G1853" s="883">
        <v>1.0031764070217613</v>
      </c>
      <c r="H1853" s="883">
        <v>1.0186622215828207</v>
      </c>
      <c r="I1853" s="883">
        <v>1.0399843434171272</v>
      </c>
      <c r="K1853">
        <v>6.7911759818679176</v>
      </c>
      <c r="L1853">
        <v>0</v>
      </c>
      <c r="M1853">
        <v>1.0998365726131625E-2</v>
      </c>
      <c r="N1853">
        <v>0.204825226235376</v>
      </c>
      <c r="O1853">
        <v>0.12638517769749336</v>
      </c>
      <c r="P1853">
        <v>8.345781640123999E-2</v>
      </c>
      <c r="Q1853">
        <v>0</v>
      </c>
      <c r="R1853">
        <v>1.0998365726131625E-2</v>
      </c>
      <c r="S1853">
        <v>0.29540685916900394</v>
      </c>
      <c r="T1853">
        <v>5.9118683981861189</v>
      </c>
      <c r="U1853">
        <v>0</v>
      </c>
      <c r="V1853">
        <v>1.9407335846414228E-2</v>
      </c>
      <c r="W1853">
        <v>0.10784572055002621</v>
      </c>
      <c r="X1853">
        <v>-3.3098646418441863E-3</v>
      </c>
      <c r="Y1853">
        <v>4.5289312424088353E-2</v>
      </c>
    </row>
    <row r="1854" spans="1:25" x14ac:dyDescent="0.25">
      <c r="A1854" s="879"/>
      <c r="B1854" s="1133">
        <v>1604</v>
      </c>
      <c r="C1854" s="883">
        <v>0.97326159188260297</v>
      </c>
      <c r="D1854" s="883">
        <v>1.016486797886514</v>
      </c>
      <c r="E1854" s="883">
        <v>1.0042972638177068</v>
      </c>
      <c r="F1854" s="883">
        <v>1.0262608511022562</v>
      </c>
      <c r="G1854" s="883">
        <v>0.98148266758176528</v>
      </c>
      <c r="H1854" s="883">
        <v>0.9662174260515326</v>
      </c>
      <c r="I1854" s="883">
        <v>0.98257867427976964</v>
      </c>
      <c r="K1854">
        <v>6.7439809237101453</v>
      </c>
      <c r="L1854">
        <v>0</v>
      </c>
      <c r="M1854">
        <v>1.0236311036797738E-2</v>
      </c>
      <c r="N1854">
        <v>0.19206268285835235</v>
      </c>
      <c r="O1854">
        <v>0.1244347667310242</v>
      </c>
      <c r="P1854">
        <v>8.3441994130883795E-2</v>
      </c>
      <c r="Q1854">
        <v>0</v>
      </c>
      <c r="R1854">
        <v>1.0236311036797738E-2</v>
      </c>
      <c r="S1854">
        <v>0.2692255431340389</v>
      </c>
      <c r="T1854">
        <v>5.9133100094514903</v>
      </c>
      <c r="U1854">
        <v>0</v>
      </c>
      <c r="V1854">
        <v>1.9304866124610992E-2</v>
      </c>
      <c r="W1854">
        <v>0.10087314314959543</v>
      </c>
      <c r="X1854">
        <v>-8.2338872394239039E-4</v>
      </c>
      <c r="Y1854">
        <v>4.2151306854089646E-2</v>
      </c>
    </row>
    <row r="1855" spans="1:25" x14ac:dyDescent="0.25">
      <c r="A1855" s="879"/>
      <c r="B1855" s="1133">
        <v>1605</v>
      </c>
      <c r="C1855" s="883">
        <v>0.97608389363203119</v>
      </c>
      <c r="D1855" s="883">
        <v>0.97097598673744456</v>
      </c>
      <c r="E1855" s="883">
        <v>1.0213708051350334</v>
      </c>
      <c r="F1855" s="883">
        <v>0.97577644438171596</v>
      </c>
      <c r="G1855" s="883">
        <v>1.0090573155233806</v>
      </c>
      <c r="H1855" s="883">
        <v>1.0187407196746983</v>
      </c>
      <c r="I1855" s="883">
        <v>1.0078704329783441</v>
      </c>
      <c r="K1855">
        <v>6.7781948373957412</v>
      </c>
      <c r="L1855">
        <v>0</v>
      </c>
      <c r="M1855">
        <v>1.0812123198455821E-2</v>
      </c>
      <c r="N1855">
        <v>0.20805836174498493</v>
      </c>
      <c r="O1855">
        <v>0.12603557314382863</v>
      </c>
      <c r="P1855">
        <v>8.4622745867038107E-2</v>
      </c>
      <c r="Q1855">
        <v>0</v>
      </c>
      <c r="R1855">
        <v>1.0812123198455821E-2</v>
      </c>
      <c r="S1855">
        <v>0.28098215587302056</v>
      </c>
      <c r="T1855">
        <v>5.9096106014032408</v>
      </c>
      <c r="U1855">
        <v>0</v>
      </c>
      <c r="V1855">
        <v>1.9288669938657285E-2</v>
      </c>
      <c r="W1855">
        <v>0.10835637627812407</v>
      </c>
      <c r="X1855">
        <v>-3.2820456982080117E-3</v>
      </c>
      <c r="Y1855">
        <v>4.452239884505356E-2</v>
      </c>
    </row>
    <row r="1856" spans="1:25" x14ac:dyDescent="0.25">
      <c r="A1856" s="879"/>
      <c r="B1856" s="1133">
        <v>1606</v>
      </c>
      <c r="C1856" s="883">
        <v>0.99669335598648678</v>
      </c>
      <c r="D1856" s="883">
        <v>0.98883570972093771</v>
      </c>
      <c r="E1856" s="883">
        <v>1.0243497075992658</v>
      </c>
      <c r="F1856" s="883">
        <v>0.99131460699926643</v>
      </c>
      <c r="G1856" s="883">
        <v>0.97820880538844912</v>
      </c>
      <c r="H1856" s="883">
        <v>0.9604434593383997</v>
      </c>
      <c r="I1856" s="883">
        <v>0.98419378403428526</v>
      </c>
      <c r="K1856">
        <v>6.7303890547787963</v>
      </c>
      <c r="L1856">
        <v>0</v>
      </c>
      <c r="M1856">
        <v>9.8791308832435476E-3</v>
      </c>
      <c r="N1856">
        <v>0.19094412991357557</v>
      </c>
      <c r="O1856">
        <v>0.12247595883398761</v>
      </c>
      <c r="P1856">
        <v>8.4572582826883097E-2</v>
      </c>
      <c r="Q1856">
        <v>0</v>
      </c>
      <c r="R1856">
        <v>9.8791308832435476E-3</v>
      </c>
      <c r="S1856">
        <v>0.26305556921759199</v>
      </c>
      <c r="T1856">
        <v>5.9102788971298494</v>
      </c>
      <c r="U1856">
        <v>0</v>
      </c>
      <c r="V1856">
        <v>1.9173180041777163E-2</v>
      </c>
      <c r="W1856">
        <v>9.9297673981963694E-2</v>
      </c>
      <c r="X1856">
        <v>-8.9439724286773497E-5</v>
      </c>
      <c r="Y1856">
        <v>4.0680502557450822E-2</v>
      </c>
    </row>
    <row r="1857" spans="1:25" x14ac:dyDescent="0.25">
      <c r="A1857" s="879"/>
      <c r="B1857" s="1133">
        <v>1607</v>
      </c>
      <c r="C1857" s="883">
        <v>1.0429703998342013</v>
      </c>
      <c r="D1857" s="883">
        <v>1.0218995875676118</v>
      </c>
      <c r="E1857" s="883">
        <v>0.98001564577321976</v>
      </c>
      <c r="F1857" s="883">
        <v>1.0277387899887744</v>
      </c>
      <c r="G1857" s="883">
        <v>0.99148268938026496</v>
      </c>
      <c r="H1857" s="883">
        <v>0.99398581847359313</v>
      </c>
      <c r="I1857" s="883">
        <v>1.0246230837213934</v>
      </c>
      <c r="K1857">
        <v>6.7150764920754717</v>
      </c>
      <c r="L1857">
        <v>0</v>
      </c>
      <c r="M1857">
        <v>1.0014363968946477E-2</v>
      </c>
      <c r="N1857">
        <v>0.18125543095860094</v>
      </c>
      <c r="O1857">
        <v>0.1163023938927914</v>
      </c>
      <c r="P1857">
        <v>8.1865432020709672E-2</v>
      </c>
      <c r="Q1857">
        <v>0</v>
      </c>
      <c r="R1857">
        <v>1.0014363968946477E-2</v>
      </c>
      <c r="S1857">
        <v>0.26444604666455312</v>
      </c>
      <c r="T1857">
        <v>5.9147444440952697</v>
      </c>
      <c r="U1857">
        <v>0</v>
      </c>
      <c r="V1857">
        <v>1.8930486564972128E-2</v>
      </c>
      <c r="W1857">
        <v>9.6355745207014801E-2</v>
      </c>
      <c r="X1857">
        <v>-6.0855662221245301E-5</v>
      </c>
      <c r="Y1857">
        <v>4.1237368333783546E-2</v>
      </c>
    </row>
    <row r="1858" spans="1:25" x14ac:dyDescent="0.25">
      <c r="A1858" s="879"/>
      <c r="B1858" s="1133">
        <v>1608</v>
      </c>
      <c r="C1858" s="883">
        <v>1.0461722230090202</v>
      </c>
      <c r="D1858" s="883">
        <v>1.0126947133753572</v>
      </c>
      <c r="E1858" s="883">
        <v>1.0168070738486428</v>
      </c>
      <c r="F1858" s="883">
        <v>0.98482602229666361</v>
      </c>
      <c r="G1858" s="883">
        <v>1.0070543016242786</v>
      </c>
      <c r="H1858" s="883">
        <v>0.97050822991393582</v>
      </c>
      <c r="I1858" s="883">
        <v>1.0135879772501637</v>
      </c>
      <c r="K1858">
        <v>6.7036362787832777</v>
      </c>
      <c r="L1858">
        <v>0</v>
      </c>
      <c r="M1858">
        <v>9.4762743915672316E-3</v>
      </c>
      <c r="N1858">
        <v>0.18112552664124196</v>
      </c>
      <c r="O1858">
        <v>0.11571168634060675</v>
      </c>
      <c r="P1858">
        <v>8.4040486739356421E-2</v>
      </c>
      <c r="Q1858">
        <v>0</v>
      </c>
      <c r="R1858">
        <v>9.4762743915672316E-3</v>
      </c>
      <c r="S1858">
        <v>0.2588072119891931</v>
      </c>
      <c r="T1858">
        <v>5.9103607280312254</v>
      </c>
      <c r="U1858">
        <v>0</v>
      </c>
      <c r="V1858">
        <v>1.8914489208705268E-2</v>
      </c>
      <c r="W1858">
        <v>9.4542186960566918E-2</v>
      </c>
      <c r="X1858">
        <v>1.1123516418667372E-3</v>
      </c>
      <c r="Y1858">
        <v>3.9021611230510199E-2</v>
      </c>
    </row>
    <row r="1859" spans="1:25" x14ac:dyDescent="0.25">
      <c r="A1859" s="879"/>
      <c r="B1859" s="1133">
        <v>1609</v>
      </c>
      <c r="C1859" s="883">
        <v>1.0113409787029912</v>
      </c>
      <c r="D1859" s="883">
        <v>1.0086976676664754</v>
      </c>
      <c r="E1859" s="883">
        <v>1.0068581759104072</v>
      </c>
      <c r="F1859" s="883">
        <v>0.99442577108748598</v>
      </c>
      <c r="G1859" s="883">
        <v>1.0115009059364393</v>
      </c>
      <c r="H1859" s="883">
        <v>1.0169648729212009</v>
      </c>
      <c r="I1859" s="883">
        <v>0.97462108073492915</v>
      </c>
      <c r="K1859">
        <v>6.734718460501929</v>
      </c>
      <c r="L1859">
        <v>0</v>
      </c>
      <c r="M1859">
        <v>1.0379217016693023E-2</v>
      </c>
      <c r="N1859">
        <v>0.19548395560218251</v>
      </c>
      <c r="O1859">
        <v>0.12007111635796182</v>
      </c>
      <c r="P1859">
        <v>8.3472863470607936E-2</v>
      </c>
      <c r="Q1859">
        <v>0</v>
      </c>
      <c r="R1859">
        <v>1.0379217016693023E-2</v>
      </c>
      <c r="S1859">
        <v>0.2616493543244669</v>
      </c>
      <c r="T1859">
        <v>5.9114449720459552</v>
      </c>
      <c r="U1859">
        <v>0</v>
      </c>
      <c r="V1859">
        <v>1.9093960191351959E-2</v>
      </c>
      <c r="W1859">
        <v>0.10253982850780592</v>
      </c>
      <c r="X1859">
        <v>-1.7773582413868852E-3</v>
      </c>
      <c r="Y1859">
        <v>4.2739768242982243E-2</v>
      </c>
    </row>
    <row r="1860" spans="1:25" x14ac:dyDescent="0.25">
      <c r="A1860" s="879"/>
      <c r="B1860" s="1133">
        <v>1610</v>
      </c>
      <c r="C1860" s="883">
        <v>1.0223278176301329</v>
      </c>
      <c r="D1860" s="883">
        <v>0.99179537062474266</v>
      </c>
      <c r="E1860" s="883">
        <v>1.0016456720158433</v>
      </c>
      <c r="F1860" s="883">
        <v>1.0325302859507413</v>
      </c>
      <c r="G1860" s="883">
        <v>0.99122709337627635</v>
      </c>
      <c r="H1860" s="883">
        <v>1.0062745289963584</v>
      </c>
      <c r="I1860" s="883">
        <v>0.99101273014401514</v>
      </c>
      <c r="K1860">
        <v>6.7322893364165726</v>
      </c>
      <c r="L1860">
        <v>0</v>
      </c>
      <c r="M1860">
        <v>1.0280266374567906E-2</v>
      </c>
      <c r="N1860">
        <v>0.19213134745875132</v>
      </c>
      <c r="O1860">
        <v>0.11968239110675119</v>
      </c>
      <c r="P1860">
        <v>8.3186484551924386E-2</v>
      </c>
      <c r="Q1860">
        <v>0</v>
      </c>
      <c r="R1860">
        <v>1.0280266374567906E-2</v>
      </c>
      <c r="S1860">
        <v>0.26237672622998037</v>
      </c>
      <c r="T1860">
        <v>5.9137983321426457</v>
      </c>
      <c r="U1860">
        <v>0</v>
      </c>
      <c r="V1860">
        <v>1.9036029192652033E-2</v>
      </c>
      <c r="W1860">
        <v>0.10104201686511007</v>
      </c>
      <c r="X1860">
        <v>-1.2962982425081431E-3</v>
      </c>
      <c r="Y1860">
        <v>4.2332307111268723E-2</v>
      </c>
    </row>
    <row r="1861" spans="1:25" x14ac:dyDescent="0.25">
      <c r="A1861" s="879"/>
      <c r="B1861" s="1133">
        <v>1611</v>
      </c>
      <c r="C1861" s="883">
        <v>0.99652490349126888</v>
      </c>
      <c r="D1861" s="883">
        <v>1.0069465779776774</v>
      </c>
      <c r="E1861" s="883">
        <v>1.0202065319229081</v>
      </c>
      <c r="F1861" s="883">
        <v>1.0275715302443955</v>
      </c>
      <c r="G1861" s="883">
        <v>1.0104502049466348</v>
      </c>
      <c r="H1861" s="883">
        <v>1.0360783379186038</v>
      </c>
      <c r="I1861" s="883">
        <v>1.0128783218917674</v>
      </c>
      <c r="K1861">
        <v>6.7667844100464141</v>
      </c>
      <c r="L1861">
        <v>0</v>
      </c>
      <c r="M1861">
        <v>1.061480927656905E-2</v>
      </c>
      <c r="N1861">
        <v>0.20390996189529143</v>
      </c>
      <c r="O1861">
        <v>0.12168908995579458</v>
      </c>
      <c r="P1861">
        <v>8.4544173483599758E-2</v>
      </c>
      <c r="Q1861">
        <v>0</v>
      </c>
      <c r="R1861">
        <v>1.061480927656905E-2</v>
      </c>
      <c r="S1861">
        <v>0.27783098447353904</v>
      </c>
      <c r="T1861">
        <v>5.9124755958703172</v>
      </c>
      <c r="U1861">
        <v>0</v>
      </c>
      <c r="V1861">
        <v>1.9174104641523172E-2</v>
      </c>
      <c r="W1861">
        <v>0.10625680056835318</v>
      </c>
      <c r="X1861">
        <v>-2.8061960772946867E-3</v>
      </c>
      <c r="Y1861">
        <v>4.3709895235292694E-2</v>
      </c>
    </row>
    <row r="1862" spans="1:25" x14ac:dyDescent="0.25">
      <c r="A1862" s="879"/>
      <c r="B1862" s="1133">
        <v>1612</v>
      </c>
      <c r="C1862" s="883">
        <v>1.0226878188891337</v>
      </c>
      <c r="D1862" s="883">
        <v>0.99743883779269205</v>
      </c>
      <c r="E1862" s="883">
        <v>1.0382168831849108</v>
      </c>
      <c r="F1862" s="883">
        <v>0.99832160890537713</v>
      </c>
      <c r="G1862" s="883">
        <v>1.0077859928073645</v>
      </c>
      <c r="H1862" s="883">
        <v>1.0347654040062184</v>
      </c>
      <c r="I1862" s="883">
        <v>1.0202964613808763</v>
      </c>
      <c r="K1862">
        <v>6.7514379012593198</v>
      </c>
      <c r="L1862">
        <v>0</v>
      </c>
      <c r="M1862">
        <v>1.0209789006775083E-2</v>
      </c>
      <c r="N1862">
        <v>0.201421508046561</v>
      </c>
      <c r="O1862">
        <v>0.11869189876190056</v>
      </c>
      <c r="P1862">
        <v>8.55647551603953E-2</v>
      </c>
      <c r="Q1862">
        <v>0</v>
      </c>
      <c r="R1862">
        <v>1.0209789006775083E-2</v>
      </c>
      <c r="S1862">
        <v>0.27272186998704967</v>
      </c>
      <c r="T1862">
        <v>5.9098542719485856</v>
      </c>
      <c r="U1862">
        <v>0</v>
      </c>
      <c r="V1862">
        <v>1.9034152052068067E-2</v>
      </c>
      <c r="W1862">
        <v>0.10403647402319922</v>
      </c>
      <c r="X1862">
        <v>-1.9291225756379953E-3</v>
      </c>
      <c r="Y1862">
        <v>4.2042093855201711E-2</v>
      </c>
    </row>
    <row r="1863" spans="1:25" x14ac:dyDescent="0.25">
      <c r="A1863" s="879"/>
      <c r="B1863" s="1133">
        <v>1613</v>
      </c>
      <c r="C1863" s="883">
        <v>1.012622471190868</v>
      </c>
      <c r="D1863" s="883">
        <v>1.0180129791093857</v>
      </c>
      <c r="E1863" s="883">
        <v>1.0084586060763359</v>
      </c>
      <c r="F1863" s="883">
        <v>1.0170638579223206</v>
      </c>
      <c r="G1863" s="883">
        <v>1.0112507220299793</v>
      </c>
      <c r="H1863" s="883">
        <v>0.96770350235950386</v>
      </c>
      <c r="I1863" s="883">
        <v>0.98429921095338113</v>
      </c>
      <c r="K1863">
        <v>6.717016909855305</v>
      </c>
      <c r="L1863">
        <v>0</v>
      </c>
      <c r="M1863">
        <v>9.8114727329180664E-3</v>
      </c>
      <c r="N1863">
        <v>0.1852293738829624</v>
      </c>
      <c r="O1863">
        <v>0.11944951114235765</v>
      </c>
      <c r="P1863">
        <v>8.3557258220612177E-2</v>
      </c>
      <c r="Q1863">
        <v>0</v>
      </c>
      <c r="R1863">
        <v>9.8114727329180664E-3</v>
      </c>
      <c r="S1863">
        <v>0.25934383782461184</v>
      </c>
      <c r="T1863">
        <v>5.912577616857539</v>
      </c>
      <c r="U1863">
        <v>0</v>
      </c>
      <c r="V1863">
        <v>1.9087138423435037E-2</v>
      </c>
      <c r="W1863">
        <v>9.7083900425919439E-2</v>
      </c>
      <c r="X1863">
        <v>2.863747407566529E-4</v>
      </c>
      <c r="Y1863">
        <v>4.0401898337112337E-2</v>
      </c>
    </row>
    <row r="1864" spans="1:25" x14ac:dyDescent="0.25">
      <c r="A1864" s="879"/>
      <c r="B1864" s="1133">
        <v>1614</v>
      </c>
      <c r="C1864" s="883">
        <v>0.97199703426434281</v>
      </c>
      <c r="D1864" s="883">
        <v>0.97204136221235693</v>
      </c>
      <c r="E1864" s="883">
        <v>0.97771136180152396</v>
      </c>
      <c r="F1864" s="883">
        <v>1.025842351934106</v>
      </c>
      <c r="G1864" s="883">
        <v>0.96364891291766996</v>
      </c>
      <c r="H1864" s="883">
        <v>1.0010671581214157</v>
      </c>
      <c r="I1864" s="883">
        <v>1.0048279985559423</v>
      </c>
      <c r="K1864">
        <v>6.7716104510554063</v>
      </c>
      <c r="L1864">
        <v>0</v>
      </c>
      <c r="M1864">
        <v>1.1078764693400876E-2</v>
      </c>
      <c r="N1864">
        <v>0.19983616903944654</v>
      </c>
      <c r="O1864">
        <v>0.12736108789804335</v>
      </c>
      <c r="P1864">
        <v>8.1923653167887689E-2</v>
      </c>
      <c r="Q1864">
        <v>0</v>
      </c>
      <c r="R1864">
        <v>1.1078764693400876E-2</v>
      </c>
      <c r="S1864">
        <v>0.27947742195487052</v>
      </c>
      <c r="T1864">
        <v>5.914768751574349</v>
      </c>
      <c r="U1864">
        <v>0</v>
      </c>
      <c r="V1864">
        <v>1.9312153483167949E-2</v>
      </c>
      <c r="W1864">
        <v>0.10635599966960026</v>
      </c>
      <c r="X1864">
        <v>-3.045166792778259E-3</v>
      </c>
      <c r="Y1864">
        <v>4.5620381060820427E-2</v>
      </c>
    </row>
    <row r="1865" spans="1:25" x14ac:dyDescent="0.25">
      <c r="A1865" s="879"/>
      <c r="B1865" s="1133">
        <v>1615</v>
      </c>
      <c r="C1865" s="883">
        <v>0.97463360663745835</v>
      </c>
      <c r="D1865" s="883">
        <v>1.0049994395776396</v>
      </c>
      <c r="E1865" s="883">
        <v>0.99495587394441809</v>
      </c>
      <c r="F1865" s="883">
        <v>1.0168117176525286</v>
      </c>
      <c r="G1865" s="883">
        <v>1.0028700970205349</v>
      </c>
      <c r="H1865" s="883">
        <v>1.0190651146011034</v>
      </c>
      <c r="I1865" s="883">
        <v>1.0257654061929353</v>
      </c>
      <c r="K1865">
        <v>6.7773748912066649</v>
      </c>
      <c r="L1865">
        <v>0</v>
      </c>
      <c r="M1865">
        <v>1.0922344402363914E-2</v>
      </c>
      <c r="N1865">
        <v>0.20211799170605965</v>
      </c>
      <c r="O1865">
        <v>0.12500500368664788</v>
      </c>
      <c r="P1865">
        <v>8.3078598022248706E-2</v>
      </c>
      <c r="Q1865">
        <v>0</v>
      </c>
      <c r="R1865">
        <v>1.0922344402363914E-2</v>
      </c>
      <c r="S1865">
        <v>0.28597813341550948</v>
      </c>
      <c r="T1865">
        <v>5.9133243074225943</v>
      </c>
      <c r="U1865">
        <v>0</v>
      </c>
      <c r="V1865">
        <v>1.929698090387174E-2</v>
      </c>
      <c r="W1865">
        <v>0.1066479829565927</v>
      </c>
      <c r="X1865">
        <v>-3.0503770509677499E-3</v>
      </c>
      <c r="Y1865">
        <v>4.4976270144104144E-2</v>
      </c>
    </row>
    <row r="1866" spans="1:25" x14ac:dyDescent="0.25">
      <c r="A1866" s="879"/>
      <c r="B1866" s="1133">
        <v>1616</v>
      </c>
      <c r="C1866" s="883">
        <v>0.99755016312450262</v>
      </c>
      <c r="D1866" s="883">
        <v>0.99962775346988797</v>
      </c>
      <c r="E1866" s="883">
        <v>1.0053208482179978</v>
      </c>
      <c r="F1866" s="883">
        <v>0.97136769526248434</v>
      </c>
      <c r="G1866" s="883">
        <v>0.9872032938529367</v>
      </c>
      <c r="H1866" s="883">
        <v>0.97804552925734067</v>
      </c>
      <c r="I1866" s="883">
        <v>0.97484711849317462</v>
      </c>
      <c r="K1866">
        <v>6.7294387233126374</v>
      </c>
      <c r="L1866">
        <v>0</v>
      </c>
      <c r="M1866">
        <v>1.0172884087639899E-2</v>
      </c>
      <c r="N1866">
        <v>0.19116217021953485</v>
      </c>
      <c r="O1866">
        <v>0.12220063377194283</v>
      </c>
      <c r="P1866">
        <v>8.3364378919678406E-2</v>
      </c>
      <c r="Q1866">
        <v>0</v>
      </c>
      <c r="R1866">
        <v>1.0172884087639899E-2</v>
      </c>
      <c r="S1866">
        <v>0.26183295034103909</v>
      </c>
      <c r="T1866">
        <v>5.9102858649647914</v>
      </c>
      <c r="U1866">
        <v>0</v>
      </c>
      <c r="V1866">
        <v>1.9168482043970318E-2</v>
      </c>
      <c r="W1866">
        <v>0.10034926037330505</v>
      </c>
      <c r="X1866">
        <v>-8.1514328865901872E-4</v>
      </c>
      <c r="Y1866">
        <v>4.1890125967033745E-2</v>
      </c>
    </row>
    <row r="1867" spans="1:25" x14ac:dyDescent="0.25">
      <c r="A1867" s="879"/>
      <c r="B1867" s="1133">
        <v>1617</v>
      </c>
      <c r="C1867" s="883">
        <v>1.0121411161715224</v>
      </c>
      <c r="D1867" s="883">
        <v>1.00142392869045</v>
      </c>
      <c r="E1867" s="883">
        <v>1.0019021172220799</v>
      </c>
      <c r="F1867" s="883">
        <v>0.99865696383815306</v>
      </c>
      <c r="G1867" s="883">
        <v>1.000850430537138</v>
      </c>
      <c r="H1867" s="883">
        <v>0.9905033590314789</v>
      </c>
      <c r="I1867" s="883">
        <v>0.99896830020791039</v>
      </c>
      <c r="K1867">
        <v>6.7316234912823232</v>
      </c>
      <c r="L1867">
        <v>0</v>
      </c>
      <c r="M1867">
        <v>1.0176495456369707E-2</v>
      </c>
      <c r="N1867">
        <v>0.19026419968001373</v>
      </c>
      <c r="O1867">
        <v>0.12041591278306721</v>
      </c>
      <c r="P1867">
        <v>8.3221559714808768E-2</v>
      </c>
      <c r="Q1867">
        <v>0</v>
      </c>
      <c r="R1867">
        <v>1.0176495456369707E-2</v>
      </c>
      <c r="S1867">
        <v>0.2655801365290571</v>
      </c>
      <c r="T1867">
        <v>5.9119533374908553</v>
      </c>
      <c r="U1867">
        <v>0</v>
      </c>
      <c r="V1867">
        <v>1.908969879454174E-2</v>
      </c>
      <c r="W1867">
        <v>0.10004734893121442</v>
      </c>
      <c r="X1867">
        <v>-8.5369958190122672E-4</v>
      </c>
      <c r="Y1867">
        <v>4.1904996940663436E-2</v>
      </c>
    </row>
    <row r="1868" spans="1:25" x14ac:dyDescent="0.25">
      <c r="A1868" s="879"/>
      <c r="B1868" s="1133">
        <v>1618</v>
      </c>
      <c r="C1868" s="883">
        <v>1.009896812102197</v>
      </c>
      <c r="D1868" s="883">
        <v>0.99910655303254248</v>
      </c>
      <c r="E1868" s="883">
        <v>0.98058135027885407</v>
      </c>
      <c r="F1868" s="883">
        <v>1.0216422613836977</v>
      </c>
      <c r="G1868" s="883">
        <v>0.9932381149246412</v>
      </c>
      <c r="H1868" s="883">
        <v>1.035072963851313</v>
      </c>
      <c r="I1868" s="883">
        <v>1.0155314272603619</v>
      </c>
      <c r="K1868">
        <v>6.7549802730331159</v>
      </c>
      <c r="L1868">
        <v>0</v>
      </c>
      <c r="M1868">
        <v>1.0868992682540039E-2</v>
      </c>
      <c r="N1868">
        <v>0.19688900250477137</v>
      </c>
      <c r="O1868">
        <v>0.12118948490439974</v>
      </c>
      <c r="P1868">
        <v>8.2035169240237238E-2</v>
      </c>
      <c r="Q1868">
        <v>0</v>
      </c>
      <c r="R1868">
        <v>1.0868992682540039E-2</v>
      </c>
      <c r="S1868">
        <v>0.27479515427123669</v>
      </c>
      <c r="T1868">
        <v>5.9143836866222621</v>
      </c>
      <c r="U1868">
        <v>0</v>
      </c>
      <c r="V1868">
        <v>1.9101668671028367E-2</v>
      </c>
      <c r="W1868">
        <v>0.10463694333249528</v>
      </c>
      <c r="X1868">
        <v>-2.8074137714362572E-3</v>
      </c>
      <c r="Y1868">
        <v>4.4756577258121544E-2</v>
      </c>
    </row>
    <row r="1869" spans="1:25" x14ac:dyDescent="0.25">
      <c r="A1869" s="879"/>
      <c r="B1869" s="1133">
        <v>1619</v>
      </c>
      <c r="C1869" s="883">
        <v>1.0056513025352858</v>
      </c>
      <c r="D1869" s="883">
        <v>0.9925610679058795</v>
      </c>
      <c r="E1869" s="883">
        <v>1.0399820852752311</v>
      </c>
      <c r="F1869" s="883">
        <v>0.97338617842166841</v>
      </c>
      <c r="G1869" s="883">
        <v>0.96714331429655331</v>
      </c>
      <c r="H1869" s="883">
        <v>0.9827052043221528</v>
      </c>
      <c r="I1869" s="883">
        <v>1.0021706617633015</v>
      </c>
      <c r="K1869">
        <v>6.7375789050337831</v>
      </c>
      <c r="L1869">
        <v>0</v>
      </c>
      <c r="M1869">
        <v>9.8658237258618109E-3</v>
      </c>
      <c r="N1869">
        <v>0.19514385382578875</v>
      </c>
      <c r="O1869">
        <v>0.12090595589882788</v>
      </c>
      <c r="P1869">
        <v>8.5585247019301341E-2</v>
      </c>
      <c r="Q1869">
        <v>0</v>
      </c>
      <c r="R1869">
        <v>9.8658237258618109E-3</v>
      </c>
      <c r="S1869">
        <v>0.26756704169667705</v>
      </c>
      <c r="T1869">
        <v>5.9084045573098312</v>
      </c>
      <c r="U1869">
        <v>0</v>
      </c>
      <c r="V1869">
        <v>1.9124457995041023E-2</v>
      </c>
      <c r="W1869">
        <v>0.10070707011453055</v>
      </c>
      <c r="X1869">
        <v>-4.8498487815318471E-4</v>
      </c>
      <c r="Y1869">
        <v>4.0625706051938548E-2</v>
      </c>
    </row>
    <row r="1870" spans="1:25" x14ac:dyDescent="0.25">
      <c r="A1870" s="879"/>
      <c r="B1870" s="1133">
        <v>1620</v>
      </c>
      <c r="C1870" s="883">
        <v>1.0261863305575498</v>
      </c>
      <c r="D1870" s="883">
        <v>0.9850679329685641</v>
      </c>
      <c r="E1870" s="883">
        <v>0.99586326921047941</v>
      </c>
      <c r="F1870" s="883">
        <v>0.97810207962625739</v>
      </c>
      <c r="G1870" s="883">
        <v>0.96453581600136618</v>
      </c>
      <c r="H1870" s="883">
        <v>0.99047793041464494</v>
      </c>
      <c r="I1870" s="883">
        <v>0.97457681882795821</v>
      </c>
      <c r="K1870">
        <v>6.7169265479286668</v>
      </c>
      <c r="L1870">
        <v>0</v>
      </c>
      <c r="M1870">
        <v>1.0161474178488278E-2</v>
      </c>
      <c r="N1870">
        <v>0.1882911212809717</v>
      </c>
      <c r="O1870">
        <v>0.11966359648266049</v>
      </c>
      <c r="P1870">
        <v>8.2698960884118974E-2</v>
      </c>
      <c r="Q1870">
        <v>0</v>
      </c>
      <c r="R1870">
        <v>1.0161474178488278E-2</v>
      </c>
      <c r="S1870">
        <v>0.25569063891009575</v>
      </c>
      <c r="T1870">
        <v>5.911181420936634</v>
      </c>
      <c r="U1870">
        <v>0</v>
      </c>
      <c r="V1870">
        <v>1.9015978489969519E-2</v>
      </c>
      <c r="W1870">
        <v>9.930735940348781E-2</v>
      </c>
      <c r="X1870">
        <v>-7.6567045130552386E-4</v>
      </c>
      <c r="Y1870">
        <v>4.1843141992035503E-2</v>
      </c>
    </row>
    <row r="1871" spans="1:25" x14ac:dyDescent="0.25">
      <c r="A1871" s="879"/>
      <c r="B1871" s="1133">
        <v>1621</v>
      </c>
      <c r="C1871" s="883">
        <v>1.00236929639543</v>
      </c>
      <c r="D1871" s="883">
        <v>1.0156247089732202</v>
      </c>
      <c r="E1871" s="883">
        <v>0.99010969260539405</v>
      </c>
      <c r="F1871" s="883">
        <v>1.0125077787560219</v>
      </c>
      <c r="G1871" s="883">
        <v>0.97448931582503495</v>
      </c>
      <c r="H1871" s="883">
        <v>1.0087555100395322</v>
      </c>
      <c r="I1871" s="883">
        <v>1.0157843483779829</v>
      </c>
      <c r="K1871">
        <v>6.7472789933640014</v>
      </c>
      <c r="L1871">
        <v>0</v>
      </c>
      <c r="M1871">
        <v>1.0509813146126316E-2</v>
      </c>
      <c r="N1871">
        <v>0.19309202964087763</v>
      </c>
      <c r="O1871">
        <v>0.1211255703786575</v>
      </c>
      <c r="P1871">
        <v>8.2615566461353054E-2</v>
      </c>
      <c r="Q1871">
        <v>0</v>
      </c>
      <c r="R1871">
        <v>1.0509813146126316E-2</v>
      </c>
      <c r="S1871">
        <v>0.27426072829272363</v>
      </c>
      <c r="T1871">
        <v>5.9133620826245528</v>
      </c>
      <c r="U1871">
        <v>0</v>
      </c>
      <c r="V1871">
        <v>1.9142207663868746E-2</v>
      </c>
      <c r="W1871">
        <v>0.10213167716866683</v>
      </c>
      <c r="X1871">
        <v>-1.7284087254415563E-3</v>
      </c>
      <c r="Y1871">
        <v>4.3277539858744038E-2</v>
      </c>
    </row>
    <row r="1872" spans="1:25" x14ac:dyDescent="0.25">
      <c r="A1872" s="879"/>
      <c r="B1872" s="1133">
        <v>1622</v>
      </c>
      <c r="C1872" s="883">
        <v>0.9805403294537105</v>
      </c>
      <c r="D1872" s="883">
        <v>0.99376946807331301</v>
      </c>
      <c r="E1872" s="883">
        <v>1.0425241899170243</v>
      </c>
      <c r="F1872" s="883">
        <v>0.98844788257778093</v>
      </c>
      <c r="G1872" s="883">
        <v>1.0132142465897194</v>
      </c>
      <c r="H1872" s="883">
        <v>0.99512976911990558</v>
      </c>
      <c r="I1872" s="883">
        <v>0.97466878465668438</v>
      </c>
      <c r="K1872">
        <v>6.7538408313541751</v>
      </c>
      <c r="L1872">
        <v>0</v>
      </c>
      <c r="M1872">
        <v>1.021825349747482E-2</v>
      </c>
      <c r="N1872">
        <v>0.20287512660393073</v>
      </c>
      <c r="O1872">
        <v>0.1238922942232959</v>
      </c>
      <c r="P1872">
        <v>8.5761756665967928E-2</v>
      </c>
      <c r="Q1872">
        <v>0</v>
      </c>
      <c r="R1872">
        <v>1.021825349747482E-2</v>
      </c>
      <c r="S1872">
        <v>0.26804905356627534</v>
      </c>
      <c r="T1872">
        <v>5.909069431021539</v>
      </c>
      <c r="U1872">
        <v>0</v>
      </c>
      <c r="V1872">
        <v>1.9263285878393446E-2</v>
      </c>
      <c r="W1872">
        <v>0.10456702476769246</v>
      </c>
      <c r="X1872">
        <v>-1.7140904942054569E-3</v>
      </c>
      <c r="Y1872">
        <v>4.2076949121280051E-2</v>
      </c>
    </row>
    <row r="1873" spans="1:25" x14ac:dyDescent="0.25">
      <c r="A1873" s="879"/>
      <c r="B1873" s="1133">
        <v>1623</v>
      </c>
      <c r="C1873" s="883">
        <v>1.0199149789396111</v>
      </c>
      <c r="D1873" s="883">
        <v>1.022212988928856</v>
      </c>
      <c r="E1873" s="883">
        <v>1.0352068797992831</v>
      </c>
      <c r="F1873" s="883">
        <v>1.0198369804681244</v>
      </c>
      <c r="G1873" s="883">
        <v>1.010688953789928</v>
      </c>
      <c r="H1873" s="883">
        <v>1.0123548697396216</v>
      </c>
      <c r="I1873" s="883">
        <v>1.0163331331906535</v>
      </c>
      <c r="K1873">
        <v>6.739749771039877</v>
      </c>
      <c r="L1873">
        <v>0</v>
      </c>
      <c r="M1873">
        <v>9.9373623848633911E-3</v>
      </c>
      <c r="N1873">
        <v>0.1951770824901477</v>
      </c>
      <c r="O1873">
        <v>0.11790808605228187</v>
      </c>
      <c r="P1873">
        <v>8.5358130082053799E-2</v>
      </c>
      <c r="Q1873">
        <v>0</v>
      </c>
      <c r="R1873">
        <v>9.9373623848633911E-3</v>
      </c>
      <c r="S1873">
        <v>0.27003730188368646</v>
      </c>
      <c r="T1873">
        <v>5.9111915964200445</v>
      </c>
      <c r="U1873">
        <v>0</v>
      </c>
      <c r="V1873">
        <v>1.9048644568126105E-2</v>
      </c>
      <c r="W1873">
        <v>0.10095972455879292</v>
      </c>
      <c r="X1873">
        <v>-8.5108453156164691E-4</v>
      </c>
      <c r="Y1873">
        <v>4.0920289516300425E-2</v>
      </c>
    </row>
    <row r="1874" spans="1:25" x14ac:dyDescent="0.25">
      <c r="A1874" s="879"/>
      <c r="B1874" s="1133">
        <v>1624</v>
      </c>
      <c r="C1874" s="883">
        <v>0.99334292131086943</v>
      </c>
      <c r="D1874" s="883">
        <v>1.0172988002921859</v>
      </c>
      <c r="E1874" s="883">
        <v>1.0085426730521658</v>
      </c>
      <c r="F1874" s="883">
        <v>1.0172856034936242</v>
      </c>
      <c r="G1874" s="883">
        <v>1.0019717445471201</v>
      </c>
      <c r="H1874" s="883">
        <v>0.99490670312170015</v>
      </c>
      <c r="I1874" s="883">
        <v>0.98464956570047413</v>
      </c>
      <c r="K1874">
        <v>6.7412731552236798</v>
      </c>
      <c r="L1874">
        <v>0</v>
      </c>
      <c r="M1874">
        <v>1.0285398880474094E-2</v>
      </c>
      <c r="N1874">
        <v>0.1942007267862435</v>
      </c>
      <c r="O1874">
        <v>0.121800482956765</v>
      </c>
      <c r="P1874">
        <v>8.3667281607593597E-2</v>
      </c>
      <c r="Q1874">
        <v>0</v>
      </c>
      <c r="R1874">
        <v>1.0285398880474094E-2</v>
      </c>
      <c r="S1874">
        <v>0.2670007923021287</v>
      </c>
      <c r="T1874">
        <v>5.9125848336522555</v>
      </c>
      <c r="U1874">
        <v>0</v>
      </c>
      <c r="V1874">
        <v>1.9191628769921476E-2</v>
      </c>
      <c r="W1874">
        <v>0.10178180284167031</v>
      </c>
      <c r="X1874">
        <v>-1.3078355499427331E-3</v>
      </c>
      <c r="Y1874">
        <v>4.2353441857038432E-2</v>
      </c>
    </row>
    <row r="1875" spans="1:25" x14ac:dyDescent="0.25">
      <c r="A1875" s="879"/>
      <c r="B1875" s="1133">
        <v>1625</v>
      </c>
      <c r="C1875" s="883">
        <v>1.0006483194252165</v>
      </c>
      <c r="D1875" s="883">
        <v>1.0076718566177381</v>
      </c>
      <c r="E1875" s="883">
        <v>0.99635437248360692</v>
      </c>
      <c r="F1875" s="883">
        <v>1.0183231819634579</v>
      </c>
      <c r="G1875" s="883">
        <v>1.0226620538560207</v>
      </c>
      <c r="H1875" s="883">
        <v>1.0112039999549236</v>
      </c>
      <c r="I1875" s="883">
        <v>1.0021757495347265</v>
      </c>
      <c r="K1875">
        <v>6.7481126791034773</v>
      </c>
      <c r="L1875">
        <v>0</v>
      </c>
      <c r="M1875">
        <v>1.0531456583134154E-2</v>
      </c>
      <c r="N1875">
        <v>0.1952889327575951</v>
      </c>
      <c r="O1875">
        <v>0.12159982174462064</v>
      </c>
      <c r="P1875">
        <v>8.296972473166675E-2</v>
      </c>
      <c r="Q1875">
        <v>0</v>
      </c>
      <c r="R1875">
        <v>1.0531456583134154E-2</v>
      </c>
      <c r="S1875">
        <v>0.27137210292235703</v>
      </c>
      <c r="T1875">
        <v>5.9133277186938633</v>
      </c>
      <c r="U1875">
        <v>0</v>
      </c>
      <c r="V1875">
        <v>1.9151561545591965E-2</v>
      </c>
      <c r="W1875">
        <v>0.10297294464332953</v>
      </c>
      <c r="X1875">
        <v>-1.9367916155041429E-3</v>
      </c>
      <c r="Y1875">
        <v>4.3366663679954141E-2</v>
      </c>
    </row>
    <row r="1876" spans="1:25" x14ac:dyDescent="0.25">
      <c r="A1876" s="879"/>
      <c r="B1876" s="1133">
        <v>1626</v>
      </c>
      <c r="C1876" s="883">
        <v>0.99457881075990273</v>
      </c>
      <c r="D1876" s="883">
        <v>1.0043737059972937</v>
      </c>
      <c r="E1876" s="883">
        <v>0.99493486667245934</v>
      </c>
      <c r="F1876" s="883">
        <v>1.0263935201072536</v>
      </c>
      <c r="G1876" s="883">
        <v>1.0218030026496989</v>
      </c>
      <c r="H1876" s="883">
        <v>1.0063083024299404</v>
      </c>
      <c r="I1876" s="883">
        <v>1.0195657613824942</v>
      </c>
      <c r="K1876">
        <v>6.756288999855335</v>
      </c>
      <c r="L1876">
        <v>0</v>
      </c>
      <c r="M1876">
        <v>1.0572336207915785E-2</v>
      </c>
      <c r="N1876">
        <v>0.1956349988889865</v>
      </c>
      <c r="O1876">
        <v>0.12252907877295389</v>
      </c>
      <c r="P1876">
        <v>8.2967215804104794E-2</v>
      </c>
      <c r="Q1876">
        <v>0</v>
      </c>
      <c r="R1876">
        <v>1.0572336207915785E-2</v>
      </c>
      <c r="S1876">
        <v>0.27732574613723715</v>
      </c>
      <c r="T1876">
        <v>5.913843350332046</v>
      </c>
      <c r="U1876">
        <v>0</v>
      </c>
      <c r="V1876">
        <v>1.9184809038649213E-2</v>
      </c>
      <c r="W1876">
        <v>0.10322829737012904</v>
      </c>
      <c r="X1876">
        <v>-1.9594951872764269E-3</v>
      </c>
      <c r="Y1876">
        <v>4.3534998698502934E-2</v>
      </c>
    </row>
    <row r="1877" spans="1:25" x14ac:dyDescent="0.25">
      <c r="A1877" s="879"/>
      <c r="B1877" s="1133">
        <v>1627</v>
      </c>
      <c r="C1877" s="883">
        <v>1.0246902109629721</v>
      </c>
      <c r="D1877" s="883">
        <v>0.99630514631706246</v>
      </c>
      <c r="E1877" s="883">
        <v>1.0268208454096259</v>
      </c>
      <c r="F1877" s="883">
        <v>0.97941613218981605</v>
      </c>
      <c r="G1877" s="883">
        <v>1.0295649166558807</v>
      </c>
      <c r="H1877" s="883">
        <v>0.9558372609819743</v>
      </c>
      <c r="I1877" s="883">
        <v>0.99419142485255274</v>
      </c>
      <c r="K1877">
        <v>6.7103805286030145</v>
      </c>
      <c r="L1877">
        <v>0</v>
      </c>
      <c r="M1877">
        <v>9.5117303950446076E-3</v>
      </c>
      <c r="N1877">
        <v>0.1845159973494831</v>
      </c>
      <c r="O1877">
        <v>0.11872577209062395</v>
      </c>
      <c r="P1877">
        <v>8.4645091749835838E-2</v>
      </c>
      <c r="Q1877">
        <v>0</v>
      </c>
      <c r="R1877">
        <v>9.5117303950446076E-3</v>
      </c>
      <c r="S1877">
        <v>0.2579866572417524</v>
      </c>
      <c r="T1877">
        <v>5.9094938030703492</v>
      </c>
      <c r="U1877">
        <v>0</v>
      </c>
      <c r="V1877">
        <v>1.9023735128250816E-2</v>
      </c>
      <c r="W1877">
        <v>9.5838352876729108E-2</v>
      </c>
      <c r="X1877">
        <v>9.8350635409341657E-4</v>
      </c>
      <c r="Y1877">
        <v>3.9167612741896667E-2</v>
      </c>
    </row>
    <row r="1878" spans="1:25" x14ac:dyDescent="0.25">
      <c r="A1878" s="879"/>
      <c r="B1878" s="1133">
        <v>1628</v>
      </c>
      <c r="C1878" s="883">
        <v>0.98940479136403092</v>
      </c>
      <c r="D1878" s="883">
        <v>0.99639301881950315</v>
      </c>
      <c r="E1878" s="883">
        <v>1.0127402784879156</v>
      </c>
      <c r="F1878" s="883">
        <v>1.0279964622246387</v>
      </c>
      <c r="G1878" s="883">
        <v>0.98450922943150943</v>
      </c>
      <c r="H1878" s="883">
        <v>1.0043179739464498</v>
      </c>
      <c r="I1878" s="883">
        <v>1.0009281340536229</v>
      </c>
      <c r="K1878">
        <v>6.7573386796615935</v>
      </c>
      <c r="L1878">
        <v>0</v>
      </c>
      <c r="M1878">
        <v>1.0478578472797014E-2</v>
      </c>
      <c r="N1878">
        <v>0.19908140227032295</v>
      </c>
      <c r="O1878">
        <v>0.12322516531646276</v>
      </c>
      <c r="P1878">
        <v>8.4024795756743778E-2</v>
      </c>
      <c r="Q1878">
        <v>0</v>
      </c>
      <c r="R1878">
        <v>1.0478578472797014E-2</v>
      </c>
      <c r="S1878">
        <v>0.27360369143042385</v>
      </c>
      <c r="T1878">
        <v>5.9129251238918075</v>
      </c>
      <c r="U1878">
        <v>0</v>
      </c>
      <c r="V1878">
        <v>1.9213473308372489E-2</v>
      </c>
      <c r="W1878">
        <v>0.10412344885375506</v>
      </c>
      <c r="X1878">
        <v>-2.0073421998357275E-3</v>
      </c>
      <c r="Y1878">
        <v>4.3148921033538568E-2</v>
      </c>
    </row>
    <row r="1879" spans="1:25" x14ac:dyDescent="0.25">
      <c r="A1879" s="879"/>
      <c r="B1879" s="1133">
        <v>1629</v>
      </c>
      <c r="C1879" s="883">
        <v>1.0356393785371056</v>
      </c>
      <c r="D1879" s="883">
        <v>1.0029223059308767</v>
      </c>
      <c r="E1879" s="883">
        <v>1.0077379327821181</v>
      </c>
      <c r="F1879" s="883">
        <v>1.0005891473759629</v>
      </c>
      <c r="G1879" s="883">
        <v>1.0357176591271138</v>
      </c>
      <c r="H1879" s="883">
        <v>1.0379808666067112</v>
      </c>
      <c r="I1879" s="883">
        <v>0.99069558719719975</v>
      </c>
      <c r="K1879">
        <v>6.7320564796915709</v>
      </c>
      <c r="L1879">
        <v>0</v>
      </c>
      <c r="M1879">
        <v>1.0362651111888891E-2</v>
      </c>
      <c r="N1879">
        <v>0.19542635482424847</v>
      </c>
      <c r="O1879">
        <v>0.11750764513390437</v>
      </c>
      <c r="P1879">
        <v>8.3530491304920115E-2</v>
      </c>
      <c r="Q1879">
        <v>0</v>
      </c>
      <c r="R1879">
        <v>1.0362651111888891E-2</v>
      </c>
      <c r="S1879">
        <v>0.26167682241294715</v>
      </c>
      <c r="T1879">
        <v>5.911728223389173</v>
      </c>
      <c r="U1879">
        <v>0</v>
      </c>
      <c r="V1879">
        <v>1.8967487268661615E-2</v>
      </c>
      <c r="W1879">
        <v>0.10246496926761556</v>
      </c>
      <c r="X1879">
        <v>-1.9170667055234628E-3</v>
      </c>
      <c r="Y1879">
        <v>4.267155279561996E-2</v>
      </c>
    </row>
    <row r="1880" spans="1:25" x14ac:dyDescent="0.25">
      <c r="A1880" s="879"/>
      <c r="B1880" s="1133">
        <v>1630</v>
      </c>
      <c r="C1880" s="883">
        <v>1.0272325954299462</v>
      </c>
      <c r="D1880" s="883">
        <v>0.98927055841677336</v>
      </c>
      <c r="E1880" s="883">
        <v>1.0259100504767598</v>
      </c>
      <c r="F1880" s="883">
        <v>0.98563679710433294</v>
      </c>
      <c r="G1880" s="883">
        <v>1.0208950152344189</v>
      </c>
      <c r="H1880" s="883">
        <v>0.98538273052970538</v>
      </c>
      <c r="I1880" s="883">
        <v>1.0308833139959743</v>
      </c>
      <c r="K1880">
        <v>6.731516617479488</v>
      </c>
      <c r="L1880">
        <v>0</v>
      </c>
      <c r="M1880">
        <v>9.8190451749833717E-3</v>
      </c>
      <c r="N1880">
        <v>0.19022118755895528</v>
      </c>
      <c r="O1880">
        <v>0.11878496966822737</v>
      </c>
      <c r="P1880">
        <v>8.4753485866296038E-2</v>
      </c>
      <c r="Q1880">
        <v>0</v>
      </c>
      <c r="R1880">
        <v>9.8190451749833717E-3</v>
      </c>
      <c r="S1880">
        <v>0.26971263755323771</v>
      </c>
      <c r="T1880">
        <v>5.9098823395710909</v>
      </c>
      <c r="U1880">
        <v>0</v>
      </c>
      <c r="V1880">
        <v>1.9010567550589396E-2</v>
      </c>
      <c r="W1880">
        <v>9.8845874011912221E-2</v>
      </c>
      <c r="X1880">
        <v>-1.2752460651649993E-4</v>
      </c>
      <c r="Y1880">
        <v>4.0433080305692794E-2</v>
      </c>
    </row>
    <row r="1881" spans="1:25" x14ac:dyDescent="0.25">
      <c r="A1881" s="879"/>
      <c r="B1881" s="1133">
        <v>1631</v>
      </c>
      <c r="C1881" s="883">
        <v>0.99394134824793567</v>
      </c>
      <c r="D1881" s="883">
        <v>1.0051362646067985</v>
      </c>
      <c r="E1881" s="883">
        <v>0.96978751466941515</v>
      </c>
      <c r="F1881" s="883">
        <v>1.0097391679967143</v>
      </c>
      <c r="G1881" s="883">
        <v>0.99786862547751254</v>
      </c>
      <c r="H1881" s="883">
        <v>1.0143638601662477</v>
      </c>
      <c r="I1881" s="883">
        <v>0.99136645953471603</v>
      </c>
      <c r="K1881">
        <v>6.7487792532544306</v>
      </c>
      <c r="L1881">
        <v>0</v>
      </c>
      <c r="M1881">
        <v>1.0896651098241696E-2</v>
      </c>
      <c r="N1881">
        <v>0.19425297220657803</v>
      </c>
      <c r="O1881">
        <v>0.12303952292834114</v>
      </c>
      <c r="P1881">
        <v>8.1298669446329283E-2</v>
      </c>
      <c r="Q1881">
        <v>0</v>
      </c>
      <c r="R1881">
        <v>1.0896651098241696E-2</v>
      </c>
      <c r="S1881">
        <v>0.27053320240340251</v>
      </c>
      <c r="T1881">
        <v>5.9143319225288762</v>
      </c>
      <c r="U1881">
        <v>0</v>
      </c>
      <c r="V1881">
        <v>1.9188324487072181E-2</v>
      </c>
      <c r="W1881">
        <v>0.10379658505337515</v>
      </c>
      <c r="X1881">
        <v>-2.5324154905155445E-3</v>
      </c>
      <c r="Y1881">
        <v>4.4870469690966502E-2</v>
      </c>
    </row>
    <row r="1882" spans="1:25" x14ac:dyDescent="0.25">
      <c r="A1882" s="879"/>
      <c r="B1882" s="1133">
        <v>1632</v>
      </c>
      <c r="C1882" s="883">
        <v>1.0237585558465814</v>
      </c>
      <c r="D1882" s="883">
        <v>0.99706587038350503</v>
      </c>
      <c r="E1882" s="883">
        <v>0.96599654219004405</v>
      </c>
      <c r="F1882" s="883">
        <v>0.98952885258619594</v>
      </c>
      <c r="G1882" s="883">
        <v>0.99584184234771789</v>
      </c>
      <c r="H1882" s="883">
        <v>1.0078517003610763</v>
      </c>
      <c r="I1882" s="883">
        <v>1.015505663415164</v>
      </c>
      <c r="K1882">
        <v>6.7319790014182388</v>
      </c>
      <c r="L1882">
        <v>0</v>
      </c>
      <c r="M1882">
        <v>1.0582585672128841E-2</v>
      </c>
      <c r="N1882">
        <v>0.18759510262525239</v>
      </c>
      <c r="O1882">
        <v>0.11991016813144122</v>
      </c>
      <c r="P1882">
        <v>8.1019429734487974E-2</v>
      </c>
      <c r="Q1882">
        <v>0</v>
      </c>
      <c r="R1882">
        <v>1.0582585672128841E-2</v>
      </c>
      <c r="S1882">
        <v>0.26851773695934184</v>
      </c>
      <c r="T1882">
        <v>5.9134453691917468</v>
      </c>
      <c r="U1882">
        <v>0</v>
      </c>
      <c r="V1882">
        <v>1.9028576752513123E-2</v>
      </c>
      <c r="W1882">
        <v>0.10043043610207708</v>
      </c>
      <c r="X1882">
        <v>-1.5450222464229737E-3</v>
      </c>
      <c r="Y1882">
        <v>4.3577204167795681E-2</v>
      </c>
    </row>
    <row r="1883" spans="1:25" x14ac:dyDescent="0.25">
      <c r="A1883" s="879"/>
      <c r="B1883" s="1133">
        <v>1633</v>
      </c>
      <c r="C1883" s="883">
        <v>1.0462136163523013</v>
      </c>
      <c r="D1883" s="883">
        <v>1.0210664838532262</v>
      </c>
      <c r="E1883" s="883">
        <v>1.0286548329336025</v>
      </c>
      <c r="F1883" s="883">
        <v>0.99410942909913125</v>
      </c>
      <c r="G1883" s="883">
        <v>1.0016836483363023</v>
      </c>
      <c r="H1883" s="883">
        <v>1.0380410042159065</v>
      </c>
      <c r="I1883" s="883">
        <v>1.0048967187898059</v>
      </c>
      <c r="K1883">
        <v>6.7269401185325464</v>
      </c>
      <c r="L1883">
        <v>0</v>
      </c>
      <c r="M1883">
        <v>9.9953809645085458E-3</v>
      </c>
      <c r="N1883">
        <v>0.19442468824483364</v>
      </c>
      <c r="O1883">
        <v>0.1151139775789248</v>
      </c>
      <c r="P1883">
        <v>8.4830602864363322E-2</v>
      </c>
      <c r="Q1883">
        <v>0</v>
      </c>
      <c r="R1883">
        <v>9.9953809645085458E-3</v>
      </c>
      <c r="S1883">
        <v>0.26259238956625308</v>
      </c>
      <c r="T1883">
        <v>5.9101816719306859</v>
      </c>
      <c r="U1883">
        <v>0</v>
      </c>
      <c r="V1883">
        <v>1.8914283035134174E-2</v>
      </c>
      <c r="W1883">
        <v>0.10089406475709356</v>
      </c>
      <c r="X1883">
        <v>-1.1707591450990623E-3</v>
      </c>
      <c r="Y1883">
        <v>4.1159199700356981E-2</v>
      </c>
    </row>
    <row r="1884" spans="1:25" x14ac:dyDescent="0.25">
      <c r="A1884" s="879"/>
      <c r="B1884" s="1133">
        <v>1634</v>
      </c>
      <c r="C1884" s="883">
        <v>1.0259945591357618</v>
      </c>
      <c r="D1884" s="883">
        <v>0.99397806416846446</v>
      </c>
      <c r="E1884" s="883">
        <v>1.0203389812331936</v>
      </c>
      <c r="F1884" s="883">
        <v>1.0219004921433266</v>
      </c>
      <c r="G1884" s="883">
        <v>0.98956271174788135</v>
      </c>
      <c r="H1884" s="883">
        <v>0.99487173257957395</v>
      </c>
      <c r="I1884" s="883">
        <v>0.98171359065223629</v>
      </c>
      <c r="K1884">
        <v>6.7235465396723217</v>
      </c>
      <c r="L1884">
        <v>0</v>
      </c>
      <c r="M1884">
        <v>9.9538399536957152E-3</v>
      </c>
      <c r="N1884">
        <v>0.19125024126237211</v>
      </c>
      <c r="O1884">
        <v>0.11880580107309541</v>
      </c>
      <c r="P1884">
        <v>8.4275809045664229E-2</v>
      </c>
      <c r="Q1884">
        <v>0</v>
      </c>
      <c r="R1884">
        <v>9.9538399536957152E-3</v>
      </c>
      <c r="S1884">
        <v>0.25796341449491433</v>
      </c>
      <c r="T1884">
        <v>5.9121616214004966</v>
      </c>
      <c r="U1884">
        <v>0</v>
      </c>
      <c r="V1884">
        <v>1.901697146572779E-2</v>
      </c>
      <c r="W1884">
        <v>9.9653361164496024E-2</v>
      </c>
      <c r="X1884">
        <v>-5.6882144629574435E-4</v>
      </c>
      <c r="Y1884">
        <v>4.0988141211854026E-2</v>
      </c>
    </row>
    <row r="1885" spans="1:25" x14ac:dyDescent="0.25">
      <c r="A1885" s="879"/>
      <c r="B1885" s="1133">
        <v>1635</v>
      </c>
      <c r="C1885" s="883">
        <v>1.0213758643947397</v>
      </c>
      <c r="D1885" s="883">
        <v>1.0457751858772812</v>
      </c>
      <c r="E1885" s="883">
        <v>0.9852683923014387</v>
      </c>
      <c r="F1885" s="883">
        <v>0.96916778545314064</v>
      </c>
      <c r="G1885" s="883">
        <v>1.0376922106469539</v>
      </c>
      <c r="H1885" s="883">
        <v>1.0137678681717568</v>
      </c>
      <c r="I1885" s="883">
        <v>0.98063515803913992</v>
      </c>
      <c r="K1885">
        <v>6.7181856614747533</v>
      </c>
      <c r="L1885">
        <v>0</v>
      </c>
      <c r="M1885">
        <v>1.0279887422798378E-2</v>
      </c>
      <c r="N1885">
        <v>0.18751671202126116</v>
      </c>
      <c r="O1885">
        <v>0.11757539028293812</v>
      </c>
      <c r="P1885">
        <v>8.2093055548374289E-2</v>
      </c>
      <c r="Q1885">
        <v>0</v>
      </c>
      <c r="R1885">
        <v>1.0279887422798378E-2</v>
      </c>
      <c r="S1885">
        <v>0.26001205781571451</v>
      </c>
      <c r="T1885">
        <v>5.9112881334967859</v>
      </c>
      <c r="U1885">
        <v>0</v>
      </c>
      <c r="V1885">
        <v>1.9040999301338846E-2</v>
      </c>
      <c r="W1885">
        <v>9.9422701519679232E-2</v>
      </c>
      <c r="X1885">
        <v>-1.0941351666698704E-3</v>
      </c>
      <c r="Y1885">
        <v>4.2330746655332707E-2</v>
      </c>
    </row>
    <row r="1886" spans="1:25" x14ac:dyDescent="0.25">
      <c r="A1886" s="879"/>
      <c r="B1886" s="1133">
        <v>1636</v>
      </c>
      <c r="C1886" s="883">
        <v>0.97258679458290231</v>
      </c>
      <c r="D1886" s="883">
        <v>0.9997027578386195</v>
      </c>
      <c r="E1886" s="883">
        <v>0.9953380352144886</v>
      </c>
      <c r="F1886" s="883">
        <v>1.0010572804046045</v>
      </c>
      <c r="G1886" s="883">
        <v>1.0292261504981479</v>
      </c>
      <c r="H1886" s="883">
        <v>1.0112290520491358</v>
      </c>
      <c r="I1886" s="883">
        <v>1.0037662005991062</v>
      </c>
      <c r="K1886">
        <v>6.7697121322310592</v>
      </c>
      <c r="L1886">
        <v>0</v>
      </c>
      <c r="M1886">
        <v>1.0882143348625641E-2</v>
      </c>
      <c r="N1886">
        <v>0.20148815539864912</v>
      </c>
      <c r="O1886">
        <v>0.12552579070973088</v>
      </c>
      <c r="P1886">
        <v>8.3007804950090844E-2</v>
      </c>
      <c r="Q1886">
        <v>0</v>
      </c>
      <c r="R1886">
        <v>1.0882143348625641E-2</v>
      </c>
      <c r="S1886">
        <v>0.2797304974849939</v>
      </c>
      <c r="T1886">
        <v>5.9124514528070478</v>
      </c>
      <c r="U1886">
        <v>0</v>
      </c>
      <c r="V1886">
        <v>1.9308752470256201E-2</v>
      </c>
      <c r="W1886">
        <v>0.10629543228182001</v>
      </c>
      <c r="X1886">
        <v>-2.9064832318649041E-3</v>
      </c>
      <c r="Y1886">
        <v>4.4810729360330738E-2</v>
      </c>
    </row>
    <row r="1887" spans="1:25" x14ac:dyDescent="0.25">
      <c r="A1887" s="879"/>
      <c r="B1887" s="1133">
        <v>1637</v>
      </c>
      <c r="C1887" s="883">
        <v>0.99764918124277835</v>
      </c>
      <c r="D1887" s="883">
        <v>0.99883334610653707</v>
      </c>
      <c r="E1887" s="883">
        <v>0.98495545938216356</v>
      </c>
      <c r="F1887" s="883">
        <v>0.9827430361331787</v>
      </c>
      <c r="G1887" s="883">
        <v>0.98929014080346489</v>
      </c>
      <c r="H1887" s="883">
        <v>1.0040065789602481</v>
      </c>
      <c r="I1887" s="883">
        <v>1.0048652441447152</v>
      </c>
      <c r="K1887">
        <v>6.7468536931124534</v>
      </c>
      <c r="L1887">
        <v>0</v>
      </c>
      <c r="M1887">
        <v>1.0632822821590258E-2</v>
      </c>
      <c r="N1887">
        <v>0.19386465416465551</v>
      </c>
      <c r="O1887">
        <v>0.12260917754914739</v>
      </c>
      <c r="P1887">
        <v>8.2247853099300036E-2</v>
      </c>
      <c r="Q1887">
        <v>0</v>
      </c>
      <c r="R1887">
        <v>1.0632822821590258E-2</v>
      </c>
      <c r="S1887">
        <v>0.27230698149212945</v>
      </c>
      <c r="T1887">
        <v>5.912039270095927</v>
      </c>
      <c r="U1887">
        <v>0</v>
      </c>
      <c r="V1887">
        <v>1.9167939633436184E-2</v>
      </c>
      <c r="W1887">
        <v>0.10280449924506145</v>
      </c>
      <c r="X1887">
        <v>-1.9707539746012075E-3</v>
      </c>
      <c r="Y1887">
        <v>4.3784071807398524E-2</v>
      </c>
    </row>
    <row r="1888" spans="1:25" x14ac:dyDescent="0.25">
      <c r="A1888" s="879"/>
      <c r="B1888" s="1133">
        <v>1638</v>
      </c>
      <c r="C1888" s="883">
        <v>1.0372231778376149</v>
      </c>
      <c r="D1888" s="883">
        <v>1.0185578709546068</v>
      </c>
      <c r="E1888" s="883">
        <v>0.99993360055741232</v>
      </c>
      <c r="F1888" s="883">
        <v>1.0029792824196921</v>
      </c>
      <c r="G1888" s="883">
        <v>1.0250282056359179</v>
      </c>
      <c r="H1888" s="883">
        <v>1.0044983880992882</v>
      </c>
      <c r="I1888" s="883">
        <v>0.99771873843522063</v>
      </c>
      <c r="K1888">
        <v>6.7166839296722189</v>
      </c>
      <c r="L1888">
        <v>0</v>
      </c>
      <c r="M1888">
        <v>1.0015041257684298E-2</v>
      </c>
      <c r="N1888">
        <v>0.18670034580729875</v>
      </c>
      <c r="O1888">
        <v>0.11674466574242573</v>
      </c>
      <c r="P1888">
        <v>8.3025226370540856E-2</v>
      </c>
      <c r="Q1888">
        <v>0</v>
      </c>
      <c r="R1888">
        <v>1.0015041257684298E-2</v>
      </c>
      <c r="S1888">
        <v>0.25993673553952673</v>
      </c>
      <c r="T1888">
        <v>5.9122976548682944</v>
      </c>
      <c r="U1888">
        <v>0</v>
      </c>
      <c r="V1888">
        <v>1.8959449316457783E-2</v>
      </c>
      <c r="W1888">
        <v>9.8269342386378369E-2</v>
      </c>
      <c r="X1888">
        <v>-4.8964764695634739E-4</v>
      </c>
      <c r="Y1888">
        <v>4.124015728825299E-2</v>
      </c>
    </row>
    <row r="1889" spans="1:25" x14ac:dyDescent="0.25">
      <c r="A1889" s="879"/>
      <c r="B1889" s="1133">
        <v>1639</v>
      </c>
      <c r="C1889" s="883">
        <v>1.0165420195876202</v>
      </c>
      <c r="D1889" s="883">
        <v>0.99797230560304118</v>
      </c>
      <c r="E1889" s="883">
        <v>1.0022444282777354</v>
      </c>
      <c r="F1889" s="883">
        <v>0.96805546246240948</v>
      </c>
      <c r="G1889" s="883">
        <v>0.99118020513057281</v>
      </c>
      <c r="H1889" s="883">
        <v>0.97132143153191464</v>
      </c>
      <c r="I1889" s="883">
        <v>1.0114408088987463</v>
      </c>
      <c r="K1889">
        <v>6.7234397091051425</v>
      </c>
      <c r="L1889">
        <v>0</v>
      </c>
      <c r="M1889">
        <v>9.9479444998360495E-3</v>
      </c>
      <c r="N1889">
        <v>0.18608544190119791</v>
      </c>
      <c r="O1889">
        <v>0.12005397300655295</v>
      </c>
      <c r="P1889">
        <v>8.3225476428600079E-2</v>
      </c>
      <c r="Q1889">
        <v>0</v>
      </c>
      <c r="R1889">
        <v>9.9479444998360495E-3</v>
      </c>
      <c r="S1889">
        <v>0.26596484580212426</v>
      </c>
      <c r="T1889">
        <v>5.9102803322476225</v>
      </c>
      <c r="U1889">
        <v>0</v>
      </c>
      <c r="V1889">
        <v>1.9066380248077532E-2</v>
      </c>
      <c r="W1889">
        <v>9.7833397486257814E-2</v>
      </c>
      <c r="X1889">
        <v>-3.4002797503419468E-5</v>
      </c>
      <c r="Y1889">
        <v>4.0963864782211597E-2</v>
      </c>
    </row>
    <row r="1890" spans="1:25" x14ac:dyDescent="0.25">
      <c r="A1890" s="879"/>
      <c r="B1890" s="1133">
        <v>1640</v>
      </c>
      <c r="C1890" s="883">
        <v>1.0007868201656671</v>
      </c>
      <c r="D1890" s="883">
        <v>1.017654102019945</v>
      </c>
      <c r="E1890" s="883">
        <v>0.9636967564890847</v>
      </c>
      <c r="F1890" s="883">
        <v>1.0125929917763485</v>
      </c>
      <c r="G1890" s="883">
        <v>1.0192497922551707</v>
      </c>
      <c r="H1890" s="883">
        <v>1.0194659530117407</v>
      </c>
      <c r="I1890" s="883">
        <v>1.0194089172881597</v>
      </c>
      <c r="K1890">
        <v>6.7508510761165814</v>
      </c>
      <c r="L1890">
        <v>0</v>
      </c>
      <c r="M1890">
        <v>1.0876574638785701E-2</v>
      </c>
      <c r="N1890">
        <v>0.19214907780853094</v>
      </c>
      <c r="O1890">
        <v>0.12170583975669573</v>
      </c>
      <c r="P1890">
        <v>8.0999396491580569E-2</v>
      </c>
      <c r="Q1890">
        <v>0</v>
      </c>
      <c r="R1890">
        <v>1.0876574638785701E-2</v>
      </c>
      <c r="S1890">
        <v>0.27662871436417158</v>
      </c>
      <c r="T1890">
        <v>5.9148172251338176</v>
      </c>
      <c r="U1890">
        <v>0</v>
      </c>
      <c r="V1890">
        <v>1.9150807573816465E-2</v>
      </c>
      <c r="W1890">
        <v>0.10298770159857876</v>
      </c>
      <c r="X1890">
        <v>-2.3754850150167189E-3</v>
      </c>
      <c r="Y1890">
        <v>4.4787798404403271E-2</v>
      </c>
    </row>
    <row r="1891" spans="1:25" x14ac:dyDescent="0.25">
      <c r="A1891" s="879"/>
      <c r="B1891" s="1133">
        <v>1641</v>
      </c>
      <c r="C1891" s="883">
        <v>0.99981676066937231</v>
      </c>
      <c r="D1891" s="883">
        <v>0.9631237200297903</v>
      </c>
      <c r="E1891" s="883">
        <v>1.0220958346606155</v>
      </c>
      <c r="F1891" s="883">
        <v>0.99232993287572702</v>
      </c>
      <c r="G1891" s="883">
        <v>1.0216316139708841</v>
      </c>
      <c r="H1891" s="883">
        <v>0.98325883473141462</v>
      </c>
      <c r="I1891" s="883">
        <v>0.98485379385436522</v>
      </c>
      <c r="K1891">
        <v>6.7423864824968893</v>
      </c>
      <c r="L1891">
        <v>0</v>
      </c>
      <c r="M1891">
        <v>1.021688601670822E-2</v>
      </c>
      <c r="N1891">
        <v>0.19681512521093314</v>
      </c>
      <c r="O1891">
        <v>0.12343019207083258</v>
      </c>
      <c r="P1891">
        <v>8.4457528418700564E-2</v>
      </c>
      <c r="Q1891">
        <v>0</v>
      </c>
      <c r="R1891">
        <v>1.021688601670822E-2</v>
      </c>
      <c r="S1891">
        <v>0.26479403520305955</v>
      </c>
      <c r="T1891">
        <v>5.9104632838206772</v>
      </c>
      <c r="U1891">
        <v>0</v>
      </c>
      <c r="V1891">
        <v>1.9156092785937523E-2</v>
      </c>
      <c r="W1891">
        <v>0.10246434607942639</v>
      </c>
      <c r="X1891">
        <v>-1.2654391715630872E-3</v>
      </c>
      <c r="Y1891">
        <v>4.2071318078885707E-2</v>
      </c>
    </row>
    <row r="1892" spans="1:25" x14ac:dyDescent="0.25">
      <c r="A1892" s="879"/>
      <c r="B1892" s="1133">
        <v>1642</v>
      </c>
      <c r="C1892" s="883">
        <v>1.0125216598303084</v>
      </c>
      <c r="D1892" s="883">
        <v>0.96322217027691681</v>
      </c>
      <c r="E1892" s="883">
        <v>0.99201421185835137</v>
      </c>
      <c r="F1892" s="883">
        <v>0.96184944691025287</v>
      </c>
      <c r="G1892" s="883">
        <v>1.0322130863718935</v>
      </c>
      <c r="H1892" s="883">
        <v>0.99231467239307292</v>
      </c>
      <c r="I1892" s="883">
        <v>1.0008578413676295</v>
      </c>
      <c r="K1892">
        <v>6.7370395357689636</v>
      </c>
      <c r="L1892">
        <v>0</v>
      </c>
      <c r="M1892">
        <v>1.0452456888193852E-2</v>
      </c>
      <c r="N1892">
        <v>0.19258121208383017</v>
      </c>
      <c r="O1892">
        <v>0.12244347683259074</v>
      </c>
      <c r="P1892">
        <v>8.2593931511931284E-2</v>
      </c>
      <c r="Q1892">
        <v>0</v>
      </c>
      <c r="R1892">
        <v>1.0452456888193852E-2</v>
      </c>
      <c r="S1892">
        <v>0.26652585865704509</v>
      </c>
      <c r="T1892">
        <v>5.9105179182580345</v>
      </c>
      <c r="U1892">
        <v>0</v>
      </c>
      <c r="V1892">
        <v>1.9087674446692945E-2</v>
      </c>
      <c r="W1892">
        <v>0.10176483953080225</v>
      </c>
      <c r="X1892">
        <v>-1.5167325495717189E-3</v>
      </c>
      <c r="Y1892">
        <v>4.3041356997611489E-2</v>
      </c>
    </row>
    <row r="1893" spans="1:25" x14ac:dyDescent="0.25">
      <c r="A1893" s="879"/>
      <c r="B1893" s="1133">
        <v>1643</v>
      </c>
      <c r="C1893" s="883">
        <v>1.0428866965351147</v>
      </c>
      <c r="D1893" s="883">
        <v>0.99993089147999581</v>
      </c>
      <c r="E1893" s="883">
        <v>1.0126446080163245</v>
      </c>
      <c r="F1893" s="883">
        <v>1.032950798191709</v>
      </c>
      <c r="G1893" s="883">
        <v>1.0207700263710666</v>
      </c>
      <c r="H1893" s="883">
        <v>0.98653314523237157</v>
      </c>
      <c r="I1893" s="883">
        <v>1.0316709024164008</v>
      </c>
      <c r="K1893">
        <v>6.7211776178306497</v>
      </c>
      <c r="L1893">
        <v>0</v>
      </c>
      <c r="M1893">
        <v>9.7511690750751619E-3</v>
      </c>
      <c r="N1893">
        <v>0.18523519685908635</v>
      </c>
      <c r="O1893">
        <v>0.11674196545211241</v>
      </c>
      <c r="P1893">
        <v>8.3913788202608336E-2</v>
      </c>
      <c r="Q1893">
        <v>0</v>
      </c>
      <c r="R1893">
        <v>9.7511690750751619E-3</v>
      </c>
      <c r="S1893">
        <v>0.26585046872277196</v>
      </c>
      <c r="T1893">
        <v>5.9131982620402415</v>
      </c>
      <c r="U1893">
        <v>0</v>
      </c>
      <c r="V1893">
        <v>1.8930906091575737E-2</v>
      </c>
      <c r="W1893">
        <v>9.6886193340653987E-2</v>
      </c>
      <c r="X1893">
        <v>2.6725851383440366E-4</v>
      </c>
      <c r="Y1893">
        <v>4.0153578607766194E-2</v>
      </c>
    </row>
    <row r="1894" spans="1:25" x14ac:dyDescent="0.25">
      <c r="A1894" s="879"/>
      <c r="B1894" s="1133">
        <v>1644</v>
      </c>
      <c r="C1894" s="883">
        <v>0.98100539579895041</v>
      </c>
      <c r="D1894" s="883">
        <v>0.97645515872582278</v>
      </c>
      <c r="E1894" s="883">
        <v>1.0348632021945152</v>
      </c>
      <c r="F1894" s="883">
        <v>0.97389315401676602</v>
      </c>
      <c r="G1894" s="883">
        <v>0.99164774592941163</v>
      </c>
      <c r="H1894" s="883">
        <v>0.9896768844622974</v>
      </c>
      <c r="I1894" s="883">
        <v>0.95666851568666789</v>
      </c>
      <c r="K1894">
        <v>6.7481904596123927</v>
      </c>
      <c r="L1894">
        <v>0</v>
      </c>
      <c r="M1894">
        <v>1.0303252953140154E-2</v>
      </c>
      <c r="N1894">
        <v>0.20226070052911485</v>
      </c>
      <c r="O1894">
        <v>0.12485767520088453</v>
      </c>
      <c r="P1894">
        <v>8.5203887397271222E-2</v>
      </c>
      <c r="Q1894">
        <v>0</v>
      </c>
      <c r="R1894">
        <v>1.0303252953140154E-2</v>
      </c>
      <c r="S1894">
        <v>0.26262969495124744</v>
      </c>
      <c r="T1894">
        <v>5.9087300157922966</v>
      </c>
      <c r="U1894">
        <v>0</v>
      </c>
      <c r="V1894">
        <v>1.9260650129112229E-2</v>
      </c>
      <c r="W1894">
        <v>0.10464149012453015</v>
      </c>
      <c r="X1894">
        <v>-1.8206162624342611E-3</v>
      </c>
      <c r="Y1894">
        <v>4.2426961750370792E-2</v>
      </c>
    </row>
    <row r="1895" spans="1:25" x14ac:dyDescent="0.25">
      <c r="A1895" s="879"/>
      <c r="B1895" s="1133">
        <v>1645</v>
      </c>
      <c r="C1895" s="883">
        <v>1.0109049314215153</v>
      </c>
      <c r="D1895" s="883">
        <v>1.0052443768115438</v>
      </c>
      <c r="E1895" s="883">
        <v>0.99041186377788759</v>
      </c>
      <c r="F1895" s="883">
        <v>0.98862050065088658</v>
      </c>
      <c r="G1895" s="883">
        <v>0.98899343759342118</v>
      </c>
      <c r="H1895" s="883">
        <v>0.97516307575122207</v>
      </c>
      <c r="I1895" s="883">
        <v>0.99457311754719102</v>
      </c>
      <c r="K1895">
        <v>6.7230242882319891</v>
      </c>
      <c r="L1895">
        <v>0</v>
      </c>
      <c r="M1895">
        <v>1.0115782371416413E-2</v>
      </c>
      <c r="N1895">
        <v>0.18593595866460186</v>
      </c>
      <c r="O1895">
        <v>0.1205918297402622</v>
      </c>
      <c r="P1895">
        <v>8.2470302116085178E-2</v>
      </c>
      <c r="Q1895">
        <v>0</v>
      </c>
      <c r="R1895">
        <v>1.0115782371416413E-2</v>
      </c>
      <c r="S1895">
        <v>0.26326047170303851</v>
      </c>
      <c r="T1895">
        <v>5.9120541325048661</v>
      </c>
      <c r="U1895">
        <v>0</v>
      </c>
      <c r="V1895">
        <v>1.9096285345254507E-2</v>
      </c>
      <c r="W1895">
        <v>9.8331818247993308E-2</v>
      </c>
      <c r="X1895">
        <v>-3.7150135346733222E-4</v>
      </c>
      <c r="Y1895">
        <v>4.1654991263352044E-2</v>
      </c>
    </row>
    <row r="1896" spans="1:25" x14ac:dyDescent="0.25">
      <c r="A1896" s="879"/>
      <c r="B1896" s="1133">
        <v>1646</v>
      </c>
      <c r="C1896" s="883">
        <v>1.0182970124118436</v>
      </c>
      <c r="D1896" s="883">
        <v>1.0266340975336217</v>
      </c>
      <c r="E1896" s="883">
        <v>1.0226626951851971</v>
      </c>
      <c r="F1896" s="883">
        <v>0.9890354663469858</v>
      </c>
      <c r="G1896" s="883">
        <v>1.0186738776206905</v>
      </c>
      <c r="H1896" s="883">
        <v>0.99264917055536672</v>
      </c>
      <c r="I1896" s="883">
        <v>0.98194068005922652</v>
      </c>
      <c r="K1896">
        <v>6.7203395525452043</v>
      </c>
      <c r="L1896">
        <v>0</v>
      </c>
      <c r="M1896">
        <v>9.8490764916972246E-3</v>
      </c>
      <c r="N1896">
        <v>0.18988888612659172</v>
      </c>
      <c r="O1896">
        <v>0.11812329109315521</v>
      </c>
      <c r="P1896">
        <v>8.4416384140064582E-2</v>
      </c>
      <c r="Q1896">
        <v>0</v>
      </c>
      <c r="R1896">
        <v>9.8490764916972246E-3</v>
      </c>
      <c r="S1896">
        <v>0.25948038232917248</v>
      </c>
      <c r="T1896">
        <v>5.910252752732772</v>
      </c>
      <c r="U1896">
        <v>0</v>
      </c>
      <c r="V1896">
        <v>1.9057137490098474E-2</v>
      </c>
      <c r="W1896">
        <v>9.8830888075493464E-2</v>
      </c>
      <c r="X1896">
        <v>-2.6691336468587804E-4</v>
      </c>
      <c r="Y1896">
        <v>4.0556743922545345E-2</v>
      </c>
    </row>
    <row r="1897" spans="1:25" x14ac:dyDescent="0.25">
      <c r="A1897" s="879"/>
      <c r="B1897" s="1133">
        <v>1647</v>
      </c>
      <c r="C1897" s="883">
        <v>0.98928768049152016</v>
      </c>
      <c r="D1897" s="883">
        <v>0.95272589825572984</v>
      </c>
      <c r="E1897" s="883">
        <v>1.0084847076618038</v>
      </c>
      <c r="F1897" s="883">
        <v>0.95842927645235709</v>
      </c>
      <c r="G1897" s="883">
        <v>1.0038372650918206</v>
      </c>
      <c r="H1897" s="883">
        <v>0.97241970660577504</v>
      </c>
      <c r="I1897" s="883">
        <v>0.99693412789074543</v>
      </c>
      <c r="K1897">
        <v>6.7478643624018462</v>
      </c>
      <c r="L1897">
        <v>0</v>
      </c>
      <c r="M1897">
        <v>1.0382384639893166E-2</v>
      </c>
      <c r="N1897">
        <v>0.19601511196823643</v>
      </c>
      <c r="O1897">
        <v>0.12555145144237151</v>
      </c>
      <c r="P1897">
        <v>8.3660727701213286E-2</v>
      </c>
      <c r="Q1897">
        <v>0</v>
      </c>
      <c r="R1897">
        <v>1.0382384639893166E-2</v>
      </c>
      <c r="S1897">
        <v>0.26993464031888931</v>
      </c>
      <c r="T1897">
        <v>5.9094077924256379</v>
      </c>
      <c r="U1897">
        <v>0</v>
      </c>
      <c r="V1897">
        <v>1.9214125577235813E-2</v>
      </c>
      <c r="W1897">
        <v>0.10273568054486219</v>
      </c>
      <c r="X1897">
        <v>-1.4079795281121967E-3</v>
      </c>
      <c r="Y1897">
        <v>4.2752811951504502E-2</v>
      </c>
    </row>
    <row r="1898" spans="1:25" x14ac:dyDescent="0.25">
      <c r="A1898" s="879"/>
      <c r="B1898" s="1133">
        <v>1648</v>
      </c>
      <c r="C1898" s="883">
        <v>0.9555691718428474</v>
      </c>
      <c r="D1898" s="883">
        <v>1.0291154312899289</v>
      </c>
      <c r="E1898" s="883">
        <v>0.99104961971430139</v>
      </c>
      <c r="F1898" s="883">
        <v>1.0044012766603785</v>
      </c>
      <c r="G1898" s="883">
        <v>0.99763181825683656</v>
      </c>
      <c r="H1898" s="883">
        <v>1.0350855700779102</v>
      </c>
      <c r="I1898" s="883">
        <v>1.0121302261749237</v>
      </c>
      <c r="K1898">
        <v>6.7890119499137853</v>
      </c>
      <c r="L1898">
        <v>0</v>
      </c>
      <c r="M1898">
        <v>1.1239374882642837E-2</v>
      </c>
      <c r="N1898">
        <v>0.20678388026681715</v>
      </c>
      <c r="O1898">
        <v>0.12637081635246014</v>
      </c>
      <c r="P1898">
        <v>8.2869509297858593E-2</v>
      </c>
      <c r="Q1898">
        <v>0</v>
      </c>
      <c r="R1898">
        <v>1.1239374882642837E-2</v>
      </c>
      <c r="S1898">
        <v>0.28911989822513912</v>
      </c>
      <c r="T1898">
        <v>5.9128715829776075</v>
      </c>
      <c r="U1898">
        <v>0</v>
      </c>
      <c r="V1898">
        <v>1.9408576347396591E-2</v>
      </c>
      <c r="W1898">
        <v>0.10932243247703446</v>
      </c>
      <c r="X1898">
        <v>-4.0164912631049932E-3</v>
      </c>
      <c r="Y1898">
        <v>4.6281745232570864E-2</v>
      </c>
    </row>
    <row r="1899" spans="1:25" x14ac:dyDescent="0.25">
      <c r="A1899" s="879"/>
      <c r="B1899" s="1133">
        <v>1649</v>
      </c>
      <c r="C1899" s="883">
        <v>1.0089759932938422</v>
      </c>
      <c r="D1899" s="883">
        <v>0.98095759845327901</v>
      </c>
      <c r="E1899" s="883">
        <v>1.0023777580484465</v>
      </c>
      <c r="F1899" s="883">
        <v>1.0382024966897281</v>
      </c>
      <c r="G1899" s="883">
        <v>0.97201790349761774</v>
      </c>
      <c r="H1899" s="883">
        <v>0.99387652359217293</v>
      </c>
      <c r="I1899" s="883">
        <v>1.0041399903156905</v>
      </c>
      <c r="K1899">
        <v>6.7426758563904672</v>
      </c>
      <c r="L1899">
        <v>0</v>
      </c>
      <c r="M1899">
        <v>1.0329915847426336E-2</v>
      </c>
      <c r="N1899">
        <v>0.19326873212439158</v>
      </c>
      <c r="O1899">
        <v>0.12178658031042744</v>
      </c>
      <c r="P1899">
        <v>8.3316637199199586E-2</v>
      </c>
      <c r="Q1899">
        <v>0</v>
      </c>
      <c r="R1899">
        <v>1.0329915847426336E-2</v>
      </c>
      <c r="S1899">
        <v>0.26831507969988483</v>
      </c>
      <c r="T1899">
        <v>5.9140636172386074</v>
      </c>
      <c r="U1899">
        <v>0</v>
      </c>
      <c r="V1899">
        <v>1.9106595215279455E-2</v>
      </c>
      <c r="W1899">
        <v>0.10160325116760958</v>
      </c>
      <c r="X1899">
        <v>-1.3213913681559592E-3</v>
      </c>
      <c r="Y1899">
        <v>4.2536754803223012E-2</v>
      </c>
    </row>
    <row r="1900" spans="1:25" x14ac:dyDescent="0.25">
      <c r="A1900" s="879"/>
      <c r="B1900" s="1133">
        <v>1650</v>
      </c>
      <c r="C1900" s="883">
        <v>0.98626875552513182</v>
      </c>
      <c r="D1900" s="883">
        <v>0.96491368451143811</v>
      </c>
      <c r="E1900" s="883">
        <v>0.99328720188015529</v>
      </c>
      <c r="F1900" s="883">
        <v>1.0037507603282194</v>
      </c>
      <c r="G1900" s="883">
        <v>0.9808633658268241</v>
      </c>
      <c r="H1900" s="883">
        <v>0.97458035131767429</v>
      </c>
      <c r="I1900" s="883">
        <v>1.0044782580467391</v>
      </c>
      <c r="K1900">
        <v>6.7516929196496003</v>
      </c>
      <c r="L1900">
        <v>0</v>
      </c>
      <c r="M1900">
        <v>1.0519286272995228E-2</v>
      </c>
      <c r="N1900">
        <v>0.19417856709159792</v>
      </c>
      <c r="O1900">
        <v>0.12559008900608007</v>
      </c>
      <c r="P1900">
        <v>8.2789534422047284E-2</v>
      </c>
      <c r="Q1900">
        <v>0</v>
      </c>
      <c r="R1900">
        <v>1.0519286272995228E-2</v>
      </c>
      <c r="S1900">
        <v>0.27286446330629482</v>
      </c>
      <c r="T1900">
        <v>5.9127116398058153</v>
      </c>
      <c r="U1900">
        <v>0</v>
      </c>
      <c r="V1900">
        <v>1.923099345650869E-2</v>
      </c>
      <c r="W1900">
        <v>0.10254387793111269</v>
      </c>
      <c r="X1900">
        <v>-1.5327938788969324E-3</v>
      </c>
      <c r="Y1900">
        <v>4.3316548509036497E-2</v>
      </c>
    </row>
    <row r="1901" spans="1:25" x14ac:dyDescent="0.25">
      <c r="A1901" s="879"/>
      <c r="B1901" s="1133">
        <v>1651</v>
      </c>
      <c r="C1901" s="883">
        <v>1.0279318758629377</v>
      </c>
      <c r="D1901" s="883">
        <v>0.99411953968047539</v>
      </c>
      <c r="E1901" s="883">
        <v>0.96488648938309041</v>
      </c>
      <c r="F1901" s="883">
        <v>1.0397648765819991</v>
      </c>
      <c r="G1901" s="883">
        <v>0.96607822821641687</v>
      </c>
      <c r="H1901" s="883">
        <v>1.0001256074490297</v>
      </c>
      <c r="I1901" s="883">
        <v>0.96987033537509781</v>
      </c>
      <c r="K1901">
        <v>6.7171782404461355</v>
      </c>
      <c r="L1901">
        <v>0</v>
      </c>
      <c r="M1901">
        <v>1.0482214297754922E-2</v>
      </c>
      <c r="N1901">
        <v>0.18550973177183328</v>
      </c>
      <c r="O1901">
        <v>0.11958473311918043</v>
      </c>
      <c r="P1901">
        <v>8.0805684942516789E-2</v>
      </c>
      <c r="Q1901">
        <v>0</v>
      </c>
      <c r="R1901">
        <v>1.0482214297754922E-2</v>
      </c>
      <c r="S1901">
        <v>0.25474838809363803</v>
      </c>
      <c r="T1901">
        <v>5.9162219961975717</v>
      </c>
      <c r="U1901">
        <v>0</v>
      </c>
      <c r="V1901">
        <v>1.900695724227227E-2</v>
      </c>
      <c r="W1901">
        <v>9.9369562540489967E-2</v>
      </c>
      <c r="X1901">
        <v>-1.2327061749274175E-3</v>
      </c>
      <c r="Y1901">
        <v>4.3163892713562531E-2</v>
      </c>
    </row>
    <row r="1902" spans="1:25" x14ac:dyDescent="0.25">
      <c r="A1902" s="879"/>
      <c r="B1902" s="1133">
        <v>1652</v>
      </c>
      <c r="C1902" s="883">
        <v>1.0213704894237994</v>
      </c>
      <c r="D1902" s="883">
        <v>0.98852354506712625</v>
      </c>
      <c r="E1902" s="883">
        <v>1.0029059385202124</v>
      </c>
      <c r="F1902" s="883">
        <v>1.0204176237022913</v>
      </c>
      <c r="G1902" s="883">
        <v>1.0113546962267495</v>
      </c>
      <c r="H1902" s="883">
        <v>1.0003038610783217</v>
      </c>
      <c r="I1902" s="883">
        <v>1.0061065897716726</v>
      </c>
      <c r="K1902">
        <v>6.7347537220424005</v>
      </c>
      <c r="L1902">
        <v>0</v>
      </c>
      <c r="M1902">
        <v>1.0232066418953743E-2</v>
      </c>
      <c r="N1902">
        <v>0.19158783468349963</v>
      </c>
      <c r="O1902">
        <v>0.11992975622825788</v>
      </c>
      <c r="P1902">
        <v>8.330593230250416E-2</v>
      </c>
      <c r="Q1902">
        <v>0</v>
      </c>
      <c r="R1902">
        <v>1.0232066418953743E-2</v>
      </c>
      <c r="S1902">
        <v>0.26610182855169345</v>
      </c>
      <c r="T1902">
        <v>5.9130727410491071</v>
      </c>
      <c r="U1902">
        <v>0</v>
      </c>
      <c r="V1902">
        <v>1.9041027390143982E-2</v>
      </c>
      <c r="W1902">
        <v>0.10069319901896287</v>
      </c>
      <c r="X1902">
        <v>-1.1124254550932162E-3</v>
      </c>
      <c r="Y1902">
        <v>4.2133828273321891E-2</v>
      </c>
    </row>
    <row r="1903" spans="1:25" x14ac:dyDescent="0.25">
      <c r="A1903" s="879"/>
      <c r="B1903" s="1133">
        <v>1653</v>
      </c>
      <c r="C1903" s="883">
        <v>0.98011812991933212</v>
      </c>
      <c r="D1903" s="883">
        <v>1.007328935587225</v>
      </c>
      <c r="E1903" s="883">
        <v>1.0177713036729807</v>
      </c>
      <c r="F1903" s="883">
        <v>1.0368752946285289</v>
      </c>
      <c r="G1903" s="883">
        <v>0.99860597322464484</v>
      </c>
      <c r="H1903" s="883">
        <v>1.0271203552897188</v>
      </c>
      <c r="I1903" s="883">
        <v>1.0027611173495097</v>
      </c>
      <c r="K1903">
        <v>6.7727431112462027</v>
      </c>
      <c r="L1903">
        <v>0</v>
      </c>
      <c r="M1903">
        <v>1.072027332238035E-2</v>
      </c>
      <c r="N1903">
        <v>0.20519533502360696</v>
      </c>
      <c r="O1903">
        <v>0.12375417117119165</v>
      </c>
      <c r="P1903">
        <v>8.4414288933842188E-2</v>
      </c>
      <c r="Q1903">
        <v>0</v>
      </c>
      <c r="R1903">
        <v>1.072027332238035E-2</v>
      </c>
      <c r="S1903">
        <v>0.27879010398504761</v>
      </c>
      <c r="T1903">
        <v>5.9131177230804681</v>
      </c>
      <c r="U1903">
        <v>0</v>
      </c>
      <c r="V1903">
        <v>1.9265680847454648E-2</v>
      </c>
      <c r="W1903">
        <v>0.10705500090783872</v>
      </c>
      <c r="X1903">
        <v>-2.9933701072925897E-3</v>
      </c>
      <c r="Y1903">
        <v>4.414417740404325E-2</v>
      </c>
    </row>
    <row r="1904" spans="1:25" x14ac:dyDescent="0.25">
      <c r="A1904" s="879"/>
      <c r="B1904" s="1133">
        <v>1654</v>
      </c>
      <c r="C1904" s="883">
        <v>1.00158515269356</v>
      </c>
      <c r="D1904" s="883">
        <v>1.0088240532871096</v>
      </c>
      <c r="E1904" s="883">
        <v>1.0143581230946577</v>
      </c>
      <c r="F1904" s="883">
        <v>1.0002237419933473</v>
      </c>
      <c r="G1904" s="883">
        <v>1.0007509443491305</v>
      </c>
      <c r="H1904" s="883">
        <v>1.0347013253816468</v>
      </c>
      <c r="I1904" s="883">
        <v>0.98882582266633279</v>
      </c>
      <c r="K1904">
        <v>6.7534476429001922</v>
      </c>
      <c r="L1904">
        <v>0</v>
      </c>
      <c r="M1904">
        <v>1.0592816098373781E-2</v>
      </c>
      <c r="N1904">
        <v>0.20173424621401845</v>
      </c>
      <c r="O1904">
        <v>0.12109404135845446</v>
      </c>
      <c r="P1904">
        <v>8.4051100864768816E-2</v>
      </c>
      <c r="Q1904">
        <v>0</v>
      </c>
      <c r="R1904">
        <v>1.0592816098373781E-2</v>
      </c>
      <c r="S1904">
        <v>0.2697046311543852</v>
      </c>
      <c r="T1904">
        <v>5.9113323797025652</v>
      </c>
      <c r="U1904">
        <v>0</v>
      </c>
      <c r="V1904">
        <v>1.9146465667880613E-2</v>
      </c>
      <c r="W1904">
        <v>0.10542666393421705</v>
      </c>
      <c r="X1904">
        <v>-2.6612172382218082E-3</v>
      </c>
      <c r="Y1904">
        <v>4.3619331242124353E-2</v>
      </c>
    </row>
    <row r="1905" spans="1:25" x14ac:dyDescent="0.25">
      <c r="A1905" s="879"/>
      <c r="B1905" s="1133">
        <v>1655</v>
      </c>
      <c r="C1905" s="883">
        <v>1.0018950863114962</v>
      </c>
      <c r="D1905" s="883">
        <v>0.9810785145138704</v>
      </c>
      <c r="E1905" s="883">
        <v>1.0041026462904619</v>
      </c>
      <c r="F1905" s="883">
        <v>1.0051483662043728</v>
      </c>
      <c r="G1905" s="883">
        <v>1.0057048968330979</v>
      </c>
      <c r="H1905" s="883">
        <v>0.97181978186979967</v>
      </c>
      <c r="I1905" s="883">
        <v>0.96517751457248224</v>
      </c>
      <c r="K1905">
        <v>6.7265841518121725</v>
      </c>
      <c r="L1905">
        <v>0</v>
      </c>
      <c r="M1905">
        <v>1.0156196658901192E-2</v>
      </c>
      <c r="N1905">
        <v>0.19050458879760612</v>
      </c>
      <c r="O1905">
        <v>0.12260870178069161</v>
      </c>
      <c r="P1905">
        <v>8.3257676897274133E-2</v>
      </c>
      <c r="Q1905">
        <v>0</v>
      </c>
      <c r="R1905">
        <v>1.0156196658901192E-2</v>
      </c>
      <c r="S1905">
        <v>0.25770882264057204</v>
      </c>
      <c r="T1905">
        <v>5.9121800952213661</v>
      </c>
      <c r="U1905">
        <v>0</v>
      </c>
      <c r="V1905">
        <v>1.9144781890766693E-2</v>
      </c>
      <c r="W1905">
        <v>0.10006447191540264</v>
      </c>
      <c r="X1905">
        <v>-7.0639743724249275E-4</v>
      </c>
      <c r="Y1905">
        <v>4.1821410105739337E-2</v>
      </c>
    </row>
    <row r="1906" spans="1:25" x14ac:dyDescent="0.25">
      <c r="A1906" s="879"/>
      <c r="B1906" s="1133">
        <v>1656</v>
      </c>
      <c r="C1906" s="883">
        <v>0.99883942632104883</v>
      </c>
      <c r="D1906" s="883">
        <v>1.0135128015975317</v>
      </c>
      <c r="E1906" s="883">
        <v>1.0422330555745061</v>
      </c>
      <c r="F1906" s="883">
        <v>1.0105023972787892</v>
      </c>
      <c r="G1906" s="883">
        <v>0.97759683400084652</v>
      </c>
      <c r="H1906" s="883">
        <v>0.9694232165386707</v>
      </c>
      <c r="I1906" s="883">
        <v>0.97673734381586008</v>
      </c>
      <c r="K1906">
        <v>6.7284635278060074</v>
      </c>
      <c r="L1906">
        <v>0</v>
      </c>
      <c r="M1906">
        <v>9.6924205029585153E-3</v>
      </c>
      <c r="N1906">
        <v>0.1923524177323214</v>
      </c>
      <c r="O1906">
        <v>0.12067479782305929</v>
      </c>
      <c r="P1906">
        <v>8.5663504194587473E-2</v>
      </c>
      <c r="Q1906">
        <v>0</v>
      </c>
      <c r="R1906">
        <v>9.6924205029585153E-3</v>
      </c>
      <c r="S1906">
        <v>0.26115259174997107</v>
      </c>
      <c r="T1906">
        <v>5.910277557550434</v>
      </c>
      <c r="U1906">
        <v>0</v>
      </c>
      <c r="V1906">
        <v>1.9161428015536931E-2</v>
      </c>
      <c r="W1906">
        <v>9.9157441648732469E-2</v>
      </c>
      <c r="X1906">
        <v>1.121266467166777E-4</v>
      </c>
      <c r="Y1906">
        <v>3.9911662444645869E-2</v>
      </c>
    </row>
    <row r="1907" spans="1:25" x14ac:dyDescent="0.25">
      <c r="A1907" s="879"/>
      <c r="B1907" s="1133">
        <v>1657</v>
      </c>
      <c r="C1907" s="883">
        <v>1.0108208346325509</v>
      </c>
      <c r="D1907" s="883">
        <v>1.0272433792530249</v>
      </c>
      <c r="E1907" s="883">
        <v>0.97919574843847101</v>
      </c>
      <c r="F1907" s="883">
        <v>1.0050056555876421</v>
      </c>
      <c r="G1907" s="883">
        <v>1.0056057079540053</v>
      </c>
      <c r="H1907" s="883">
        <v>1.0218265905823178</v>
      </c>
      <c r="I1907" s="883">
        <v>1.0349143041912257</v>
      </c>
      <c r="K1907">
        <v>6.7480825145723662</v>
      </c>
      <c r="L1907">
        <v>0</v>
      </c>
      <c r="M1907">
        <v>1.0606185938051054E-2</v>
      </c>
      <c r="N1907">
        <v>0.19173375317036648</v>
      </c>
      <c r="O1907">
        <v>0.11976623286752078</v>
      </c>
      <c r="P1907">
        <v>8.1981817393003489E-2</v>
      </c>
      <c r="Q1907">
        <v>0</v>
      </c>
      <c r="R1907">
        <v>1.0606185938051054E-2</v>
      </c>
      <c r="S1907">
        <v>0.27820316454071758</v>
      </c>
      <c r="T1907">
        <v>5.9135606416798243</v>
      </c>
      <c r="U1907">
        <v>0</v>
      </c>
      <c r="V1907">
        <v>1.909673400897632E-2</v>
      </c>
      <c r="W1907">
        <v>0.10196790110469715</v>
      </c>
      <c r="X1907">
        <v>-1.9021160549194506E-3</v>
      </c>
      <c r="Y1907">
        <v>4.3674385862172614E-2</v>
      </c>
    </row>
    <row r="1908" spans="1:25" x14ac:dyDescent="0.25">
      <c r="A1908" s="879"/>
      <c r="B1908" s="1133">
        <v>1658</v>
      </c>
      <c r="C1908" s="883">
        <v>0.99099484706909657</v>
      </c>
      <c r="D1908" s="883">
        <v>1.0154479484252183</v>
      </c>
      <c r="E1908" s="883">
        <v>0.96993769408880059</v>
      </c>
      <c r="F1908" s="883">
        <v>1.0066113062898772</v>
      </c>
      <c r="G1908" s="883">
        <v>1.0140281027252616</v>
      </c>
      <c r="H1908" s="883">
        <v>1.0426333791600093</v>
      </c>
      <c r="I1908" s="883">
        <v>0.99525498114676014</v>
      </c>
      <c r="K1908">
        <v>6.7610163291757965</v>
      </c>
      <c r="L1908">
        <v>0</v>
      </c>
      <c r="M1908">
        <v>1.11831873605431E-2</v>
      </c>
      <c r="N1908">
        <v>0.19940547100918604</v>
      </c>
      <c r="O1908">
        <v>0.12289977333297673</v>
      </c>
      <c r="P1908">
        <v>8.1363930323865283E-2</v>
      </c>
      <c r="Q1908">
        <v>0</v>
      </c>
      <c r="R1908">
        <v>1.11831873605431E-2</v>
      </c>
      <c r="S1908">
        <v>0.2749547077976548</v>
      </c>
      <c r="T1908">
        <v>5.9141546161114036</v>
      </c>
      <c r="U1908">
        <v>0</v>
      </c>
      <c r="V1908">
        <v>1.9204632479688892E-2</v>
      </c>
      <c r="W1908">
        <v>0.10654171160133981</v>
      </c>
      <c r="X1908">
        <v>-3.5588884978874835E-3</v>
      </c>
      <c r="Y1908">
        <v>4.6050375017570255E-2</v>
      </c>
    </row>
    <row r="1909" spans="1:25" x14ac:dyDescent="0.25">
      <c r="A1909" s="879"/>
      <c r="B1909" s="1133">
        <v>1659</v>
      </c>
      <c r="C1909" s="883">
        <v>1.0120516650287181</v>
      </c>
      <c r="D1909" s="883">
        <v>1.0057385383496913</v>
      </c>
      <c r="E1909" s="883">
        <v>1.0038236682551014</v>
      </c>
      <c r="F1909" s="883">
        <v>0.99566400614917372</v>
      </c>
      <c r="G1909" s="883">
        <v>0.98669444825117869</v>
      </c>
      <c r="H1909" s="883">
        <v>0.98386716730524393</v>
      </c>
      <c r="I1909" s="883">
        <v>0.98017142680141778</v>
      </c>
      <c r="K1909">
        <v>6.7232168621443904</v>
      </c>
      <c r="L1909">
        <v>0</v>
      </c>
      <c r="M1909">
        <v>1.007368333982761E-2</v>
      </c>
      <c r="N1909">
        <v>0.1888787904406144</v>
      </c>
      <c r="O1909">
        <v>0.12018409020794811</v>
      </c>
      <c r="P1909">
        <v>8.3263106487510299E-2</v>
      </c>
      <c r="Q1909">
        <v>0</v>
      </c>
      <c r="R1909">
        <v>1.007368333982761E-2</v>
      </c>
      <c r="S1909">
        <v>0.25996504584681046</v>
      </c>
      <c r="T1909">
        <v>5.9116833068798993</v>
      </c>
      <c r="U1909">
        <v>0</v>
      </c>
      <c r="V1909">
        <v>1.9090174861656831E-2</v>
      </c>
      <c r="W1909">
        <v>9.922422911873742E-2</v>
      </c>
      <c r="X1909">
        <v>-5.5351664340498976E-4</v>
      </c>
      <c r="Y1909">
        <v>4.1481634944617637E-2</v>
      </c>
    </row>
    <row r="1910" spans="1:25" x14ac:dyDescent="0.25">
      <c r="A1910" s="879"/>
      <c r="B1910" s="1133">
        <v>1660</v>
      </c>
      <c r="C1910" s="883">
        <v>1.0243086758566029</v>
      </c>
      <c r="D1910" s="883">
        <v>0.9508308272176822</v>
      </c>
      <c r="E1910" s="883">
        <v>0.99491689529956728</v>
      </c>
      <c r="F1910" s="883">
        <v>0.97073988623709595</v>
      </c>
      <c r="G1910" s="883">
        <v>0.99816205318631923</v>
      </c>
      <c r="H1910" s="883">
        <v>0.95597769977134583</v>
      </c>
      <c r="I1910" s="883">
        <v>1.0309688086049675</v>
      </c>
      <c r="K1910">
        <v>6.7257247400987943</v>
      </c>
      <c r="L1910">
        <v>0</v>
      </c>
      <c r="M1910">
        <v>9.9839482033094746E-3</v>
      </c>
      <c r="N1910">
        <v>0.18474229684297983</v>
      </c>
      <c r="O1910">
        <v>0.12160895570502882</v>
      </c>
      <c r="P1910">
        <v>8.2799542833462872E-2</v>
      </c>
      <c r="Q1910">
        <v>0</v>
      </c>
      <c r="R1910">
        <v>9.9839482033094746E-3</v>
      </c>
      <c r="S1910">
        <v>0.26800904619050364</v>
      </c>
      <c r="T1910">
        <v>5.9108364414514591</v>
      </c>
      <c r="U1910">
        <v>0</v>
      </c>
      <c r="V1910">
        <v>1.9025716824591993E-2</v>
      </c>
      <c r="W1910">
        <v>9.7481552006138478E-2</v>
      </c>
      <c r="X1910">
        <v>1.0906661993046843E-4</v>
      </c>
      <c r="Y1910">
        <v>4.1112121624694832E-2</v>
      </c>
    </row>
    <row r="1911" spans="1:25" x14ac:dyDescent="0.25">
      <c r="A1911" s="879"/>
      <c r="B1911" s="1133">
        <v>1661</v>
      </c>
      <c r="C1911" s="883">
        <v>0.99188859513578342</v>
      </c>
      <c r="D1911" s="883">
        <v>1.0243163541001041</v>
      </c>
      <c r="E1911" s="883">
        <v>1.0226580133353436</v>
      </c>
      <c r="F1911" s="883">
        <v>0.98549317796112335</v>
      </c>
      <c r="G1911" s="883">
        <v>0.96912040799200017</v>
      </c>
      <c r="H1911" s="883">
        <v>0.98207668032259687</v>
      </c>
      <c r="I1911" s="883">
        <v>0.98123730112035112</v>
      </c>
      <c r="K1911">
        <v>6.7345017329527881</v>
      </c>
      <c r="L1911">
        <v>0</v>
      </c>
      <c r="M1911">
        <v>1.0013329492921566E-2</v>
      </c>
      <c r="N1911">
        <v>0.19305432536630746</v>
      </c>
      <c r="O1911">
        <v>0.12137802310622625</v>
      </c>
      <c r="P1911">
        <v>8.4493951940756318E-2</v>
      </c>
      <c r="Q1911">
        <v>0</v>
      </c>
      <c r="R1911">
        <v>1.0013329492921566E-2</v>
      </c>
      <c r="S1911">
        <v>0.26524231308813023</v>
      </c>
      <c r="T1911">
        <v>5.9100616553978176</v>
      </c>
      <c r="U1911">
        <v>0</v>
      </c>
      <c r="V1911">
        <v>1.9199675617287772E-2</v>
      </c>
      <c r="W1911">
        <v>0.10047862603664016</v>
      </c>
      <c r="X1911">
        <v>-6.3994614602456187E-4</v>
      </c>
      <c r="Y1911">
        <v>4.1233108545642834E-2</v>
      </c>
    </row>
    <row r="1912" spans="1:25" x14ac:dyDescent="0.25">
      <c r="A1912" s="879"/>
      <c r="B1912" s="1133">
        <v>1662</v>
      </c>
      <c r="C1912" s="883">
        <v>1.0069881948860757</v>
      </c>
      <c r="D1912" s="883">
        <v>0.96970150871526184</v>
      </c>
      <c r="E1912" s="883">
        <v>1.0319813888826637</v>
      </c>
      <c r="F1912" s="883">
        <v>1.027282703231047</v>
      </c>
      <c r="G1912" s="883">
        <v>0.97874772662325615</v>
      </c>
      <c r="H1912" s="883">
        <v>1.0401927679674703</v>
      </c>
      <c r="I1912" s="883">
        <v>0.97321093680631587</v>
      </c>
      <c r="K1912">
        <v>6.7583783522903556</v>
      </c>
      <c r="L1912">
        <v>0</v>
      </c>
      <c r="M1912">
        <v>1.060794901980291E-2</v>
      </c>
      <c r="N1912">
        <v>0.20735713864320035</v>
      </c>
      <c r="O1912">
        <v>0.12202934071886126</v>
      </c>
      <c r="P1912">
        <v>8.5096327516114623E-2</v>
      </c>
      <c r="Q1912">
        <v>0</v>
      </c>
      <c r="R1912">
        <v>1.060794901980291E-2</v>
      </c>
      <c r="S1912">
        <v>0.26500602088230801</v>
      </c>
      <c r="T1912">
        <v>5.9117810589598196</v>
      </c>
      <c r="U1912">
        <v>0</v>
      </c>
      <c r="V1912">
        <v>1.9117261008679286E-2</v>
      </c>
      <c r="W1912">
        <v>0.10742974346491499</v>
      </c>
      <c r="X1912">
        <v>-3.120184822556952E-3</v>
      </c>
      <c r="Y1912">
        <v>4.3681645919009894E-2</v>
      </c>
    </row>
    <row r="1913" spans="1:25" x14ac:dyDescent="0.25">
      <c r="A1913" s="879"/>
      <c r="B1913" s="1133">
        <v>1663</v>
      </c>
      <c r="C1913" s="883">
        <v>1.0179228093250514</v>
      </c>
      <c r="D1913" s="883">
        <v>1.0189702174478701</v>
      </c>
      <c r="E1913" s="883">
        <v>1.0032657103721816</v>
      </c>
      <c r="F1913" s="883">
        <v>1.0001103406312317</v>
      </c>
      <c r="G1913" s="883">
        <v>0.95528950728077178</v>
      </c>
      <c r="H1913" s="883">
        <v>1.0354315063893555</v>
      </c>
      <c r="I1913" s="883">
        <v>1.0363083261695645</v>
      </c>
      <c r="K1913">
        <v>6.7522006852300063</v>
      </c>
      <c r="L1913">
        <v>0</v>
      </c>
      <c r="M1913">
        <v>1.0486791466793823E-2</v>
      </c>
      <c r="N1913">
        <v>0.19646203330912576</v>
      </c>
      <c r="O1913">
        <v>0.11887802051245512</v>
      </c>
      <c r="P1913">
        <v>8.3474332583952954E-2</v>
      </c>
      <c r="Q1913">
        <v>0</v>
      </c>
      <c r="R1913">
        <v>1.0486791466793823E-2</v>
      </c>
      <c r="S1913">
        <v>0.2780564080091415</v>
      </c>
      <c r="T1913">
        <v>5.9119550508282233</v>
      </c>
      <c r="U1913">
        <v>0</v>
      </c>
      <c r="V1913">
        <v>1.9059105576184818E-2</v>
      </c>
      <c r="W1913">
        <v>0.10323651710415614</v>
      </c>
      <c r="X1913">
        <v>-2.1035233741980297E-3</v>
      </c>
      <c r="Y1913">
        <v>4.3182740680958988E-2</v>
      </c>
    </row>
    <row r="1914" spans="1:25" x14ac:dyDescent="0.25">
      <c r="A1914" s="879"/>
      <c r="B1914" s="1133">
        <v>1664</v>
      </c>
      <c r="C1914" s="883">
        <v>1.0227591475733087</v>
      </c>
      <c r="D1914" s="883">
        <v>1.0050347838294216</v>
      </c>
      <c r="E1914" s="883">
        <v>0.99814553585383625</v>
      </c>
      <c r="F1914" s="883">
        <v>0.9848147353747897</v>
      </c>
      <c r="G1914" s="883">
        <v>1.0000609878559161</v>
      </c>
      <c r="H1914" s="883">
        <v>1.0341223597500362</v>
      </c>
      <c r="I1914" s="883">
        <v>1.0406084281646013</v>
      </c>
      <c r="K1914">
        <v>6.7507927060489585</v>
      </c>
      <c r="L1914">
        <v>0</v>
      </c>
      <c r="M1914">
        <v>1.0532650555248498E-2</v>
      </c>
      <c r="N1914">
        <v>0.19583013982785427</v>
      </c>
      <c r="O1914">
        <v>0.11906303758320529</v>
      </c>
      <c r="P1914">
        <v>8.3142738760853763E-2</v>
      </c>
      <c r="Q1914">
        <v>0</v>
      </c>
      <c r="R1914">
        <v>1.0532650555248498E-2</v>
      </c>
      <c r="S1914">
        <v>0.27791124759410152</v>
      </c>
      <c r="T1914">
        <v>5.9114163623807494</v>
      </c>
      <c r="U1914">
        <v>0</v>
      </c>
      <c r="V1914">
        <v>1.9033780282533427E-2</v>
      </c>
      <c r="W1914">
        <v>0.10316639906309297</v>
      </c>
      <c r="X1914">
        <v>-2.1425796880344275E-3</v>
      </c>
      <c r="Y1914">
        <v>4.3371580244601894E-2</v>
      </c>
    </row>
    <row r="1915" spans="1:25" x14ac:dyDescent="0.25">
      <c r="A1915" s="879"/>
      <c r="B1915" s="1133">
        <v>1665</v>
      </c>
      <c r="C1915" s="883">
        <v>1.0289946271429189</v>
      </c>
      <c r="D1915" s="883">
        <v>0.9741325834010568</v>
      </c>
      <c r="E1915" s="883">
        <v>0.97959320791129634</v>
      </c>
      <c r="F1915" s="883">
        <v>0.97678610762939488</v>
      </c>
      <c r="G1915" s="883">
        <v>1.0344958976219583</v>
      </c>
      <c r="H1915" s="883">
        <v>0.96117600869899644</v>
      </c>
      <c r="I1915" s="883">
        <v>1.0087964187616432</v>
      </c>
      <c r="K1915">
        <v>6.7133498139232453</v>
      </c>
      <c r="L1915">
        <v>0</v>
      </c>
      <c r="M1915">
        <v>1.0022370040684989E-2</v>
      </c>
      <c r="N1915">
        <v>0.18128667627602918</v>
      </c>
      <c r="O1915">
        <v>0.12016871644221042</v>
      </c>
      <c r="P1915">
        <v>8.1762189404996549E-2</v>
      </c>
      <c r="Q1915">
        <v>0</v>
      </c>
      <c r="R1915">
        <v>1.0022370040684989E-2</v>
      </c>
      <c r="S1915">
        <v>0.26129208021122596</v>
      </c>
      <c r="T1915">
        <v>5.9120132064015829</v>
      </c>
      <c r="U1915">
        <v>0</v>
      </c>
      <c r="V1915">
        <v>1.9001479769379603E-2</v>
      </c>
      <c r="W1915">
        <v>9.6392743631715391E-2</v>
      </c>
      <c r="X1915">
        <v>1.6238587392507963E-4</v>
      </c>
      <c r="Y1915">
        <v>4.1270335912175105E-2</v>
      </c>
    </row>
    <row r="1916" spans="1:25" x14ac:dyDescent="0.25">
      <c r="A1916" s="879"/>
      <c r="B1916" s="1133">
        <v>1666</v>
      </c>
      <c r="C1916" s="883">
        <v>1.0023900766924854</v>
      </c>
      <c r="D1916" s="883">
        <v>0.9962093989872135</v>
      </c>
      <c r="E1916" s="883">
        <v>1.0047641097013789</v>
      </c>
      <c r="F1916" s="883">
        <v>1.02333107358701</v>
      </c>
      <c r="G1916" s="883">
        <v>0.99357466918938742</v>
      </c>
      <c r="H1916" s="883">
        <v>0.99480812246792538</v>
      </c>
      <c r="I1916" s="883">
        <v>1.0329533394329313</v>
      </c>
      <c r="K1916">
        <v>6.7520322073657537</v>
      </c>
      <c r="L1916">
        <v>0</v>
      </c>
      <c r="M1916">
        <v>1.0317415225661764E-2</v>
      </c>
      <c r="N1916">
        <v>0.19371831998770683</v>
      </c>
      <c r="O1916">
        <v>0.12178779722542377</v>
      </c>
      <c r="P1916">
        <v>8.3581436309388135E-2</v>
      </c>
      <c r="Q1916">
        <v>0</v>
      </c>
      <c r="R1916">
        <v>1.0317415225661764E-2</v>
      </c>
      <c r="S1916">
        <v>0.27776248570514633</v>
      </c>
      <c r="T1916">
        <v>5.9131253241361961</v>
      </c>
      <c r="U1916">
        <v>0</v>
      </c>
      <c r="V1916">
        <v>1.9142094914718234E-2</v>
      </c>
      <c r="W1916">
        <v>0.10171915663378997</v>
      </c>
      <c r="X1916">
        <v>-1.289687014445732E-3</v>
      </c>
      <c r="Y1916">
        <v>4.2485279467824238E-2</v>
      </c>
    </row>
    <row r="1917" spans="1:25" x14ac:dyDescent="0.25">
      <c r="A1917" s="879"/>
      <c r="B1917" s="1133">
        <v>1667</v>
      </c>
      <c r="C1917" s="883">
        <v>1.0094719435288229</v>
      </c>
      <c r="D1917" s="883">
        <v>0.99225394988663673</v>
      </c>
      <c r="E1917" s="883">
        <v>1.0344980888574604</v>
      </c>
      <c r="F1917" s="883">
        <v>1.0219565675173947</v>
      </c>
      <c r="G1917" s="883">
        <v>0.99542062569098644</v>
      </c>
      <c r="H1917" s="883">
        <v>1.0130885162512251</v>
      </c>
      <c r="I1917" s="883">
        <v>1.0086830156848505</v>
      </c>
      <c r="K1917">
        <v>6.7509975343084792</v>
      </c>
      <c r="L1917">
        <v>0</v>
      </c>
      <c r="M1917">
        <v>1.0182563444207022E-2</v>
      </c>
      <c r="N1917">
        <v>0.1997836566841748</v>
      </c>
      <c r="O1917">
        <v>0.12056716848360863</v>
      </c>
      <c r="P1917">
        <v>8.5332017474310504E-2</v>
      </c>
      <c r="Q1917">
        <v>0</v>
      </c>
      <c r="R1917">
        <v>1.0182563444207022E-2</v>
      </c>
      <c r="S1917">
        <v>0.27115206507621281</v>
      </c>
      <c r="T1917">
        <v>5.9113472846184472</v>
      </c>
      <c r="U1917">
        <v>0</v>
      </c>
      <c r="V1917">
        <v>1.9103940676616114E-2</v>
      </c>
      <c r="W1917">
        <v>0.10337844812742038</v>
      </c>
      <c r="X1917">
        <v>-1.5970306668275772E-3</v>
      </c>
      <c r="Y1917">
        <v>4.192998383451594E-2</v>
      </c>
    </row>
    <row r="1918" spans="1:25" x14ac:dyDescent="0.25">
      <c r="A1918" s="879"/>
      <c r="B1918" s="1133">
        <v>1668</v>
      </c>
      <c r="C1918" s="883">
        <v>1.0347869205271842</v>
      </c>
      <c r="D1918" s="883">
        <v>0.99203487633169041</v>
      </c>
      <c r="E1918" s="883">
        <v>0.98899246143113395</v>
      </c>
      <c r="F1918" s="883">
        <v>0.99556299724028074</v>
      </c>
      <c r="G1918" s="883">
        <v>0.96754791034651455</v>
      </c>
      <c r="H1918" s="883">
        <v>0.98339500309054972</v>
      </c>
      <c r="I1918" s="883">
        <v>1.0214893956597102</v>
      </c>
      <c r="K1918">
        <v>6.7199851172149501</v>
      </c>
      <c r="L1918">
        <v>0</v>
      </c>
      <c r="M1918">
        <v>1.0034787631014013E-2</v>
      </c>
      <c r="N1918">
        <v>0.18405946533037135</v>
      </c>
      <c r="O1918">
        <v>0.11845931983509822</v>
      </c>
      <c r="P1918">
        <v>8.2408964567604825E-2</v>
      </c>
      <c r="Q1918">
        <v>0</v>
      </c>
      <c r="R1918">
        <v>1.0034787631014013E-2</v>
      </c>
      <c r="S1918">
        <v>0.2650291655188608</v>
      </c>
      <c r="T1918">
        <v>5.9125083306535808</v>
      </c>
      <c r="U1918">
        <v>0</v>
      </c>
      <c r="V1918">
        <v>1.8971823770658675E-2</v>
      </c>
      <c r="W1918">
        <v>9.7408369498878697E-2</v>
      </c>
      <c r="X1918">
        <v>-1.8179129899997446E-4</v>
      </c>
      <c r="Y1918">
        <v>4.1321469338901337E-2</v>
      </c>
    </row>
    <row r="1919" spans="1:25" x14ac:dyDescent="0.25">
      <c r="A1919" s="879"/>
      <c r="B1919" s="1133">
        <v>1669</v>
      </c>
      <c r="C1919" s="883">
        <v>0.99997444514210776</v>
      </c>
      <c r="D1919" s="883">
        <v>1.0212917181671377</v>
      </c>
      <c r="E1919" s="883">
        <v>1.0091707646781733</v>
      </c>
      <c r="F1919" s="883">
        <v>0.96323253045488955</v>
      </c>
      <c r="G1919" s="883">
        <v>0.98078497732395564</v>
      </c>
      <c r="H1919" s="883">
        <v>0.99526387378681114</v>
      </c>
      <c r="I1919" s="883">
        <v>0.96586198641468346</v>
      </c>
      <c r="K1919">
        <v>6.7279147574376825</v>
      </c>
      <c r="L1919">
        <v>0</v>
      </c>
      <c r="M1919">
        <v>1.019813233360938E-2</v>
      </c>
      <c r="N1919">
        <v>0.19273216678644364</v>
      </c>
      <c r="O1919">
        <v>0.12079157899131102</v>
      </c>
      <c r="P1919">
        <v>8.3574183311967545E-2</v>
      </c>
      <c r="Q1919">
        <v>0</v>
      </c>
      <c r="R1919">
        <v>1.019813233360938E-2</v>
      </c>
      <c r="S1919">
        <v>0.26016750635921543</v>
      </c>
      <c r="T1919">
        <v>5.9096284685436631</v>
      </c>
      <c r="U1919">
        <v>0</v>
      </c>
      <c r="V1919">
        <v>1.9155232969671501E-2</v>
      </c>
      <c r="W1919">
        <v>0.10098073126959406</v>
      </c>
      <c r="X1919">
        <v>-1.1092045441000989E-3</v>
      </c>
      <c r="Y1919">
        <v>4.1994093749915841E-2</v>
      </c>
    </row>
    <row r="1920" spans="1:25" x14ac:dyDescent="0.25">
      <c r="A1920" s="879"/>
      <c r="B1920" s="1133">
        <v>1670</v>
      </c>
      <c r="C1920" s="883">
        <v>0.9881731364879448</v>
      </c>
      <c r="D1920" s="883">
        <v>0.99264156646790014</v>
      </c>
      <c r="E1920" s="883">
        <v>0.97118812660955545</v>
      </c>
      <c r="F1920" s="883">
        <v>0.98815266916218669</v>
      </c>
      <c r="G1920" s="883">
        <v>1.0078057532054416</v>
      </c>
      <c r="H1920" s="883">
        <v>0.98069412736779649</v>
      </c>
      <c r="I1920" s="883">
        <v>0.9862149357412302</v>
      </c>
      <c r="K1920">
        <v>6.7394716485408264</v>
      </c>
      <c r="L1920">
        <v>0</v>
      </c>
      <c r="M1920">
        <v>1.0640397201956859E-2</v>
      </c>
      <c r="N1920">
        <v>0.1900796372261282</v>
      </c>
      <c r="O1920">
        <v>0.12435225633578208</v>
      </c>
      <c r="P1920">
        <v>8.1333492694744797E-2</v>
      </c>
      <c r="Q1920">
        <v>0</v>
      </c>
      <c r="R1920">
        <v>1.0640397201956859E-2</v>
      </c>
      <c r="S1920">
        <v>0.26765626756086774</v>
      </c>
      <c r="T1920">
        <v>5.9130883867763133</v>
      </c>
      <c r="U1920">
        <v>0</v>
      </c>
      <c r="V1920">
        <v>1.9220340956239305E-2</v>
      </c>
      <c r="W1920">
        <v>0.10149513592813915</v>
      </c>
      <c r="X1920">
        <v>-1.5691306949506445E-3</v>
      </c>
      <c r="Y1920">
        <v>4.3815261757558732E-2</v>
      </c>
    </row>
    <row r="1921" spans="1:25" x14ac:dyDescent="0.25">
      <c r="A1921" s="879"/>
      <c r="B1921" s="1133">
        <v>1671</v>
      </c>
      <c r="C1921" s="883">
        <v>0.96098977340822822</v>
      </c>
      <c r="D1921" s="883">
        <v>0.97396006648481581</v>
      </c>
      <c r="E1921" s="883">
        <v>0.97990373167897316</v>
      </c>
      <c r="F1921" s="883">
        <v>0.97178470327335797</v>
      </c>
      <c r="G1921" s="883">
        <v>1.0038526341494352</v>
      </c>
      <c r="H1921" s="883">
        <v>1.01860275746786</v>
      </c>
      <c r="I1921" s="883">
        <v>1.0296753801367016</v>
      </c>
      <c r="K1921">
        <v>6.7913486624284465</v>
      </c>
      <c r="L1921">
        <v>0</v>
      </c>
      <c r="M1921">
        <v>1.1370567281385354E-2</v>
      </c>
      <c r="N1921">
        <v>0.20576792419274656</v>
      </c>
      <c r="O1921">
        <v>0.12867556439243974</v>
      </c>
      <c r="P1921">
        <v>8.2180659967517306E-2</v>
      </c>
      <c r="Q1921">
        <v>0</v>
      </c>
      <c r="R1921">
        <v>1.1370567281385354E-2</v>
      </c>
      <c r="S1921">
        <v>0.29144095443566631</v>
      </c>
      <c r="T1921">
        <v>5.911725737156349</v>
      </c>
      <c r="U1921">
        <v>0</v>
      </c>
      <c r="V1921">
        <v>1.9376395859012973E-2</v>
      </c>
      <c r="W1921">
        <v>0.10939276495616528</v>
      </c>
      <c r="X1921">
        <v>-4.0333107106635064E-3</v>
      </c>
      <c r="Y1921">
        <v>4.6821972179216076E-2</v>
      </c>
    </row>
    <row r="1922" spans="1:25" x14ac:dyDescent="0.25">
      <c r="A1922" s="879"/>
      <c r="B1922" s="1133">
        <v>1672</v>
      </c>
      <c r="C1922" s="883">
        <v>1.038078761774369</v>
      </c>
      <c r="D1922" s="883">
        <v>1.0130620209601027</v>
      </c>
      <c r="E1922" s="883">
        <v>0.994262461532883</v>
      </c>
      <c r="F1922" s="883">
        <v>1.0311794481390979</v>
      </c>
      <c r="G1922" s="883">
        <v>1.0092392233336365</v>
      </c>
      <c r="H1922" s="883">
        <v>0.96437087874686112</v>
      </c>
      <c r="I1922" s="883">
        <v>0.99349531473548036</v>
      </c>
      <c r="K1922">
        <v>6.7018499548383099</v>
      </c>
      <c r="L1922">
        <v>0</v>
      </c>
      <c r="M1922">
        <v>9.677120870598124E-3</v>
      </c>
      <c r="N1922">
        <v>0.17889119044333451</v>
      </c>
      <c r="O1922">
        <v>0.11700286339193472</v>
      </c>
      <c r="P1922">
        <v>8.2628796758449724E-2</v>
      </c>
      <c r="Q1922">
        <v>0</v>
      </c>
      <c r="R1922">
        <v>9.677120870598124E-3</v>
      </c>
      <c r="S1922">
        <v>0.25506432490034936</v>
      </c>
      <c r="T1922">
        <v>5.9141396202197951</v>
      </c>
      <c r="U1922">
        <v>0</v>
      </c>
      <c r="V1922">
        <v>1.8955117339434589E-2</v>
      </c>
      <c r="W1922">
        <v>9.4424895849916604E-2</v>
      </c>
      <c r="X1922">
        <v>8.944846532737235E-4</v>
      </c>
      <c r="Y1922">
        <v>3.9848661281818819E-2</v>
      </c>
    </row>
    <row r="1923" spans="1:25" x14ac:dyDescent="0.25">
      <c r="A1923" s="879"/>
      <c r="B1923" s="1133">
        <v>1673</v>
      </c>
      <c r="C1923" s="883">
        <v>1.00985914735009</v>
      </c>
      <c r="D1923" s="883">
        <v>0.96265338679467816</v>
      </c>
      <c r="E1923" s="883">
        <v>0.99402568529327773</v>
      </c>
      <c r="F1923" s="883">
        <v>1.0382025429639272</v>
      </c>
      <c r="G1923" s="883">
        <v>0.98692041260743468</v>
      </c>
      <c r="H1923" s="883">
        <v>1.014346533422869</v>
      </c>
      <c r="I1923" s="883">
        <v>1.0470035109152553</v>
      </c>
      <c r="K1923">
        <v>6.7648196572747787</v>
      </c>
      <c r="L1923">
        <v>0</v>
      </c>
      <c r="M1923">
        <v>1.0696614203157619E-2</v>
      </c>
      <c r="N1923">
        <v>0.19766815701601523</v>
      </c>
      <c r="O1923">
        <v>0.12275754041562598</v>
      </c>
      <c r="P1923">
        <v>8.297701560553862E-2</v>
      </c>
      <c r="Q1923">
        <v>0</v>
      </c>
      <c r="R1923">
        <v>1.0696614203157619E-2</v>
      </c>
      <c r="S1923">
        <v>0.28174814373090712</v>
      </c>
      <c r="T1923">
        <v>5.9145324389493279</v>
      </c>
      <c r="U1923">
        <v>0</v>
      </c>
      <c r="V1923">
        <v>1.910187000791538E-2</v>
      </c>
      <c r="W1923">
        <v>0.10434832086482605</v>
      </c>
      <c r="X1923">
        <v>-2.360582677627628E-3</v>
      </c>
      <c r="Y1923">
        <v>4.4046753362250279E-2</v>
      </c>
    </row>
    <row r="1924" spans="1:25" x14ac:dyDescent="0.25">
      <c r="A1924" s="879"/>
      <c r="B1924" s="1133">
        <v>1674</v>
      </c>
      <c r="C1924" s="883">
        <v>1.0084152576549927</v>
      </c>
      <c r="D1924" s="883">
        <v>1.0014280609644708</v>
      </c>
      <c r="E1924" s="883">
        <v>0.9528535732132114</v>
      </c>
      <c r="F1924" s="883">
        <v>1.0004494261285579</v>
      </c>
      <c r="G1924" s="883">
        <v>1.0095165206709737</v>
      </c>
      <c r="H1924" s="883">
        <v>1.0316948204135934</v>
      </c>
      <c r="I1924" s="883">
        <v>1.0008818638212407</v>
      </c>
      <c r="K1924">
        <v>6.7465195861526173</v>
      </c>
      <c r="L1924">
        <v>0</v>
      </c>
      <c r="M1924">
        <v>1.1103410627782417E-2</v>
      </c>
      <c r="N1924">
        <v>0.1930209442178345</v>
      </c>
      <c r="O1924">
        <v>0.1217614473677831</v>
      </c>
      <c r="P1924">
        <v>8.0237140237711488E-2</v>
      </c>
      <c r="Q1924">
        <v>0</v>
      </c>
      <c r="R1924">
        <v>1.1103410627782417E-2</v>
      </c>
      <c r="S1924">
        <v>0.27083928383039885</v>
      </c>
      <c r="T1924">
        <v>5.9147445151766691</v>
      </c>
      <c r="U1924">
        <v>0</v>
      </c>
      <c r="V1924">
        <v>1.9109599658212503E-2</v>
      </c>
      <c r="W1924">
        <v>0.1040232576429025</v>
      </c>
      <c r="X1924">
        <v>-2.938470610685862E-3</v>
      </c>
      <c r="Y1924">
        <v>4.5721868631790827E-2</v>
      </c>
    </row>
    <row r="1925" spans="1:25" x14ac:dyDescent="0.25">
      <c r="A1925" s="879"/>
      <c r="B1925" s="1133">
        <v>1675</v>
      </c>
      <c r="C1925" s="883">
        <v>0.99533899155282346</v>
      </c>
      <c r="D1925" s="883">
        <v>1.0131966577215161</v>
      </c>
      <c r="E1925" s="883">
        <v>0.96896432738985272</v>
      </c>
      <c r="F1925" s="883">
        <v>1.0105501254901623</v>
      </c>
      <c r="G1925" s="883">
        <v>1.0113404590141948</v>
      </c>
      <c r="H1925" s="883">
        <v>1.0167397220023191</v>
      </c>
      <c r="I1925" s="883">
        <v>1.0375572094692311</v>
      </c>
      <c r="K1925">
        <v>6.7599543421157691</v>
      </c>
      <c r="L1925">
        <v>0</v>
      </c>
      <c r="M1925">
        <v>1.0877393175032109E-2</v>
      </c>
      <c r="N1925">
        <v>0.19367279126363671</v>
      </c>
      <c r="O1925">
        <v>0.12249001801257636</v>
      </c>
      <c r="P1925">
        <v>8.1409370335272693E-2</v>
      </c>
      <c r="Q1925">
        <v>0</v>
      </c>
      <c r="R1925">
        <v>1.0877393175032109E-2</v>
      </c>
      <c r="S1925">
        <v>0.28288510966053626</v>
      </c>
      <c r="T1925">
        <v>5.9144206270631834</v>
      </c>
      <c r="U1925">
        <v>0</v>
      </c>
      <c r="V1925">
        <v>1.9180622715845801E-2</v>
      </c>
      <c r="W1925">
        <v>0.10352942225225803</v>
      </c>
      <c r="X1925">
        <v>-2.4247881785107433E-3</v>
      </c>
      <c r="Y1925">
        <v>4.4791168990971957E-2</v>
      </c>
    </row>
    <row r="1926" spans="1:25" x14ac:dyDescent="0.25">
      <c r="A1926" s="879"/>
      <c r="B1926" s="1133">
        <v>1676</v>
      </c>
      <c r="C1926" s="883">
        <v>0.99331000023608884</v>
      </c>
      <c r="D1926" s="883">
        <v>0.98779337959614277</v>
      </c>
      <c r="E1926" s="883">
        <v>0.96879759647230446</v>
      </c>
      <c r="F1926" s="883">
        <v>0.99178313364157022</v>
      </c>
      <c r="G1926" s="883">
        <v>1.0084961687025884</v>
      </c>
      <c r="H1926" s="883">
        <v>0.9881996534404931</v>
      </c>
      <c r="I1926" s="883">
        <v>1.009048445870697</v>
      </c>
      <c r="K1926">
        <v>6.7459982399186798</v>
      </c>
      <c r="L1926">
        <v>0</v>
      </c>
      <c r="M1926">
        <v>1.0711054396997405E-2</v>
      </c>
      <c r="N1926">
        <v>0.19066390668654204</v>
      </c>
      <c r="O1926">
        <v>0.12399634129950611</v>
      </c>
      <c r="P1926">
        <v>8.1259179048017952E-2</v>
      </c>
      <c r="Q1926">
        <v>0</v>
      </c>
      <c r="R1926">
        <v>1.0711054396997405E-2</v>
      </c>
      <c r="S1926">
        <v>0.27320244573704683</v>
      </c>
      <c r="T1926">
        <v>5.9134149862994425</v>
      </c>
      <c r="U1926">
        <v>0</v>
      </c>
      <c r="V1926">
        <v>1.9191810662942906E-2</v>
      </c>
      <c r="W1926">
        <v>0.10192954553522152</v>
      </c>
      <c r="X1926">
        <v>-1.7661908602631077E-3</v>
      </c>
      <c r="Y1926">
        <v>4.4106215510223826E-2</v>
      </c>
    </row>
    <row r="1927" spans="1:25" x14ac:dyDescent="0.25">
      <c r="A1927" s="879"/>
      <c r="B1927" s="1133">
        <v>1677</v>
      </c>
      <c r="C1927" s="883">
        <v>0.9950745011290546</v>
      </c>
      <c r="D1927" s="883">
        <v>0.98547569370681365</v>
      </c>
      <c r="E1927" s="883">
        <v>0.99486213254853229</v>
      </c>
      <c r="F1927" s="883">
        <v>0.97426322128747844</v>
      </c>
      <c r="G1927" s="883">
        <v>1.0337201205131061</v>
      </c>
      <c r="H1927" s="883">
        <v>1.0021179909400368</v>
      </c>
      <c r="I1927" s="883">
        <v>1.0044090196910893</v>
      </c>
      <c r="K1927">
        <v>6.7508577643304131</v>
      </c>
      <c r="L1927">
        <v>0</v>
      </c>
      <c r="M1927">
        <v>1.0609721853138134E-2</v>
      </c>
      <c r="N1927">
        <v>0.19630563683939795</v>
      </c>
      <c r="O1927">
        <v>0.12340347266395263</v>
      </c>
      <c r="P1927">
        <v>8.2865573548910082E-2</v>
      </c>
      <c r="Q1927">
        <v>0</v>
      </c>
      <c r="R1927">
        <v>1.0609721853138134E-2</v>
      </c>
      <c r="S1927">
        <v>0.27286508995150804</v>
      </c>
      <c r="T1927">
        <v>5.9110299281436189</v>
      </c>
      <c r="U1927">
        <v>0</v>
      </c>
      <c r="V1927">
        <v>1.9182078541534316E-2</v>
      </c>
      <c r="W1927">
        <v>0.10358591408670659</v>
      </c>
      <c r="X1927">
        <v>-2.0688755763561529E-3</v>
      </c>
      <c r="Y1927">
        <v>4.3688946131131799E-2</v>
      </c>
    </row>
    <row r="1928" spans="1:25" x14ac:dyDescent="0.25">
      <c r="A1928" s="879"/>
      <c r="B1928" s="1133">
        <v>1678</v>
      </c>
      <c r="C1928" s="883">
        <v>1.0193290077683537</v>
      </c>
      <c r="D1928" s="883">
        <v>1.0147664375640941</v>
      </c>
      <c r="E1928" s="883">
        <v>1.0067007820916629</v>
      </c>
      <c r="F1928" s="883">
        <v>1.038164270661984</v>
      </c>
      <c r="G1928" s="883">
        <v>1.0099715266393718</v>
      </c>
      <c r="H1928" s="883">
        <v>1.0033210946026101</v>
      </c>
      <c r="I1928" s="883">
        <v>1.0105605626298926</v>
      </c>
      <c r="K1928">
        <v>6.7349266948539714</v>
      </c>
      <c r="L1928">
        <v>0</v>
      </c>
      <c r="M1928">
        <v>1.0135058390295203E-2</v>
      </c>
      <c r="N1928">
        <v>0.19084094772419291</v>
      </c>
      <c r="O1928">
        <v>0.11884756369276682</v>
      </c>
      <c r="P1928">
        <v>8.3577725883036816E-2</v>
      </c>
      <c r="Q1928">
        <v>0</v>
      </c>
      <c r="R1928">
        <v>1.0135058390295203E-2</v>
      </c>
      <c r="S1928">
        <v>0.26784257020659868</v>
      </c>
      <c r="T1928">
        <v>5.9138173712258677</v>
      </c>
      <c r="U1928">
        <v>0</v>
      </c>
      <c r="V1928">
        <v>1.9051717294849845E-2</v>
      </c>
      <c r="W1928">
        <v>0.10011217266550319</v>
      </c>
      <c r="X1928">
        <v>-8.9774031693937184E-4</v>
      </c>
      <c r="Y1928">
        <v>4.173436647809145E-2</v>
      </c>
    </row>
    <row r="1929" spans="1:25" x14ac:dyDescent="0.25">
      <c r="A1929" s="879"/>
      <c r="B1929" s="1133">
        <v>1679</v>
      </c>
      <c r="C1929" s="883">
        <v>0.9924076639569569</v>
      </c>
      <c r="D1929" s="883">
        <v>1.0201125069292443</v>
      </c>
      <c r="E1929" s="883">
        <v>0.99127330471887498</v>
      </c>
      <c r="F1929" s="883">
        <v>1.0232848405227171</v>
      </c>
      <c r="G1929" s="883">
        <v>1.021375413927806</v>
      </c>
      <c r="H1929" s="883">
        <v>0.98270969557885346</v>
      </c>
      <c r="I1929" s="883">
        <v>0.98807839248573937</v>
      </c>
      <c r="K1929">
        <v>6.7363392838418017</v>
      </c>
      <c r="L1929">
        <v>0</v>
      </c>
      <c r="M1929">
        <v>1.0311250895885041E-2</v>
      </c>
      <c r="N1929">
        <v>0.18977101953942033</v>
      </c>
      <c r="O1929">
        <v>0.12210413777032511</v>
      </c>
      <c r="P1929">
        <v>8.2599715146967567E-2</v>
      </c>
      <c r="Q1929">
        <v>0</v>
      </c>
      <c r="R1929">
        <v>1.0311250895885041E-2</v>
      </c>
      <c r="S1929">
        <v>0.26699300567794643</v>
      </c>
      <c r="T1929">
        <v>5.9138797809713326</v>
      </c>
      <c r="U1929">
        <v>0</v>
      </c>
      <c r="V1929">
        <v>1.9196800881220808E-2</v>
      </c>
      <c r="W1929">
        <v>0.10031689387019241</v>
      </c>
      <c r="X1929">
        <v>-9.8196587062245782E-4</v>
      </c>
      <c r="Y1929">
        <v>4.2459895855013488E-2</v>
      </c>
    </row>
    <row r="1930" spans="1:25" x14ac:dyDescent="0.25">
      <c r="A1930" s="879"/>
      <c r="B1930" s="1133">
        <v>1680</v>
      </c>
      <c r="C1930" s="883">
        <v>0.96928772165394528</v>
      </c>
      <c r="D1930" s="883">
        <v>1.0023708367213848</v>
      </c>
      <c r="E1930" s="883">
        <v>1.0103204881684216</v>
      </c>
      <c r="F1930" s="883">
        <v>0.99275117171861582</v>
      </c>
      <c r="G1930" s="883">
        <v>1.0458336033601991</v>
      </c>
      <c r="H1930" s="883">
        <v>0.97983235965986915</v>
      </c>
      <c r="I1930" s="883">
        <v>0.9891844033028474</v>
      </c>
      <c r="K1930">
        <v>6.7556543124704449</v>
      </c>
      <c r="L1930">
        <v>0</v>
      </c>
      <c r="M1930">
        <v>1.0430634041625923E-2</v>
      </c>
      <c r="N1930">
        <v>0.19746197061741141</v>
      </c>
      <c r="O1930">
        <v>0.12552904580393828</v>
      </c>
      <c r="P1930">
        <v>8.3850330254397934E-2</v>
      </c>
      <c r="Q1930">
        <v>0</v>
      </c>
      <c r="R1930">
        <v>1.0430634041625923E-2</v>
      </c>
      <c r="S1930">
        <v>0.27358558201115718</v>
      </c>
      <c r="T1930">
        <v>5.9111582768742599</v>
      </c>
      <c r="U1930">
        <v>0</v>
      </c>
      <c r="V1930">
        <v>1.9327830647407552E-2</v>
      </c>
      <c r="W1930">
        <v>0.1034000576974632</v>
      </c>
      <c r="X1930">
        <v>-1.6102758353598434E-3</v>
      </c>
      <c r="Y1930">
        <v>4.2951494399766657E-2</v>
      </c>
    </row>
    <row r="1931" spans="1:25" x14ac:dyDescent="0.25">
      <c r="A1931" s="879"/>
      <c r="B1931" s="1133">
        <v>1681</v>
      </c>
      <c r="C1931" s="883">
        <v>1.0114936704311825</v>
      </c>
      <c r="D1931" s="883">
        <v>1.0098343844511837</v>
      </c>
      <c r="E1931" s="883">
        <v>0.98435315455225403</v>
      </c>
      <c r="F1931" s="883">
        <v>1.030582589546692</v>
      </c>
      <c r="G1931" s="883">
        <v>1.0049986673286717</v>
      </c>
      <c r="H1931" s="883">
        <v>1.0104722562860431</v>
      </c>
      <c r="I1931" s="883">
        <v>1.0059860187257743</v>
      </c>
      <c r="K1931">
        <v>6.7403973420512067</v>
      </c>
      <c r="L1931">
        <v>0</v>
      </c>
      <c r="M1931">
        <v>1.0510950590760864E-2</v>
      </c>
      <c r="N1931">
        <v>0.19147147758042954</v>
      </c>
      <c r="O1931">
        <v>0.12041333929825469</v>
      </c>
      <c r="P1931">
        <v>8.2204707003079788E-2</v>
      </c>
      <c r="Q1931">
        <v>0</v>
      </c>
      <c r="R1931">
        <v>1.0510950590760864E-2</v>
      </c>
      <c r="S1931">
        <v>0.26937243648284787</v>
      </c>
      <c r="T1931">
        <v>5.9146586145171369</v>
      </c>
      <c r="U1931">
        <v>0</v>
      </c>
      <c r="V1931">
        <v>1.9093146460509351E-2</v>
      </c>
      <c r="W1931">
        <v>0.10156598893481432</v>
      </c>
      <c r="X1931">
        <v>-1.6645918791547535E-3</v>
      </c>
      <c r="Y1931">
        <v>4.3282223653291534E-2</v>
      </c>
    </row>
    <row r="1932" spans="1:25" x14ac:dyDescent="0.25">
      <c r="A1932" s="879"/>
      <c r="B1932" s="1133">
        <v>1682</v>
      </c>
      <c r="C1932" s="883">
        <v>0.99561817619403004</v>
      </c>
      <c r="D1932" s="883">
        <v>1.0082267908098126</v>
      </c>
      <c r="E1932" s="883">
        <v>1.029618924128527</v>
      </c>
      <c r="F1932" s="883">
        <v>0.9740601658521304</v>
      </c>
      <c r="G1932" s="883">
        <v>0.96666648225797591</v>
      </c>
      <c r="H1932" s="883">
        <v>0.96180761236339674</v>
      </c>
      <c r="I1932" s="883">
        <v>1.0138190189471079</v>
      </c>
      <c r="K1932">
        <v>6.7356559784268999</v>
      </c>
      <c r="L1932">
        <v>0</v>
      </c>
      <c r="M1932">
        <v>9.7765660746927299E-3</v>
      </c>
      <c r="N1932">
        <v>0.19043964322535778</v>
      </c>
      <c r="O1932">
        <v>0.12155936639074472</v>
      </c>
      <c r="P1932">
        <v>8.4997352442851878E-2</v>
      </c>
      <c r="Q1932">
        <v>0</v>
      </c>
      <c r="R1932">
        <v>9.7765660746927299E-3</v>
      </c>
      <c r="S1932">
        <v>0.27123890099810416</v>
      </c>
      <c r="T1932">
        <v>5.9090429403375202</v>
      </c>
      <c r="U1932">
        <v>0</v>
      </c>
      <c r="V1932">
        <v>1.9179086848419614E-2</v>
      </c>
      <c r="W1932">
        <v>9.8779332321811991E-2</v>
      </c>
      <c r="X1932">
        <v>1.6119693039398495E-4</v>
      </c>
      <c r="Y1932">
        <v>4.0258158931693926E-2</v>
      </c>
    </row>
    <row r="1933" spans="1:25" x14ac:dyDescent="0.25">
      <c r="A1933" s="879"/>
      <c r="B1933" s="1133">
        <v>1683</v>
      </c>
      <c r="C1933" s="883">
        <v>0.99867459599177466</v>
      </c>
      <c r="D1933" s="883">
        <v>1.0000131601141491</v>
      </c>
      <c r="E1933" s="883">
        <v>0.97972299081042247</v>
      </c>
      <c r="F1933" s="883">
        <v>1.0079486448244559</v>
      </c>
      <c r="G1933" s="883">
        <v>1.0062158490256574</v>
      </c>
      <c r="H1933" s="883">
        <v>1.0079108909221031</v>
      </c>
      <c r="I1933" s="883">
        <v>1.006083129026504</v>
      </c>
      <c r="K1933">
        <v>6.7486886488839302</v>
      </c>
      <c r="L1933">
        <v>0</v>
      </c>
      <c r="M1933">
        <v>1.0706553423121146E-2</v>
      </c>
      <c r="N1933">
        <v>0.19369962045971201</v>
      </c>
      <c r="O1933">
        <v>0.12252280104525072</v>
      </c>
      <c r="P1933">
        <v>8.1945154366907247E-2</v>
      </c>
      <c r="Q1933">
        <v>0</v>
      </c>
      <c r="R1933">
        <v>1.0706553423121146E-2</v>
      </c>
      <c r="S1933">
        <v>0.27270663675616497</v>
      </c>
      <c r="T1933">
        <v>5.9136907120898075</v>
      </c>
      <c r="U1933">
        <v>0</v>
      </c>
      <c r="V1933">
        <v>1.9162328846879365E-2</v>
      </c>
      <c r="W1933">
        <v>0.10298619173790677</v>
      </c>
      <c r="X1933">
        <v>-2.112477719645396E-3</v>
      </c>
      <c r="Y1933">
        <v>4.4087681300944884E-2</v>
      </c>
    </row>
    <row r="1934" spans="1:25" x14ac:dyDescent="0.25">
      <c r="A1934" s="879"/>
      <c r="B1934" s="1133">
        <v>1684</v>
      </c>
      <c r="C1934" s="883">
        <v>0.97864901761372824</v>
      </c>
      <c r="D1934" s="883">
        <v>0.99300252902385666</v>
      </c>
      <c r="E1934" s="883">
        <v>0.97860282473233717</v>
      </c>
      <c r="F1934" s="883">
        <v>0.99352775089203405</v>
      </c>
      <c r="G1934" s="883">
        <v>1.0293335623011746</v>
      </c>
      <c r="H1934" s="883">
        <v>0.99993969753293077</v>
      </c>
      <c r="I1934" s="883">
        <v>1.0166009130360836</v>
      </c>
      <c r="K1934">
        <v>6.7635472699268506</v>
      </c>
      <c r="L1934">
        <v>0</v>
      </c>
      <c r="M1934">
        <v>1.0882564140868321E-2</v>
      </c>
      <c r="N1934">
        <v>0.19655698813887357</v>
      </c>
      <c r="O1934">
        <v>0.12540355285910515</v>
      </c>
      <c r="P1934">
        <v>8.1969109557751677E-2</v>
      </c>
      <c r="Q1934">
        <v>0</v>
      </c>
      <c r="R1934">
        <v>1.0882564140868321E-2</v>
      </c>
      <c r="S1934">
        <v>0.28048752700565821</v>
      </c>
      <c r="T1934">
        <v>5.9129727594598789</v>
      </c>
      <c r="U1934">
        <v>0</v>
      </c>
      <c r="V1934">
        <v>1.9274030639325767E-2</v>
      </c>
      <c r="W1934">
        <v>0.10456404797022878</v>
      </c>
      <c r="X1934">
        <v>-2.4932078118558233E-3</v>
      </c>
      <c r="Y1934">
        <v>4.481246210788787E-2</v>
      </c>
    </row>
    <row r="1935" spans="1:25" x14ac:dyDescent="0.25">
      <c r="A1935" s="879"/>
      <c r="B1935" s="1133">
        <v>1685</v>
      </c>
      <c r="C1935" s="883">
        <v>0.98177814242567274</v>
      </c>
      <c r="D1935" s="883">
        <v>1.0039739798027807</v>
      </c>
      <c r="E1935" s="883">
        <v>1.0110143844423691</v>
      </c>
      <c r="F1935" s="883">
        <v>1.0257584404555637</v>
      </c>
      <c r="G1935" s="883">
        <v>0.9890454992241281</v>
      </c>
      <c r="H1935" s="883">
        <v>0.98875337914817685</v>
      </c>
      <c r="I1935" s="883">
        <v>1.0021211352187596</v>
      </c>
      <c r="K1935">
        <v>6.7552314987104003</v>
      </c>
      <c r="L1935">
        <v>0</v>
      </c>
      <c r="M1935">
        <v>1.0378282164605273E-2</v>
      </c>
      <c r="N1935">
        <v>0.19667281426893321</v>
      </c>
      <c r="O1935">
        <v>0.12383954797863603</v>
      </c>
      <c r="P1935">
        <v>8.392854990448069E-2</v>
      </c>
      <c r="Q1935">
        <v>0</v>
      </c>
      <c r="R1935">
        <v>1.0378282164605273E-2</v>
      </c>
      <c r="S1935">
        <v>0.27448076286684131</v>
      </c>
      <c r="T1935">
        <v>5.9129023656856132</v>
      </c>
      <c r="U1935">
        <v>0</v>
      </c>
      <c r="V1935">
        <v>1.9256276132888925E-2</v>
      </c>
      <c r="W1935">
        <v>0.10295148944290011</v>
      </c>
      <c r="X1935">
        <v>-1.5362262583781077E-3</v>
      </c>
      <c r="Y1935">
        <v>4.2735918688482345E-2</v>
      </c>
    </row>
    <row r="1936" spans="1:25" x14ac:dyDescent="0.25">
      <c r="A1936" s="879"/>
      <c r="B1936" s="1133">
        <v>1686</v>
      </c>
      <c r="C1936" s="883">
        <v>1.0153106534830458</v>
      </c>
      <c r="D1936" s="883">
        <v>1.0369862734261888</v>
      </c>
      <c r="E1936" s="883">
        <v>0.95549965358221356</v>
      </c>
      <c r="F1936" s="883">
        <v>0.96535603892159561</v>
      </c>
      <c r="G1936" s="883">
        <v>0.99759059282068163</v>
      </c>
      <c r="H1936" s="883">
        <v>0.98291003910225516</v>
      </c>
      <c r="I1936" s="883">
        <v>0.98811645493850608</v>
      </c>
      <c r="K1936">
        <v>6.7113070879942054</v>
      </c>
      <c r="L1936">
        <v>0</v>
      </c>
      <c r="M1936">
        <v>1.0327014904691354E-2</v>
      </c>
      <c r="N1936">
        <v>0.18023167667062867</v>
      </c>
      <c r="O1936">
        <v>0.11921135415187387</v>
      </c>
      <c r="P1936">
        <v>8.0247697946962085E-2</v>
      </c>
      <c r="Q1936">
        <v>0</v>
      </c>
      <c r="R1936">
        <v>1.0327014904691354E-2</v>
      </c>
      <c r="S1936">
        <v>0.26080240935535137</v>
      </c>
      <c r="T1936">
        <v>5.9127047490700138</v>
      </c>
      <c r="U1936">
        <v>0</v>
      </c>
      <c r="V1936">
        <v>1.907288437424709E-2</v>
      </c>
      <c r="W1936">
        <v>9.700086873695371E-2</v>
      </c>
      <c r="X1936">
        <v>-4.8936154921288861E-4</v>
      </c>
      <c r="Y1936">
        <v>4.2524809237388918E-2</v>
      </c>
    </row>
    <row r="1937" spans="1:25" x14ac:dyDescent="0.25">
      <c r="A1937" s="879"/>
      <c r="B1937" s="1133">
        <v>1687</v>
      </c>
      <c r="C1937" s="883">
        <v>1.0185265716291303</v>
      </c>
      <c r="D1937" s="883">
        <v>1.030902784200127</v>
      </c>
      <c r="E1937" s="883">
        <v>0.97529976782325023</v>
      </c>
      <c r="F1937" s="883">
        <v>0.95962460435048269</v>
      </c>
      <c r="G1937" s="883">
        <v>0.99434020071596307</v>
      </c>
      <c r="H1937" s="883">
        <v>1.0391205817302431</v>
      </c>
      <c r="I1937" s="883">
        <v>1.0116639858857022</v>
      </c>
      <c r="K1937">
        <v>6.7394740308426462</v>
      </c>
      <c r="L1937">
        <v>0</v>
      </c>
      <c r="M1937">
        <v>1.0724163517382423E-2</v>
      </c>
      <c r="N1937">
        <v>0.19274887934161891</v>
      </c>
      <c r="O1937">
        <v>0.11876121070861097</v>
      </c>
      <c r="P1937">
        <v>8.1617211564117359E-2</v>
      </c>
      <c r="Q1937">
        <v>0</v>
      </c>
      <c r="R1937">
        <v>1.0724163517382423E-2</v>
      </c>
      <c r="S1937">
        <v>0.27145123243455505</v>
      </c>
      <c r="T1937">
        <v>5.9113211777209553</v>
      </c>
      <c r="U1937">
        <v>0</v>
      </c>
      <c r="V1937">
        <v>1.9055930860586389E-2</v>
      </c>
      <c r="W1937">
        <v>0.10270815420233595</v>
      </c>
      <c r="X1937">
        <v>-2.3499625247663282E-3</v>
      </c>
      <c r="Y1937">
        <v>4.4160196534632885E-2</v>
      </c>
    </row>
    <row r="1938" spans="1:25" x14ac:dyDescent="0.25">
      <c r="A1938" s="879"/>
      <c r="B1938" s="1133">
        <v>1688</v>
      </c>
      <c r="C1938" s="883">
        <v>0.99840516666631374</v>
      </c>
      <c r="D1938" s="883">
        <v>1.0354021258967978</v>
      </c>
      <c r="E1938" s="883">
        <v>0.97645738049928676</v>
      </c>
      <c r="F1938" s="883">
        <v>0.9975898266134442</v>
      </c>
      <c r="G1938" s="883">
        <v>0.98073596604028079</v>
      </c>
      <c r="H1938" s="883">
        <v>0.98326234890804876</v>
      </c>
      <c r="I1938" s="883">
        <v>0.99431482811560967</v>
      </c>
      <c r="K1938">
        <v>6.728569033043617</v>
      </c>
      <c r="L1938">
        <v>0</v>
      </c>
      <c r="M1938">
        <v>1.0322510038486049E-2</v>
      </c>
      <c r="N1938">
        <v>0.18584885448928509</v>
      </c>
      <c r="O1938">
        <v>0.1209226291119293</v>
      </c>
      <c r="P1938">
        <v>8.1658677605833063E-2</v>
      </c>
      <c r="Q1938">
        <v>0</v>
      </c>
      <c r="R1938">
        <v>1.0322510038486049E-2</v>
      </c>
      <c r="S1938">
        <v>0.26696291311483017</v>
      </c>
      <c r="T1938">
        <v>5.9133102324289677</v>
      </c>
      <c r="U1938">
        <v>0</v>
      </c>
      <c r="V1938">
        <v>1.9163801973516355E-2</v>
      </c>
      <c r="W1938">
        <v>9.8973925947841324E-2</v>
      </c>
      <c r="X1938">
        <v>-7.7826062877753852E-4</v>
      </c>
      <c r="Y1938">
        <v>4.2506259000191747E-2</v>
      </c>
    </row>
    <row r="1939" spans="1:25" x14ac:dyDescent="0.25">
      <c r="A1939" s="879"/>
      <c r="B1939" s="1133">
        <v>1689</v>
      </c>
      <c r="C1939" s="883">
        <v>1.0152186188238832</v>
      </c>
      <c r="D1939" s="883">
        <v>1.0083264534171044</v>
      </c>
      <c r="E1939" s="883">
        <v>0.9891970623690447</v>
      </c>
      <c r="F1939" s="883">
        <v>1.0079475159454128</v>
      </c>
      <c r="G1939" s="883">
        <v>1.0033776265868359</v>
      </c>
      <c r="H1939" s="883">
        <v>1.0084315594461373</v>
      </c>
      <c r="I1939" s="883">
        <v>1.0038377518055681</v>
      </c>
      <c r="K1939">
        <v>6.7358998327247059</v>
      </c>
      <c r="L1939">
        <v>0</v>
      </c>
      <c r="M1939">
        <v>1.0413829376594689E-2</v>
      </c>
      <c r="N1939">
        <v>0.19106985524737069</v>
      </c>
      <c r="O1939">
        <v>0.11995472075389761</v>
      </c>
      <c r="P1939">
        <v>8.2466666189530996E-2</v>
      </c>
      <c r="Q1939">
        <v>0</v>
      </c>
      <c r="R1939">
        <v>1.0413829376594689E-2</v>
      </c>
      <c r="S1939">
        <v>0.26764472455614424</v>
      </c>
      <c r="T1939">
        <v>5.9131663646144359</v>
      </c>
      <c r="U1939">
        <v>0</v>
      </c>
      <c r="V1939">
        <v>1.9073371138786037E-2</v>
      </c>
      <c r="W1939">
        <v>0.1011081038364616</v>
      </c>
      <c r="X1939">
        <v>-1.4662693922130744E-3</v>
      </c>
      <c r="Y1939">
        <v>4.2882295780286891E-2</v>
      </c>
    </row>
    <row r="1940" spans="1:25" x14ac:dyDescent="0.25">
      <c r="A1940" s="879"/>
      <c r="B1940" s="1133">
        <v>1690</v>
      </c>
      <c r="C1940" s="883">
        <v>1.0063221176065236</v>
      </c>
      <c r="D1940" s="883">
        <v>1.0151655703735651</v>
      </c>
      <c r="E1940" s="883">
        <v>1.0046219812207215</v>
      </c>
      <c r="F1940" s="883">
        <v>1.0038598748771179</v>
      </c>
      <c r="G1940" s="883">
        <v>1.0219104915852393</v>
      </c>
      <c r="H1940" s="883">
        <v>0.99681717533854608</v>
      </c>
      <c r="I1940" s="883">
        <v>0.9938663874764696</v>
      </c>
      <c r="K1940">
        <v>6.734717257605916</v>
      </c>
      <c r="L1940">
        <v>0</v>
      </c>
      <c r="M1940">
        <v>1.0216337493644524E-2</v>
      </c>
      <c r="N1940">
        <v>0.19178012730003821</v>
      </c>
      <c r="O1940">
        <v>0.12040333727188386</v>
      </c>
      <c r="P1940">
        <v>8.3402922778082436E-2</v>
      </c>
      <c r="Q1940">
        <v>0</v>
      </c>
      <c r="R1940">
        <v>1.0216337493644524E-2</v>
      </c>
      <c r="S1940">
        <v>0.26621365187523055</v>
      </c>
      <c r="T1940">
        <v>5.9120811525772963</v>
      </c>
      <c r="U1940">
        <v>0</v>
      </c>
      <c r="V1940">
        <v>1.91208443589597E-2</v>
      </c>
      <c r="W1940">
        <v>0.1007085297237445</v>
      </c>
      <c r="X1940">
        <v>-1.0623676378652041E-3</v>
      </c>
      <c r="Y1940">
        <v>4.2069059358542861E-2</v>
      </c>
    </row>
    <row r="1941" spans="1:25" x14ac:dyDescent="0.25">
      <c r="A1941" s="879"/>
      <c r="B1941" s="1133">
        <v>1691</v>
      </c>
      <c r="C1941" s="883">
        <v>0.97947679449143166</v>
      </c>
      <c r="D1941" s="883">
        <v>0.98672004226210397</v>
      </c>
      <c r="E1941" s="883">
        <v>1.0040718443798318</v>
      </c>
      <c r="F1941" s="883">
        <v>0.95167992483989783</v>
      </c>
      <c r="G1941" s="883">
        <v>1.0131124950586861</v>
      </c>
      <c r="H1941" s="883">
        <v>0.97173241667444166</v>
      </c>
      <c r="I1941" s="883">
        <v>0.98788824361916083</v>
      </c>
      <c r="K1941">
        <v>6.7446877137515111</v>
      </c>
      <c r="L1941">
        <v>0</v>
      </c>
      <c r="M1941">
        <v>1.0362501351759212E-2</v>
      </c>
      <c r="N1941">
        <v>0.19436547669603055</v>
      </c>
      <c r="O1941">
        <v>0.1251282511091481</v>
      </c>
      <c r="P1941">
        <v>8.3380458455275655E-2</v>
      </c>
      <c r="Q1941">
        <v>0</v>
      </c>
      <c r="R1941">
        <v>1.0362501351759212E-2</v>
      </c>
      <c r="S1941">
        <v>0.26974778385915166</v>
      </c>
      <c r="T1941">
        <v>5.9092924414077483</v>
      </c>
      <c r="U1941">
        <v>0</v>
      </c>
      <c r="V1941">
        <v>1.9269322837030242E-2</v>
      </c>
      <c r="W1941">
        <v>0.10209400167523058</v>
      </c>
      <c r="X1941">
        <v>-1.2609583981708936E-3</v>
      </c>
      <c r="Y1941">
        <v>4.2670936110062244E-2</v>
      </c>
    </row>
    <row r="1942" spans="1:25" x14ac:dyDescent="0.25">
      <c r="A1942" s="879"/>
      <c r="B1942" s="1133">
        <v>1692</v>
      </c>
      <c r="C1942" s="883">
        <v>1.0177528769502104</v>
      </c>
      <c r="D1942" s="883">
        <v>0.97145461323523974</v>
      </c>
      <c r="E1942" s="883">
        <v>0.98072935799202243</v>
      </c>
      <c r="F1942" s="883">
        <v>1.0077718173170285</v>
      </c>
      <c r="G1942" s="883">
        <v>0.99689012952850287</v>
      </c>
      <c r="H1942" s="883">
        <v>1.0059842694025949</v>
      </c>
      <c r="I1942" s="883">
        <v>1.0055543910516629</v>
      </c>
      <c r="K1942">
        <v>6.7399593522738286</v>
      </c>
      <c r="L1942">
        <v>0</v>
      </c>
      <c r="M1942">
        <v>1.0607474149410096E-2</v>
      </c>
      <c r="N1942">
        <v>0.19219385996686872</v>
      </c>
      <c r="O1942">
        <v>0.12160895947137772</v>
      </c>
      <c r="P1942">
        <v>8.1938716046537088E-2</v>
      </c>
      <c r="Q1942">
        <v>0</v>
      </c>
      <c r="R1942">
        <v>1.0607474149410096E-2</v>
      </c>
      <c r="S1942">
        <v>0.26758090492121989</v>
      </c>
      <c r="T1942">
        <v>5.9136257005104556</v>
      </c>
      <c r="U1942">
        <v>0</v>
      </c>
      <c r="V1942">
        <v>1.9059999797428607E-2</v>
      </c>
      <c r="W1942">
        <v>0.10213413577961455</v>
      </c>
      <c r="X1942">
        <v>-1.862614706936831E-3</v>
      </c>
      <c r="Y1942">
        <v>4.3679690487256083E-2</v>
      </c>
    </row>
    <row r="1943" spans="1:25" x14ac:dyDescent="0.25">
      <c r="A1943" s="879"/>
      <c r="B1943" s="1133">
        <v>1693</v>
      </c>
      <c r="C1943" s="883">
        <v>1.0137983568880178</v>
      </c>
      <c r="D1943" s="883">
        <v>1.0239028951688298</v>
      </c>
      <c r="E1943" s="883">
        <v>0.98392885788649909</v>
      </c>
      <c r="F1943" s="883">
        <v>0.97377007688090211</v>
      </c>
      <c r="G1943" s="883">
        <v>1.0255464194178288</v>
      </c>
      <c r="H1943" s="883">
        <v>1.0030282758317945</v>
      </c>
      <c r="I1943" s="883">
        <v>0.98140302893649012</v>
      </c>
      <c r="K1943">
        <v>6.7234845823960407</v>
      </c>
      <c r="L1943">
        <v>0</v>
      </c>
      <c r="M1943">
        <v>1.0352162608064043E-2</v>
      </c>
      <c r="N1943">
        <v>0.18846029476535495</v>
      </c>
      <c r="O1943">
        <v>0.11948427667979636</v>
      </c>
      <c r="P1943">
        <v>8.2031840941062667E-2</v>
      </c>
      <c r="Q1943">
        <v>0</v>
      </c>
      <c r="R1943">
        <v>1.0352162608064043E-2</v>
      </c>
      <c r="S1943">
        <v>0.26138566613906472</v>
      </c>
      <c r="T1943">
        <v>5.9116110116810567</v>
      </c>
      <c r="U1943">
        <v>0</v>
      </c>
      <c r="V1943">
        <v>1.9080894004884448E-2</v>
      </c>
      <c r="W1943">
        <v>9.9989912528946331E-2</v>
      </c>
      <c r="X1943">
        <v>-1.1876773478783585E-3</v>
      </c>
      <c r="Y1943">
        <v>4.2628363003753326E-2</v>
      </c>
    </row>
    <row r="1944" spans="1:25" x14ac:dyDescent="0.25">
      <c r="A1944" s="879"/>
      <c r="B1944" s="1133">
        <v>1694</v>
      </c>
      <c r="C1944" s="883">
        <v>1.0105270986355186</v>
      </c>
      <c r="D1944" s="883">
        <v>1.0213790250609549</v>
      </c>
      <c r="E1944" s="883">
        <v>0.98527680174616239</v>
      </c>
      <c r="F1944" s="883">
        <v>1.0134821666797182</v>
      </c>
      <c r="G1944" s="883">
        <v>1.0019605247753816</v>
      </c>
      <c r="H1944" s="883">
        <v>0.99430314778228257</v>
      </c>
      <c r="I1944" s="883">
        <v>1.0400774496993686</v>
      </c>
      <c r="K1944">
        <v>6.7410354675744859</v>
      </c>
      <c r="L1944">
        <v>0</v>
      </c>
      <c r="M1944">
        <v>1.0294103087526034E-2</v>
      </c>
      <c r="N1944">
        <v>0.18777836370443438</v>
      </c>
      <c r="O1944">
        <v>0.11996486349594143</v>
      </c>
      <c r="P1944">
        <v>8.235238243369733E-2</v>
      </c>
      <c r="Q1944">
        <v>0</v>
      </c>
      <c r="R1944">
        <v>1.0294103087526034E-2</v>
      </c>
      <c r="S1944">
        <v>0.27709745143442099</v>
      </c>
      <c r="T1944">
        <v>5.9136830956252133</v>
      </c>
      <c r="U1944">
        <v>0</v>
      </c>
      <c r="V1944">
        <v>1.9098301702138425E-2</v>
      </c>
      <c r="W1944">
        <v>9.9561012793938225E-2</v>
      </c>
      <c r="X1944">
        <v>-8.8928784768833142E-4</v>
      </c>
      <c r="Y1944">
        <v>4.2389284232387206E-2</v>
      </c>
    </row>
    <row r="1945" spans="1:25" x14ac:dyDescent="0.25">
      <c r="A1945" s="879"/>
      <c r="B1945" s="1133">
        <v>1695</v>
      </c>
      <c r="C1945" s="883">
        <v>1.0313853500642693</v>
      </c>
      <c r="D1945" s="883">
        <v>1.0169211796238695</v>
      </c>
      <c r="E1945" s="883">
        <v>1.0146365252866787</v>
      </c>
      <c r="F1945" s="883">
        <v>1.0001849902862869</v>
      </c>
      <c r="G1945" s="883">
        <v>0.99947655640818478</v>
      </c>
      <c r="H1945" s="883">
        <v>1.0381678563416539</v>
      </c>
      <c r="I1945" s="883">
        <v>0.97589134820215695</v>
      </c>
      <c r="K1945">
        <v>6.7289736000007006</v>
      </c>
      <c r="L1945">
        <v>0</v>
      </c>
      <c r="M1945">
        <v>1.028344898667707E-2</v>
      </c>
      <c r="N1945">
        <v>0.19592322771767609</v>
      </c>
      <c r="O1945">
        <v>0.11721473262835945</v>
      </c>
      <c r="P1945">
        <v>8.3917249466171961E-2</v>
      </c>
      <c r="Q1945">
        <v>0</v>
      </c>
      <c r="R1945">
        <v>1.028344898667707E-2</v>
      </c>
      <c r="S1945">
        <v>0.25870977208372026</v>
      </c>
      <c r="T1945">
        <v>5.911314416760507</v>
      </c>
      <c r="U1945">
        <v>0</v>
      </c>
      <c r="V1945">
        <v>1.898919912314442E-2</v>
      </c>
      <c r="W1945">
        <v>0.10237574341430572</v>
      </c>
      <c r="X1945">
        <v>-1.816153734638368E-3</v>
      </c>
      <c r="Y1945">
        <v>4.2345412541450432E-2</v>
      </c>
    </row>
    <row r="1946" spans="1:25" x14ac:dyDescent="0.25">
      <c r="A1946" s="879"/>
      <c r="B1946" s="1133">
        <v>1696</v>
      </c>
      <c r="C1946" s="883">
        <v>0.99563867237373216</v>
      </c>
      <c r="D1946" s="883">
        <v>1.0164210004690926</v>
      </c>
      <c r="E1946" s="883">
        <v>1.0353410821621669</v>
      </c>
      <c r="F1946" s="883">
        <v>1.0064070608561009</v>
      </c>
      <c r="G1946" s="883">
        <v>0.9638300379042597</v>
      </c>
      <c r="H1946" s="883">
        <v>0.98729289392074271</v>
      </c>
      <c r="I1946" s="883">
        <v>1.006918123095466</v>
      </c>
      <c r="K1946">
        <v>6.744704881267821</v>
      </c>
      <c r="L1946">
        <v>0</v>
      </c>
      <c r="M1946">
        <v>9.9506555067744428E-3</v>
      </c>
      <c r="N1946">
        <v>0.19547692841674563</v>
      </c>
      <c r="O1946">
        <v>0.12105528598004801</v>
      </c>
      <c r="P1946">
        <v>8.5381713689208022E-2</v>
      </c>
      <c r="Q1946">
        <v>0</v>
      </c>
      <c r="R1946">
        <v>9.9506555067744428E-3</v>
      </c>
      <c r="S1946">
        <v>0.27174348063441189</v>
      </c>
      <c r="T1946">
        <v>5.9104584078018734</v>
      </c>
      <c r="U1946">
        <v>0</v>
      </c>
      <c r="V1946">
        <v>1.9178974127535216E-2</v>
      </c>
      <c r="W1946">
        <v>0.10110818394333736</v>
      </c>
      <c r="X1946">
        <v>-6.7312155158168554E-4</v>
      </c>
      <c r="Y1946">
        <v>4.0975028226242653E-2</v>
      </c>
    </row>
    <row r="1947" spans="1:25" x14ac:dyDescent="0.25">
      <c r="A1947" s="879"/>
      <c r="B1947" s="1133">
        <v>1697</v>
      </c>
      <c r="C1947" s="883">
        <v>1.0076061274970776</v>
      </c>
      <c r="D1947" s="883">
        <v>0.98836944793205417</v>
      </c>
      <c r="E1947" s="883">
        <v>0.98436923251963471</v>
      </c>
      <c r="F1947" s="883">
        <v>1.0037085702436723</v>
      </c>
      <c r="G1947" s="883">
        <v>0.98081735891181965</v>
      </c>
      <c r="H1947" s="883">
        <v>1.0070697532050659</v>
      </c>
      <c r="I1947" s="883">
        <v>1.0194628738644012</v>
      </c>
      <c r="K1947">
        <v>6.7480955592650602</v>
      </c>
      <c r="L1947">
        <v>0</v>
      </c>
      <c r="M1947">
        <v>1.0613048018281527E-2</v>
      </c>
      <c r="N1947">
        <v>0.19333593358490614</v>
      </c>
      <c r="O1947">
        <v>0.12192092512952922</v>
      </c>
      <c r="P1947">
        <v>8.2247189748443486E-2</v>
      </c>
      <c r="Q1947">
        <v>0</v>
      </c>
      <c r="R1947">
        <v>1.0613048018281527E-2</v>
      </c>
      <c r="S1947">
        <v>0.27393559256996269</v>
      </c>
      <c r="T1947">
        <v>5.9132050201677879</v>
      </c>
      <c r="U1947">
        <v>0</v>
      </c>
      <c r="V1947">
        <v>1.9113940902467E-2</v>
      </c>
      <c r="W1947">
        <v>0.1025541649392059</v>
      </c>
      <c r="X1947">
        <v>-1.9198504643990271E-3</v>
      </c>
      <c r="Y1947">
        <v>4.3702642687156963E-2</v>
      </c>
    </row>
    <row r="1948" spans="1:25" x14ac:dyDescent="0.25">
      <c r="A1948" s="879"/>
      <c r="B1948" s="1133">
        <v>1698</v>
      </c>
      <c r="C1948" s="883">
        <v>0.98913037706525864</v>
      </c>
      <c r="D1948" s="883">
        <v>1.0067496463321186</v>
      </c>
      <c r="E1948" s="883">
        <v>1.025053832841414</v>
      </c>
      <c r="F1948" s="883">
        <v>1.0070469879460464</v>
      </c>
      <c r="G1948" s="883">
        <v>0.99500690074122233</v>
      </c>
      <c r="H1948" s="883">
        <v>1.0249211104677618</v>
      </c>
      <c r="I1948" s="883">
        <v>1.0103903675682386</v>
      </c>
      <c r="K1948">
        <v>6.7664277341673218</v>
      </c>
      <c r="L1948">
        <v>0</v>
      </c>
      <c r="M1948">
        <v>1.0535072705860207E-2</v>
      </c>
      <c r="N1948">
        <v>0.2038343232573486</v>
      </c>
      <c r="O1948">
        <v>0.12251583410137595</v>
      </c>
      <c r="P1948">
        <v>8.4834428285769981E-2</v>
      </c>
      <c r="Q1948">
        <v>0</v>
      </c>
      <c r="R1948">
        <v>1.0535072705860207E-2</v>
      </c>
      <c r="S1948">
        <v>0.27815991653499433</v>
      </c>
      <c r="T1948">
        <v>5.9110882562825706</v>
      </c>
      <c r="U1948">
        <v>0</v>
      </c>
      <c r="V1948">
        <v>1.9215001948406901E-2</v>
      </c>
      <c r="W1948">
        <v>0.10596433929648715</v>
      </c>
      <c r="X1948">
        <v>-2.5659197693309729E-3</v>
      </c>
      <c r="Y1948">
        <v>4.3381554229694176E-2</v>
      </c>
    </row>
    <row r="1949" spans="1:25" x14ac:dyDescent="0.25">
      <c r="A1949" s="879"/>
      <c r="B1949" s="1133">
        <v>1699</v>
      </c>
      <c r="C1949" s="883">
        <v>0.9947803495260531</v>
      </c>
      <c r="D1949" s="883">
        <v>1.0146239239545412</v>
      </c>
      <c r="E1949" s="883">
        <v>0.97442163898758982</v>
      </c>
      <c r="F1949" s="883">
        <v>1.0413243042652982</v>
      </c>
      <c r="G1949" s="883">
        <v>0.99939551744139954</v>
      </c>
      <c r="H1949" s="883">
        <v>0.96639085066146269</v>
      </c>
      <c r="I1949" s="883">
        <v>0.98210358842452905</v>
      </c>
      <c r="K1949">
        <v>6.7271323969343939</v>
      </c>
      <c r="L1949">
        <v>0</v>
      </c>
      <c r="M1949">
        <v>1.0289303312160897E-2</v>
      </c>
      <c r="N1949">
        <v>0.18469211840134128</v>
      </c>
      <c r="O1949">
        <v>0.12238902524032719</v>
      </c>
      <c r="P1949">
        <v>8.1514432338642015E-2</v>
      </c>
      <c r="Q1949">
        <v>0</v>
      </c>
      <c r="R1949">
        <v>1.0289303312160897E-2</v>
      </c>
      <c r="S1949">
        <v>0.26325534990205895</v>
      </c>
      <c r="T1949">
        <v>5.9157863273291076</v>
      </c>
      <c r="U1949">
        <v>0</v>
      </c>
      <c r="V1949">
        <v>1.918369853948473E-2</v>
      </c>
      <c r="W1949">
        <v>9.8458401594649109E-2</v>
      </c>
      <c r="X1949">
        <v>-5.1647602298327845E-4</v>
      </c>
      <c r="Y1949">
        <v>4.236951961176174E-2</v>
      </c>
    </row>
    <row r="1950" spans="1:25" x14ac:dyDescent="0.25">
      <c r="A1950" s="879"/>
      <c r="B1950" s="1133">
        <v>1700</v>
      </c>
      <c r="C1950" s="883">
        <v>1.006366636615537</v>
      </c>
      <c r="D1950" s="883">
        <v>1.0403710474339867</v>
      </c>
      <c r="E1950" s="883">
        <v>1.0265910475872828</v>
      </c>
      <c r="F1950" s="883">
        <v>0.97549729990238854</v>
      </c>
      <c r="G1950" s="883">
        <v>0.98334665904636454</v>
      </c>
      <c r="H1950" s="883">
        <v>0.98827175991855476</v>
      </c>
      <c r="I1950" s="883">
        <v>0.98142289168337471</v>
      </c>
      <c r="K1950">
        <v>6.7237865447752858</v>
      </c>
      <c r="L1950">
        <v>0</v>
      </c>
      <c r="M1950">
        <v>9.831744636549445E-3</v>
      </c>
      <c r="N1950">
        <v>0.19065909322255767</v>
      </c>
      <c r="O1950">
        <v>0.1188170009235336</v>
      </c>
      <c r="P1950">
        <v>8.4683029347388569E-2</v>
      </c>
      <c r="Q1950">
        <v>0</v>
      </c>
      <c r="R1950">
        <v>9.831744636549445E-3</v>
      </c>
      <c r="S1950">
        <v>0.26191430545396605</v>
      </c>
      <c r="T1950">
        <v>5.9092953561777337</v>
      </c>
      <c r="U1950">
        <v>0</v>
      </c>
      <c r="V1950">
        <v>1.9120604708491973E-2</v>
      </c>
      <c r="W1950">
        <v>9.9040281402173053E-2</v>
      </c>
      <c r="X1950">
        <v>-2.2850088856737289E-4</v>
      </c>
      <c r="Y1950">
        <v>4.0485374428002006E-2</v>
      </c>
    </row>
    <row r="1951" spans="1:25" x14ac:dyDescent="0.25">
      <c r="A1951" s="879"/>
      <c r="B1951" s="1133">
        <v>1701</v>
      </c>
      <c r="C1951" s="883">
        <v>0.98866717922342184</v>
      </c>
      <c r="D1951" s="883">
        <v>0.97537478283180978</v>
      </c>
      <c r="E1951" s="883">
        <v>0.97978993399653502</v>
      </c>
      <c r="F1951" s="883">
        <v>0.98740080487739612</v>
      </c>
      <c r="G1951" s="883">
        <v>1.0195966939414443</v>
      </c>
      <c r="H1951" s="883">
        <v>1.0141406608702677</v>
      </c>
      <c r="I1951" s="883">
        <v>0.98285645604789629</v>
      </c>
      <c r="K1951">
        <v>6.7557148384984558</v>
      </c>
      <c r="L1951">
        <v>0</v>
      </c>
      <c r="M1951">
        <v>1.0998081780005461E-2</v>
      </c>
      <c r="N1951">
        <v>0.19899362430385242</v>
      </c>
      <c r="O1951">
        <v>0.12500289639131781</v>
      </c>
      <c r="P1951">
        <v>8.1899213222260417E-2</v>
      </c>
      <c r="Q1951">
        <v>0</v>
      </c>
      <c r="R1951">
        <v>1.0998081780005461E-2</v>
      </c>
      <c r="S1951">
        <v>0.26996211741408227</v>
      </c>
      <c r="T1951">
        <v>5.9125762084557838</v>
      </c>
      <c r="U1951">
        <v>0</v>
      </c>
      <c r="V1951">
        <v>1.9217584142667336E-2</v>
      </c>
      <c r="W1951">
        <v>0.105797360441302</v>
      </c>
      <c r="X1951">
        <v>-3.0223090572967549E-3</v>
      </c>
      <c r="Y1951">
        <v>4.5288143184481343E-2</v>
      </c>
    </row>
    <row r="1952" spans="1:25" x14ac:dyDescent="0.25">
      <c r="A1952" s="879"/>
      <c r="B1952" s="1133">
        <v>1702</v>
      </c>
      <c r="C1952" s="883">
        <v>0.99088283449810699</v>
      </c>
      <c r="D1952" s="883">
        <v>0.97453717356518865</v>
      </c>
      <c r="E1952" s="883">
        <v>0.98733664369270357</v>
      </c>
      <c r="F1952" s="883">
        <v>0.96649924264265963</v>
      </c>
      <c r="G1952" s="883">
        <v>1.0028946676078869</v>
      </c>
      <c r="H1952" s="883">
        <v>0.98628424331148778</v>
      </c>
      <c r="I1952" s="883">
        <v>1.0111240034766789</v>
      </c>
      <c r="K1952">
        <v>6.7504263399194366</v>
      </c>
      <c r="L1952">
        <v>0</v>
      </c>
      <c r="M1952">
        <v>1.0605976657699329E-2</v>
      </c>
      <c r="N1952">
        <v>0.19405925089019016</v>
      </c>
      <c r="O1952">
        <v>0.12462320487251287</v>
      </c>
      <c r="P1952">
        <v>8.2412941262692205E-2</v>
      </c>
      <c r="Q1952">
        <v>0</v>
      </c>
      <c r="R1952">
        <v>1.0605976657699329E-2</v>
      </c>
      <c r="S1952">
        <v>0.27441943601458718</v>
      </c>
      <c r="T1952">
        <v>5.9110292892888578</v>
      </c>
      <c r="U1952">
        <v>0</v>
      </c>
      <c r="V1952">
        <v>1.9205254348971579E-2</v>
      </c>
      <c r="W1952">
        <v>0.10278537752344268</v>
      </c>
      <c r="X1952">
        <v>-1.7819383647528313E-3</v>
      </c>
      <c r="Y1952">
        <v>4.367352408293472E-2</v>
      </c>
    </row>
    <row r="1953" spans="1:25" x14ac:dyDescent="0.25">
      <c r="A1953" s="879"/>
      <c r="B1953" s="1133">
        <v>1703</v>
      </c>
      <c r="C1953" s="883">
        <v>0.99245996877146747</v>
      </c>
      <c r="D1953" s="883">
        <v>1.0039980417798211</v>
      </c>
      <c r="E1953" s="883">
        <v>1.0355505073319473</v>
      </c>
      <c r="F1953" s="883">
        <v>0.96721195076141653</v>
      </c>
      <c r="G1953" s="883">
        <v>0.9984011885349674</v>
      </c>
      <c r="H1953" s="883">
        <v>1.0134043510394757</v>
      </c>
      <c r="I1953" s="883">
        <v>0.9812935271530997</v>
      </c>
      <c r="K1953">
        <v>6.7505530430072955</v>
      </c>
      <c r="L1953">
        <v>0</v>
      </c>
      <c r="M1953">
        <v>1.0298740337162106E-2</v>
      </c>
      <c r="N1953">
        <v>0.20237754095298813</v>
      </c>
      <c r="O1953">
        <v>0.12203784812374857</v>
      </c>
      <c r="P1953">
        <v>8.5317313881963217E-2</v>
      </c>
      <c r="Q1953">
        <v>0</v>
      </c>
      <c r="R1953">
        <v>1.0298740337162106E-2</v>
      </c>
      <c r="S1953">
        <v>0.26821892189556451</v>
      </c>
      <c r="T1953">
        <v>5.9083292083112271</v>
      </c>
      <c r="U1953">
        <v>0</v>
      </c>
      <c r="V1953">
        <v>1.9196511370534113E-2</v>
      </c>
      <c r="W1953">
        <v>0.10466671584430404</v>
      </c>
      <c r="X1953">
        <v>-1.999396974023732E-3</v>
      </c>
      <c r="Y1953">
        <v>4.240837960098888E-2</v>
      </c>
    </row>
    <row r="1954" spans="1:25" x14ac:dyDescent="0.25">
      <c r="A1954" s="879"/>
      <c r="B1954" s="1133">
        <v>1704</v>
      </c>
      <c r="C1954" s="883">
        <v>1.0176530935219747</v>
      </c>
      <c r="D1954" s="883">
        <v>1.0262169313287681</v>
      </c>
      <c r="E1954" s="883">
        <v>0.96665663681989467</v>
      </c>
      <c r="F1954" s="883">
        <v>1.0100444192188045</v>
      </c>
      <c r="G1954" s="883">
        <v>1.039901802593451</v>
      </c>
      <c r="H1954" s="883">
        <v>0.99390506978541882</v>
      </c>
      <c r="I1954" s="883">
        <v>1.0041970230361088</v>
      </c>
      <c r="K1954">
        <v>6.7235735258611422</v>
      </c>
      <c r="L1954">
        <v>0</v>
      </c>
      <c r="M1954">
        <v>1.0364065502067537E-2</v>
      </c>
      <c r="N1954">
        <v>0.18390164707828055</v>
      </c>
      <c r="O1954">
        <v>0.11923522442860696</v>
      </c>
      <c r="P1954">
        <v>8.1036797413049186E-2</v>
      </c>
      <c r="Q1954">
        <v>0</v>
      </c>
      <c r="R1954">
        <v>1.0364065502067537E-2</v>
      </c>
      <c r="S1954">
        <v>0.2655541081226741</v>
      </c>
      <c r="T1954">
        <v>5.914518829209273</v>
      </c>
      <c r="U1954">
        <v>0</v>
      </c>
      <c r="V1954">
        <v>1.9060525018771753E-2</v>
      </c>
      <c r="W1954">
        <v>9.8420399831689404E-2</v>
      </c>
      <c r="X1954">
        <v>-8.3138224383031225E-4</v>
      </c>
      <c r="Y1954">
        <v>4.2677377002623557E-2</v>
      </c>
    </row>
    <row r="1955" spans="1:25" x14ac:dyDescent="0.25">
      <c r="A1955" s="879"/>
      <c r="B1955" s="1133">
        <v>1705</v>
      </c>
      <c r="C1955" s="883">
        <v>0.99395031544107659</v>
      </c>
      <c r="D1955" s="883">
        <v>1.0310867480728658</v>
      </c>
      <c r="E1955" s="883">
        <v>1.0144196101052763</v>
      </c>
      <c r="F1955" s="883">
        <v>1.0075508177376136</v>
      </c>
      <c r="G1955" s="883">
        <v>0.9889240389631585</v>
      </c>
      <c r="H1955" s="883">
        <v>1.02043775059858</v>
      </c>
      <c r="I1955" s="883">
        <v>0.97874700751331045</v>
      </c>
      <c r="K1955">
        <v>6.7466841705580922</v>
      </c>
      <c r="L1955">
        <v>0</v>
      </c>
      <c r="M1955">
        <v>1.0428586474730555E-2</v>
      </c>
      <c r="N1955">
        <v>0.19862465807349816</v>
      </c>
      <c r="O1955">
        <v>0.12096226788743047</v>
      </c>
      <c r="P1955">
        <v>8.4030505909956948E-2</v>
      </c>
      <c r="Q1955">
        <v>0</v>
      </c>
      <c r="R1955">
        <v>1.0428586474730555E-2</v>
      </c>
      <c r="S1955">
        <v>0.26746568459584924</v>
      </c>
      <c r="T1955">
        <v>5.9117247598273659</v>
      </c>
      <c r="U1955">
        <v>0</v>
      </c>
      <c r="V1955">
        <v>1.9188275003945751E-2</v>
      </c>
      <c r="W1955">
        <v>0.10379843670946212</v>
      </c>
      <c r="X1955">
        <v>-2.053480333162952E-3</v>
      </c>
      <c r="Y1955">
        <v>4.2943062883744838E-2</v>
      </c>
    </row>
    <row r="1956" spans="1:25" x14ac:dyDescent="0.25">
      <c r="A1956" s="879"/>
      <c r="B1956" s="1133">
        <v>1706</v>
      </c>
      <c r="C1956" s="883">
        <v>1.0121642165861198</v>
      </c>
      <c r="D1956" s="883">
        <v>1.0021466025851209</v>
      </c>
      <c r="E1956" s="883">
        <v>0.9925290319189084</v>
      </c>
      <c r="F1956" s="883">
        <v>1.0043368755830955</v>
      </c>
      <c r="G1956" s="883">
        <v>1.0089498965431138</v>
      </c>
      <c r="H1956" s="883">
        <v>0.9740596115531952</v>
      </c>
      <c r="I1956" s="883">
        <v>1.0210032134425897</v>
      </c>
      <c r="K1956">
        <v>6.7304617259229778</v>
      </c>
      <c r="L1956">
        <v>0</v>
      </c>
      <c r="M1956">
        <v>1.0086457433158929E-2</v>
      </c>
      <c r="N1956">
        <v>0.18597973109795396</v>
      </c>
      <c r="O1956">
        <v>0.12055157628653733</v>
      </c>
      <c r="P1956">
        <v>8.2700721414401754E-2</v>
      </c>
      <c r="Q1956">
        <v>0</v>
      </c>
      <c r="R1956">
        <v>1.0086457433158929E-2</v>
      </c>
      <c r="S1956">
        <v>0.26984674542819836</v>
      </c>
      <c r="T1956">
        <v>5.9127856307104869</v>
      </c>
      <c r="U1956">
        <v>0</v>
      </c>
      <c r="V1956">
        <v>1.908957586570597E-2</v>
      </c>
      <c r="W1956">
        <v>9.825124480736E-2</v>
      </c>
      <c r="X1956">
        <v>-2.7773607491881627E-4</v>
      </c>
      <c r="Y1956">
        <v>4.1534236387252156E-2</v>
      </c>
    </row>
    <row r="1957" spans="1:25" x14ac:dyDescent="0.25">
      <c r="A1957" s="879"/>
      <c r="B1957" s="1133">
        <v>1707</v>
      </c>
      <c r="C1957" s="883">
        <v>1.0074342262854645</v>
      </c>
      <c r="D1957" s="883">
        <v>1.010217094629746</v>
      </c>
      <c r="E1957" s="883">
        <v>0.96445773618557984</v>
      </c>
      <c r="F1957" s="883">
        <v>1.0172364998227614</v>
      </c>
      <c r="G1957" s="883">
        <v>0.99334441858037359</v>
      </c>
      <c r="H1957" s="883">
        <v>0.98809397726440074</v>
      </c>
      <c r="I1957" s="883">
        <v>1.0370264000858664</v>
      </c>
      <c r="K1957">
        <v>6.7403521188114963</v>
      </c>
      <c r="L1957">
        <v>0</v>
      </c>
      <c r="M1957">
        <v>1.0498292379572923E-2</v>
      </c>
      <c r="N1957">
        <v>0.18567598814466499</v>
      </c>
      <c r="O1957">
        <v>0.12124417521034896</v>
      </c>
      <c r="P1957">
        <v>8.1049424352456864E-2</v>
      </c>
      <c r="Q1957">
        <v>0</v>
      </c>
      <c r="R1957">
        <v>1.0498292379572923E-2</v>
      </c>
      <c r="S1957">
        <v>0.27660233526140826</v>
      </c>
      <c r="T1957">
        <v>5.9150270743540974</v>
      </c>
      <c r="U1957">
        <v>0</v>
      </c>
      <c r="V1957">
        <v>1.9114864106041803E-2</v>
      </c>
      <c r="W1957">
        <v>9.9480107344166263E-2</v>
      </c>
      <c r="X1957">
        <v>-1.0719493543861246E-3</v>
      </c>
      <c r="Y1957">
        <v>4.3230099392697174E-2</v>
      </c>
    </row>
    <row r="1958" spans="1:25" x14ac:dyDescent="0.25">
      <c r="A1958" s="879"/>
      <c r="B1958" s="1133">
        <v>1708</v>
      </c>
      <c r="C1958" s="883">
        <v>0.98800363710955574</v>
      </c>
      <c r="D1958" s="883">
        <v>1.0231395089784803</v>
      </c>
      <c r="E1958" s="883">
        <v>0.991621980412005</v>
      </c>
      <c r="F1958" s="883">
        <v>0.98132957251406461</v>
      </c>
      <c r="G1958" s="883">
        <v>1.0087999992729597</v>
      </c>
      <c r="H1958" s="883">
        <v>1.0204724552430682</v>
      </c>
      <c r="I1958" s="883">
        <v>0.97181892284300031</v>
      </c>
      <c r="K1958">
        <v>6.7470213926579561</v>
      </c>
      <c r="L1958">
        <v>0</v>
      </c>
      <c r="M1958">
        <v>1.073831403936297E-2</v>
      </c>
      <c r="N1958">
        <v>0.19773298247459792</v>
      </c>
      <c r="O1958">
        <v>0.12249661767463192</v>
      </c>
      <c r="P1958">
        <v>8.2594483085790774E-2</v>
      </c>
      <c r="Q1958">
        <v>0</v>
      </c>
      <c r="R1958">
        <v>1.073831403936297E-2</v>
      </c>
      <c r="S1958">
        <v>0.26721220758417225</v>
      </c>
      <c r="T1958">
        <v>5.9115926681024806</v>
      </c>
      <c r="U1958">
        <v>0</v>
      </c>
      <c r="V1958">
        <v>1.9221287416892816E-2</v>
      </c>
      <c r="W1958">
        <v>0.10450759058757839</v>
      </c>
      <c r="X1958">
        <v>-2.5549101336445096E-3</v>
      </c>
      <c r="Y1958">
        <v>4.4218465865449766E-2</v>
      </c>
    </row>
    <row r="1959" spans="1:25" x14ac:dyDescent="0.25">
      <c r="A1959" s="879"/>
      <c r="B1959" s="1133">
        <v>1709</v>
      </c>
      <c r="C1959" s="883">
        <v>1.0264915566629864</v>
      </c>
      <c r="D1959" s="883">
        <v>1.0310702494523873</v>
      </c>
      <c r="E1959" s="883">
        <v>0.98988764206306534</v>
      </c>
      <c r="F1959" s="883">
        <v>1.0239985987196352</v>
      </c>
      <c r="G1959" s="883">
        <v>1.0354343057400779</v>
      </c>
      <c r="H1959" s="883">
        <v>1.0001597500550821</v>
      </c>
      <c r="I1959" s="883">
        <v>1.0464961955530063</v>
      </c>
      <c r="K1959">
        <v>6.7332506865839639</v>
      </c>
      <c r="L1959">
        <v>0</v>
      </c>
      <c r="M1959">
        <v>1.0111830737296061E-2</v>
      </c>
      <c r="N1959">
        <v>0.18571892921139602</v>
      </c>
      <c r="O1959">
        <v>0.11757119353833836</v>
      </c>
      <c r="P1959">
        <v>8.2617423828038689E-2</v>
      </c>
      <c r="Q1959">
        <v>0</v>
      </c>
      <c r="R1959">
        <v>1.0111830737296061E-2</v>
      </c>
      <c r="S1959">
        <v>0.27494738076684544</v>
      </c>
      <c r="T1959">
        <v>5.9139955347763378</v>
      </c>
      <c r="U1959">
        <v>0</v>
      </c>
      <c r="V1959">
        <v>1.9014398820918391E-2</v>
      </c>
      <c r="W1959">
        <v>9.8242719628912567E-2</v>
      </c>
      <c r="X1959">
        <v>-4.9561312423669873E-4</v>
      </c>
      <c r="Y1959">
        <v>4.1638719137409089E-2</v>
      </c>
    </row>
    <row r="1960" spans="1:25" x14ac:dyDescent="0.25">
      <c r="A1960" s="879"/>
      <c r="B1960" s="1133">
        <v>1710</v>
      </c>
      <c r="C1960" s="883">
        <v>1.021660325245481</v>
      </c>
      <c r="D1960" s="883">
        <v>0.99847460632272544</v>
      </c>
      <c r="E1960" s="883">
        <v>0.97293653777564337</v>
      </c>
      <c r="F1960" s="883">
        <v>1.0022807060777952</v>
      </c>
      <c r="G1960" s="883">
        <v>1.0199164336388282</v>
      </c>
      <c r="H1960" s="883">
        <v>1.03759672921293</v>
      </c>
      <c r="I1960" s="883">
        <v>1.0383899010844611</v>
      </c>
      <c r="K1960">
        <v>6.7522393805127647</v>
      </c>
      <c r="L1960">
        <v>0</v>
      </c>
      <c r="M1960">
        <v>1.0844961818456263E-2</v>
      </c>
      <c r="N1960">
        <v>0.19423748255455822</v>
      </c>
      <c r="O1960">
        <v>0.1199631310813758</v>
      </c>
      <c r="P1960">
        <v>8.1585602595351026E-2</v>
      </c>
      <c r="Q1960">
        <v>0</v>
      </c>
      <c r="R1960">
        <v>1.0844961818456263E-2</v>
      </c>
      <c r="S1960">
        <v>0.2779810565407701</v>
      </c>
      <c r="T1960">
        <v>5.9137567258322941</v>
      </c>
      <c r="U1960">
        <v>0</v>
      </c>
      <c r="V1960">
        <v>1.903951317262282E-2</v>
      </c>
      <c r="W1960">
        <v>0.10362421132804066</v>
      </c>
      <c r="X1960">
        <v>-2.6059650294091782E-3</v>
      </c>
      <c r="Y1960">
        <v>4.4657622437158921E-2</v>
      </c>
    </row>
    <row r="1961" spans="1:25" x14ac:dyDescent="0.25">
      <c r="A1961" s="879"/>
      <c r="B1961" s="1133">
        <v>1711</v>
      </c>
      <c r="C1961" s="883">
        <v>1.0387261814123232</v>
      </c>
      <c r="D1961" s="883">
        <v>1.0073217905216001</v>
      </c>
      <c r="E1961" s="883">
        <v>0.97637742152045248</v>
      </c>
      <c r="F1961" s="883">
        <v>1.0197813726068825</v>
      </c>
      <c r="G1961" s="883">
        <v>0.9637027747176613</v>
      </c>
      <c r="H1961" s="883">
        <v>0.9913092781943148</v>
      </c>
      <c r="I1961" s="883">
        <v>1.016069248070844</v>
      </c>
      <c r="K1961">
        <v>6.716435114535642</v>
      </c>
      <c r="L1961">
        <v>0</v>
      </c>
      <c r="M1961">
        <v>1.0122119953145055E-2</v>
      </c>
      <c r="N1961">
        <v>0.1822193607668415</v>
      </c>
      <c r="O1961">
        <v>0.11751543489328134</v>
      </c>
      <c r="P1961">
        <v>8.1617024651744793E-2</v>
      </c>
      <c r="Q1961">
        <v>0</v>
      </c>
      <c r="R1961">
        <v>1.0122119953145055E-2</v>
      </c>
      <c r="S1961">
        <v>0.26318964452163363</v>
      </c>
      <c r="T1961">
        <v>5.9145143610946036</v>
      </c>
      <c r="U1961">
        <v>0</v>
      </c>
      <c r="V1961">
        <v>1.8951844079268004E-2</v>
      </c>
      <c r="W1961">
        <v>9.7044927683866383E-2</v>
      </c>
      <c r="X1961">
        <v>-2.9857145246436797E-4</v>
      </c>
      <c r="Y1961">
        <v>4.1681088296863095E-2</v>
      </c>
    </row>
    <row r="1962" spans="1:25" x14ac:dyDescent="0.25">
      <c r="A1962" s="879"/>
      <c r="B1962" s="1133">
        <v>1712</v>
      </c>
      <c r="C1962" s="883">
        <v>0.95641826036444411</v>
      </c>
      <c r="D1962" s="883">
        <v>0.99104810161556045</v>
      </c>
      <c r="E1962" s="883">
        <v>0.97887728763461568</v>
      </c>
      <c r="F1962" s="883">
        <v>0.99523375676009107</v>
      </c>
      <c r="G1962" s="883">
        <v>0.98440399326887762</v>
      </c>
      <c r="H1962" s="883">
        <v>1.0024022889927833</v>
      </c>
      <c r="I1962" s="883">
        <v>1.0225561465234356</v>
      </c>
      <c r="K1962">
        <v>6.7838030247916379</v>
      </c>
      <c r="L1962">
        <v>0</v>
      </c>
      <c r="M1962">
        <v>1.1169694196697654E-2</v>
      </c>
      <c r="N1962">
        <v>0.2018252058907552</v>
      </c>
      <c r="O1962">
        <v>0.12841422406570882</v>
      </c>
      <c r="P1962">
        <v>8.2100846378158385E-2</v>
      </c>
      <c r="Q1962">
        <v>0</v>
      </c>
      <c r="R1962">
        <v>1.1169694196697654E-2</v>
      </c>
      <c r="S1962">
        <v>0.28895954371619642</v>
      </c>
      <c r="T1962">
        <v>5.9130498905133662</v>
      </c>
      <c r="U1962">
        <v>0</v>
      </c>
      <c r="V1962">
        <v>1.9403511469016622E-2</v>
      </c>
      <c r="W1962">
        <v>0.10735186379125326</v>
      </c>
      <c r="X1962">
        <v>-3.2968736033686108E-3</v>
      </c>
      <c r="Y1962">
        <v>4.5994812570548313E-2</v>
      </c>
    </row>
    <row r="1963" spans="1:25" x14ac:dyDescent="0.25">
      <c r="A1963" s="879"/>
      <c r="B1963" s="1133">
        <v>1713</v>
      </c>
      <c r="C1963" s="883">
        <v>0.99508104021858423</v>
      </c>
      <c r="D1963" s="883">
        <v>1.0035654403171388</v>
      </c>
      <c r="E1963" s="883">
        <v>0.96834071704672242</v>
      </c>
      <c r="F1963" s="883">
        <v>1.0133668488432919</v>
      </c>
      <c r="G1963" s="883">
        <v>0.97173803969256078</v>
      </c>
      <c r="H1963" s="883">
        <v>1.0147765128725166</v>
      </c>
      <c r="I1963" s="883">
        <v>1.0152925440985867</v>
      </c>
      <c r="K1963">
        <v>6.755129583908734</v>
      </c>
      <c r="L1963">
        <v>0</v>
      </c>
      <c r="M1963">
        <v>1.0909626950011669E-2</v>
      </c>
      <c r="N1963">
        <v>0.19406692343047641</v>
      </c>
      <c r="O1963">
        <v>0.12300230712432644</v>
      </c>
      <c r="P1963">
        <v>8.1292797170624723E-2</v>
      </c>
      <c r="Q1963">
        <v>0</v>
      </c>
      <c r="R1963">
        <v>1.0909626950011669E-2</v>
      </c>
      <c r="S1963">
        <v>0.27679883793631482</v>
      </c>
      <c r="T1963">
        <v>5.9146068832462078</v>
      </c>
      <c r="U1963">
        <v>0</v>
      </c>
      <c r="V1963">
        <v>1.9182042539314784E-2</v>
      </c>
      <c r="W1963">
        <v>0.10377265729451619</v>
      </c>
      <c r="X1963">
        <v>-2.5167667719862533E-3</v>
      </c>
      <c r="Y1963">
        <v>4.4923901938939727E-2</v>
      </c>
    </row>
    <row r="1964" spans="1:25" x14ac:dyDescent="0.25">
      <c r="A1964" s="879"/>
      <c r="B1964" s="1133">
        <v>1714</v>
      </c>
      <c r="C1964" s="883">
        <v>0.98122332650078348</v>
      </c>
      <c r="D1964" s="883">
        <v>1.005417585921939</v>
      </c>
      <c r="E1964" s="883">
        <v>1.0277104398355774</v>
      </c>
      <c r="F1964" s="883">
        <v>1.0049953329404178</v>
      </c>
      <c r="G1964" s="883">
        <v>0.96516515061975061</v>
      </c>
      <c r="H1964" s="883">
        <v>0.98950365010433494</v>
      </c>
      <c r="I1964" s="883">
        <v>1.0229587819209551</v>
      </c>
      <c r="K1964">
        <v>6.7618496983563894</v>
      </c>
      <c r="L1964">
        <v>0</v>
      </c>
      <c r="M1964">
        <v>1.0234948339772544E-2</v>
      </c>
      <c r="N1964">
        <v>0.19880685665816472</v>
      </c>
      <c r="O1964">
        <v>0.12351727768469295</v>
      </c>
      <c r="P1964">
        <v>8.5029130304385109E-2</v>
      </c>
      <c r="Q1964">
        <v>0</v>
      </c>
      <c r="R1964">
        <v>1.0234948339772544E-2</v>
      </c>
      <c r="S1964">
        <v>0.28043595944763722</v>
      </c>
      <c r="T1964">
        <v>5.9108242525167443</v>
      </c>
      <c r="U1964">
        <v>0</v>
      </c>
      <c r="V1964">
        <v>1.9259415873251064E-2</v>
      </c>
      <c r="W1964">
        <v>0.10321597684668787</v>
      </c>
      <c r="X1964">
        <v>-1.3848664854682054E-3</v>
      </c>
      <c r="Y1964">
        <v>4.2145695510290931E-2</v>
      </c>
    </row>
    <row r="1965" spans="1:25" x14ac:dyDescent="0.25">
      <c r="A1965" s="879"/>
      <c r="B1965" s="1133">
        <v>1715</v>
      </c>
      <c r="C1965" s="883">
        <v>1.0096807022219234</v>
      </c>
      <c r="D1965" s="883">
        <v>1.0431128774704979</v>
      </c>
      <c r="E1965" s="883">
        <v>1.0014416450812951</v>
      </c>
      <c r="F1965" s="883">
        <v>1.0051044517950531</v>
      </c>
      <c r="G1965" s="883">
        <v>0.9729873186306438</v>
      </c>
      <c r="H1965" s="883">
        <v>1.0291263616955921</v>
      </c>
      <c r="I1965" s="883">
        <v>1.0092473755224975</v>
      </c>
      <c r="K1965">
        <v>6.7437925749991736</v>
      </c>
      <c r="L1965">
        <v>0</v>
      </c>
      <c r="M1965">
        <v>1.0419863536788459E-2</v>
      </c>
      <c r="N1965">
        <v>0.19468147865865906</v>
      </c>
      <c r="O1965">
        <v>0.11876440637003312</v>
      </c>
      <c r="P1965">
        <v>8.328624429052317E-2</v>
      </c>
      <c r="Q1965">
        <v>0</v>
      </c>
      <c r="R1965">
        <v>1.0419863536788459E-2</v>
      </c>
      <c r="S1965">
        <v>0.27217115530675756</v>
      </c>
      <c r="T1965">
        <v>5.9123276895500112</v>
      </c>
      <c r="U1965">
        <v>0</v>
      </c>
      <c r="V1965">
        <v>1.9102824090299078E-2</v>
      </c>
      <c r="W1965">
        <v>0.1023935008636977</v>
      </c>
      <c r="X1965">
        <v>-1.841867508730893E-3</v>
      </c>
      <c r="Y1965">
        <v>4.290714337792436E-2</v>
      </c>
    </row>
    <row r="1966" spans="1:25" x14ac:dyDescent="0.25">
      <c r="A1966" s="879"/>
      <c r="B1966" s="1133">
        <v>1716</v>
      </c>
      <c r="C1966" s="883">
        <v>1.0005166185915395</v>
      </c>
      <c r="D1966" s="883">
        <v>0.9995809572887111</v>
      </c>
      <c r="E1966" s="883">
        <v>1.0178488220284243</v>
      </c>
      <c r="F1966" s="883">
        <v>1.0098341774015385</v>
      </c>
      <c r="G1966" s="883">
        <v>0.97361500593831707</v>
      </c>
      <c r="H1966" s="883">
        <v>0.96002184460148599</v>
      </c>
      <c r="I1966" s="883">
        <v>0.99200948675802869</v>
      </c>
      <c r="K1966">
        <v>6.7281251735029439</v>
      </c>
      <c r="L1966">
        <v>0</v>
      </c>
      <c r="M1966">
        <v>9.84750904330043E-3</v>
      </c>
      <c r="N1966">
        <v>0.18851148856488853</v>
      </c>
      <c r="O1966">
        <v>0.12160461796976843</v>
      </c>
      <c r="P1966">
        <v>8.4196770572500204E-2</v>
      </c>
      <c r="Q1966">
        <v>0</v>
      </c>
      <c r="R1966">
        <v>9.84750904330043E-3</v>
      </c>
      <c r="S1966">
        <v>0.26398917798772331</v>
      </c>
      <c r="T1966">
        <v>5.9116523255872817</v>
      </c>
      <c r="U1966">
        <v>0</v>
      </c>
      <c r="V1966">
        <v>1.9152278693586211E-2</v>
      </c>
      <c r="W1966">
        <v>9.8346905824482952E-2</v>
      </c>
      <c r="X1966">
        <v>1.2131885366627167E-4</v>
      </c>
      <c r="Y1966">
        <v>4.0550289449042771E-2</v>
      </c>
    </row>
    <row r="1967" spans="1:25" x14ac:dyDescent="0.25">
      <c r="A1967" s="879"/>
      <c r="B1967" s="1133">
        <v>1717</v>
      </c>
      <c r="C1967" s="883">
        <v>1.0387168255632089</v>
      </c>
      <c r="D1967" s="883">
        <v>0.99913873829301914</v>
      </c>
      <c r="E1967" s="883">
        <v>1.0156695499071646</v>
      </c>
      <c r="F1967" s="883">
        <v>0.96185825660457769</v>
      </c>
      <c r="G1967" s="883">
        <v>0.98669794349125739</v>
      </c>
      <c r="H1967" s="883">
        <v>0.99434003239167867</v>
      </c>
      <c r="I1967" s="883">
        <v>0.98585747781420086</v>
      </c>
      <c r="K1967">
        <v>6.71133755878662</v>
      </c>
      <c r="L1967">
        <v>0</v>
      </c>
      <c r="M1967">
        <v>9.8450502257620108E-3</v>
      </c>
      <c r="N1967">
        <v>0.18785768539417452</v>
      </c>
      <c r="O1967">
        <v>0.11719282242441846</v>
      </c>
      <c r="P1967">
        <v>8.3912793995511381E-2</v>
      </c>
      <c r="Q1967">
        <v>0</v>
      </c>
      <c r="R1967">
        <v>9.8450502257620108E-3</v>
      </c>
      <c r="S1967">
        <v>0.25577554667557717</v>
      </c>
      <c r="T1967">
        <v>5.9091847296520106</v>
      </c>
      <c r="U1967">
        <v>0</v>
      </c>
      <c r="V1967">
        <v>1.8951891352033037E-2</v>
      </c>
      <c r="W1967">
        <v>9.8111219800356947E-2</v>
      </c>
      <c r="X1967">
        <v>-1.8929498353951308E-4</v>
      </c>
      <c r="Y1967">
        <v>4.0540164476072747E-2</v>
      </c>
    </row>
    <row r="1968" spans="1:25" x14ac:dyDescent="0.25">
      <c r="A1968" s="879"/>
      <c r="B1968" s="1133">
        <v>1718</v>
      </c>
      <c r="C1968" s="883">
        <v>1.036079607900338</v>
      </c>
      <c r="D1968" s="883">
        <v>1.0065645261445397</v>
      </c>
      <c r="E1968" s="883">
        <v>1.0085414896275209</v>
      </c>
      <c r="F1968" s="883">
        <v>0.99006992110540648</v>
      </c>
      <c r="G1968" s="883">
        <v>1.0196356893730285</v>
      </c>
      <c r="H1968" s="883">
        <v>1.0067637532072804</v>
      </c>
      <c r="I1968" s="883">
        <v>1.0138547424615121</v>
      </c>
      <c r="K1968">
        <v>6.7248179584176322</v>
      </c>
      <c r="L1968">
        <v>0</v>
      </c>
      <c r="M1968">
        <v>1.002409587241888E-2</v>
      </c>
      <c r="N1968">
        <v>0.18926667945587841</v>
      </c>
      <c r="O1968">
        <v>0.11727297213253514</v>
      </c>
      <c r="P1968">
        <v>8.3614264147136963E-2</v>
      </c>
      <c r="Q1968">
        <v>0</v>
      </c>
      <c r="R1968">
        <v>1.002409587241888E-2</v>
      </c>
      <c r="S1968">
        <v>0.26476936760793524</v>
      </c>
      <c r="T1968">
        <v>5.9111142909149574</v>
      </c>
      <c r="U1968">
        <v>0</v>
      </c>
      <c r="V1968">
        <v>1.896525059117625E-2</v>
      </c>
      <c r="W1968">
        <v>9.9195896195538882E-2</v>
      </c>
      <c r="X1968">
        <v>-6.5820520759166785E-4</v>
      </c>
      <c r="Y1968">
        <v>4.1277442580068664E-2</v>
      </c>
    </row>
    <row r="1969" spans="1:25" x14ac:dyDescent="0.25">
      <c r="A1969" s="879"/>
      <c r="B1969" s="1133">
        <v>1719</v>
      </c>
      <c r="C1969" s="883">
        <v>0.97867318910050882</v>
      </c>
      <c r="D1969" s="883">
        <v>0.96483843164891381</v>
      </c>
      <c r="E1969" s="883">
        <v>1.0224569787186639</v>
      </c>
      <c r="F1969" s="883">
        <v>1.0158587480550803</v>
      </c>
      <c r="G1969" s="883">
        <v>1.0241220989976758</v>
      </c>
      <c r="H1969" s="883">
        <v>1.0217462498599135</v>
      </c>
      <c r="I1969" s="883">
        <v>0.98836057455771387</v>
      </c>
      <c r="K1969">
        <v>6.7755271682095346</v>
      </c>
      <c r="L1969">
        <v>0</v>
      </c>
      <c r="M1969">
        <v>1.0834472673648843E-2</v>
      </c>
      <c r="N1969">
        <v>0.20882364792732558</v>
      </c>
      <c r="O1969">
        <v>0.12600004117246472</v>
      </c>
      <c r="P1969">
        <v>8.4640277768089411E-2</v>
      </c>
      <c r="Q1969">
        <v>0</v>
      </c>
      <c r="R1969">
        <v>1.0834472673648843E-2</v>
      </c>
      <c r="S1969">
        <v>0.27518119411514408</v>
      </c>
      <c r="T1969">
        <v>5.9117136557555803</v>
      </c>
      <c r="U1969">
        <v>0</v>
      </c>
      <c r="V1969">
        <v>1.9273893056333639E-2</v>
      </c>
      <c r="W1969">
        <v>0.10869680834412963</v>
      </c>
      <c r="X1969">
        <v>-3.4167799353684684E-3</v>
      </c>
      <c r="Y1969">
        <v>4.4614430005840144E-2</v>
      </c>
    </row>
    <row r="1970" spans="1:25" x14ac:dyDescent="0.25">
      <c r="A1970" s="879"/>
      <c r="B1970" s="1133">
        <v>1720</v>
      </c>
      <c r="C1970" s="883">
        <v>0.99833279760090754</v>
      </c>
      <c r="D1970" s="883">
        <v>0.9800171565654201</v>
      </c>
      <c r="E1970" s="883">
        <v>0.99954135817376433</v>
      </c>
      <c r="F1970" s="883">
        <v>1.0265570994833566</v>
      </c>
      <c r="G1970" s="883">
        <v>0.98484042679409001</v>
      </c>
      <c r="H1970" s="883">
        <v>1.0024096286868704</v>
      </c>
      <c r="I1970" s="883">
        <v>1.0013629808237441</v>
      </c>
      <c r="K1970">
        <v>6.7521635558410571</v>
      </c>
      <c r="L1970">
        <v>0</v>
      </c>
      <c r="M1970">
        <v>1.0560143651998631E-2</v>
      </c>
      <c r="N1970">
        <v>0.196747776191599</v>
      </c>
      <c r="O1970">
        <v>0.12318587300085432</v>
      </c>
      <c r="P1970">
        <v>8.317214302335374E-2</v>
      </c>
      <c r="Q1970">
        <v>0</v>
      </c>
      <c r="R1970">
        <v>1.0560143651998631E-2</v>
      </c>
      <c r="S1970">
        <v>0.27124446905373834</v>
      </c>
      <c r="T1970">
        <v>5.9135939117719882</v>
      </c>
      <c r="U1970">
        <v>0</v>
      </c>
      <c r="V1970">
        <v>1.9164197792706918E-2</v>
      </c>
      <c r="W1970">
        <v>0.10357796394123722</v>
      </c>
      <c r="X1970">
        <v>-2.0075708578563391E-3</v>
      </c>
      <c r="Y1970">
        <v>4.3484791923430147E-2</v>
      </c>
    </row>
    <row r="1971" spans="1:25" x14ac:dyDescent="0.25">
      <c r="A1971" s="879"/>
      <c r="B1971" s="1133">
        <v>1721</v>
      </c>
      <c r="C1971" s="883">
        <v>0.95344341512464315</v>
      </c>
      <c r="D1971" s="883">
        <v>1.0013866553195461</v>
      </c>
      <c r="E1971" s="883">
        <v>0.98917137077762074</v>
      </c>
      <c r="F1971" s="883">
        <v>1.03948669961676</v>
      </c>
      <c r="G1971" s="883">
        <v>0.99853638254743493</v>
      </c>
      <c r="H1971" s="883">
        <v>1.0127132405666281</v>
      </c>
      <c r="I1971" s="883">
        <v>1.0252029713850661</v>
      </c>
      <c r="K1971">
        <v>6.7925234378896704</v>
      </c>
      <c r="L1971">
        <v>0</v>
      </c>
      <c r="M1971">
        <v>1.1168872757445426E-2</v>
      </c>
      <c r="N1971">
        <v>0.20491536162862739</v>
      </c>
      <c r="O1971">
        <v>0.12808062634530379</v>
      </c>
      <c r="P1971">
        <v>8.2810109667664791E-2</v>
      </c>
      <c r="Q1971">
        <v>0</v>
      </c>
      <c r="R1971">
        <v>1.1168872757445426E-2</v>
      </c>
      <c r="S1971">
        <v>0.29156093473917799</v>
      </c>
      <c r="T1971">
        <v>5.9148725480700683</v>
      </c>
      <c r="U1971">
        <v>0</v>
      </c>
      <c r="V1971">
        <v>1.9421296213723065E-2</v>
      </c>
      <c r="W1971">
        <v>0.10843609611904499</v>
      </c>
      <c r="X1971">
        <v>-3.5649649238624942E-3</v>
      </c>
      <c r="Y1971">
        <v>4.5991430029918394E-2</v>
      </c>
    </row>
    <row r="1972" spans="1:25" x14ac:dyDescent="0.25">
      <c r="A1972" s="879"/>
      <c r="B1972" s="1133">
        <v>1722</v>
      </c>
      <c r="C1972" s="883">
        <v>0.98190761636576651</v>
      </c>
      <c r="D1972" s="883">
        <v>0.99380718475161978</v>
      </c>
      <c r="E1972" s="883">
        <v>1.0136771737005366</v>
      </c>
      <c r="F1972" s="883">
        <v>0.99969671900945856</v>
      </c>
      <c r="G1972" s="883">
        <v>0.97575630758655119</v>
      </c>
      <c r="H1972" s="883">
        <v>1.043227868851559</v>
      </c>
      <c r="I1972" s="883">
        <v>1.0338239464258507</v>
      </c>
      <c r="K1972">
        <v>6.7870438614231237</v>
      </c>
      <c r="L1972">
        <v>0</v>
      </c>
      <c r="M1972">
        <v>1.0970873463201445E-2</v>
      </c>
      <c r="N1972">
        <v>0.20872368588416326</v>
      </c>
      <c r="O1972">
        <v>0.12427711946489471</v>
      </c>
      <c r="P1972">
        <v>8.42665418468065E-2</v>
      </c>
      <c r="Q1972">
        <v>0</v>
      </c>
      <c r="R1972">
        <v>1.0970873463201445E-2</v>
      </c>
      <c r="S1972">
        <v>0.28865583290764857</v>
      </c>
      <c r="T1972">
        <v>5.911342700888258</v>
      </c>
      <c r="U1972">
        <v>0</v>
      </c>
      <c r="V1972">
        <v>1.9255543941836019E-2</v>
      </c>
      <c r="W1972">
        <v>0.10911604139170585</v>
      </c>
      <c r="X1972">
        <v>-3.7697090809694282E-3</v>
      </c>
      <c r="Y1972">
        <v>4.5176104178782282E-2</v>
      </c>
    </row>
    <row r="1973" spans="1:25" x14ac:dyDescent="0.25">
      <c r="A1973" s="879"/>
      <c r="B1973" s="1133">
        <v>1723</v>
      </c>
      <c r="C1973" s="883">
        <v>1.0078665854520139</v>
      </c>
      <c r="D1973" s="883">
        <v>0.99728225150243599</v>
      </c>
      <c r="E1973" s="883">
        <v>0.96190034831085802</v>
      </c>
      <c r="F1973" s="883">
        <v>0.97635734395442819</v>
      </c>
      <c r="G1973" s="883">
        <v>1.0234478641503866</v>
      </c>
      <c r="H1973" s="883">
        <v>1.0096960595781943</v>
      </c>
      <c r="I1973" s="883">
        <v>0.99489558100876474</v>
      </c>
      <c r="K1973">
        <v>6.7369779169719308</v>
      </c>
      <c r="L1973">
        <v>0</v>
      </c>
      <c r="M1973">
        <v>1.0806568556056174E-2</v>
      </c>
      <c r="N1973">
        <v>0.19040351935648983</v>
      </c>
      <c r="O1973">
        <v>0.12186522155236201</v>
      </c>
      <c r="P1973">
        <v>8.0740771005648582E-2</v>
      </c>
      <c r="Q1973">
        <v>0</v>
      </c>
      <c r="R1973">
        <v>1.0806568556056174E-2</v>
      </c>
      <c r="S1973">
        <v>0.26737872638920951</v>
      </c>
      <c r="T1973">
        <v>5.9129549902013396</v>
      </c>
      <c r="U1973">
        <v>0</v>
      </c>
      <c r="V1973">
        <v>1.9112542700784479E-2</v>
      </c>
      <c r="W1973">
        <v>0.10214460404187567</v>
      </c>
      <c r="X1973">
        <v>-2.1219840921202762E-3</v>
      </c>
      <c r="Y1973">
        <v>4.4499525816341284E-2</v>
      </c>
    </row>
    <row r="1974" spans="1:25" x14ac:dyDescent="0.25">
      <c r="A1974" s="879"/>
      <c r="B1974" s="1133">
        <v>1724</v>
      </c>
      <c r="C1974" s="883">
        <v>1.0058293053698915</v>
      </c>
      <c r="D1974" s="883">
        <v>1.0161550717394396</v>
      </c>
      <c r="E1974" s="883">
        <v>0.99153412275691299</v>
      </c>
      <c r="F1974" s="883">
        <v>1.0250267000061954</v>
      </c>
      <c r="G1974" s="883">
        <v>0.99026996802588707</v>
      </c>
      <c r="H1974" s="883">
        <v>0.95938837668842636</v>
      </c>
      <c r="I1974" s="883">
        <v>0.98664621815415432</v>
      </c>
      <c r="K1974">
        <v>6.7183311730432571</v>
      </c>
      <c r="L1974">
        <v>0</v>
      </c>
      <c r="M1974">
        <v>9.9464952060608434E-3</v>
      </c>
      <c r="N1974">
        <v>0.18312875007563351</v>
      </c>
      <c r="O1974">
        <v>0.12065744761111982</v>
      </c>
      <c r="P1974">
        <v>8.2535637523183131E-2</v>
      </c>
      <c r="Q1974">
        <v>0</v>
      </c>
      <c r="R1974">
        <v>9.9464952060608434E-3</v>
      </c>
      <c r="S1974">
        <v>0.26094097737921279</v>
      </c>
      <c r="T1974">
        <v>5.913959390174794</v>
      </c>
      <c r="U1974">
        <v>0</v>
      </c>
      <c r="V1974">
        <v>1.9123498635820517E-2</v>
      </c>
      <c r="W1974">
        <v>9.6793069928202288E-2</v>
      </c>
      <c r="X1974">
        <v>2.345048668792766E-4</v>
      </c>
      <c r="Y1974">
        <v>4.0957896848409961E-2</v>
      </c>
    </row>
    <row r="1975" spans="1:25" x14ac:dyDescent="0.25">
      <c r="A1975" s="879"/>
      <c r="B1975" s="1133">
        <v>1725</v>
      </c>
      <c r="C1975" s="883">
        <v>0.99190724443609779</v>
      </c>
      <c r="D1975" s="883">
        <v>1.044017060686615</v>
      </c>
      <c r="E1975" s="883">
        <v>1.0033369688213334</v>
      </c>
      <c r="F1975" s="883">
        <v>1.0138862207239339</v>
      </c>
      <c r="G1975" s="883">
        <v>1.0000668193278786</v>
      </c>
      <c r="H1975" s="883">
        <v>1.0088792715057313</v>
      </c>
      <c r="I1975" s="883">
        <v>1.0015864189240127</v>
      </c>
      <c r="K1975">
        <v>6.7469223242960021</v>
      </c>
      <c r="L1975">
        <v>0</v>
      </c>
      <c r="M1975">
        <v>1.0376845800997903E-2</v>
      </c>
      <c r="N1975">
        <v>0.19442280392453523</v>
      </c>
      <c r="O1975">
        <v>0.12081535584579438</v>
      </c>
      <c r="P1975">
        <v>8.3423353941245268E-2</v>
      </c>
      <c r="Q1975">
        <v>0</v>
      </c>
      <c r="R1975">
        <v>1.0376845800997903E-2</v>
      </c>
      <c r="S1975">
        <v>0.27304751514206665</v>
      </c>
      <c r="T1975">
        <v>5.9126954793370512</v>
      </c>
      <c r="U1975">
        <v>0</v>
      </c>
      <c r="V1975">
        <v>1.9199572280579173E-2</v>
      </c>
      <c r="W1975">
        <v>0.10216133588821844</v>
      </c>
      <c r="X1975">
        <v>-1.5730960623027165E-3</v>
      </c>
      <c r="Y1975">
        <v>4.2730003998810384E-2</v>
      </c>
    </row>
    <row r="1976" spans="1:25" x14ac:dyDescent="0.25">
      <c r="A1976" s="879"/>
      <c r="B1976" s="1133">
        <v>1726</v>
      </c>
      <c r="C1976" s="883">
        <v>0.972655748093742</v>
      </c>
      <c r="D1976" s="883">
        <v>0.99984433305233344</v>
      </c>
      <c r="E1976" s="883">
        <v>0.97883704946539829</v>
      </c>
      <c r="F1976" s="883">
        <v>0.97179283491593493</v>
      </c>
      <c r="G1976" s="883">
        <v>0.9677922454065474</v>
      </c>
      <c r="H1976" s="883">
        <v>0.98835475621309177</v>
      </c>
      <c r="I1976" s="883">
        <v>1.004480738168062</v>
      </c>
      <c r="K1976">
        <v>6.7574003872271922</v>
      </c>
      <c r="L1976">
        <v>0</v>
      </c>
      <c r="M1976">
        <v>1.0788771813992577E-2</v>
      </c>
      <c r="N1976">
        <v>0.19493068050562337</v>
      </c>
      <c r="O1976">
        <v>0.12582571812817217</v>
      </c>
      <c r="P1976">
        <v>8.1931331478487787E-2</v>
      </c>
      <c r="Q1976">
        <v>0</v>
      </c>
      <c r="R1976">
        <v>1.0788771813992577E-2</v>
      </c>
      <c r="S1976">
        <v>0.2776522309951438</v>
      </c>
      <c r="T1976">
        <v>5.9117848681540019</v>
      </c>
      <c r="U1976">
        <v>0</v>
      </c>
      <c r="V1976">
        <v>1.930835510041903E-2</v>
      </c>
      <c r="W1976">
        <v>0.1036867203204736</v>
      </c>
      <c r="X1976">
        <v>-2.1457594553534699E-3</v>
      </c>
      <c r="Y1976">
        <v>4.4426242000225408E-2</v>
      </c>
    </row>
    <row r="1977" spans="1:25" x14ac:dyDescent="0.25">
      <c r="A1977" s="879"/>
      <c r="B1977" s="1133">
        <v>1727</v>
      </c>
      <c r="C1977" s="883">
        <v>0.99266694922070731</v>
      </c>
      <c r="D1977" s="883">
        <v>0.97070003802109339</v>
      </c>
      <c r="E1977" s="883">
        <v>1.0059111345213563</v>
      </c>
      <c r="F1977" s="883">
        <v>0.98195749692216516</v>
      </c>
      <c r="G1977" s="883">
        <v>0.95520143239983835</v>
      </c>
      <c r="H1977" s="883">
        <v>1.0037568061501185</v>
      </c>
      <c r="I1977" s="883">
        <v>0.95733377881234505</v>
      </c>
      <c r="K1977">
        <v>6.7445820361895032</v>
      </c>
      <c r="L1977">
        <v>0</v>
      </c>
      <c r="M1977">
        <v>1.0619062506094961E-2</v>
      </c>
      <c r="N1977">
        <v>0.19972096934790981</v>
      </c>
      <c r="O1977">
        <v>0.12424142594299172</v>
      </c>
      <c r="P1977">
        <v>8.3398211602900313E-2</v>
      </c>
      <c r="Q1977">
        <v>0</v>
      </c>
      <c r="R1977">
        <v>1.0619062506094961E-2</v>
      </c>
      <c r="S1977">
        <v>0.26103211031010853</v>
      </c>
      <c r="T1977">
        <v>5.9108247697384924</v>
      </c>
      <c r="U1977">
        <v>0</v>
      </c>
      <c r="V1977">
        <v>1.9195366018990325E-2</v>
      </c>
      <c r="W1977">
        <v>0.10481148264201411</v>
      </c>
      <c r="X1977">
        <v>-2.3697086913410641E-3</v>
      </c>
      <c r="Y1977">
        <v>4.3727409277433738E-2</v>
      </c>
    </row>
    <row r="1978" spans="1:25" x14ac:dyDescent="0.25">
      <c r="A1978" s="879"/>
      <c r="B1978" s="1133">
        <v>1728</v>
      </c>
      <c r="C1978" s="883">
        <v>1.0137752082377516</v>
      </c>
      <c r="D1978" s="883">
        <v>0.98465427931809735</v>
      </c>
      <c r="E1978" s="883">
        <v>1.0051058929105072</v>
      </c>
      <c r="F1978" s="883">
        <v>1.0134346743699127</v>
      </c>
      <c r="G1978" s="883">
        <v>0.9680459040012489</v>
      </c>
      <c r="H1978" s="883">
        <v>0.98279626550426558</v>
      </c>
      <c r="I1978" s="883">
        <v>0.99331626132999784</v>
      </c>
      <c r="K1978">
        <v>6.7302044720655108</v>
      </c>
      <c r="L1978">
        <v>0</v>
      </c>
      <c r="M1978">
        <v>1.0125849084568659E-2</v>
      </c>
      <c r="N1978">
        <v>0.19021775773076541</v>
      </c>
      <c r="O1978">
        <v>0.12097698056945394</v>
      </c>
      <c r="P1978">
        <v>8.3397503018330127E-2</v>
      </c>
      <c r="Q1978">
        <v>0</v>
      </c>
      <c r="R1978">
        <v>1.0125849084568659E-2</v>
      </c>
      <c r="S1978">
        <v>0.26310302192038137</v>
      </c>
      <c r="T1978">
        <v>5.912571231025419</v>
      </c>
      <c r="U1978">
        <v>0</v>
      </c>
      <c r="V1978">
        <v>1.9081016793602499E-2</v>
      </c>
      <c r="W1978">
        <v>9.9864135216449254E-2</v>
      </c>
      <c r="X1978">
        <v>-7.0361840519827222E-4</v>
      </c>
      <c r="Y1978">
        <v>4.169644419630486E-2</v>
      </c>
    </row>
    <row r="1979" spans="1:25" x14ac:dyDescent="0.25">
      <c r="A1979" s="879"/>
      <c r="B1979" s="1133">
        <v>1729</v>
      </c>
      <c r="C1979" s="883">
        <v>0.99197870243471664</v>
      </c>
      <c r="D1979" s="883">
        <v>1.0249349083697556</v>
      </c>
      <c r="E1979" s="883">
        <v>0.95896126661986625</v>
      </c>
      <c r="F1979" s="883">
        <v>1.0035881873346677</v>
      </c>
      <c r="G1979" s="883">
        <v>0.9947069865458289</v>
      </c>
      <c r="H1979" s="883">
        <v>0.97744214758180492</v>
      </c>
      <c r="I1979" s="883">
        <v>0.98908615059809379</v>
      </c>
      <c r="K1979">
        <v>6.7300379554369503</v>
      </c>
      <c r="L1979">
        <v>0</v>
      </c>
      <c r="M1979">
        <v>1.053206582664319E-2</v>
      </c>
      <c r="N1979">
        <v>0.18475838677912346</v>
      </c>
      <c r="O1979">
        <v>0.12252375677530587</v>
      </c>
      <c r="P1979">
        <v>8.0569908444159066E-2</v>
      </c>
      <c r="Q1979">
        <v>0</v>
      </c>
      <c r="R1979">
        <v>1.053206582664319E-2</v>
      </c>
      <c r="S1979">
        <v>0.26679529311195871</v>
      </c>
      <c r="T1979">
        <v>5.91458615770732</v>
      </c>
      <c r="U1979">
        <v>0</v>
      </c>
      <c r="V1979">
        <v>1.9199176364190714E-2</v>
      </c>
      <c r="W1979">
        <v>9.9263337618626546E-2</v>
      </c>
      <c r="X1979">
        <v>-1.0272338000219055E-3</v>
      </c>
      <c r="Y1979">
        <v>4.3369172436283049E-2</v>
      </c>
    </row>
    <row r="1980" spans="1:25" x14ac:dyDescent="0.25">
      <c r="A1980" s="879"/>
      <c r="B1980" s="1133">
        <v>1730</v>
      </c>
      <c r="C1980" s="883">
        <v>0.9960056303606416</v>
      </c>
      <c r="D1980" s="883">
        <v>1.0009518267732451</v>
      </c>
      <c r="E1980" s="883">
        <v>0.9938978725888018</v>
      </c>
      <c r="F1980" s="883">
        <v>0.98115302386606551</v>
      </c>
      <c r="G1980" s="883">
        <v>1.0284167973840468</v>
      </c>
      <c r="H1980" s="883">
        <v>1.0360324133300498</v>
      </c>
      <c r="I1980" s="883">
        <v>1.0342276183926948</v>
      </c>
      <c r="K1980">
        <v>6.7692928678029025</v>
      </c>
      <c r="L1980">
        <v>0</v>
      </c>
      <c r="M1980">
        <v>1.0894783645560126E-2</v>
      </c>
      <c r="N1980">
        <v>0.20129209485404073</v>
      </c>
      <c r="O1980">
        <v>0.12254014254605193</v>
      </c>
      <c r="P1980">
        <v>8.2957067056895151E-2</v>
      </c>
      <c r="Q1980">
        <v>0</v>
      </c>
      <c r="R1980">
        <v>1.0894783645560126E-2</v>
      </c>
      <c r="S1980">
        <v>0.28385329702588702</v>
      </c>
      <c r="T1980">
        <v>5.9114561757137585</v>
      </c>
      <c r="U1980">
        <v>0</v>
      </c>
      <c r="V1980">
        <v>1.9176956788764809E-2</v>
      </c>
      <c r="W1980">
        <v>0.1062681467673178</v>
      </c>
      <c r="X1980">
        <v>-3.1137928030292713E-3</v>
      </c>
      <c r="Y1980">
        <v>4.4862779853217974E-2</v>
      </c>
    </row>
    <row r="1981" spans="1:25" x14ac:dyDescent="0.25">
      <c r="A1981" s="879"/>
      <c r="B1981" s="1133">
        <v>1731</v>
      </c>
      <c r="C1981" s="883">
        <v>1.0243624294485225</v>
      </c>
      <c r="D1981" s="883">
        <v>0.99438812842960123</v>
      </c>
      <c r="E1981" s="883">
        <v>0.95384685285345427</v>
      </c>
      <c r="F1981" s="883">
        <v>0.99848348774791207</v>
      </c>
      <c r="G1981" s="883">
        <v>0.99850556994880735</v>
      </c>
      <c r="H1981" s="883">
        <v>1.0139208922889771</v>
      </c>
      <c r="I1981" s="883">
        <v>0.99464348246425738</v>
      </c>
      <c r="K1981">
        <v>6.7282026187997301</v>
      </c>
      <c r="L1981">
        <v>0</v>
      </c>
      <c r="M1981">
        <v>1.0765457411626199E-2</v>
      </c>
      <c r="N1981">
        <v>0.18742253734314782</v>
      </c>
      <c r="O1981">
        <v>0.12018681314958726</v>
      </c>
      <c r="P1981">
        <v>8.020076396977692E-2</v>
      </c>
      <c r="Q1981">
        <v>0</v>
      </c>
      <c r="R1981">
        <v>1.0765457411626199E-2</v>
      </c>
      <c r="S1981">
        <v>0.26341011250127672</v>
      </c>
      <c r="T1981">
        <v>5.914584980062747</v>
      </c>
      <c r="U1981">
        <v>0</v>
      </c>
      <c r="V1981">
        <v>1.9025437538674105E-2</v>
      </c>
      <c r="W1981">
        <v>0.10095537969769504</v>
      </c>
      <c r="X1981">
        <v>-1.9136429042614766E-3</v>
      </c>
      <c r="Y1981">
        <v>4.4330237441089576E-2</v>
      </c>
    </row>
    <row r="1982" spans="1:25" x14ac:dyDescent="0.25">
      <c r="A1982" s="879"/>
      <c r="B1982" s="1133">
        <v>1732</v>
      </c>
      <c r="C1982" s="883">
        <v>1.03125867375753</v>
      </c>
      <c r="D1982" s="883">
        <v>1.0141763152608716</v>
      </c>
      <c r="E1982" s="883">
        <v>0.99379740672538175</v>
      </c>
      <c r="F1982" s="883">
        <v>0.97475002292653667</v>
      </c>
      <c r="G1982" s="883">
        <v>1.0071588735805934</v>
      </c>
      <c r="H1982" s="883">
        <v>1.0134596062657673</v>
      </c>
      <c r="I1982" s="883">
        <v>0.96773833700257406</v>
      </c>
      <c r="K1982">
        <v>6.7147353153278759</v>
      </c>
      <c r="L1982">
        <v>0</v>
      </c>
      <c r="M1982">
        <v>1.0236303318392943E-2</v>
      </c>
      <c r="N1982">
        <v>0.18909784803018759</v>
      </c>
      <c r="O1982">
        <v>0.11773324629076232</v>
      </c>
      <c r="P1982">
        <v>8.2550971730078623E-2</v>
      </c>
      <c r="Q1982">
        <v>0</v>
      </c>
      <c r="R1982">
        <v>1.0236303318392943E-2</v>
      </c>
      <c r="S1982">
        <v>0.25440160749858443</v>
      </c>
      <c r="T1982">
        <v>5.9111157164307473</v>
      </c>
      <c r="U1982">
        <v>0</v>
      </c>
      <c r="V1982">
        <v>1.8989848404394164E-2</v>
      </c>
      <c r="W1982">
        <v>9.9835431043948569E-2</v>
      </c>
      <c r="X1982">
        <v>-1.140629171906244E-3</v>
      </c>
      <c r="Y1982">
        <v>4.2151275071072525E-2</v>
      </c>
    </row>
    <row r="1983" spans="1:25" x14ac:dyDescent="0.25">
      <c r="A1983" s="879"/>
      <c r="B1983" s="1133">
        <v>1733</v>
      </c>
      <c r="C1983" s="883">
        <v>1.0050383951019424</v>
      </c>
      <c r="D1983" s="883">
        <v>1.0208237822543575</v>
      </c>
      <c r="E1983" s="883">
        <v>1.01349535181587</v>
      </c>
      <c r="F1983" s="883">
        <v>0.99937126656468422</v>
      </c>
      <c r="G1983" s="883">
        <v>1.0054674012798677</v>
      </c>
      <c r="H1983" s="883">
        <v>1.028131983756519</v>
      </c>
      <c r="I1983" s="883">
        <v>0.97162435611600728</v>
      </c>
      <c r="K1983">
        <v>6.7412287905123884</v>
      </c>
      <c r="L1983">
        <v>0</v>
      </c>
      <c r="M1983">
        <v>1.0444315959348959E-2</v>
      </c>
      <c r="N1983">
        <v>0.19865233057876905</v>
      </c>
      <c r="O1983">
        <v>0.12012459162848066</v>
      </c>
      <c r="P1983">
        <v>8.3911200324340809E-2</v>
      </c>
      <c r="Q1983">
        <v>0</v>
      </c>
      <c r="R1983">
        <v>1.0444315959348959E-2</v>
      </c>
      <c r="S1983">
        <v>0.26338154457821833</v>
      </c>
      <c r="T1983">
        <v>5.9113354711320181</v>
      </c>
      <c r="U1983">
        <v>0</v>
      </c>
      <c r="V1983">
        <v>1.9127763903744092E-2</v>
      </c>
      <c r="W1983">
        <v>0.1038602898439103</v>
      </c>
      <c r="X1983">
        <v>-2.1722355787558594E-3</v>
      </c>
      <c r="Y1983">
        <v>4.3007834101659544E-2</v>
      </c>
    </row>
    <row r="1984" spans="1:25" x14ac:dyDescent="0.25">
      <c r="A1984" s="879"/>
      <c r="B1984" s="1133">
        <v>1734</v>
      </c>
      <c r="C1984" s="883">
        <v>0.99955984947234922</v>
      </c>
      <c r="D1984" s="883">
        <v>1.0233469351919375</v>
      </c>
      <c r="E1984" s="883">
        <v>0.98096376233098881</v>
      </c>
      <c r="F1984" s="883">
        <v>1.0144080014231405</v>
      </c>
      <c r="G1984" s="883">
        <v>0.99877409823393293</v>
      </c>
      <c r="H1984" s="883">
        <v>1.0355710097891251</v>
      </c>
      <c r="I1984" s="883">
        <v>0.99148783532739371</v>
      </c>
      <c r="K1984">
        <v>6.7509000445062437</v>
      </c>
      <c r="L1984">
        <v>0</v>
      </c>
      <c r="M1984">
        <v>1.0870869047035426E-2</v>
      </c>
      <c r="N1984">
        <v>0.19703474722323547</v>
      </c>
      <c r="O1984">
        <v>0.12126724132361648</v>
      </c>
      <c r="P1984">
        <v>8.2002439802329324E-2</v>
      </c>
      <c r="Q1984">
        <v>0</v>
      </c>
      <c r="R1984">
        <v>1.0870869047035426E-2</v>
      </c>
      <c r="S1984">
        <v>0.27084597329947296</v>
      </c>
      <c r="T1984">
        <v>5.9139715219025497</v>
      </c>
      <c r="U1984">
        <v>0</v>
      </c>
      <c r="V1984">
        <v>1.9157494243197792E-2</v>
      </c>
      <c r="W1984">
        <v>0.10469435737162228</v>
      </c>
      <c r="X1984">
        <v>-2.8380344529143667E-3</v>
      </c>
      <c r="Y1984">
        <v>4.4764303793133113E-2</v>
      </c>
    </row>
    <row r="1985" spans="1:25" x14ac:dyDescent="0.25">
      <c r="A1985" s="879"/>
      <c r="B1985" s="1133">
        <v>1735</v>
      </c>
      <c r="C1985" s="883">
        <v>1.0112964414008556</v>
      </c>
      <c r="D1985" s="883">
        <v>1.0239768071142099</v>
      </c>
      <c r="E1985" s="883">
        <v>1.0144313223192358</v>
      </c>
      <c r="F1985" s="883">
        <v>1.0087191467255967</v>
      </c>
      <c r="G1985" s="883">
        <v>0.97469004883735189</v>
      </c>
      <c r="H1985" s="883">
        <v>1.0017160085694812</v>
      </c>
      <c r="I1985" s="883">
        <v>1.0254902612952854</v>
      </c>
      <c r="K1985">
        <v>6.7412878683116606</v>
      </c>
      <c r="L1985">
        <v>0</v>
      </c>
      <c r="M1985">
        <v>1.0091392680456284E-2</v>
      </c>
      <c r="N1985">
        <v>0.19220573832011922</v>
      </c>
      <c r="O1985">
        <v>0.11921677368714916</v>
      </c>
      <c r="P1985">
        <v>8.411567980268321E-2</v>
      </c>
      <c r="Q1985">
        <v>0</v>
      </c>
      <c r="R1985">
        <v>1.0091392680456284E-2</v>
      </c>
      <c r="S1985">
        <v>0.27373181912446148</v>
      </c>
      <c r="T1985">
        <v>5.9117872174230151</v>
      </c>
      <c r="U1985">
        <v>0</v>
      </c>
      <c r="V1985">
        <v>1.9094197587606661E-2</v>
      </c>
      <c r="W1985">
        <v>0.10044341922735051</v>
      </c>
      <c r="X1985">
        <v>-8.615357179068392E-4</v>
      </c>
      <c r="Y1985">
        <v>4.1554558857181387E-2</v>
      </c>
    </row>
    <row r="1986" spans="1:25" x14ac:dyDescent="0.25">
      <c r="A1986" s="879"/>
      <c r="B1986" s="1133">
        <v>1736</v>
      </c>
      <c r="C1986" s="883">
        <v>1.0257767700141702</v>
      </c>
      <c r="D1986" s="883">
        <v>1.0464795371150635</v>
      </c>
      <c r="E1986" s="883">
        <v>1.018134988334163</v>
      </c>
      <c r="F1986" s="883">
        <v>0.99926069984008958</v>
      </c>
      <c r="G1986" s="883">
        <v>1.0359255577784934</v>
      </c>
      <c r="H1986" s="883">
        <v>0.95741762843166944</v>
      </c>
      <c r="I1986" s="883">
        <v>1.0314647774658747</v>
      </c>
      <c r="K1986">
        <v>6.7117341280160341</v>
      </c>
      <c r="L1986">
        <v>0</v>
      </c>
      <c r="M1986">
        <v>9.3904758004883637E-3</v>
      </c>
      <c r="N1986">
        <v>0.17983859728210372</v>
      </c>
      <c r="O1986">
        <v>0.116449355426792</v>
      </c>
      <c r="P1986">
        <v>8.4247525048494323E-2</v>
      </c>
      <c r="Q1986">
        <v>0</v>
      </c>
      <c r="R1986">
        <v>9.3904758004883637E-3</v>
      </c>
      <c r="S1986">
        <v>0.26712756779335955</v>
      </c>
      <c r="T1986">
        <v>5.9110647011879589</v>
      </c>
      <c r="U1986">
        <v>0</v>
      </c>
      <c r="V1986">
        <v>1.9018099609127474E-2</v>
      </c>
      <c r="W1986">
        <v>9.3809001741082337E-2</v>
      </c>
      <c r="X1986">
        <v>1.5109720230837935E-3</v>
      </c>
      <c r="Y1986">
        <v>3.8668307904027338E-2</v>
      </c>
    </row>
    <row r="1987" spans="1:25" x14ac:dyDescent="0.25">
      <c r="A1987" s="879"/>
      <c r="B1987" s="1133">
        <v>1737</v>
      </c>
      <c r="C1987" s="883">
        <v>0.97865597158068229</v>
      </c>
      <c r="D1987" s="883">
        <v>1.0107634802348044</v>
      </c>
      <c r="E1987" s="883">
        <v>1.0072258546791135</v>
      </c>
      <c r="F1987" s="883">
        <v>1.019272462092367</v>
      </c>
      <c r="G1987" s="883">
        <v>0.99059897032221567</v>
      </c>
      <c r="H1987" s="883">
        <v>1.0208751635465056</v>
      </c>
      <c r="I1987" s="883">
        <v>1.000879226981471</v>
      </c>
      <c r="K1987">
        <v>6.7681572415578346</v>
      </c>
      <c r="L1987">
        <v>0</v>
      </c>
      <c r="M1987">
        <v>1.0754217203286081E-2</v>
      </c>
      <c r="N1987">
        <v>0.20265707512147149</v>
      </c>
      <c r="O1987">
        <v>0.12397269784268358</v>
      </c>
      <c r="P1987">
        <v>8.3736740191701853E-2</v>
      </c>
      <c r="Q1987">
        <v>0</v>
      </c>
      <c r="R1987">
        <v>1.0754217203286081E-2</v>
      </c>
      <c r="S1987">
        <v>0.27802673504963743</v>
      </c>
      <c r="T1987">
        <v>5.9127667954256715</v>
      </c>
      <c r="U1987">
        <v>0</v>
      </c>
      <c r="V1987">
        <v>1.9273991056969045E-2</v>
      </c>
      <c r="W1987">
        <v>0.10628308788764472</v>
      </c>
      <c r="X1987">
        <v>-2.8438332817765817E-3</v>
      </c>
      <c r="Y1987">
        <v>4.4283952263827468E-2</v>
      </c>
    </row>
    <row r="1988" spans="1:25" x14ac:dyDescent="0.25">
      <c r="A1988" s="879"/>
      <c r="B1988" s="1133">
        <v>1738</v>
      </c>
      <c r="C1988" s="883">
        <v>0.99043874408340737</v>
      </c>
      <c r="D1988" s="883">
        <v>0.99335691292291517</v>
      </c>
      <c r="E1988" s="883">
        <v>1.0179471695647391</v>
      </c>
      <c r="F1988" s="883">
        <v>0.9797807810757011</v>
      </c>
      <c r="G1988" s="883">
        <v>1.0013201895764059</v>
      </c>
      <c r="H1988" s="883">
        <v>1.0160234273085216</v>
      </c>
      <c r="I1988" s="883">
        <v>1.0165757295913014</v>
      </c>
      <c r="K1988">
        <v>6.764086020797726</v>
      </c>
      <c r="L1988">
        <v>0</v>
      </c>
      <c r="M1988">
        <v>1.0555293816311661E-2</v>
      </c>
      <c r="N1988">
        <v>0.20209006065703231</v>
      </c>
      <c r="O1988">
        <v>0.12314738139650386</v>
      </c>
      <c r="P1988">
        <v>8.4382282604966524E-2</v>
      </c>
      <c r="Q1988">
        <v>0</v>
      </c>
      <c r="R1988">
        <v>1.0555293816311661E-2</v>
      </c>
      <c r="S1988">
        <v>0.27876834713971815</v>
      </c>
      <c r="T1988">
        <v>5.9100229949518415</v>
      </c>
      <c r="U1988">
        <v>0</v>
      </c>
      <c r="V1988">
        <v>1.9207721226078233E-2</v>
      </c>
      <c r="W1988">
        <v>0.10542576828434984</v>
      </c>
      <c r="X1988">
        <v>-2.4233566260705953E-3</v>
      </c>
      <c r="Y1988">
        <v>4.346482116330979E-2</v>
      </c>
    </row>
    <row r="1989" spans="1:25" x14ac:dyDescent="0.25">
      <c r="A1989" s="879"/>
      <c r="B1989" s="1133">
        <v>1739</v>
      </c>
      <c r="C1989" s="883">
        <v>1.0105890618001441</v>
      </c>
      <c r="D1989" s="883">
        <v>1.0114487350861989</v>
      </c>
      <c r="E1989" s="883">
        <v>0.98141755269945563</v>
      </c>
      <c r="F1989" s="883">
        <v>0.99791451493672656</v>
      </c>
      <c r="G1989" s="883">
        <v>1.0064250770463088</v>
      </c>
      <c r="H1989" s="883">
        <v>1.0036668908682762</v>
      </c>
      <c r="I1989" s="883">
        <v>0.97809605788206599</v>
      </c>
      <c r="K1989">
        <v>6.7284262740098457</v>
      </c>
      <c r="L1989">
        <v>0</v>
      </c>
      <c r="M1989">
        <v>1.046912526758154E-2</v>
      </c>
      <c r="N1989">
        <v>0.18988092075533089</v>
      </c>
      <c r="O1989">
        <v>0.12049787968081968</v>
      </c>
      <c r="P1989">
        <v>8.1894710989628583E-2</v>
      </c>
      <c r="Q1989">
        <v>0</v>
      </c>
      <c r="R1989">
        <v>1.046912526758154E-2</v>
      </c>
      <c r="S1989">
        <v>0.26150042353328173</v>
      </c>
      <c r="T1989">
        <v>5.9130548750231311</v>
      </c>
      <c r="U1989">
        <v>0</v>
      </c>
      <c r="V1989">
        <v>1.9097970923790529E-2</v>
      </c>
      <c r="W1989">
        <v>0.10087026277618819</v>
      </c>
      <c r="X1989">
        <v>-1.4807640893938151E-3</v>
      </c>
      <c r="Y1989">
        <v>4.3109994417069045E-2</v>
      </c>
    </row>
    <row r="1990" spans="1:25" x14ac:dyDescent="0.25">
      <c r="A1990" s="879"/>
      <c r="B1990" s="1133">
        <v>1740</v>
      </c>
      <c r="C1990" s="883">
        <v>1.0170277467571662</v>
      </c>
      <c r="D1990" s="883">
        <v>1.0218116701131039</v>
      </c>
      <c r="E1990" s="883">
        <v>1.0131178048326122</v>
      </c>
      <c r="F1990" s="883">
        <v>1.0230656210185312</v>
      </c>
      <c r="G1990" s="883">
        <v>1.0216793049528146</v>
      </c>
      <c r="H1990" s="883">
        <v>0.9996552353834226</v>
      </c>
      <c r="I1990" s="883">
        <v>0.96721692488097044</v>
      </c>
      <c r="K1990">
        <v>6.7218261649872524</v>
      </c>
      <c r="L1990">
        <v>0</v>
      </c>
      <c r="M1990">
        <v>1.003448034553707E-2</v>
      </c>
      <c r="N1990">
        <v>0.19075058362587</v>
      </c>
      <c r="O1990">
        <v>0.11866950889086057</v>
      </c>
      <c r="P1990">
        <v>8.3811914137570026E-2</v>
      </c>
      <c r="Q1990">
        <v>0</v>
      </c>
      <c r="R1990">
        <v>1.003448034553707E-2</v>
      </c>
      <c r="S1990">
        <v>0.2565559893730297</v>
      </c>
      <c r="T1990">
        <v>5.9126372075652416</v>
      </c>
      <c r="U1990">
        <v>0</v>
      </c>
      <c r="V1990">
        <v>1.9063818948953877E-2</v>
      </c>
      <c r="W1990">
        <v>9.9747663385665847E-2</v>
      </c>
      <c r="X1990">
        <v>-7.3072493194500986E-4</v>
      </c>
      <c r="Y1990">
        <v>4.132020399200205E-2</v>
      </c>
    </row>
    <row r="1991" spans="1:25" x14ac:dyDescent="0.25">
      <c r="A1991" s="879"/>
      <c r="B1991" s="1133">
        <v>1741</v>
      </c>
      <c r="C1991" s="883">
        <v>1.0097957200024421</v>
      </c>
      <c r="D1991" s="883">
        <v>1.004872008568449</v>
      </c>
      <c r="E1991" s="883">
        <v>0.9953086199810447</v>
      </c>
      <c r="F1991" s="883">
        <v>1.0084453515222249</v>
      </c>
      <c r="G1991" s="883">
        <v>0.98421724354150797</v>
      </c>
      <c r="H1991" s="883">
        <v>0.9685629357202532</v>
      </c>
      <c r="I1991" s="883">
        <v>1.0249144414618154</v>
      </c>
      <c r="K1991">
        <v>6.7309557515760243</v>
      </c>
      <c r="L1991">
        <v>0</v>
      </c>
      <c r="M1991">
        <v>1.0017041249965181E-2</v>
      </c>
      <c r="N1991">
        <v>0.18546228591197947</v>
      </c>
      <c r="O1991">
        <v>0.12065180425537883</v>
      </c>
      <c r="P1991">
        <v>8.2891604602034236E-2</v>
      </c>
      <c r="Q1991">
        <v>0</v>
      </c>
      <c r="R1991">
        <v>1.0017041249965181E-2</v>
      </c>
      <c r="S1991">
        <v>0.27097137448926495</v>
      </c>
      <c r="T1991">
        <v>5.9128523991999886</v>
      </c>
      <c r="U1991">
        <v>0</v>
      </c>
      <c r="V1991">
        <v>1.9102209092668708E-2</v>
      </c>
      <c r="W1991">
        <v>9.7842388590320489E-2</v>
      </c>
      <c r="X1991">
        <v>-6.6707466095786556E-5</v>
      </c>
      <c r="Y1991">
        <v>4.1248392900480317E-2</v>
      </c>
    </row>
    <row r="1992" spans="1:25" x14ac:dyDescent="0.25">
      <c r="A1992" s="879"/>
      <c r="B1992" s="1133">
        <v>1742</v>
      </c>
      <c r="C1992" s="883">
        <v>0.99933386299422478</v>
      </c>
      <c r="D1992" s="883">
        <v>0.99141056728020893</v>
      </c>
      <c r="E1992" s="883">
        <v>0.9927883902451704</v>
      </c>
      <c r="F1992" s="883">
        <v>1.0404211749358299</v>
      </c>
      <c r="G1992" s="883">
        <v>0.96350984894765024</v>
      </c>
      <c r="H1992" s="883">
        <v>1.0402111805517658</v>
      </c>
      <c r="I1992" s="883">
        <v>0.96430874199475969</v>
      </c>
      <c r="K1992">
        <v>6.754060543839949</v>
      </c>
      <c r="L1992">
        <v>0</v>
      </c>
      <c r="M1992">
        <v>1.0957727234258929E-2</v>
      </c>
      <c r="N1992">
        <v>0.20212237964403729</v>
      </c>
      <c r="O1992">
        <v>0.1226216439487646</v>
      </c>
      <c r="P1992">
        <v>8.2669387309571393E-2</v>
      </c>
      <c r="Q1992">
        <v>0</v>
      </c>
      <c r="R1992">
        <v>1.0957727234258929E-2</v>
      </c>
      <c r="S1992">
        <v>0.26426853832339964</v>
      </c>
      <c r="T1992">
        <v>5.9147214753451021</v>
      </c>
      <c r="U1992">
        <v>0</v>
      </c>
      <c r="V1992">
        <v>1.915872760100714E-2</v>
      </c>
      <c r="W1992">
        <v>0.10676545145809879</v>
      </c>
      <c r="X1992">
        <v>-3.3890301379708252E-3</v>
      </c>
      <c r="Y1992">
        <v>4.5121970347938502E-2</v>
      </c>
    </row>
    <row r="1993" spans="1:25" x14ac:dyDescent="0.25">
      <c r="A1993" s="879"/>
      <c r="B1993" s="1133">
        <v>1743</v>
      </c>
      <c r="C1993" s="883">
        <v>1.0355426637104854</v>
      </c>
      <c r="D1993" s="883">
        <v>0.99723155916913275</v>
      </c>
      <c r="E1993" s="883">
        <v>1.0031765511255715</v>
      </c>
      <c r="F1993" s="883">
        <v>0.9972781359793873</v>
      </c>
      <c r="G1993" s="883">
        <v>0.97321941576687587</v>
      </c>
      <c r="H1993" s="883">
        <v>0.99943529120539687</v>
      </c>
      <c r="I1993" s="883">
        <v>1.0006833424342176</v>
      </c>
      <c r="K1993">
        <v>6.7205148614786028</v>
      </c>
      <c r="L1993">
        <v>0</v>
      </c>
      <c r="M1993">
        <v>1.004307714394787E-2</v>
      </c>
      <c r="N1993">
        <v>0.18812453950423627</v>
      </c>
      <c r="O1993">
        <v>0.11786926366862463</v>
      </c>
      <c r="P1993">
        <v>8.3234835981869759E-2</v>
      </c>
      <c r="Q1993">
        <v>0</v>
      </c>
      <c r="R1993">
        <v>1.004307714394787E-2</v>
      </c>
      <c r="S1993">
        <v>0.26087994078779975</v>
      </c>
      <c r="T1993">
        <v>5.9118070252089252</v>
      </c>
      <c r="U1993">
        <v>0</v>
      </c>
      <c r="V1993">
        <v>1.8967978903382792E-2</v>
      </c>
      <c r="W1993">
        <v>9.8859717409133407E-2</v>
      </c>
      <c r="X1993">
        <v>-5.8404406305319183E-4</v>
      </c>
      <c r="Y1993">
        <v>4.1355604077684655E-2</v>
      </c>
    </row>
    <row r="1994" spans="1:25" x14ac:dyDescent="0.25">
      <c r="A1994" s="879"/>
      <c r="B1994" s="1133">
        <v>1744</v>
      </c>
      <c r="C1994" s="883">
        <v>1.0414057439941145</v>
      </c>
      <c r="D1994" s="883">
        <v>0.98468241451545424</v>
      </c>
      <c r="E1994" s="883">
        <v>0.99851849368243084</v>
      </c>
      <c r="F1994" s="883">
        <v>0.98868679382674596</v>
      </c>
      <c r="G1994" s="883">
        <v>1.0232815193792493</v>
      </c>
      <c r="H1994" s="883">
        <v>0.98016770651852447</v>
      </c>
      <c r="I1994" s="883">
        <v>1.01583710418197</v>
      </c>
      <c r="K1994">
        <v>6.7146898983016525</v>
      </c>
      <c r="L1994">
        <v>0</v>
      </c>
      <c r="M1994">
        <v>9.8874516693942746E-3</v>
      </c>
      <c r="N1994">
        <v>0.18393578171266811</v>
      </c>
      <c r="O1994">
        <v>0.11788525150204919</v>
      </c>
      <c r="P1994">
        <v>8.2950156175544451E-2</v>
      </c>
      <c r="Q1994">
        <v>0</v>
      </c>
      <c r="R1994">
        <v>9.8874516693942746E-3</v>
      </c>
      <c r="S1994">
        <v>0.26167472371305406</v>
      </c>
      <c r="T1994">
        <v>5.9116047031479795</v>
      </c>
      <c r="U1994">
        <v>0</v>
      </c>
      <c r="V1994">
        <v>1.8938339878111735E-2</v>
      </c>
      <c r="W1994">
        <v>9.6882305275366468E-2</v>
      </c>
      <c r="X1994">
        <v>1.0387082310671886E-4</v>
      </c>
      <c r="Y1994">
        <v>4.0714766073774805E-2</v>
      </c>
    </row>
    <row r="1995" spans="1:25" x14ac:dyDescent="0.25">
      <c r="A1995" s="879"/>
      <c r="B1995" s="1133">
        <v>1745</v>
      </c>
      <c r="C1995" s="883">
        <v>1.0368369293643471</v>
      </c>
      <c r="D1995" s="883">
        <v>1.0069445842524611</v>
      </c>
      <c r="E1995" s="883">
        <v>1.0202180579507723</v>
      </c>
      <c r="F1995" s="883">
        <v>0.99737707847040546</v>
      </c>
      <c r="G1995" s="883">
        <v>0.99344446757927851</v>
      </c>
      <c r="H1995" s="883">
        <v>1.032461709791676</v>
      </c>
      <c r="I1995" s="883">
        <v>1.0250890721339585</v>
      </c>
      <c r="K1995">
        <v>6.7385524399626844</v>
      </c>
      <c r="L1995">
        <v>0</v>
      </c>
      <c r="M1995">
        <v>1.0166401116628657E-2</v>
      </c>
      <c r="N1995">
        <v>0.19529939313130704</v>
      </c>
      <c r="O1995">
        <v>0.11695772379479369</v>
      </c>
      <c r="P1995">
        <v>8.4412118732804242E-2</v>
      </c>
      <c r="Q1995">
        <v>0</v>
      </c>
      <c r="R1995">
        <v>1.0166401116628657E-2</v>
      </c>
      <c r="S1995">
        <v>0.26991206884205848</v>
      </c>
      <c r="T1995">
        <v>5.9108436670305764</v>
      </c>
      <c r="U1995">
        <v>0</v>
      </c>
      <c r="V1995">
        <v>1.8961407305002433E-2</v>
      </c>
      <c r="W1995">
        <v>0.10176928416304512</v>
      </c>
      <c r="X1995">
        <v>-1.4666532832390881E-3</v>
      </c>
      <c r="Y1995">
        <v>4.1863430246335293E-2</v>
      </c>
    </row>
    <row r="1996" spans="1:25" x14ac:dyDescent="0.25">
      <c r="A1996" s="879"/>
      <c r="B1996" s="1133">
        <v>1746</v>
      </c>
      <c r="C1996" s="883">
        <v>0.99466798528896205</v>
      </c>
      <c r="D1996" s="883">
        <v>1.0055683656619192</v>
      </c>
      <c r="E1996" s="883">
        <v>0.9682863335564329</v>
      </c>
      <c r="F1996" s="883">
        <v>1.0324072776801092</v>
      </c>
      <c r="G1996" s="883">
        <v>0.96627771021643238</v>
      </c>
      <c r="H1996" s="883">
        <v>1.0027578787772982</v>
      </c>
      <c r="I1996" s="883">
        <v>1.0101513614870483</v>
      </c>
      <c r="K1996">
        <v>6.7498984340131836</v>
      </c>
      <c r="L1996">
        <v>0</v>
      </c>
      <c r="M1996">
        <v>1.0776199703359956E-2</v>
      </c>
      <c r="N1996">
        <v>0.19167796023122094</v>
      </c>
      <c r="O1996">
        <v>0.1229562930368736</v>
      </c>
      <c r="P1996">
        <v>8.1270755455097557E-2</v>
      </c>
      <c r="Q1996">
        <v>0</v>
      </c>
      <c r="R1996">
        <v>1.0776199703359956E-2</v>
      </c>
      <c r="S1996">
        <v>0.27434262669836218</v>
      </c>
      <c r="T1996">
        <v>5.9156393581711253</v>
      </c>
      <c r="U1996">
        <v>0</v>
      </c>
      <c r="V1996">
        <v>1.9184317622388276E-2</v>
      </c>
      <c r="W1996">
        <v>0.10249802060620204</v>
      </c>
      <c r="X1996">
        <v>-2.0453700944765684E-3</v>
      </c>
      <c r="Y1996">
        <v>4.4374472286392526E-2</v>
      </c>
    </row>
    <row r="1997" spans="1:25" x14ac:dyDescent="0.25">
      <c r="A1997" s="879"/>
      <c r="B1997" s="1133">
        <v>1747</v>
      </c>
      <c r="C1997" s="883">
        <v>1.031276302529744</v>
      </c>
      <c r="D1997" s="883">
        <v>1.0256197964914708</v>
      </c>
      <c r="E1997" s="883">
        <v>0.98484450307214721</v>
      </c>
      <c r="F1997" s="883">
        <v>0.98938931092762183</v>
      </c>
      <c r="G1997" s="883">
        <v>1.0394779084708012</v>
      </c>
      <c r="H1997" s="883">
        <v>0.99355597375105664</v>
      </c>
      <c r="I1997" s="883">
        <v>1.0253615216757339</v>
      </c>
      <c r="K1997">
        <v>6.7204828882132039</v>
      </c>
      <c r="L1997">
        <v>0</v>
      </c>
      <c r="M1997">
        <v>1.0065344354244448E-2</v>
      </c>
      <c r="N1997">
        <v>0.1834878137007783</v>
      </c>
      <c r="O1997">
        <v>0.11736423500335724</v>
      </c>
      <c r="P1997">
        <v>8.2180638810597534E-2</v>
      </c>
      <c r="Q1997">
        <v>0</v>
      </c>
      <c r="R1997">
        <v>1.0065344354244448E-2</v>
      </c>
      <c r="S1997">
        <v>0.26757278943673818</v>
      </c>
      <c r="T1997">
        <v>5.9124046795749985</v>
      </c>
      <c r="U1997">
        <v>0</v>
      </c>
      <c r="V1997">
        <v>1.8989758038311853E-2</v>
      </c>
      <c r="W1997">
        <v>9.73071590033249E-2</v>
      </c>
      <c r="X1997">
        <v>-2.7148184117908218E-4</v>
      </c>
      <c r="Y1997">
        <v>4.1447296486270269E-2</v>
      </c>
    </row>
    <row r="1998" spans="1:25" x14ac:dyDescent="0.25">
      <c r="A1998" s="879"/>
      <c r="B1998" s="1133">
        <v>1748</v>
      </c>
      <c r="C1998" s="883">
        <v>0.98123575267724028</v>
      </c>
      <c r="D1998" s="883">
        <v>1.0162180106901955</v>
      </c>
      <c r="E1998" s="883">
        <v>0.99083907985558872</v>
      </c>
      <c r="F1998" s="883">
        <v>0.99756246812657101</v>
      </c>
      <c r="G1998" s="883">
        <v>0.98560608181155607</v>
      </c>
      <c r="H1998" s="883">
        <v>0.99216239020238417</v>
      </c>
      <c r="I1998" s="883">
        <v>1.0048407589736483</v>
      </c>
      <c r="K1998">
        <v>6.7520613786654025</v>
      </c>
      <c r="L1998">
        <v>0</v>
      </c>
      <c r="M1998">
        <v>1.0550212980849826E-2</v>
      </c>
      <c r="N1998">
        <v>0.19404399096101757</v>
      </c>
      <c r="O1998">
        <v>0.12369165681724031</v>
      </c>
      <c r="P1998">
        <v>8.2668986907432795E-2</v>
      </c>
      <c r="Q1998">
        <v>0</v>
      </c>
      <c r="R1998">
        <v>1.0550212980849826E-2</v>
      </c>
      <c r="S1998">
        <v>0.27555391047186301</v>
      </c>
      <c r="T1998">
        <v>5.9125136685537312</v>
      </c>
      <c r="U1998">
        <v>0</v>
      </c>
      <c r="V1998">
        <v>1.9259345513818308E-2</v>
      </c>
      <c r="W1998">
        <v>0.10259787903518805</v>
      </c>
      <c r="X1998">
        <v>-1.71195878212259E-3</v>
      </c>
      <c r="Y1998">
        <v>4.3443899187232939E-2</v>
      </c>
    </row>
    <row r="1999" spans="1:25" x14ac:dyDescent="0.25">
      <c r="A1999" s="879"/>
      <c r="B1999" s="1133">
        <v>1749</v>
      </c>
      <c r="C1999" s="883">
        <v>0.99502825386521554</v>
      </c>
      <c r="D1999" s="883">
        <v>0.96581963396891757</v>
      </c>
      <c r="E1999" s="883">
        <v>0.99562878282166711</v>
      </c>
      <c r="F1999" s="883">
        <v>1.0134575316918328</v>
      </c>
      <c r="G1999" s="883">
        <v>1.0105002544954242</v>
      </c>
      <c r="H1999" s="883">
        <v>0.99993716252760678</v>
      </c>
      <c r="I1999" s="883">
        <v>0.99751293139278219</v>
      </c>
      <c r="K1999">
        <v>6.7542581242328756</v>
      </c>
      <c r="L1999">
        <v>0</v>
      </c>
      <c r="M1999">
        <v>1.0671821943371483E-2</v>
      </c>
      <c r="N1999">
        <v>0.19767911059564122</v>
      </c>
      <c r="O1999">
        <v>0.12439316874953078</v>
      </c>
      <c r="P1999">
        <v>8.2916748693414657E-2</v>
      </c>
      <c r="Q1999">
        <v>0</v>
      </c>
      <c r="R1999">
        <v>1.0671821943371483E-2</v>
      </c>
      <c r="S1999">
        <v>0.27101374450031829</v>
      </c>
      <c r="T1999">
        <v>5.9131053750451548</v>
      </c>
      <c r="U1999">
        <v>0</v>
      </c>
      <c r="V1999">
        <v>1.9182333178279276E-2</v>
      </c>
      <c r="W1999">
        <v>0.10427087886218653</v>
      </c>
      <c r="X1999">
        <v>-2.2478986409589638E-3</v>
      </c>
      <c r="Y1999">
        <v>4.3944663249308714E-2</v>
      </c>
    </row>
    <row r="2000" spans="1:25" x14ac:dyDescent="0.25">
      <c r="A2000" s="879"/>
      <c r="B2000" s="1133">
        <v>1750</v>
      </c>
      <c r="C2000" s="883">
        <v>1.0146508364589943</v>
      </c>
      <c r="D2000" s="883">
        <v>1.0098844420423327</v>
      </c>
      <c r="E2000" s="883">
        <v>0.98091776208590675</v>
      </c>
      <c r="F2000" s="883">
        <v>1.0303539726701545</v>
      </c>
      <c r="G2000" s="883">
        <v>0.97087905485930415</v>
      </c>
      <c r="H2000" s="883">
        <v>0.9705805162878417</v>
      </c>
      <c r="I2000" s="883">
        <v>1.0115433179584894</v>
      </c>
      <c r="K2000">
        <v>6.7238744041111644</v>
      </c>
      <c r="L2000">
        <v>0</v>
      </c>
      <c r="M2000">
        <v>1.0094559241911633E-2</v>
      </c>
      <c r="N2000">
        <v>0.18295162852204908</v>
      </c>
      <c r="O2000">
        <v>0.12009894777445854</v>
      </c>
      <c r="P2000">
        <v>8.194956207374357E-2</v>
      </c>
      <c r="Q2000">
        <v>0</v>
      </c>
      <c r="R2000">
        <v>1.0094559241911633E-2</v>
      </c>
      <c r="S2000">
        <v>0.26627861370994049</v>
      </c>
      <c r="T2000">
        <v>5.914836082823407</v>
      </c>
      <c r="U2000">
        <v>0</v>
      </c>
      <c r="V2000">
        <v>1.9076376050720944E-2</v>
      </c>
      <c r="W2000">
        <v>9.7213534432247353E-2</v>
      </c>
      <c r="X2000">
        <v>-9.7939469030322636E-5</v>
      </c>
      <c r="Y2000">
        <v>4.1567598193627583E-2</v>
      </c>
    </row>
    <row r="2001" spans="1:25" x14ac:dyDescent="0.25">
      <c r="A2001" s="879"/>
      <c r="B2001" s="1133">
        <v>1751</v>
      </c>
      <c r="C2001" s="883">
        <v>0.99928314892432868</v>
      </c>
      <c r="D2001" s="883">
        <v>1.0242525895816856</v>
      </c>
      <c r="E2001" s="883">
        <v>0.98644421890215417</v>
      </c>
      <c r="F2001" s="883">
        <v>1.0083740530578242</v>
      </c>
      <c r="G2001" s="883">
        <v>0.97610494012328586</v>
      </c>
      <c r="H2001" s="883">
        <v>1.0325242205395755</v>
      </c>
      <c r="I2001" s="883">
        <v>1.0021396384968277</v>
      </c>
      <c r="K2001">
        <v>6.7528676955192743</v>
      </c>
      <c r="L2001">
        <v>0</v>
      </c>
      <c r="M2001">
        <v>1.0786113127172757E-2</v>
      </c>
      <c r="N2001">
        <v>0.19709423030724774</v>
      </c>
      <c r="O2001">
        <v>0.1211569200510255</v>
      </c>
      <c r="P2001">
        <v>8.2375178087957093E-2</v>
      </c>
      <c r="Q2001">
        <v>0</v>
      </c>
      <c r="R2001">
        <v>1.0786113127172757E-2</v>
      </c>
      <c r="S2001">
        <v>0.27354642792937089</v>
      </c>
      <c r="T2001">
        <v>5.9133422789835208</v>
      </c>
      <c r="U2001">
        <v>0</v>
      </c>
      <c r="V2001">
        <v>1.9159004457898351E-2</v>
      </c>
      <c r="W2001">
        <v>0.10443941070824808</v>
      </c>
      <c r="X2001">
        <v>-2.6610490071230937E-3</v>
      </c>
      <c r="Y2001">
        <v>4.441529400113E-2</v>
      </c>
    </row>
    <row r="2002" spans="1:25" x14ac:dyDescent="0.25">
      <c r="A2002" s="879"/>
      <c r="B2002" s="1133">
        <v>1752</v>
      </c>
      <c r="C2002" s="883">
        <v>1.0089667599755365</v>
      </c>
      <c r="D2002" s="883">
        <v>0.95824408158226271</v>
      </c>
      <c r="E2002" s="883">
        <v>0.96320231560038527</v>
      </c>
      <c r="F2002" s="883">
        <v>1.012194554003518</v>
      </c>
      <c r="G2002" s="883">
        <v>1.0062331554108104</v>
      </c>
      <c r="H2002" s="883">
        <v>0.97686795755918987</v>
      </c>
      <c r="I2002" s="883">
        <v>1.0108945998601233</v>
      </c>
      <c r="K2002">
        <v>6.7372825697033383</v>
      </c>
      <c r="L2002">
        <v>0</v>
      </c>
      <c r="M2002">
        <v>1.0612105246622032E-2</v>
      </c>
      <c r="N2002">
        <v>0.18733922616176057</v>
      </c>
      <c r="O2002">
        <v>0.12366818304466015</v>
      </c>
      <c r="P2002">
        <v>8.0863952136927167E-2</v>
      </c>
      <c r="Q2002">
        <v>0</v>
      </c>
      <c r="R2002">
        <v>1.0612105246622032E-2</v>
      </c>
      <c r="S2002">
        <v>0.26866817760804579</v>
      </c>
      <c r="T2002">
        <v>5.9148224578158484</v>
      </c>
      <c r="U2002">
        <v>0</v>
      </c>
      <c r="V2002">
        <v>1.9106644660709295E-2</v>
      </c>
      <c r="W2002">
        <v>0.10043475685235465</v>
      </c>
      <c r="X2002">
        <v>-1.3195890982400026E-3</v>
      </c>
      <c r="Y2002">
        <v>4.3698760521270245E-2</v>
      </c>
    </row>
    <row r="2003" spans="1:25" x14ac:dyDescent="0.25">
      <c r="A2003" s="879"/>
      <c r="B2003" s="1133">
        <v>1753</v>
      </c>
      <c r="C2003" s="883">
        <v>0.99617046620321126</v>
      </c>
      <c r="D2003" s="883">
        <v>0.9900963206614174</v>
      </c>
      <c r="E2003" s="883">
        <v>1.0277656207451926</v>
      </c>
      <c r="F2003" s="883">
        <v>1.0229315731645989</v>
      </c>
      <c r="G2003" s="883">
        <v>1.0034446523752143</v>
      </c>
      <c r="H2003" s="883">
        <v>0.9936009468786563</v>
      </c>
      <c r="I2003" s="883">
        <v>1.0251026415995981</v>
      </c>
      <c r="K2003">
        <v>6.7571003474706082</v>
      </c>
      <c r="L2003">
        <v>0</v>
      </c>
      <c r="M2003">
        <v>1.0189436221187438E-2</v>
      </c>
      <c r="N2003">
        <v>0.19793896252022147</v>
      </c>
      <c r="O2003">
        <v>0.1224125044094231</v>
      </c>
      <c r="P2003">
        <v>8.500255071662785E-2</v>
      </c>
      <c r="Q2003">
        <v>0</v>
      </c>
      <c r="R2003">
        <v>1.0189436221187438E-2</v>
      </c>
      <c r="S2003">
        <v>0.2773588218779689</v>
      </c>
      <c r="T2003">
        <v>5.9117899645656662</v>
      </c>
      <c r="U2003">
        <v>0</v>
      </c>
      <c r="V2003">
        <v>1.9176051093206328E-2</v>
      </c>
      <c r="W2003">
        <v>0.10276260154982997</v>
      </c>
      <c r="X2003">
        <v>-1.2993939691464198E-3</v>
      </c>
      <c r="Y2003">
        <v>4.1958284706812579E-2</v>
      </c>
    </row>
    <row r="2004" spans="1:25" x14ac:dyDescent="0.25">
      <c r="A2004" s="879"/>
      <c r="B2004" s="1133">
        <v>1754</v>
      </c>
      <c r="C2004" s="883">
        <v>1.0097740903392134</v>
      </c>
      <c r="D2004" s="883">
        <v>1.0089684795001652</v>
      </c>
      <c r="E2004" s="883">
        <v>1.0264699232622645</v>
      </c>
      <c r="F2004" s="883">
        <v>1.0286430669749307</v>
      </c>
      <c r="G2004" s="883">
        <v>0.96599286072076285</v>
      </c>
      <c r="H2004" s="883">
        <v>1.0297406609220885</v>
      </c>
      <c r="I2004" s="883">
        <v>0.97898559162845611</v>
      </c>
      <c r="K2004">
        <v>6.7456026270831639</v>
      </c>
      <c r="L2004">
        <v>0</v>
      </c>
      <c r="M2004">
        <v>1.0345610905144291E-2</v>
      </c>
      <c r="N2004">
        <v>0.20058816042338082</v>
      </c>
      <c r="O2004">
        <v>0.11987899124599885</v>
      </c>
      <c r="P2004">
        <v>8.4748758822506362E-2</v>
      </c>
      <c r="Q2004">
        <v>0</v>
      </c>
      <c r="R2004">
        <v>1.0345610905144291E-2</v>
      </c>
      <c r="S2004">
        <v>0.26442246704328565</v>
      </c>
      <c r="T2004">
        <v>5.9121732772397406</v>
      </c>
      <c r="U2004">
        <v>0</v>
      </c>
      <c r="V2004">
        <v>1.9102324735322623E-2</v>
      </c>
      <c r="W2004">
        <v>0.10420426175916721</v>
      </c>
      <c r="X2004">
        <v>-2.1169984435258789E-3</v>
      </c>
      <c r="Y2004">
        <v>4.2601384257289432E-2</v>
      </c>
    </row>
    <row r="2005" spans="1:25" x14ac:dyDescent="0.25">
      <c r="A2005" s="879"/>
      <c r="B2005" s="1133">
        <v>1755</v>
      </c>
      <c r="C2005" s="883">
        <v>0.95988274113618022</v>
      </c>
      <c r="D2005" s="883">
        <v>0.99738402973572826</v>
      </c>
      <c r="E2005" s="883">
        <v>1.0368740370385483</v>
      </c>
      <c r="F2005" s="883">
        <v>1.0220065499730964</v>
      </c>
      <c r="G2005" s="883">
        <v>0.97392495020996583</v>
      </c>
      <c r="H2005" s="883">
        <v>0.97929102847239236</v>
      </c>
      <c r="I2005" s="883">
        <v>0.9727135312268913</v>
      </c>
      <c r="K2005">
        <v>6.7628360243485197</v>
      </c>
      <c r="L2005">
        <v>0</v>
      </c>
      <c r="M2005">
        <v>1.0307023830074312E-2</v>
      </c>
      <c r="N2005">
        <v>0.20293678051495684</v>
      </c>
      <c r="O2005">
        <v>0.12648738906276596</v>
      </c>
      <c r="P2005">
        <v>8.5490265343619656E-2</v>
      </c>
      <c r="Q2005">
        <v>0</v>
      </c>
      <c r="R2005">
        <v>1.0307023830074312E-2</v>
      </c>
      <c r="S2005">
        <v>0.27170691988852258</v>
      </c>
      <c r="T2005">
        <v>5.9112117573913272</v>
      </c>
      <c r="U2005">
        <v>0</v>
      </c>
      <c r="V2005">
        <v>1.9382938444010379E-2</v>
      </c>
      <c r="W2005">
        <v>0.10488799251234651</v>
      </c>
      <c r="X2005">
        <v>-1.7105083594247061E-3</v>
      </c>
      <c r="Y2005">
        <v>4.2442489550394563E-2</v>
      </c>
    </row>
    <row r="2006" spans="1:25" x14ac:dyDescent="0.25">
      <c r="A2006" s="879"/>
      <c r="B2006" s="1133">
        <v>1756</v>
      </c>
      <c r="C2006" s="883">
        <v>0.99182650275812967</v>
      </c>
      <c r="D2006" s="883">
        <v>0.99239460535376345</v>
      </c>
      <c r="E2006" s="883">
        <v>1.0347076479626416</v>
      </c>
      <c r="F2006" s="883">
        <v>0.96561240258110048</v>
      </c>
      <c r="G2006" s="883">
        <v>1.0210328006640979</v>
      </c>
      <c r="H2006" s="883">
        <v>1.0184190189391173</v>
      </c>
      <c r="I2006" s="883">
        <v>0.99996915516303142</v>
      </c>
      <c r="K2006">
        <v>6.760354269553277</v>
      </c>
      <c r="L2006">
        <v>0</v>
      </c>
      <c r="M2006">
        <v>1.041570337505285E-2</v>
      </c>
      <c r="N2006">
        <v>0.20442119459558133</v>
      </c>
      <c r="O2006">
        <v>0.12270116800567619</v>
      </c>
      <c r="P2006">
        <v>8.5345016096806808E-2</v>
      </c>
      <c r="Q2006">
        <v>0</v>
      </c>
      <c r="R2006">
        <v>1.041570337505285E-2</v>
      </c>
      <c r="S2006">
        <v>0.27409918866424432</v>
      </c>
      <c r="T2006">
        <v>5.9082917825879875</v>
      </c>
      <c r="U2006">
        <v>0</v>
      </c>
      <c r="V2006">
        <v>1.9200019702275979E-2</v>
      </c>
      <c r="W2006">
        <v>0.10576729754183582</v>
      </c>
      <c r="X2006">
        <v>-2.3614102135098027E-3</v>
      </c>
      <c r="Y2006">
        <v>4.2890012572378323E-2</v>
      </c>
    </row>
    <row r="2007" spans="1:25" x14ac:dyDescent="0.25">
      <c r="A2007" s="879"/>
      <c r="B2007" s="1133">
        <v>1757</v>
      </c>
      <c r="C2007" s="883">
        <v>0.98124968899290244</v>
      </c>
      <c r="D2007" s="883">
        <v>0.991187033382956</v>
      </c>
      <c r="E2007" s="883">
        <v>1.0080772957418795</v>
      </c>
      <c r="F2007" s="883">
        <v>0.97242530734247079</v>
      </c>
      <c r="G2007" s="883">
        <v>0.98693275407627856</v>
      </c>
      <c r="H2007" s="883">
        <v>0.98808651912133494</v>
      </c>
      <c r="I2007" s="883">
        <v>1.0423470971785302</v>
      </c>
      <c r="K2007">
        <v>6.7658537225178197</v>
      </c>
      <c r="L2007">
        <v>0</v>
      </c>
      <c r="M2007">
        <v>1.0460834383094466E-2</v>
      </c>
      <c r="N2007">
        <v>0.19737711612851308</v>
      </c>
      <c r="O2007">
        <v>0.12459971974192556</v>
      </c>
      <c r="P2007">
        <v>8.3858925139845136E-2</v>
      </c>
      <c r="Q2007">
        <v>0</v>
      </c>
      <c r="R2007">
        <v>1.0460834383094466E-2</v>
      </c>
      <c r="S2007">
        <v>0.28571102734811027</v>
      </c>
      <c r="T2007">
        <v>5.9101871475399879</v>
      </c>
      <c r="U2007">
        <v>0</v>
      </c>
      <c r="V2007">
        <v>1.9259266605803085E-2</v>
      </c>
      <c r="W2007">
        <v>0.10347039865739975</v>
      </c>
      <c r="X2007">
        <v>-1.6857326742400552E-3</v>
      </c>
      <c r="Y2007">
        <v>4.3075854030473718E-2</v>
      </c>
    </row>
    <row r="2008" spans="1:25" x14ac:dyDescent="0.25">
      <c r="A2008" s="879"/>
      <c r="B2008" s="1133">
        <v>1758</v>
      </c>
      <c r="C2008" s="883">
        <v>0.9739465137718063</v>
      </c>
      <c r="D2008" s="883">
        <v>0.9853301424084886</v>
      </c>
      <c r="E2008" s="883">
        <v>0.97516238726310966</v>
      </c>
      <c r="F2008" s="883">
        <v>0.95700733117413062</v>
      </c>
      <c r="G2008" s="883">
        <v>1.0468024474552353</v>
      </c>
      <c r="H2008" s="883">
        <v>0.98914973464508971</v>
      </c>
      <c r="I2008" s="883">
        <v>0.98829724220149151</v>
      </c>
      <c r="K2008">
        <v>6.753907774361303</v>
      </c>
      <c r="L2008">
        <v>0</v>
      </c>
      <c r="M2008">
        <v>1.0885707893830518E-2</v>
      </c>
      <c r="N2008">
        <v>0.19561247934864318</v>
      </c>
      <c r="O2008">
        <v>0.12646643617415707</v>
      </c>
      <c r="P2008">
        <v>8.1630785391006447E-2</v>
      </c>
      <c r="Q2008">
        <v>0</v>
      </c>
      <c r="R2008">
        <v>1.0885707893830518E-2</v>
      </c>
      <c r="S2008">
        <v>0.27303148684587863</v>
      </c>
      <c r="T2008">
        <v>5.9111872030012531</v>
      </c>
      <c r="U2008">
        <v>0</v>
      </c>
      <c r="V2008">
        <v>1.9300926975737865E-2</v>
      </c>
      <c r="W2008">
        <v>0.10424123617155572</v>
      </c>
      <c r="X2008">
        <v>-2.3881870699505301E-3</v>
      </c>
      <c r="Y2008">
        <v>4.4825407523019029E-2</v>
      </c>
    </row>
    <row r="2009" spans="1:25" x14ac:dyDescent="0.25">
      <c r="A2009" s="879"/>
      <c r="B2009" s="1133">
        <v>1759</v>
      </c>
      <c r="C2009" s="883">
        <v>1.0219817294402183</v>
      </c>
      <c r="D2009" s="883">
        <v>1.0038827419379694</v>
      </c>
      <c r="E2009" s="883">
        <v>1.0229198596390159</v>
      </c>
      <c r="F2009" s="883">
        <v>1.0375915888598453</v>
      </c>
      <c r="G2009" s="883">
        <v>0.99492150167288862</v>
      </c>
      <c r="H2009" s="883">
        <v>1.0035524165696859</v>
      </c>
      <c r="I2009" s="883">
        <v>0.97300180818663884</v>
      </c>
      <c r="K2009">
        <v>6.7265070050642963</v>
      </c>
      <c r="L2009">
        <v>0</v>
      </c>
      <c r="M2009">
        <v>1.0014738795246536E-2</v>
      </c>
      <c r="N2009">
        <v>0.19315628485751873</v>
      </c>
      <c r="O2009">
        <v>0.1187524437758659</v>
      </c>
      <c r="P2009">
        <v>8.4438905652257104E-2</v>
      </c>
      <c r="Q2009">
        <v>0</v>
      </c>
      <c r="R2009">
        <v>1.0014738795246536E-2</v>
      </c>
      <c r="S2009">
        <v>0.25736744066242251</v>
      </c>
      <c r="T2009">
        <v>5.9128611327077749</v>
      </c>
      <c r="U2009">
        <v>0</v>
      </c>
      <c r="V2009">
        <v>1.9037835033658343E-2</v>
      </c>
      <c r="W2009">
        <v>0.10051874134417073</v>
      </c>
      <c r="X2009">
        <v>-8.6469077114785162E-4</v>
      </c>
      <c r="Y2009">
        <v>4.1238911801770604E-2</v>
      </c>
    </row>
    <row r="2010" spans="1:25" x14ac:dyDescent="0.25">
      <c r="A2010" s="879"/>
      <c r="B2010" s="1133">
        <v>1760</v>
      </c>
      <c r="C2010" s="883">
        <v>0.9986181011569043</v>
      </c>
      <c r="D2010" s="883">
        <v>1.0111518756037663</v>
      </c>
      <c r="E2010" s="883">
        <v>0.98574541576672892</v>
      </c>
      <c r="F2010" s="883">
        <v>1.0081905411631564</v>
      </c>
      <c r="G2010" s="883">
        <v>0.99069949457358042</v>
      </c>
      <c r="H2010" s="883">
        <v>0.99066584221979148</v>
      </c>
      <c r="I2010" s="883">
        <v>0.98306935666363926</v>
      </c>
      <c r="K2010">
        <v>6.7340496556817051</v>
      </c>
      <c r="L2010">
        <v>0</v>
      </c>
      <c r="M2010">
        <v>1.0419305053418482E-2</v>
      </c>
      <c r="N2010">
        <v>0.1901943539463819</v>
      </c>
      <c r="O2010">
        <v>0.1218764618687023</v>
      </c>
      <c r="P2010">
        <v>8.2215538120204198E-2</v>
      </c>
      <c r="Q2010">
        <v>0</v>
      </c>
      <c r="R2010">
        <v>1.0419305053418482E-2</v>
      </c>
      <c r="S2010">
        <v>0.264790262620759</v>
      </c>
      <c r="T2010">
        <v>5.9133710947397731</v>
      </c>
      <c r="U2010">
        <v>0</v>
      </c>
      <c r="V2010">
        <v>1.9162637671095776E-2</v>
      </c>
      <c r="W2010">
        <v>0.10081837719228254</v>
      </c>
      <c r="X2010">
        <v>-1.283914120311335E-3</v>
      </c>
      <c r="Y2010">
        <v>4.290484364281312E-2</v>
      </c>
    </row>
    <row r="2011" spans="1:25" x14ac:dyDescent="0.25">
      <c r="A2011" s="879"/>
      <c r="B2011" s="1133">
        <v>1761</v>
      </c>
      <c r="C2011" s="883">
        <v>0.99486289286417062</v>
      </c>
      <c r="D2011" s="883">
        <v>0.98544159324732183</v>
      </c>
      <c r="E2011" s="883">
        <v>1.0116825584521714</v>
      </c>
      <c r="F2011" s="883">
        <v>1.0025285748586052</v>
      </c>
      <c r="G2011" s="883">
        <v>0.99745469606478243</v>
      </c>
      <c r="H2011" s="883">
        <v>1.0053761229378237</v>
      </c>
      <c r="I2011" s="883">
        <v>1.0044952472480124</v>
      </c>
      <c r="K2011">
        <v>6.755436380464138</v>
      </c>
      <c r="L2011">
        <v>0</v>
      </c>
      <c r="M2011">
        <v>1.0491288532050867E-2</v>
      </c>
      <c r="N2011">
        <v>0.19901106826849502</v>
      </c>
      <c r="O2011">
        <v>0.12311223538765205</v>
      </c>
      <c r="P2011">
        <v>8.3935952699553909E-2</v>
      </c>
      <c r="Q2011">
        <v>0</v>
      </c>
      <c r="R2011">
        <v>1.0491288532050867E-2</v>
      </c>
      <c r="S2011">
        <v>0.27328826062802936</v>
      </c>
      <c r="T2011">
        <v>5.9116092081057969</v>
      </c>
      <c r="U2011">
        <v>0</v>
      </c>
      <c r="V2011">
        <v>1.9183243847143813E-2</v>
      </c>
      <c r="W2011">
        <v>0.10414108162348297</v>
      </c>
      <c r="X2011">
        <v>-2.0459288912530317E-3</v>
      </c>
      <c r="Y2011">
        <v>4.3201258795239728E-2</v>
      </c>
    </row>
    <row r="2012" spans="1:25" x14ac:dyDescent="0.25">
      <c r="A2012" s="879"/>
      <c r="B2012" s="1133">
        <v>1762</v>
      </c>
      <c r="C2012" s="883">
        <v>1.0049636517254816</v>
      </c>
      <c r="D2012" s="883">
        <v>0.9991562666577023</v>
      </c>
      <c r="E2012" s="883">
        <v>1.0267166630142064</v>
      </c>
      <c r="F2012" s="883">
        <v>1.02455571847141</v>
      </c>
      <c r="G2012" s="883">
        <v>0.9970388775844321</v>
      </c>
      <c r="H2012" s="883">
        <v>0.98220507622424047</v>
      </c>
      <c r="I2012" s="883">
        <v>0.98918936230874344</v>
      </c>
      <c r="K2012">
        <v>6.7347241264448439</v>
      </c>
      <c r="L2012">
        <v>0</v>
      </c>
      <c r="M2012">
        <v>9.9546963717186288E-3</v>
      </c>
      <c r="N2012">
        <v>0.19307925437138526</v>
      </c>
      <c r="O2012">
        <v>0.1209199296836749</v>
      </c>
      <c r="P2012">
        <v>8.4757640002486576E-2</v>
      </c>
      <c r="Q2012">
        <v>0</v>
      </c>
      <c r="R2012">
        <v>9.9546963717186288E-3</v>
      </c>
      <c r="S2012">
        <v>0.26415161278448523</v>
      </c>
      <c r="T2012">
        <v>5.9119382451680593</v>
      </c>
      <c r="U2012">
        <v>0</v>
      </c>
      <c r="V2012">
        <v>1.9128167331473909E-2</v>
      </c>
      <c r="W2012">
        <v>0.10029127566245068</v>
      </c>
      <c r="X2012">
        <v>-5.3366634801099342E-4</v>
      </c>
      <c r="Y2012">
        <v>4.0991667788835645E-2</v>
      </c>
    </row>
    <row r="2013" spans="1:25" x14ac:dyDescent="0.25">
      <c r="A2013" s="879"/>
      <c r="B2013" s="1133">
        <v>1763</v>
      </c>
      <c r="C2013" s="883">
        <v>0.9778768973662435</v>
      </c>
      <c r="D2013" s="883">
        <v>1.0386471104309718</v>
      </c>
      <c r="E2013" s="883">
        <v>1.0051195640034296</v>
      </c>
      <c r="F2013" s="883">
        <v>1.0044070260143267</v>
      </c>
      <c r="G2013" s="883">
        <v>0.98302572330245142</v>
      </c>
      <c r="H2013" s="883">
        <v>1.010718912480959</v>
      </c>
      <c r="I2013" s="883">
        <v>0.96754111935638698</v>
      </c>
      <c r="K2013">
        <v>6.7489317739146442</v>
      </c>
      <c r="L2013">
        <v>0</v>
      </c>
      <c r="M2013">
        <v>1.0551753267659983E-2</v>
      </c>
      <c r="N2013">
        <v>0.19822253584141</v>
      </c>
      <c r="O2013">
        <v>0.1227681176468368</v>
      </c>
      <c r="P2013">
        <v>8.3457221282668761E-2</v>
      </c>
      <c r="Q2013">
        <v>0</v>
      </c>
      <c r="R2013">
        <v>1.0551753267659983E-2</v>
      </c>
      <c r="S2013">
        <v>0.26776994735378506</v>
      </c>
      <c r="T2013">
        <v>5.9120826198484835</v>
      </c>
      <c r="U2013">
        <v>0</v>
      </c>
      <c r="V2013">
        <v>1.9278429091071511E-2</v>
      </c>
      <c r="W2013">
        <v>0.10406593074376926</v>
      </c>
      <c r="X2013">
        <v>-2.1632697075385323E-3</v>
      </c>
      <c r="Y2013">
        <v>4.345024181415634E-2</v>
      </c>
    </row>
    <row r="2014" spans="1:25" x14ac:dyDescent="0.25">
      <c r="A2014" s="879"/>
      <c r="B2014" s="1133">
        <v>1764</v>
      </c>
      <c r="C2014" s="883">
        <v>0.99753779914111773</v>
      </c>
      <c r="D2014" s="883">
        <v>1.0015309362903888</v>
      </c>
      <c r="E2014" s="883">
        <v>1.0015963029785939</v>
      </c>
      <c r="F2014" s="883">
        <v>0.96942382285305906</v>
      </c>
      <c r="G2014" s="883">
        <v>0.96151983760275517</v>
      </c>
      <c r="H2014" s="883">
        <v>0.99423255859251358</v>
      </c>
      <c r="I2014" s="883">
        <v>1.0058035435259114</v>
      </c>
      <c r="K2014">
        <v>6.7435580707904634</v>
      </c>
      <c r="L2014">
        <v>0</v>
      </c>
      <c r="M2014">
        <v>1.0366643090219223E-2</v>
      </c>
      <c r="N2014">
        <v>0.19373150267205844</v>
      </c>
      <c r="O2014">
        <v>0.12217924934426806</v>
      </c>
      <c r="P2014">
        <v>8.3264103409330548E-2</v>
      </c>
      <c r="Q2014">
        <v>0</v>
      </c>
      <c r="R2014">
        <v>1.0366643090219223E-2</v>
      </c>
      <c r="S2014">
        <v>0.27166450129747571</v>
      </c>
      <c r="T2014">
        <v>5.9103907558384448</v>
      </c>
      <c r="U2014">
        <v>0</v>
      </c>
      <c r="V2014">
        <v>1.9168549780095395E-2</v>
      </c>
      <c r="W2014">
        <v>0.10188603605924598</v>
      </c>
      <c r="X2014">
        <v>-1.4146186622972664E-3</v>
      </c>
      <c r="Y2014">
        <v>4.2687991051838611E-2</v>
      </c>
    </row>
    <row r="2015" spans="1:25" x14ac:dyDescent="0.25">
      <c r="A2015" s="879"/>
      <c r="B2015" s="1133">
        <v>1765</v>
      </c>
      <c r="C2015" s="883">
        <v>0.99304910570787941</v>
      </c>
      <c r="D2015" s="883">
        <v>0.9796488208871923</v>
      </c>
      <c r="E2015" s="883">
        <v>0.97653852856565337</v>
      </c>
      <c r="F2015" s="883">
        <v>1.0032561096012911</v>
      </c>
      <c r="G2015" s="883">
        <v>0.98722720279755405</v>
      </c>
      <c r="H2015" s="883">
        <v>1.0321408884415864</v>
      </c>
      <c r="I2015" s="883">
        <v>1.0194367518498151</v>
      </c>
      <c r="K2015">
        <v>6.7696626346987561</v>
      </c>
      <c r="L2015">
        <v>0</v>
      </c>
      <c r="M2015">
        <v>1.1154591561592245E-2</v>
      </c>
      <c r="N2015">
        <v>0.2008540295779849</v>
      </c>
      <c r="O2015">
        <v>0.12429504283666702</v>
      </c>
      <c r="P2015">
        <v>8.1845960169129525E-2</v>
      </c>
      <c r="Q2015">
        <v>0</v>
      </c>
      <c r="R2015">
        <v>1.1154591561592245E-2</v>
      </c>
      <c r="S2015">
        <v>0.28047512465087249</v>
      </c>
      <c r="T2015">
        <v>5.9136121140274112</v>
      </c>
      <c r="U2015">
        <v>0</v>
      </c>
      <c r="V2015">
        <v>1.9193252564063092E-2</v>
      </c>
      <c r="W2015">
        <v>0.106960589208699</v>
      </c>
      <c r="X2015">
        <v>-3.5061009434266951E-3</v>
      </c>
      <c r="Y2015">
        <v>4.5932622607353091E-2</v>
      </c>
    </row>
    <row r="2016" spans="1:25" x14ac:dyDescent="0.25">
      <c r="A2016" s="879"/>
      <c r="B2016" s="1133">
        <v>1766</v>
      </c>
      <c r="C2016" s="883">
        <v>1.0113153335104803</v>
      </c>
      <c r="D2016" s="883">
        <v>1.0396509773035205</v>
      </c>
      <c r="E2016" s="883">
        <v>1.0151016112080169</v>
      </c>
      <c r="F2016" s="883">
        <v>1.0356405652376779</v>
      </c>
      <c r="G2016" s="883">
        <v>1.0252528788144561</v>
      </c>
      <c r="H2016" s="883">
        <v>0.98134537062614169</v>
      </c>
      <c r="I2016" s="883">
        <v>0.96995608149231327</v>
      </c>
      <c r="K2016">
        <v>6.7170758064101239</v>
      </c>
      <c r="L2016">
        <v>0</v>
      </c>
      <c r="M2016">
        <v>9.8161926371053507E-3</v>
      </c>
      <c r="N2016">
        <v>0.18714968833519285</v>
      </c>
      <c r="O2016">
        <v>0.11848002369031736</v>
      </c>
      <c r="P2016">
        <v>8.3949612510589106E-2</v>
      </c>
      <c r="Q2016">
        <v>0</v>
      </c>
      <c r="R2016">
        <v>9.8161926371053507E-3</v>
      </c>
      <c r="S2016">
        <v>0.25695827306748542</v>
      </c>
      <c r="T2016">
        <v>5.9132035539514298</v>
      </c>
      <c r="U2016">
        <v>0</v>
      </c>
      <c r="V2016">
        <v>1.9094096884834308E-2</v>
      </c>
      <c r="W2016">
        <v>9.7768858585410748E-2</v>
      </c>
      <c r="X2016">
        <v>5.0365322422129356E-5</v>
      </c>
      <c r="Y2016">
        <v>4.0421334062443914E-2</v>
      </c>
    </row>
    <row r="2017" spans="1:25" x14ac:dyDescent="0.25">
      <c r="A2017" s="879"/>
      <c r="B2017" s="1133">
        <v>1767</v>
      </c>
      <c r="C2017" s="883">
        <v>1.0022171069820134</v>
      </c>
      <c r="D2017" s="883">
        <v>0.98470113307559259</v>
      </c>
      <c r="E2017" s="883">
        <v>1.0358231463575518</v>
      </c>
      <c r="F2017" s="883">
        <v>0.95515249570532257</v>
      </c>
      <c r="G2017" s="883">
        <v>0.99541130578173442</v>
      </c>
      <c r="H2017" s="883">
        <v>0.98333201345805632</v>
      </c>
      <c r="I2017" s="883">
        <v>0.96848949505066761</v>
      </c>
      <c r="K2017">
        <v>6.7311901101006137</v>
      </c>
      <c r="L2017">
        <v>0</v>
      </c>
      <c r="M2017">
        <v>9.9760746355502875E-3</v>
      </c>
      <c r="N2017">
        <v>0.19611591977154683</v>
      </c>
      <c r="O2017">
        <v>0.12178631944351145</v>
      </c>
      <c r="P2017">
        <v>8.5205645245408704E-2</v>
      </c>
      <c r="Q2017">
        <v>0</v>
      </c>
      <c r="R2017">
        <v>9.9760746355502875E-3</v>
      </c>
      <c r="S2017">
        <v>0.25958509193841278</v>
      </c>
      <c r="T2017">
        <v>5.9076620024344573</v>
      </c>
      <c r="U2017">
        <v>0</v>
      </c>
      <c r="V2017">
        <v>1.914303355141498E-2</v>
      </c>
      <c r="W2017">
        <v>0.1014147626129718</v>
      </c>
      <c r="X2017">
        <v>-8.0236457121083695E-4</v>
      </c>
      <c r="Y2017">
        <v>4.1079699674105331E-2</v>
      </c>
    </row>
    <row r="2018" spans="1:25" x14ac:dyDescent="0.25">
      <c r="A2018" s="879"/>
      <c r="B2018" s="1133">
        <v>1768</v>
      </c>
      <c r="C2018" s="883">
        <v>1.0357564038114047</v>
      </c>
      <c r="D2018" s="883">
        <v>0.95981009268909612</v>
      </c>
      <c r="E2018" s="883">
        <v>1.0054428533336233</v>
      </c>
      <c r="F2018" s="883">
        <v>0.99446941148393564</v>
      </c>
      <c r="G2018" s="883">
        <v>0.99290078186270314</v>
      </c>
      <c r="H2018" s="883">
        <v>1.0205750405856917</v>
      </c>
      <c r="I2018" s="883">
        <v>0.99734785703443396</v>
      </c>
      <c r="K2018">
        <v>6.7349161554247816</v>
      </c>
      <c r="L2018">
        <v>0</v>
      </c>
      <c r="M2018">
        <v>1.0402262025706556E-2</v>
      </c>
      <c r="N2018">
        <v>0.19550781052716126</v>
      </c>
      <c r="O2018">
        <v>0.11961994918689996</v>
      </c>
      <c r="P2018">
        <v>8.3392318641264021E-2</v>
      </c>
      <c r="Q2018">
        <v>0</v>
      </c>
      <c r="R2018">
        <v>1.0402262025706556E-2</v>
      </c>
      <c r="S2018">
        <v>0.26230298876468366</v>
      </c>
      <c r="T2018">
        <v>5.9115273462033517</v>
      </c>
      <c r="U2018">
        <v>0</v>
      </c>
      <c r="V2018">
        <v>1.8966892511710857E-2</v>
      </c>
      <c r="W2018">
        <v>0.10262426949947588</v>
      </c>
      <c r="X2018">
        <v>-1.8600833980063622E-3</v>
      </c>
      <c r="Y2018">
        <v>4.2834663488241248E-2</v>
      </c>
    </row>
    <row r="2019" spans="1:25" x14ac:dyDescent="0.25">
      <c r="A2019" s="879"/>
      <c r="B2019" s="1133">
        <v>1769</v>
      </c>
      <c r="C2019" s="883">
        <v>0.97614562019240558</v>
      </c>
      <c r="D2019" s="883">
        <v>0.99898096424085558</v>
      </c>
      <c r="E2019" s="883">
        <v>1.0415792856633226</v>
      </c>
      <c r="F2019" s="883">
        <v>0.96666470722842579</v>
      </c>
      <c r="G2019" s="883">
        <v>1.0088067826362155</v>
      </c>
      <c r="H2019" s="883">
        <v>1.0184541901273487</v>
      </c>
      <c r="I2019" s="883">
        <v>1.0119803577086688</v>
      </c>
      <c r="K2019">
        <v>6.7748534244654754</v>
      </c>
      <c r="L2019">
        <v>0</v>
      </c>
      <c r="M2019">
        <v>1.0490020249115672E-2</v>
      </c>
      <c r="N2019">
        <v>0.20798039321854478</v>
      </c>
      <c r="O2019">
        <v>0.12420847357770923</v>
      </c>
      <c r="P2019">
        <v>8.5877480171085943E-2</v>
      </c>
      <c r="Q2019">
        <v>0</v>
      </c>
      <c r="R2019">
        <v>1.0490020249115672E-2</v>
      </c>
      <c r="S2019">
        <v>0.28178886261990976</v>
      </c>
      <c r="T2019">
        <v>5.9079482525866291</v>
      </c>
      <c r="U2019">
        <v>0</v>
      </c>
      <c r="V2019">
        <v>1.9288316758446312E-2</v>
      </c>
      <c r="W2019">
        <v>0.10724786981676118</v>
      </c>
      <c r="X2019">
        <v>-2.6822605154715826E-3</v>
      </c>
      <c r="Y2019">
        <v>4.3196036231858546E-2</v>
      </c>
    </row>
    <row r="2020" spans="1:25" x14ac:dyDescent="0.25">
      <c r="A2020" s="879"/>
      <c r="B2020" s="1133">
        <v>1770</v>
      </c>
      <c r="C2020" s="883">
        <v>0.99497660836998791</v>
      </c>
      <c r="D2020" s="883">
        <v>1.0304690901684543</v>
      </c>
      <c r="E2020" s="883">
        <v>0.98649578383252245</v>
      </c>
      <c r="F2020" s="883">
        <v>0.98391780515562699</v>
      </c>
      <c r="G2020" s="883">
        <v>0.99355873188556254</v>
      </c>
      <c r="H2020" s="883">
        <v>1.003750232648589</v>
      </c>
      <c r="I2020" s="883">
        <v>1.0067650061481423</v>
      </c>
      <c r="K2020">
        <v>6.7434508899480505</v>
      </c>
      <c r="L2020">
        <v>0</v>
      </c>
      <c r="M2020">
        <v>1.0503211468106051E-2</v>
      </c>
      <c r="N2020">
        <v>0.1919394560541047</v>
      </c>
      <c r="O2020">
        <v>0.12138620847714818</v>
      </c>
      <c r="P2020">
        <v>8.2356925812932483E-2</v>
      </c>
      <c r="Q2020">
        <v>0</v>
      </c>
      <c r="R2020">
        <v>1.0503211468106051E-2</v>
      </c>
      <c r="S2020">
        <v>0.27322443575630134</v>
      </c>
      <c r="T2020">
        <v>5.9120174551368336</v>
      </c>
      <c r="U2020">
        <v>0</v>
      </c>
      <c r="V2020">
        <v>1.9182617565583052E-2</v>
      </c>
      <c r="W2020">
        <v>0.10170529829406721</v>
      </c>
      <c r="X2020">
        <v>-1.6118624726362027E-3</v>
      </c>
      <c r="Y2020">
        <v>4.3250355323711472E-2</v>
      </c>
    </row>
    <row r="2021" spans="1:25" x14ac:dyDescent="0.25">
      <c r="A2021" s="879"/>
      <c r="B2021" s="1133">
        <v>1771</v>
      </c>
      <c r="C2021" s="883">
        <v>0.96514083136815687</v>
      </c>
      <c r="D2021" s="883">
        <v>1.0047962421360395</v>
      </c>
      <c r="E2021" s="883">
        <v>1.0069140215011028</v>
      </c>
      <c r="F2021" s="883">
        <v>0.98602097646755138</v>
      </c>
      <c r="G2021" s="883">
        <v>1.0002383606700145</v>
      </c>
      <c r="H2021" s="883">
        <v>1.0106880413962531</v>
      </c>
      <c r="I2021" s="883">
        <v>0.99528021976269154</v>
      </c>
      <c r="K2021">
        <v>6.7719858713050254</v>
      </c>
      <c r="L2021">
        <v>0</v>
      </c>
      <c r="M2021">
        <v>1.0826352406718174E-2</v>
      </c>
      <c r="N2021">
        <v>0.20392224236634787</v>
      </c>
      <c r="O2021">
        <v>0.1260128774216141</v>
      </c>
      <c r="P2021">
        <v>8.3713008785725782E-2</v>
      </c>
      <c r="Q2021">
        <v>0</v>
      </c>
      <c r="R2021">
        <v>1.0826352406718174E-2</v>
      </c>
      <c r="S2021">
        <v>0.27941906508126324</v>
      </c>
      <c r="T2021">
        <v>5.9109876445332876</v>
      </c>
      <c r="U2021">
        <v>0</v>
      </c>
      <c r="V2021">
        <v>1.9351996670473111E-2</v>
      </c>
      <c r="W2021">
        <v>0.10696311825153884</v>
      </c>
      <c r="X2021">
        <v>-2.9650739972037522E-3</v>
      </c>
      <c r="Y2021">
        <v>4.458099219197327E-2</v>
      </c>
    </row>
    <row r="2022" spans="1:25" x14ac:dyDescent="0.25">
      <c r="A2022" s="879"/>
      <c r="B2022" s="1133">
        <v>1772</v>
      </c>
      <c r="C2022" s="883">
        <v>0.98278491646171418</v>
      </c>
      <c r="D2022" s="883">
        <v>1.0406887063163921</v>
      </c>
      <c r="E2022" s="883">
        <v>1.0016295000642792</v>
      </c>
      <c r="F2022" s="883">
        <v>0.97964264530515988</v>
      </c>
      <c r="G2022" s="883">
        <v>1.0048677775009081</v>
      </c>
      <c r="H2022" s="883">
        <v>1.0352686358532928</v>
      </c>
      <c r="I2022" s="883">
        <v>1.0108507925287025</v>
      </c>
      <c r="K2022">
        <v>6.765205484330453</v>
      </c>
      <c r="L2022">
        <v>0</v>
      </c>
      <c r="M2022">
        <v>1.0777866798557573E-2</v>
      </c>
      <c r="N2022">
        <v>0.20142634340034021</v>
      </c>
      <c r="O2022">
        <v>0.12212470196920241</v>
      </c>
      <c r="P2022">
        <v>8.3395515527435016E-2</v>
      </c>
      <c r="Q2022">
        <v>0</v>
      </c>
      <c r="R2022">
        <v>1.0777866798557573E-2</v>
      </c>
      <c r="S2022">
        <v>0.28067378351801631</v>
      </c>
      <c r="T2022">
        <v>5.9109411264540226</v>
      </c>
      <c r="U2022">
        <v>0</v>
      </c>
      <c r="V2022">
        <v>1.925058778425064E-2</v>
      </c>
      <c r="W2022">
        <v>0.10593111228083106</v>
      </c>
      <c r="X2022">
        <v>-2.9190236913346022E-3</v>
      </c>
      <c r="Y2022">
        <v>4.4381337087684443E-2</v>
      </c>
    </row>
    <row r="2023" spans="1:25" x14ac:dyDescent="0.25">
      <c r="A2023" s="879"/>
      <c r="B2023" s="1133">
        <v>1773</v>
      </c>
      <c r="C2023" s="883">
        <v>0.98056806943975805</v>
      </c>
      <c r="D2023" s="883">
        <v>1.0023716574303432</v>
      </c>
      <c r="E2023" s="883">
        <v>0.99550869575402889</v>
      </c>
      <c r="F2023" s="883">
        <v>0.98211515092333035</v>
      </c>
      <c r="G2023" s="883">
        <v>0.98877517771583556</v>
      </c>
      <c r="H2023" s="883">
        <v>1.0363500072026242</v>
      </c>
      <c r="I2023" s="883">
        <v>0.96621986573709551</v>
      </c>
      <c r="K2023">
        <v>6.7616529486732784</v>
      </c>
      <c r="L2023">
        <v>0</v>
      </c>
      <c r="M2023">
        <v>1.1047432182832119E-2</v>
      </c>
      <c r="N2023">
        <v>0.20460029841034724</v>
      </c>
      <c r="O2023">
        <v>0.12436812262226984</v>
      </c>
      <c r="P2023">
        <v>8.2865952613238342E-2</v>
      </c>
      <c r="Q2023">
        <v>0</v>
      </c>
      <c r="R2023">
        <v>1.1047432182832119E-2</v>
      </c>
      <c r="S2023">
        <v>0.26937920678087224</v>
      </c>
      <c r="T2023">
        <v>5.91141814863514</v>
      </c>
      <c r="U2023">
        <v>0</v>
      </c>
      <c r="V2023">
        <v>1.9263128592754301E-2</v>
      </c>
      <c r="W2023">
        <v>0.10792808378333407</v>
      </c>
      <c r="X2023">
        <v>-3.6613521239546656E-3</v>
      </c>
      <c r="Y2023">
        <v>4.5491359359277284E-2</v>
      </c>
    </row>
    <row r="2024" spans="1:25" x14ac:dyDescent="0.25">
      <c r="A2024" s="879"/>
      <c r="B2024" s="1133">
        <v>1774</v>
      </c>
      <c r="C2024" s="883">
        <v>1.0047199030180216</v>
      </c>
      <c r="D2024" s="883">
        <v>1.0122665786059781</v>
      </c>
      <c r="E2024" s="883">
        <v>0.99877144564531173</v>
      </c>
      <c r="F2024" s="883">
        <v>0.98355171063797597</v>
      </c>
      <c r="G2024" s="883">
        <v>1.0115120106617459</v>
      </c>
      <c r="H2024" s="883">
        <v>1.0034673212436038</v>
      </c>
      <c r="I2024" s="883">
        <v>1.0344692859048759</v>
      </c>
      <c r="K2024">
        <v>6.7484575685782682</v>
      </c>
      <c r="L2024">
        <v>0</v>
      </c>
      <c r="M2024">
        <v>1.0366369076989637E-2</v>
      </c>
      <c r="N2024">
        <v>0.1929173471751639</v>
      </c>
      <c r="O2024">
        <v>0.12084204976616947</v>
      </c>
      <c r="P2024">
        <v>8.3185766163923758E-2</v>
      </c>
      <c r="Q2024">
        <v>0</v>
      </c>
      <c r="R2024">
        <v>1.0366369076989637E-2</v>
      </c>
      <c r="S2024">
        <v>0.27819103680043272</v>
      </c>
      <c r="T2024">
        <v>5.9113129898018952</v>
      </c>
      <c r="U2024">
        <v>0</v>
      </c>
      <c r="V2024">
        <v>1.9129483383332219E-2</v>
      </c>
      <c r="W2024">
        <v>0.10160028700600947</v>
      </c>
      <c r="X2024">
        <v>-1.4082542327935072E-3</v>
      </c>
      <c r="Y2024">
        <v>4.2686862714131704E-2</v>
      </c>
    </row>
    <row r="2025" spans="1:25" x14ac:dyDescent="0.25">
      <c r="A2025" s="879"/>
      <c r="B2025" s="1133">
        <v>1775</v>
      </c>
      <c r="C2025" s="883">
        <v>0.98954955256457189</v>
      </c>
      <c r="D2025" s="883">
        <v>0.99412572986764758</v>
      </c>
      <c r="E2025" s="883">
        <v>1.0287395883975794</v>
      </c>
      <c r="F2025" s="883">
        <v>0.98944287645721196</v>
      </c>
      <c r="G2025" s="883">
        <v>0.96752991598483207</v>
      </c>
      <c r="H2025" s="883">
        <v>0.97935118226053997</v>
      </c>
      <c r="I2025" s="883">
        <v>1.0361025153954881</v>
      </c>
      <c r="K2025">
        <v>6.7566373372173247</v>
      </c>
      <c r="L2025">
        <v>0</v>
      </c>
      <c r="M2025">
        <v>1.0084314238409955E-2</v>
      </c>
      <c r="N2025">
        <v>0.19617914886695795</v>
      </c>
      <c r="O2025">
        <v>0.12301277431478475</v>
      </c>
      <c r="P2025">
        <v>8.5085160143447525E-2</v>
      </c>
      <c r="Q2025">
        <v>0</v>
      </c>
      <c r="R2025">
        <v>1.0084314238409955E-2</v>
      </c>
      <c r="S2025">
        <v>0.28075980709125514</v>
      </c>
      <c r="T2025">
        <v>5.9099246966830759</v>
      </c>
      <c r="U2025">
        <v>0</v>
      </c>
      <c r="V2025">
        <v>1.9212667249688429E-2</v>
      </c>
      <c r="W2025">
        <v>0.1018002832075941</v>
      </c>
      <c r="X2025">
        <v>-8.6261143223129318E-4</v>
      </c>
      <c r="Y2025">
        <v>4.1525411092750313E-2</v>
      </c>
    </row>
    <row r="2026" spans="1:25" x14ac:dyDescent="0.25">
      <c r="A2026" s="879"/>
      <c r="B2026" s="1133">
        <v>1776</v>
      </c>
      <c r="C2026" s="883">
        <v>0.96953737495202352</v>
      </c>
      <c r="D2026" s="883">
        <v>1.0173449013282301</v>
      </c>
      <c r="E2026" s="883">
        <v>0.99094628491250392</v>
      </c>
      <c r="F2026" s="883">
        <v>0.98347179840180032</v>
      </c>
      <c r="G2026" s="883">
        <v>1.0146408128942963</v>
      </c>
      <c r="H2026" s="883">
        <v>1.0285841104970839</v>
      </c>
      <c r="I2026" s="883">
        <v>1.0319323150992041</v>
      </c>
      <c r="K2026">
        <v>6.7822871769288628</v>
      </c>
      <c r="L2026">
        <v>0</v>
      </c>
      <c r="M2026">
        <v>1.1063191363020962E-2</v>
      </c>
      <c r="N2026">
        <v>0.20351124826990055</v>
      </c>
      <c r="O2026">
        <v>0.12512657987914649</v>
      </c>
      <c r="P2026">
        <v>8.2858837771467783E-2</v>
      </c>
      <c r="Q2026">
        <v>0</v>
      </c>
      <c r="R2026">
        <v>1.1063191363020962E-2</v>
      </c>
      <c r="S2026">
        <v>0.29001413137922444</v>
      </c>
      <c r="T2026">
        <v>5.9117460913263375</v>
      </c>
      <c r="U2026">
        <v>0</v>
      </c>
      <c r="V2026">
        <v>1.9326382388921686E-2</v>
      </c>
      <c r="W2026">
        <v>0.10759780056858695</v>
      </c>
      <c r="X2026">
        <v>-3.4501475129838448E-3</v>
      </c>
      <c r="Y2026">
        <v>4.5556252858265422E-2</v>
      </c>
    </row>
    <row r="2027" spans="1:25" x14ac:dyDescent="0.25">
      <c r="A2027" s="879"/>
      <c r="B2027" s="1133">
        <v>1777</v>
      </c>
      <c r="C2027" s="883">
        <v>0.98809864757810673</v>
      </c>
      <c r="D2027" s="883">
        <v>1.0346384850902399</v>
      </c>
      <c r="E2027" s="883">
        <v>0.99858396980780451</v>
      </c>
      <c r="F2027" s="883">
        <v>1.0234895395034969</v>
      </c>
      <c r="G2027" s="883">
        <v>1.0066178567985988</v>
      </c>
      <c r="H2027" s="883">
        <v>1.0153454247870093</v>
      </c>
      <c r="I2027" s="883">
        <v>0.97727171811788249</v>
      </c>
      <c r="K2027">
        <v>6.7472573908922682</v>
      </c>
      <c r="L2027">
        <v>0</v>
      </c>
      <c r="M2027">
        <v>1.0567938500006273E-2</v>
      </c>
      <c r="N2027">
        <v>0.19661391807046719</v>
      </c>
      <c r="O2027">
        <v>0.12180855311902404</v>
      </c>
      <c r="P2027">
        <v>8.3069328845994675E-2</v>
      </c>
      <c r="Q2027">
        <v>0</v>
      </c>
      <c r="R2027">
        <v>1.0567938500006273E-2</v>
      </c>
      <c r="S2027">
        <v>0.26811521748456729</v>
      </c>
      <c r="T2027">
        <v>5.9134819054174583</v>
      </c>
      <c r="U2027">
        <v>0</v>
      </c>
      <c r="V2027">
        <v>1.9220756851825241E-2</v>
      </c>
      <c r="W2027">
        <v>0.10355673968495448</v>
      </c>
      <c r="X2027">
        <v>-2.125918302122309E-3</v>
      </c>
      <c r="Y2027">
        <v>4.3516889720094397E-2</v>
      </c>
    </row>
    <row r="2028" spans="1:25" x14ac:dyDescent="0.25">
      <c r="A2028" s="879"/>
      <c r="B2028" s="1133">
        <v>1778</v>
      </c>
      <c r="C2028" s="883">
        <v>0.99275067235751779</v>
      </c>
      <c r="D2028" s="883">
        <v>0.97534341988786932</v>
      </c>
      <c r="E2028" s="883">
        <v>0.98214477045649307</v>
      </c>
      <c r="F2028" s="883">
        <v>0.98394011789153857</v>
      </c>
      <c r="G2028" s="883">
        <v>1.0290796548744716</v>
      </c>
      <c r="H2028" s="883">
        <v>1.0104910554780313</v>
      </c>
      <c r="I2028" s="883">
        <v>1.0105128876626903</v>
      </c>
      <c r="K2028">
        <v>6.7589975040617132</v>
      </c>
      <c r="L2028">
        <v>0</v>
      </c>
      <c r="M2028">
        <v>1.0891196935347626E-2</v>
      </c>
      <c r="N2028">
        <v>0.19774935122305626</v>
      </c>
      <c r="O2028">
        <v>0.12444584162975371</v>
      </c>
      <c r="P2028">
        <v>8.2123764078938483E-2</v>
      </c>
      <c r="Q2028">
        <v>0</v>
      </c>
      <c r="R2028">
        <v>1.0891196935347626E-2</v>
      </c>
      <c r="S2028">
        <v>0.2760674375494177</v>
      </c>
      <c r="T2028">
        <v>5.912259318967056</v>
      </c>
      <c r="U2028">
        <v>0</v>
      </c>
      <c r="V2028">
        <v>1.9194902862472295E-2</v>
      </c>
      <c r="W2028">
        <v>0.10501198506456463</v>
      </c>
      <c r="X2028">
        <v>-2.7031077325159933E-3</v>
      </c>
      <c r="Y2028">
        <v>4.4848010418973516E-2</v>
      </c>
    </row>
    <row r="2029" spans="1:25" x14ac:dyDescent="0.25">
      <c r="A2029" s="879"/>
      <c r="B2029" s="1133">
        <v>1779</v>
      </c>
      <c r="C2029" s="883">
        <v>1.0006368103340624</v>
      </c>
      <c r="D2029" s="883">
        <v>0.97845493403294836</v>
      </c>
      <c r="E2029" s="883">
        <v>0.98226611704941347</v>
      </c>
      <c r="F2029" s="883">
        <v>1.0016762739899552</v>
      </c>
      <c r="G2029" s="883">
        <v>1.0038374445107803</v>
      </c>
      <c r="H2029" s="883">
        <v>1.0058543534601918</v>
      </c>
      <c r="I2029" s="883">
        <v>1.0174307304452954</v>
      </c>
      <c r="K2029">
        <v>6.7536828074924147</v>
      </c>
      <c r="L2029">
        <v>0</v>
      </c>
      <c r="M2029">
        <v>1.0739968349544243E-2</v>
      </c>
      <c r="N2029">
        <v>0.19503862885469278</v>
      </c>
      <c r="O2029">
        <v>0.12330559735339353</v>
      </c>
      <c r="P2029">
        <v>8.2133035077612049E-2</v>
      </c>
      <c r="Q2029">
        <v>0</v>
      </c>
      <c r="R2029">
        <v>1.0739968349544243E-2</v>
      </c>
      <c r="S2029">
        <v>0.27528258431430364</v>
      </c>
      <c r="T2029">
        <v>5.913211400872302</v>
      </c>
      <c r="U2029">
        <v>0</v>
      </c>
      <c r="V2029">
        <v>1.9151624208295071E-2</v>
      </c>
      <c r="W2029">
        <v>0.10356620729659471</v>
      </c>
      <c r="X2029">
        <v>-2.2315485051032421E-3</v>
      </c>
      <c r="Y2029">
        <v>4.4225278020320002E-2</v>
      </c>
    </row>
    <row r="2030" spans="1:25" x14ac:dyDescent="0.25">
      <c r="A2030" s="879"/>
      <c r="B2030" s="1133">
        <v>1780</v>
      </c>
      <c r="C2030" s="883">
        <v>0.96084158289403243</v>
      </c>
      <c r="D2030" s="883">
        <v>1.0455466303810208</v>
      </c>
      <c r="E2030" s="883">
        <v>0.97311243651321511</v>
      </c>
      <c r="F2030" s="883">
        <v>1.011089116728493</v>
      </c>
      <c r="G2030" s="883">
        <v>0.98729367465414231</v>
      </c>
      <c r="H2030" s="883">
        <v>0.96193143933926128</v>
      </c>
      <c r="I2030" s="883">
        <v>1.0199521831026994</v>
      </c>
      <c r="K2030">
        <v>6.7530207109150249</v>
      </c>
      <c r="L2030">
        <v>0</v>
      </c>
      <c r="M2030">
        <v>1.048020092227327E-2</v>
      </c>
      <c r="N2030">
        <v>0.1877534914680917</v>
      </c>
      <c r="O2030">
        <v>0.12522424880311298</v>
      </c>
      <c r="P2030">
        <v>8.1664815537524527E-2</v>
      </c>
      <c r="Q2030">
        <v>0</v>
      </c>
      <c r="R2030">
        <v>1.048020092227327E-2</v>
      </c>
      <c r="S2030">
        <v>0.28236649001697484</v>
      </c>
      <c r="T2030">
        <v>5.914223339235857</v>
      </c>
      <c r="U2030">
        <v>0</v>
      </c>
      <c r="V2030">
        <v>1.9377270794214335E-2</v>
      </c>
      <c r="W2030">
        <v>0.10015620491072544</v>
      </c>
      <c r="X2030">
        <v>-9.0075184317680462E-4</v>
      </c>
      <c r="Y2030">
        <v>4.3155601991696574E-2</v>
      </c>
    </row>
    <row r="2031" spans="1:25" x14ac:dyDescent="0.25">
      <c r="A2031" s="879"/>
      <c r="B2031" s="1133">
        <v>1781</v>
      </c>
      <c r="C2031" s="883">
        <v>1.0026419641237865</v>
      </c>
      <c r="D2031" s="883">
        <v>1.0176169655214118</v>
      </c>
      <c r="E2031" s="883">
        <v>0.98731850741156879</v>
      </c>
      <c r="F2031" s="883">
        <v>1.0048050162843414</v>
      </c>
      <c r="G2031" s="883">
        <v>1.0162179212555302</v>
      </c>
      <c r="H2031" s="883">
        <v>1.0125019438986005</v>
      </c>
      <c r="I2031" s="883">
        <v>0.99828941055741693</v>
      </c>
      <c r="K2031">
        <v>6.7426966673487518</v>
      </c>
      <c r="L2031">
        <v>0</v>
      </c>
      <c r="M2031">
        <v>1.056282633842737E-2</v>
      </c>
      <c r="N2031">
        <v>0.19326452490910589</v>
      </c>
      <c r="O2031">
        <v>0.12104926657888614</v>
      </c>
      <c r="P2031">
        <v>8.2376946386231636E-2</v>
      </c>
      <c r="Q2031">
        <v>0</v>
      </c>
      <c r="R2031">
        <v>1.056282633842737E-2</v>
      </c>
      <c r="S2031">
        <v>0.26978865646486716</v>
      </c>
      <c r="T2031">
        <v>5.9131008585182974</v>
      </c>
      <c r="U2031">
        <v>0</v>
      </c>
      <c r="V2031">
        <v>1.9140728602655782E-2</v>
      </c>
      <c r="W2031">
        <v>0.10236536994290883</v>
      </c>
      <c r="X2031">
        <v>-1.8855228028432903E-3</v>
      </c>
      <c r="Y2031">
        <v>4.349583874864333E-2</v>
      </c>
    </row>
    <row r="2032" spans="1:25" x14ac:dyDescent="0.25">
      <c r="A2032" s="879"/>
      <c r="B2032" s="1133">
        <v>1782</v>
      </c>
      <c r="C2032" s="883">
        <v>0.99405058227069443</v>
      </c>
      <c r="D2032" s="883">
        <v>0.98530284907775656</v>
      </c>
      <c r="E2032" s="883">
        <v>1.0088573541623411</v>
      </c>
      <c r="F2032" s="883">
        <v>0.98602553985641572</v>
      </c>
      <c r="G2032" s="883">
        <v>1.0049949424370417</v>
      </c>
      <c r="H2032" s="883">
        <v>0.9745423887640996</v>
      </c>
      <c r="I2032" s="883">
        <v>1.0290221720140562</v>
      </c>
      <c r="K2032">
        <v>6.7492052887601828</v>
      </c>
      <c r="L2032">
        <v>0</v>
      </c>
      <c r="M2032">
        <v>1.0203636715121346E-2</v>
      </c>
      <c r="N2032">
        <v>0.19274673719688548</v>
      </c>
      <c r="O2032">
        <v>0.12327361775926005</v>
      </c>
      <c r="P2032">
        <v>8.3800982161807674E-2</v>
      </c>
      <c r="Q2032">
        <v>0</v>
      </c>
      <c r="R2032">
        <v>1.0203636715121346E-2</v>
      </c>
      <c r="S2032">
        <v>0.27715831959441506</v>
      </c>
      <c r="T2032">
        <v>5.9108778514439928</v>
      </c>
      <c r="U2032">
        <v>0</v>
      </c>
      <c r="V2032">
        <v>1.9187721768287827E-2</v>
      </c>
      <c r="W2032">
        <v>0.101004027639823</v>
      </c>
      <c r="X2032">
        <v>-8.6072861752639856E-4</v>
      </c>
      <c r="Y2032">
        <v>4.2016759813238727E-2</v>
      </c>
    </row>
    <row r="2033" spans="1:25" x14ac:dyDescent="0.25">
      <c r="A2033" s="879"/>
      <c r="B2033" s="1133">
        <v>1783</v>
      </c>
      <c r="C2033" s="883">
        <v>1.032754634027284</v>
      </c>
      <c r="D2033" s="883">
        <v>0.9706230025643281</v>
      </c>
      <c r="E2033" s="883">
        <v>1.0168324857204671</v>
      </c>
      <c r="F2033" s="883">
        <v>0.97723789306716635</v>
      </c>
      <c r="G2033" s="883">
        <v>1.0334740573577519</v>
      </c>
      <c r="H2033" s="883">
        <v>1.0376099169193174</v>
      </c>
      <c r="I2033" s="883">
        <v>1.0082564990428917</v>
      </c>
      <c r="K2033">
        <v>6.7444686304529533</v>
      </c>
      <c r="L2033">
        <v>0</v>
      </c>
      <c r="M2033">
        <v>1.0451159369962226E-2</v>
      </c>
      <c r="N2033">
        <v>0.19976657961258654</v>
      </c>
      <c r="O2033">
        <v>0.11922099348720615</v>
      </c>
      <c r="P2033">
        <v>8.4154293694508386E-2</v>
      </c>
      <c r="Q2033">
        <v>0</v>
      </c>
      <c r="R2033">
        <v>1.0451159369962226E-2</v>
      </c>
      <c r="S2033">
        <v>0.26742089689677673</v>
      </c>
      <c r="T2033">
        <v>5.9099493028477639</v>
      </c>
      <c r="U2033">
        <v>0</v>
      </c>
      <c r="V2033">
        <v>1.8982191004396541E-2</v>
      </c>
      <c r="W2033">
        <v>0.10427096030294664</v>
      </c>
      <c r="X2033">
        <v>-2.3326014417165098E-3</v>
      </c>
      <c r="Y2033">
        <v>4.3036014048483291E-2</v>
      </c>
    </row>
    <row r="2034" spans="1:25" x14ac:dyDescent="0.25">
      <c r="A2034" s="879"/>
      <c r="B2034" s="1133">
        <v>1784</v>
      </c>
      <c r="C2034" s="883">
        <v>0.96879924330629008</v>
      </c>
      <c r="D2034" s="883">
        <v>0.97713440364556203</v>
      </c>
      <c r="E2034" s="883">
        <v>0.9993515636353657</v>
      </c>
      <c r="F2034" s="883">
        <v>0.96878274755455618</v>
      </c>
      <c r="G2034" s="883">
        <v>0.98019607602777359</v>
      </c>
      <c r="H2034" s="883">
        <v>1.0448604089199223</v>
      </c>
      <c r="I2034" s="883">
        <v>1.034335631246128</v>
      </c>
      <c r="K2034">
        <v>6.7984977457479525</v>
      </c>
      <c r="L2034">
        <v>0</v>
      </c>
      <c r="M2034">
        <v>1.1359124158411076E-2</v>
      </c>
      <c r="N2034">
        <v>0.21157421301391346</v>
      </c>
      <c r="O2034">
        <v>0.1270945307936113</v>
      </c>
      <c r="P2034">
        <v>8.3413035079630105E-2</v>
      </c>
      <c r="Q2034">
        <v>0</v>
      </c>
      <c r="R2034">
        <v>1.1359124158411076E-2</v>
      </c>
      <c r="S2034">
        <v>0.29306519845756918</v>
      </c>
      <c r="T2034">
        <v>5.9104822632953216</v>
      </c>
      <c r="U2034">
        <v>0</v>
      </c>
      <c r="V2034">
        <v>1.9330666507862505E-2</v>
      </c>
      <c r="W2034">
        <v>0.11139385061237456</v>
      </c>
      <c r="X2034">
        <v>-4.6308634479438338E-3</v>
      </c>
      <c r="Y2034">
        <v>4.6774851435607931E-2</v>
      </c>
    </row>
    <row r="2035" spans="1:25" x14ac:dyDescent="0.25">
      <c r="A2035" s="879"/>
      <c r="B2035" s="1133">
        <v>1785</v>
      </c>
      <c r="C2035" s="883">
        <v>1.0272531674907417</v>
      </c>
      <c r="D2035" s="883">
        <v>1.0258953312357197</v>
      </c>
      <c r="E2035" s="883">
        <v>0.99616347192273791</v>
      </c>
      <c r="F2035" s="883">
        <v>0.97259584712941771</v>
      </c>
      <c r="G2035" s="883">
        <v>0.9929950758848981</v>
      </c>
      <c r="H2035" s="883">
        <v>0.99650992859267262</v>
      </c>
      <c r="I2035" s="883">
        <v>1.0216365047072293</v>
      </c>
      <c r="K2035">
        <v>6.7233327008251447</v>
      </c>
      <c r="L2035">
        <v>0</v>
      </c>
      <c r="M2035">
        <v>1.0034038689000236E-2</v>
      </c>
      <c r="N2035">
        <v>0.18601248825415601</v>
      </c>
      <c r="O2035">
        <v>0.11760778000242311</v>
      </c>
      <c r="P2035">
        <v>8.2877099319108569E-2</v>
      </c>
      <c r="Q2035">
        <v>0</v>
      </c>
      <c r="R2035">
        <v>1.0034038689000236E-2</v>
      </c>
      <c r="S2035">
        <v>0.26793559831760944</v>
      </c>
      <c r="T2035">
        <v>5.910867032209449</v>
      </c>
      <c r="U2035">
        <v>0</v>
      </c>
      <c r="V2035">
        <v>1.9010461269117745E-2</v>
      </c>
      <c r="W2035">
        <v>9.8090927222534069E-2</v>
      </c>
      <c r="X2035">
        <v>-3.8707109825232713E-4</v>
      </c>
      <c r="Y2035">
        <v>4.1318385328995295E-2</v>
      </c>
    </row>
    <row r="2036" spans="1:25" x14ac:dyDescent="0.25">
      <c r="A2036" s="879"/>
      <c r="B2036" s="1133">
        <v>1786</v>
      </c>
      <c r="C2036" s="883">
        <v>1.0192240941139752</v>
      </c>
      <c r="D2036" s="883">
        <v>0.97551470205976853</v>
      </c>
      <c r="E2036" s="883">
        <v>1.0107682135685061</v>
      </c>
      <c r="F2036" s="883">
        <v>0.98061818124228128</v>
      </c>
      <c r="G2036" s="883">
        <v>0.98519673019140885</v>
      </c>
      <c r="H2036" s="883">
        <v>1.0091841387417972</v>
      </c>
      <c r="I2036" s="883">
        <v>0.97901282979018278</v>
      </c>
      <c r="K2036">
        <v>6.7334198651422579</v>
      </c>
      <c r="L2036">
        <v>0</v>
      </c>
      <c r="M2036">
        <v>1.0332282937232732E-2</v>
      </c>
      <c r="N2036">
        <v>0.1957297719221662</v>
      </c>
      <c r="O2036">
        <v>0.12067436832426363</v>
      </c>
      <c r="P2036">
        <v>8.3687985071412771E-2</v>
      </c>
      <c r="Q2036">
        <v>0</v>
      </c>
      <c r="R2036">
        <v>1.0332282937232732E-2</v>
      </c>
      <c r="S2036">
        <v>0.26044067285931627</v>
      </c>
      <c r="T2036">
        <v>5.9104772687692888</v>
      </c>
      <c r="U2036">
        <v>0</v>
      </c>
      <c r="V2036">
        <v>1.9052267815977304E-2</v>
      </c>
      <c r="W2036">
        <v>0.10247031035449725</v>
      </c>
      <c r="X2036">
        <v>-1.6592820323889205E-3</v>
      </c>
      <c r="Y2036">
        <v>4.2546502057719489E-2</v>
      </c>
    </row>
    <row r="2037" spans="1:25" x14ac:dyDescent="0.25">
      <c r="A2037" s="879"/>
      <c r="B2037" s="1133">
        <v>1787</v>
      </c>
      <c r="C2037" s="883">
        <v>1.0045412412738923</v>
      </c>
      <c r="D2037" s="883">
        <v>1.0084361344628523</v>
      </c>
      <c r="E2037" s="883">
        <v>1.0095679475622488</v>
      </c>
      <c r="F2037" s="883">
        <v>0.9687954681118518</v>
      </c>
      <c r="G2037" s="883">
        <v>1.007913100813457</v>
      </c>
      <c r="H2037" s="883">
        <v>0.98658414972244135</v>
      </c>
      <c r="I2037" s="883">
        <v>0.99693085645213975</v>
      </c>
      <c r="K2037">
        <v>6.7325362175787751</v>
      </c>
      <c r="L2037">
        <v>0</v>
      </c>
      <c r="M2037">
        <v>1.0114440521630368E-2</v>
      </c>
      <c r="N2037">
        <v>0.19126292604815628</v>
      </c>
      <c r="O2037">
        <v>0.1208458385212404</v>
      </c>
      <c r="P2037">
        <v>8.3689625154727762E-2</v>
      </c>
      <c r="Q2037">
        <v>0</v>
      </c>
      <c r="R2037">
        <v>1.0114440521630368E-2</v>
      </c>
      <c r="S2037">
        <v>0.26662555646269659</v>
      </c>
      <c r="T2037">
        <v>5.9099065441487131</v>
      </c>
      <c r="U2037">
        <v>0</v>
      </c>
      <c r="V2037">
        <v>1.9130448422262632E-2</v>
      </c>
      <c r="W2037">
        <v>0.10019124279879862</v>
      </c>
      <c r="X2037">
        <v>-7.6542974259436749E-4</v>
      </c>
      <c r="Y2037">
        <v>4.1649465764773463E-2</v>
      </c>
    </row>
    <row r="2038" spans="1:25" x14ac:dyDescent="0.25">
      <c r="A2038" s="879"/>
      <c r="B2038" s="1133">
        <v>1788</v>
      </c>
      <c r="C2038" s="883">
        <v>0.99595010591286093</v>
      </c>
      <c r="D2038" s="883">
        <v>0.9971942881646243</v>
      </c>
      <c r="E2038" s="883">
        <v>0.99641325460776919</v>
      </c>
      <c r="F2038" s="883">
        <v>0.985530546330743</v>
      </c>
      <c r="G2038" s="883">
        <v>0.96632460938869813</v>
      </c>
      <c r="H2038" s="883">
        <v>0.97118042821916239</v>
      </c>
      <c r="I2038" s="883">
        <v>0.99812518968764896</v>
      </c>
      <c r="K2038">
        <v>6.7346525762520493</v>
      </c>
      <c r="L2038">
        <v>0</v>
      </c>
      <c r="M2038">
        <v>1.0207402509061979E-2</v>
      </c>
      <c r="N2038">
        <v>0.18929638743213503</v>
      </c>
      <c r="O2038">
        <v>0.1226842036187959</v>
      </c>
      <c r="P2038">
        <v>8.2903335866822567E-2</v>
      </c>
      <c r="Q2038">
        <v>0</v>
      </c>
      <c r="R2038">
        <v>1.0207402509061979E-2</v>
      </c>
      <c r="S2038">
        <v>0.2678737048137772</v>
      </c>
      <c r="T2038">
        <v>5.9115521176067807</v>
      </c>
      <c r="U2038">
        <v>0</v>
      </c>
      <c r="V2038">
        <v>1.9177261937035686E-2</v>
      </c>
      <c r="W2038">
        <v>9.9810241681013212E-2</v>
      </c>
      <c r="X2038">
        <v>-6.7694338671441272E-4</v>
      </c>
      <c r="Y2038">
        <v>4.2032266682399906E-2</v>
      </c>
    </row>
    <row r="2039" spans="1:25" x14ac:dyDescent="0.25">
      <c r="A2039" s="879"/>
      <c r="B2039" s="1133">
        <v>1789</v>
      </c>
      <c r="C2039" s="883">
        <v>0.97366476410980618</v>
      </c>
      <c r="D2039" s="883">
        <v>1.0170541397266162</v>
      </c>
      <c r="E2039" s="883">
        <v>0.99580636195095462</v>
      </c>
      <c r="F2039" s="883">
        <v>1.0101902495132062</v>
      </c>
      <c r="G2039" s="883">
        <v>1.0176414009770274</v>
      </c>
      <c r="H2039" s="883">
        <v>0.98156158479883315</v>
      </c>
      <c r="I2039" s="883">
        <v>1.0208094681308086</v>
      </c>
      <c r="K2039">
        <v>6.7588325675494652</v>
      </c>
      <c r="L2039">
        <v>0</v>
      </c>
      <c r="M2039">
        <v>1.0469450791814631E-2</v>
      </c>
      <c r="N2039">
        <v>0.19398153801315401</v>
      </c>
      <c r="O2039">
        <v>0.12451780224476397</v>
      </c>
      <c r="P2039">
        <v>8.3061345297911718E-2</v>
      </c>
      <c r="Q2039">
        <v>0</v>
      </c>
      <c r="R2039">
        <v>1.0469450791814631E-2</v>
      </c>
      <c r="S2039">
        <v>0.28107048720276989</v>
      </c>
      <c r="T2039">
        <v>5.9129188510013577</v>
      </c>
      <c r="U2039">
        <v>0</v>
      </c>
      <c r="V2039">
        <v>1.930254671415774E-2</v>
      </c>
      <c r="W2039">
        <v>0.10231146084748534</v>
      </c>
      <c r="X2039">
        <v>-1.4427986400525018E-3</v>
      </c>
      <c r="Y2039">
        <v>4.3111334867919772E-2</v>
      </c>
    </row>
    <row r="2040" spans="1:25" x14ac:dyDescent="0.25">
      <c r="A2040" s="879"/>
      <c r="B2040" s="1133">
        <v>1790</v>
      </c>
      <c r="C2040" s="883">
        <v>1.0280697685903963</v>
      </c>
      <c r="D2040" s="883">
        <v>0.99677130701214345</v>
      </c>
      <c r="E2040" s="883">
        <v>1.0292118871635283</v>
      </c>
      <c r="F2040" s="883">
        <v>0.97864569692143621</v>
      </c>
      <c r="G2040" s="883">
        <v>1.0401479427212206</v>
      </c>
      <c r="H2040" s="883">
        <v>0.97767861978335957</v>
      </c>
      <c r="I2040" s="883">
        <v>0.99040815145618022</v>
      </c>
      <c r="K2040">
        <v>6.7156941116254973</v>
      </c>
      <c r="L2040">
        <v>0</v>
      </c>
      <c r="M2040">
        <v>9.6748624127131252E-3</v>
      </c>
      <c r="N2040">
        <v>0.1883451750491234</v>
      </c>
      <c r="O2040">
        <v>0.11826912941562903</v>
      </c>
      <c r="P2040">
        <v>8.4793944988450567E-2</v>
      </c>
      <c r="Q2040">
        <v>0</v>
      </c>
      <c r="R2040">
        <v>9.6748624127131252E-3</v>
      </c>
      <c r="S2040">
        <v>0.25814683033042918</v>
      </c>
      <c r="T2040">
        <v>5.9093141654720425</v>
      </c>
      <c r="U2040">
        <v>0</v>
      </c>
      <c r="V2040">
        <v>1.9006245896948763E-2</v>
      </c>
      <c r="W2040">
        <v>9.7712465083530792E-2</v>
      </c>
      <c r="X2040">
        <v>2.6679403510406993E-4</v>
      </c>
      <c r="Y2040">
        <v>3.9839361354238913E-2</v>
      </c>
    </row>
    <row r="2041" spans="1:25" x14ac:dyDescent="0.25">
      <c r="A2041" s="879"/>
      <c r="B2041" s="1133">
        <v>1791</v>
      </c>
      <c r="C2041" s="883">
        <v>1.0014493567117282</v>
      </c>
      <c r="D2041" s="883">
        <v>0.97452464783397608</v>
      </c>
      <c r="E2041" s="883">
        <v>1.0144678631774218</v>
      </c>
      <c r="F2041" s="883">
        <v>0.99797566190263587</v>
      </c>
      <c r="G2041" s="883">
        <v>0.99966733961393284</v>
      </c>
      <c r="H2041" s="883">
        <v>1.0271415206414398</v>
      </c>
      <c r="I2041" s="883">
        <v>0.98358949627035985</v>
      </c>
      <c r="K2041">
        <v>6.7558001697000005</v>
      </c>
      <c r="L2041">
        <v>0</v>
      </c>
      <c r="M2041">
        <v>1.0672849919102752E-2</v>
      </c>
      <c r="N2041">
        <v>0.20329145824700756</v>
      </c>
      <c r="O2041">
        <v>0.12279574520426875</v>
      </c>
      <c r="P2041">
        <v>8.4033189245512563E-2</v>
      </c>
      <c r="Q2041">
        <v>0</v>
      </c>
      <c r="R2041">
        <v>1.0672849919102752E-2</v>
      </c>
      <c r="S2041">
        <v>0.26800089440805519</v>
      </c>
      <c r="T2041">
        <v>5.9112046604320376</v>
      </c>
      <c r="U2041">
        <v>0</v>
      </c>
      <c r="V2041">
        <v>1.9147203735395038E-2</v>
      </c>
      <c r="W2041">
        <v>0.10623470959349986</v>
      </c>
      <c r="X2041">
        <v>-2.8565874361807216E-3</v>
      </c>
      <c r="Y2041">
        <v>4.3948896270397206E-2</v>
      </c>
    </row>
    <row r="2042" spans="1:25" x14ac:dyDescent="0.25">
      <c r="A2042" s="879"/>
      <c r="B2042" s="1133">
        <v>1792</v>
      </c>
      <c r="C2042" s="883">
        <v>0.98101725325703804</v>
      </c>
      <c r="D2042" s="883">
        <v>1.0121032085382429</v>
      </c>
      <c r="E2042" s="883">
        <v>0.99770131646020366</v>
      </c>
      <c r="F2042" s="883">
        <v>1.0027601993446955</v>
      </c>
      <c r="G2042" s="883">
        <v>1.0062653557885566</v>
      </c>
      <c r="H2042" s="883">
        <v>0.98249091218297058</v>
      </c>
      <c r="I2042" s="883">
        <v>1.0226123963512046</v>
      </c>
      <c r="K2042">
        <v>6.7549609694178452</v>
      </c>
      <c r="L2042">
        <v>0</v>
      </c>
      <c r="M2042">
        <v>1.0405339571406165E-2</v>
      </c>
      <c r="N2042">
        <v>0.19333579189790837</v>
      </c>
      <c r="O2042">
        <v>0.12379006710562576</v>
      </c>
      <c r="P2042">
        <v>8.3153637618930507E-2</v>
      </c>
      <c r="Q2042">
        <v>0</v>
      </c>
      <c r="R2042">
        <v>1.0405339571406165E-2</v>
      </c>
      <c r="S2042">
        <v>0.27959603744709066</v>
      </c>
      <c r="T2042">
        <v>5.9124111266139172</v>
      </c>
      <c r="U2042">
        <v>0</v>
      </c>
      <c r="V2042">
        <v>1.9260582960001642E-2</v>
      </c>
      <c r="W2042">
        <v>0.10187482896949736</v>
      </c>
      <c r="X2042">
        <v>-1.3084394687751628E-3</v>
      </c>
      <c r="Y2042">
        <v>4.2847336273649533E-2</v>
      </c>
    </row>
    <row r="2043" spans="1:25" x14ac:dyDescent="0.25">
      <c r="A2043" s="879"/>
      <c r="B2043" s="1133">
        <v>1793</v>
      </c>
      <c r="C2043" s="883">
        <v>1.0284928846324162</v>
      </c>
      <c r="D2043" s="883">
        <v>0.97641526689105707</v>
      </c>
      <c r="E2043" s="883">
        <v>1.006876359470513</v>
      </c>
      <c r="F2043" s="883">
        <v>1.0245878784152338</v>
      </c>
      <c r="G2043" s="883">
        <v>0.98964921978882003</v>
      </c>
      <c r="H2043" s="883">
        <v>0.99292438075895906</v>
      </c>
      <c r="I2043" s="883">
        <v>1.0135171579391733</v>
      </c>
      <c r="K2043">
        <v>6.7318949655754103</v>
      </c>
      <c r="L2043">
        <v>0</v>
      </c>
      <c r="M2043">
        <v>1.0104540314602839E-2</v>
      </c>
      <c r="N2043">
        <v>0.19031577159405147</v>
      </c>
      <c r="O2043">
        <v>0.11961461110660024</v>
      </c>
      <c r="P2043">
        <v>8.3548539518113807E-2</v>
      </c>
      <c r="Q2043">
        <v>0</v>
      </c>
      <c r="R2043">
        <v>1.0104540314602839E-2</v>
      </c>
      <c r="S2043">
        <v>0.26564714265547601</v>
      </c>
      <c r="T2043">
        <v>5.9130738072464197</v>
      </c>
      <c r="U2043">
        <v>0</v>
      </c>
      <c r="V2043">
        <v>1.9004064364623992E-2</v>
      </c>
      <c r="W2043">
        <v>9.9827992455417763E-2</v>
      </c>
      <c r="X2043">
        <v>-7.4566183969724262E-4</v>
      </c>
      <c r="Y2043">
        <v>4.1608698474405258E-2</v>
      </c>
    </row>
    <row r="2044" spans="1:25" x14ac:dyDescent="0.25">
      <c r="A2044" s="879"/>
      <c r="B2044" s="1133">
        <v>1794</v>
      </c>
      <c r="C2044" s="883">
        <v>0.97770133161799211</v>
      </c>
      <c r="D2044" s="883">
        <v>1.0361148264047519</v>
      </c>
      <c r="E2044" s="883">
        <v>1.0333785799120729</v>
      </c>
      <c r="F2044" s="883">
        <v>1.0301740138204212</v>
      </c>
      <c r="G2044" s="883">
        <v>0.96836044367167362</v>
      </c>
      <c r="H2044" s="883">
        <v>0.97999629229795537</v>
      </c>
      <c r="I2044" s="883">
        <v>0.9961643848824866</v>
      </c>
      <c r="K2044">
        <v>6.7492620839538677</v>
      </c>
      <c r="L2044">
        <v>0</v>
      </c>
      <c r="M2044">
        <v>9.9932495454069983E-3</v>
      </c>
      <c r="N2044">
        <v>0.19574518171567257</v>
      </c>
      <c r="O2044">
        <v>0.12237124058451411</v>
      </c>
      <c r="P2044">
        <v>8.5295470397620171E-2</v>
      </c>
      <c r="Q2044">
        <v>0</v>
      </c>
      <c r="R2044">
        <v>9.9932495454069983E-3</v>
      </c>
      <c r="S2044">
        <v>0.2729073978244565</v>
      </c>
      <c r="T2044">
        <v>5.9118561676137196</v>
      </c>
      <c r="U2044">
        <v>0</v>
      </c>
      <c r="V2044">
        <v>1.9279430186412413E-2</v>
      </c>
      <c r="W2044">
        <v>0.10134428650864824</v>
      </c>
      <c r="X2044">
        <v>-6.8751377305542355E-4</v>
      </c>
      <c r="Y2044">
        <v>4.1150422895875262E-2</v>
      </c>
    </row>
    <row r="2045" spans="1:25" x14ac:dyDescent="0.25">
      <c r="A2045" s="879"/>
      <c r="B2045" s="1133">
        <v>1795</v>
      </c>
      <c r="C2045" s="883">
        <v>0.99521225527111279</v>
      </c>
      <c r="D2045" s="883">
        <v>1.0153926975541896</v>
      </c>
      <c r="E2045" s="883">
        <v>1.0080208848054686</v>
      </c>
      <c r="F2045" s="883">
        <v>1.0179235035641228</v>
      </c>
      <c r="G2045" s="883">
        <v>1.0053837746561605</v>
      </c>
      <c r="H2045" s="883">
        <v>1.0144442649437739</v>
      </c>
      <c r="I2045" s="883">
        <v>1.0158071114534102</v>
      </c>
      <c r="K2045">
        <v>6.7566481109782552</v>
      </c>
      <c r="L2045">
        <v>0</v>
      </c>
      <c r="M2045">
        <v>1.0480867844006567E-2</v>
      </c>
      <c r="N2045">
        <v>0.1977385952726104</v>
      </c>
      <c r="O2045">
        <v>0.12167274057882371</v>
      </c>
      <c r="P2045">
        <v>8.3767576849916925E-2</v>
      </c>
      <c r="Q2045">
        <v>0</v>
      </c>
      <c r="R2045">
        <v>1.0480867844006567E-2</v>
      </c>
      <c r="S2045">
        <v>0.27681689481740152</v>
      </c>
      <c r="T2045">
        <v>5.9126488743158729</v>
      </c>
      <c r="U2045">
        <v>0</v>
      </c>
      <c r="V2045">
        <v>1.9181320209513901E-2</v>
      </c>
      <c r="W2045">
        <v>0.1036627903559118</v>
      </c>
      <c r="X2045">
        <v>-1.999029678485963E-3</v>
      </c>
      <c r="Y2045">
        <v>4.3158348256686629E-2</v>
      </c>
    </row>
    <row r="2046" spans="1:25" x14ac:dyDescent="0.25">
      <c r="A2046" s="879"/>
      <c r="B2046" s="1133">
        <v>1796</v>
      </c>
      <c r="C2046" s="883">
        <v>1.0171636786149763</v>
      </c>
      <c r="D2046" s="883">
        <v>0.97849950291472831</v>
      </c>
      <c r="E2046" s="883">
        <v>1.0181381666525937</v>
      </c>
      <c r="F2046" s="883">
        <v>1.0381590869798911</v>
      </c>
      <c r="G2046" s="883">
        <v>0.9750534287779421</v>
      </c>
      <c r="H2046" s="883">
        <v>0.97616806547726531</v>
      </c>
      <c r="I2046" s="883">
        <v>1.0039393385847062</v>
      </c>
      <c r="K2046">
        <v>6.7318028895507274</v>
      </c>
      <c r="L2046">
        <v>0</v>
      </c>
      <c r="M2046">
        <v>9.9371098301035184E-3</v>
      </c>
      <c r="N2046">
        <v>0.19030817332838829</v>
      </c>
      <c r="O2046">
        <v>0.12063323025235263</v>
      </c>
      <c r="P2046">
        <v>8.4241029809213136E-2</v>
      </c>
      <c r="Q2046">
        <v>0</v>
      </c>
      <c r="R2046">
        <v>9.9371098301035184E-3</v>
      </c>
      <c r="S2046">
        <v>0.26449116640825115</v>
      </c>
      <c r="T2046">
        <v>5.9131660900687049</v>
      </c>
      <c r="U2046">
        <v>0</v>
      </c>
      <c r="V2046">
        <v>1.9063102601621154E-2</v>
      </c>
      <c r="W2046">
        <v>9.9270079178056317E-2</v>
      </c>
      <c r="X2046">
        <v>-2.892316366175925E-4</v>
      </c>
      <c r="Y2046">
        <v>4.0919249540752343E-2</v>
      </c>
    </row>
    <row r="2047" spans="1:25" x14ac:dyDescent="0.25">
      <c r="A2047" s="879"/>
      <c r="B2047" s="1133">
        <v>1797</v>
      </c>
      <c r="C2047" s="883">
        <v>0.95894852706626865</v>
      </c>
      <c r="D2047" s="883">
        <v>0.98518575048530665</v>
      </c>
      <c r="E2047" s="883">
        <v>1.0074317260578762</v>
      </c>
      <c r="F2047" s="883">
        <v>0.98011548537069237</v>
      </c>
      <c r="G2047" s="883">
        <v>1.0159577695451347</v>
      </c>
      <c r="H2047" s="883">
        <v>0.99030407776638929</v>
      </c>
      <c r="I2047" s="883">
        <v>0.99305581613495464</v>
      </c>
      <c r="K2047">
        <v>6.771347431703691</v>
      </c>
      <c r="L2047">
        <v>0</v>
      </c>
      <c r="M2047">
        <v>1.0762160631014057E-2</v>
      </c>
      <c r="N2047">
        <v>0.20286859531322274</v>
      </c>
      <c r="O2047">
        <v>0.1278202259654731</v>
      </c>
      <c r="P2047">
        <v>8.3733139277370514E-2</v>
      </c>
      <c r="Q2047">
        <v>0</v>
      </c>
      <c r="R2047">
        <v>1.0762160631014057E-2</v>
      </c>
      <c r="S2047">
        <v>0.27880900878395537</v>
      </c>
      <c r="T2047">
        <v>5.9106392392430953</v>
      </c>
      <c r="U2047">
        <v>0</v>
      </c>
      <c r="V2047">
        <v>1.9388471422289454E-2</v>
      </c>
      <c r="W2047">
        <v>0.10638317428257371</v>
      </c>
      <c r="X2047">
        <v>-2.6110844696226442E-3</v>
      </c>
      <c r="Y2047">
        <v>4.4316661885333862E-2</v>
      </c>
    </row>
    <row r="2048" spans="1:25" x14ac:dyDescent="0.25">
      <c r="A2048" s="879"/>
      <c r="B2048" s="1133">
        <v>1798</v>
      </c>
      <c r="C2048" s="883">
        <v>0.9921998128269347</v>
      </c>
      <c r="D2048" s="883">
        <v>0.97179863703209834</v>
      </c>
      <c r="E2048" s="883">
        <v>1.006226549756966</v>
      </c>
      <c r="F2048" s="883">
        <v>1.0428357474273637</v>
      </c>
      <c r="G2048" s="883">
        <v>1.023602978942608</v>
      </c>
      <c r="H2048" s="883">
        <v>1.0008148725797883</v>
      </c>
      <c r="I2048" s="883">
        <v>1.0119367597096716</v>
      </c>
      <c r="K2048">
        <v>6.7620436627236113</v>
      </c>
      <c r="L2048">
        <v>0</v>
      </c>
      <c r="M2048">
        <v>1.0584868428986679E-2</v>
      </c>
      <c r="N2048">
        <v>0.19917086012198859</v>
      </c>
      <c r="O2048">
        <v>0.12423765009244458</v>
      </c>
      <c r="P2048">
        <v>8.366014319926493E-2</v>
      </c>
      <c r="Q2048">
        <v>0</v>
      </c>
      <c r="R2048">
        <v>1.0584868428986679E-2</v>
      </c>
      <c r="S2048">
        <v>0.27575195953425663</v>
      </c>
      <c r="T2048">
        <v>5.9140966423911783</v>
      </c>
      <c r="U2048">
        <v>0</v>
      </c>
      <c r="V2048">
        <v>1.9197951652940966E-2</v>
      </c>
      <c r="W2048">
        <v>0.10450645981309753</v>
      </c>
      <c r="X2048">
        <v>-2.1646082357845648E-3</v>
      </c>
      <c r="Y2048">
        <v>4.3586604154220693E-2</v>
      </c>
    </row>
    <row r="2049" spans="1:25" x14ac:dyDescent="0.25">
      <c r="A2049" s="879"/>
      <c r="B2049" s="1133">
        <v>1799</v>
      </c>
      <c r="C2049" s="883">
        <v>1.0057368285771131</v>
      </c>
      <c r="D2049" s="883">
        <v>1.0003118332012937</v>
      </c>
      <c r="E2049" s="883">
        <v>0.98009916880956527</v>
      </c>
      <c r="F2049" s="883">
        <v>1.0082691414073468</v>
      </c>
      <c r="G2049" s="883">
        <v>1.0250150178161248</v>
      </c>
      <c r="H2049" s="883">
        <v>1.0379175778034555</v>
      </c>
      <c r="I2049" s="883">
        <v>1.0224363764720374</v>
      </c>
      <c r="K2049">
        <v>6.7599803083062815</v>
      </c>
      <c r="L2049">
        <v>0</v>
      </c>
      <c r="M2049">
        <v>1.0942892075994746E-2</v>
      </c>
      <c r="N2049">
        <v>0.19808591264595934</v>
      </c>
      <c r="O2049">
        <v>0.12164098089589701</v>
      </c>
      <c r="P2049">
        <v>8.2039034532379138E-2</v>
      </c>
      <c r="Q2049">
        <v>0</v>
      </c>
      <c r="R2049">
        <v>1.0942892075994746E-2</v>
      </c>
      <c r="S2049">
        <v>0.27806560092852678</v>
      </c>
      <c r="T2049">
        <v>5.9136873167165849</v>
      </c>
      <c r="U2049">
        <v>0</v>
      </c>
      <c r="V2049">
        <v>1.9123997003835696E-2</v>
      </c>
      <c r="W2049">
        <v>0.10529845886876808</v>
      </c>
      <c r="X2049">
        <v>-3.0218750924388502E-3</v>
      </c>
      <c r="Y2049">
        <v>4.5060881806766317E-2</v>
      </c>
    </row>
    <row r="2050" spans="1:25" x14ac:dyDescent="0.25">
      <c r="A2050" s="879"/>
      <c r="B2050" s="1133">
        <v>1800</v>
      </c>
      <c r="C2050" s="883">
        <v>0.98715109582025629</v>
      </c>
      <c r="D2050" s="883">
        <v>0.99555420699167108</v>
      </c>
      <c r="E2050" s="883">
        <v>1.0278124124207377</v>
      </c>
      <c r="F2050" s="883">
        <v>0.9959672280940447</v>
      </c>
      <c r="G2050" s="883">
        <v>0.98600121473847024</v>
      </c>
      <c r="H2050" s="883">
        <v>0.98100480961536995</v>
      </c>
      <c r="I2050" s="883">
        <v>1.0013163593637509</v>
      </c>
      <c r="K2050">
        <v>6.749442720621639</v>
      </c>
      <c r="L2050">
        <v>0</v>
      </c>
      <c r="M2050">
        <v>1.0127882425345255E-2</v>
      </c>
      <c r="N2050">
        <v>0.19675683556896376</v>
      </c>
      <c r="O2050">
        <v>0.12325871883682599</v>
      </c>
      <c r="P2050">
        <v>8.491478924684516E-2</v>
      </c>
      <c r="Q2050">
        <v>0</v>
      </c>
      <c r="R2050">
        <v>1.0127882425345255E-2</v>
      </c>
      <c r="S2050">
        <v>0.27213608389897814</v>
      </c>
      <c r="T2050">
        <v>5.9103306766618928</v>
      </c>
      <c r="U2050">
        <v>0</v>
      </c>
      <c r="V2050">
        <v>1.9226052816087729E-2</v>
      </c>
      <c r="W2050">
        <v>0.10214653792614276</v>
      </c>
      <c r="X2050">
        <v>-1.0317914658011305E-3</v>
      </c>
      <c r="Y2050">
        <v>4.1704817131701703E-2</v>
      </c>
    </row>
    <row r="2051" spans="1:25" x14ac:dyDescent="0.25">
      <c r="A2051" s="879"/>
      <c r="B2051" s="1133">
        <v>1801</v>
      </c>
      <c r="C2051" s="883">
        <v>1.0189933107972937</v>
      </c>
      <c r="D2051" s="883">
        <v>0.95323688767060988</v>
      </c>
      <c r="E2051" s="883">
        <v>1.0111642463695669</v>
      </c>
      <c r="F2051" s="883">
        <v>0.98253499602981242</v>
      </c>
      <c r="G2051" s="883">
        <v>1.0312364585699034</v>
      </c>
      <c r="H2051" s="883">
        <v>0.98904536139385091</v>
      </c>
      <c r="I2051" s="883">
        <v>1.0449179501041994</v>
      </c>
      <c r="K2051">
        <v>6.7479514961509768</v>
      </c>
      <c r="L2051">
        <v>0</v>
      </c>
      <c r="M2051">
        <v>1.022570488706688E-2</v>
      </c>
      <c r="N2051">
        <v>0.1938244030084354</v>
      </c>
      <c r="O2051">
        <v>0.12181477679829741</v>
      </c>
      <c r="P2051">
        <v>8.3928429260525614E-2</v>
      </c>
      <c r="Q2051">
        <v>0</v>
      </c>
      <c r="R2051">
        <v>1.022570488706688E-2</v>
      </c>
      <c r="S2051">
        <v>0.27631875750750101</v>
      </c>
      <c r="T2051">
        <v>5.9105583497295049</v>
      </c>
      <c r="U2051">
        <v>0</v>
      </c>
      <c r="V2051">
        <v>1.9053479221186085E-2</v>
      </c>
      <c r="W2051">
        <v>0.10145292666590797</v>
      </c>
      <c r="X2051">
        <v>-1.1072586577055602E-3</v>
      </c>
      <c r="Y2051">
        <v>4.2107632617322262E-2</v>
      </c>
    </row>
    <row r="2052" spans="1:25" x14ac:dyDescent="0.25">
      <c r="A2052" s="879"/>
      <c r="B2052" s="1133">
        <v>1802</v>
      </c>
      <c r="C2052" s="883">
        <v>1.0350850660812376</v>
      </c>
      <c r="D2052" s="883">
        <v>1.0072496163148219</v>
      </c>
      <c r="E2052" s="883">
        <v>1.0152377755219397</v>
      </c>
      <c r="F2052" s="883">
        <v>0.98247004903964286</v>
      </c>
      <c r="G2052" s="883">
        <v>0.98152540807882882</v>
      </c>
      <c r="H2052" s="883">
        <v>0.99094913323966738</v>
      </c>
      <c r="I2052" s="883">
        <v>0.96714440773201704</v>
      </c>
      <c r="K2052">
        <v>6.7070880134954312</v>
      </c>
      <c r="L2052">
        <v>0</v>
      </c>
      <c r="M2052">
        <v>9.8155764318740794E-3</v>
      </c>
      <c r="N2052">
        <v>0.18717565194445915</v>
      </c>
      <c r="O2052">
        <v>0.11723214164598671</v>
      </c>
      <c r="P2052">
        <v>8.3842543344379433E-2</v>
      </c>
      <c r="Q2052">
        <v>0</v>
      </c>
      <c r="R2052">
        <v>9.8155764318740794E-3</v>
      </c>
      <c r="S2052">
        <v>0.25142920710818273</v>
      </c>
      <c r="T2052">
        <v>5.9103229980464977</v>
      </c>
      <c r="U2052">
        <v>0</v>
      </c>
      <c r="V2052">
        <v>1.8970306275182501E-2</v>
      </c>
      <c r="W2052">
        <v>9.7775850883127E-2</v>
      </c>
      <c r="X2052">
        <v>-7.9482391370388675E-5</v>
      </c>
      <c r="Y2052">
        <v>4.0418796638981999E-2</v>
      </c>
    </row>
    <row r="2053" spans="1:25" x14ac:dyDescent="0.25">
      <c r="A2053" s="879"/>
      <c r="B2053" s="1133">
        <v>1803</v>
      </c>
      <c r="C2053" s="883">
        <v>1.017110063504318</v>
      </c>
      <c r="D2053" s="883">
        <v>0.97621546344206755</v>
      </c>
      <c r="E2053" s="883">
        <v>1.0171848367787903</v>
      </c>
      <c r="F2053" s="883">
        <v>0.97411222508338691</v>
      </c>
      <c r="G2053" s="883">
        <v>1.0140617818547719</v>
      </c>
      <c r="H2053" s="883">
        <v>1.0133802882297454</v>
      </c>
      <c r="I2053" s="883">
        <v>0.99373789287892278</v>
      </c>
      <c r="K2053">
        <v>6.7406127997907967</v>
      </c>
      <c r="L2053">
        <v>0</v>
      </c>
      <c r="M2053">
        <v>1.0335423995838122E-2</v>
      </c>
      <c r="N2053">
        <v>0.19765739991325157</v>
      </c>
      <c r="O2053">
        <v>0.12077029700821136</v>
      </c>
      <c r="P2053">
        <v>8.4146137814339259E-2</v>
      </c>
      <c r="Q2053">
        <v>0</v>
      </c>
      <c r="R2053">
        <v>1.0335423995838122E-2</v>
      </c>
      <c r="S2053">
        <v>0.26530096250823343</v>
      </c>
      <c r="T2053">
        <v>5.9097603031581318</v>
      </c>
      <c r="U2053">
        <v>0</v>
      </c>
      <c r="V2053">
        <v>1.9063385125039682E-2</v>
      </c>
      <c r="W2053">
        <v>0.10315211734331466</v>
      </c>
      <c r="X2053">
        <v>-1.7972394576994094E-3</v>
      </c>
      <c r="Y2053">
        <v>4.2559436377968878E-2</v>
      </c>
    </row>
    <row r="2054" spans="1:25" x14ac:dyDescent="0.25">
      <c r="A2054" s="879"/>
      <c r="B2054" s="1133">
        <v>1804</v>
      </c>
      <c r="C2054" s="883">
        <v>0.99675181219840692</v>
      </c>
      <c r="D2054" s="883">
        <v>1.0038890259080755</v>
      </c>
      <c r="E2054" s="883">
        <v>1.0145781707000978</v>
      </c>
      <c r="F2054" s="883">
        <v>0.99442188717806779</v>
      </c>
      <c r="G2054" s="883">
        <v>0.98639683509943277</v>
      </c>
      <c r="H2054" s="883">
        <v>0.99418030239532318</v>
      </c>
      <c r="I2054" s="883">
        <v>1.0017697698782217</v>
      </c>
      <c r="K2054">
        <v>6.7450802814437765</v>
      </c>
      <c r="L2054">
        <v>0</v>
      </c>
      <c r="M2054">
        <v>1.0246859655915758E-2</v>
      </c>
      <c r="N2054">
        <v>0.19520925869489511</v>
      </c>
      <c r="O2054">
        <v>0.12191599627581784</v>
      </c>
      <c r="P2054">
        <v>8.4075453195660316E-2</v>
      </c>
      <c r="Q2054">
        <v>0</v>
      </c>
      <c r="R2054">
        <v>1.0246859655915758E-2</v>
      </c>
      <c r="S2054">
        <v>0.27078288410397228</v>
      </c>
      <c r="T2054">
        <v>5.9110063615943522</v>
      </c>
      <c r="U2054">
        <v>0</v>
      </c>
      <c r="V2054">
        <v>1.917285926116442E-2</v>
      </c>
      <c r="W2054">
        <v>0.10200561183735968</v>
      </c>
      <c r="X2054">
        <v>-1.282887709479209E-3</v>
      </c>
      <c r="Y2054">
        <v>4.219474419003346E-2</v>
      </c>
    </row>
    <row r="2055" spans="1:25" x14ac:dyDescent="0.25">
      <c r="A2055" s="879"/>
      <c r="B2055" s="1133">
        <v>1805</v>
      </c>
      <c r="C2055" s="883">
        <v>0.99069400544522257</v>
      </c>
      <c r="D2055" s="883">
        <v>0.96326671103796246</v>
      </c>
      <c r="E2055" s="883">
        <v>0.9894691622852626</v>
      </c>
      <c r="F2055" s="883">
        <v>1.0222352581074154</v>
      </c>
      <c r="G2055" s="883">
        <v>1.0274108359097753</v>
      </c>
      <c r="H2055" s="883">
        <v>0.98521402786463042</v>
      </c>
      <c r="I2055" s="883">
        <v>1.0080044337907672</v>
      </c>
      <c r="K2055">
        <v>6.7547797782616907</v>
      </c>
      <c r="L2055">
        <v>0</v>
      </c>
      <c r="M2055">
        <v>1.0629682897202536E-2</v>
      </c>
      <c r="N2055">
        <v>0.19510896856253862</v>
      </c>
      <c r="O2055">
        <v>0.12518756899651159</v>
      </c>
      <c r="P2055">
        <v>8.2575365136784637E-2</v>
      </c>
      <c r="Q2055">
        <v>0</v>
      </c>
      <c r="R2055">
        <v>1.0629682897202536E-2</v>
      </c>
      <c r="S2055">
        <v>0.27364623657465398</v>
      </c>
      <c r="T2055">
        <v>5.9139235095184617</v>
      </c>
      <c r="U2055">
        <v>0</v>
      </c>
      <c r="V2055">
        <v>1.9206303004898246E-2</v>
      </c>
      <c r="W2055">
        <v>0.10323146244940319</v>
      </c>
      <c r="X2055">
        <v>-1.870778139219457E-3</v>
      </c>
      <c r="Y2055">
        <v>4.3771142157655596E-2</v>
      </c>
    </row>
    <row r="2056" spans="1:25" x14ac:dyDescent="0.25">
      <c r="A2056" s="879"/>
      <c r="B2056" s="1133">
        <v>1806</v>
      </c>
      <c r="C2056" s="883">
        <v>0.98608366318146368</v>
      </c>
      <c r="D2056" s="883">
        <v>0.97672523375010223</v>
      </c>
      <c r="E2056" s="883">
        <v>1.0047099278474965</v>
      </c>
      <c r="F2056" s="883">
        <v>1.0339419137544525</v>
      </c>
      <c r="G2056" s="883">
        <v>0.9979888731977451</v>
      </c>
      <c r="H2056" s="883">
        <v>1.000557662336393</v>
      </c>
      <c r="I2056" s="883">
        <v>1.0143279063744055</v>
      </c>
      <c r="K2056">
        <v>6.7654880561072925</v>
      </c>
      <c r="L2056">
        <v>0</v>
      </c>
      <c r="M2056">
        <v>1.0638817765699226E-2</v>
      </c>
      <c r="N2056">
        <v>0.19973690055703311</v>
      </c>
      <c r="O2056">
        <v>0.12478480112411017</v>
      </c>
      <c r="P2056">
        <v>8.359063055655569E-2</v>
      </c>
      <c r="Q2056">
        <v>0</v>
      </c>
      <c r="R2056">
        <v>1.0638817765699226E-2</v>
      </c>
      <c r="S2056">
        <v>0.27803414935845289</v>
      </c>
      <c r="T2056">
        <v>5.9137017799939828</v>
      </c>
      <c r="U2056">
        <v>0</v>
      </c>
      <c r="V2056">
        <v>1.9232030997960638E-2</v>
      </c>
      <c r="W2056">
        <v>0.1048822575353605</v>
      </c>
      <c r="X2056">
        <v>-2.2832519363456022E-3</v>
      </c>
      <c r="Y2056">
        <v>4.3808757920178992E-2</v>
      </c>
    </row>
    <row r="2057" spans="1:25" x14ac:dyDescent="0.25">
      <c r="A2057" s="879"/>
      <c r="B2057" s="1133">
        <v>1807</v>
      </c>
      <c r="C2057" s="883">
        <v>0.99545070067713992</v>
      </c>
      <c r="D2057" s="883">
        <v>0.97051143167642029</v>
      </c>
      <c r="E2057" s="883">
        <v>0.99955770044647074</v>
      </c>
      <c r="F2057" s="883">
        <v>0.99767231441230919</v>
      </c>
      <c r="G2057" s="883">
        <v>1.0478942203711781</v>
      </c>
      <c r="H2057" s="883">
        <v>1.0369148527567398</v>
      </c>
      <c r="I2057" s="883">
        <v>1.0129190129973074</v>
      </c>
      <c r="K2057">
        <v>6.7717139725958475</v>
      </c>
      <c r="L2057">
        <v>0</v>
      </c>
      <c r="M2057">
        <v>1.1000992673355059E-2</v>
      </c>
      <c r="N2057">
        <v>0.20496626943713833</v>
      </c>
      <c r="O2057">
        <v>0.1240248211542803</v>
      </c>
      <c r="P2057">
        <v>8.3251388891597417E-2</v>
      </c>
      <c r="Q2057">
        <v>0</v>
      </c>
      <c r="R2057">
        <v>1.1000992673355059E-2</v>
      </c>
      <c r="S2057">
        <v>0.2786285393098058</v>
      </c>
      <c r="T2057">
        <v>5.9120319710470959</v>
      </c>
      <c r="U2057">
        <v>0</v>
      </c>
      <c r="V2057">
        <v>1.9180008071466879E-2</v>
      </c>
      <c r="W2057">
        <v>0.10790371784430881</v>
      </c>
      <c r="X2057">
        <v>-3.5728728850263638E-3</v>
      </c>
      <c r="Y2057">
        <v>4.5300129725175269E-2</v>
      </c>
    </row>
    <row r="2058" spans="1:25" x14ac:dyDescent="0.25">
      <c r="A2058" s="879"/>
      <c r="B2058" s="1133">
        <v>1808</v>
      </c>
      <c r="C2058" s="883">
        <v>0.9958412855050538</v>
      </c>
      <c r="D2058" s="883">
        <v>1.008958135891812</v>
      </c>
      <c r="E2058" s="883">
        <v>0.99017678731605008</v>
      </c>
      <c r="F2058" s="883">
        <v>1.005311765635766</v>
      </c>
      <c r="G2058" s="883">
        <v>1.0090087097824432</v>
      </c>
      <c r="H2058" s="883">
        <v>1.0272322789665957</v>
      </c>
      <c r="I2058" s="883">
        <v>0.99304354515571835</v>
      </c>
      <c r="K2058">
        <v>6.7538419022049769</v>
      </c>
      <c r="L2058">
        <v>0</v>
      </c>
      <c r="M2058">
        <v>1.0802254421328546E-2</v>
      </c>
      <c r="N2058">
        <v>0.1984846632616292</v>
      </c>
      <c r="O2058">
        <v>0.12223992110208667</v>
      </c>
      <c r="P2058">
        <v>8.2580658125611647E-2</v>
      </c>
      <c r="Q2058">
        <v>0</v>
      </c>
      <c r="R2058">
        <v>1.0802254421328546E-2</v>
      </c>
      <c r="S2058">
        <v>0.27167445811133928</v>
      </c>
      <c r="T2058">
        <v>5.9129693956007197</v>
      </c>
      <c r="U2058">
        <v>0</v>
      </c>
      <c r="V2058">
        <v>1.9177860085071181E-2</v>
      </c>
      <c r="W2058">
        <v>0.10498047689911155</v>
      </c>
      <c r="X2058">
        <v>-2.7472919580162737E-3</v>
      </c>
      <c r="Y2058">
        <v>4.4481760977420258E-2</v>
      </c>
    </row>
    <row r="2059" spans="1:25" x14ac:dyDescent="0.25">
      <c r="A2059" s="879"/>
      <c r="B2059" s="1133">
        <v>1809</v>
      </c>
      <c r="C2059" s="883">
        <v>0.99807733841945423</v>
      </c>
      <c r="D2059" s="883">
        <v>0.97041199939645928</v>
      </c>
      <c r="E2059" s="883">
        <v>0.98457360303953934</v>
      </c>
      <c r="F2059" s="883">
        <v>0.99860050668018996</v>
      </c>
      <c r="G2059" s="883">
        <v>0.9929253359668071</v>
      </c>
      <c r="H2059" s="883">
        <v>1.0284136288418051</v>
      </c>
      <c r="I2059" s="883">
        <v>1.0105345777678252</v>
      </c>
      <c r="K2059">
        <v>6.764350985041566</v>
      </c>
      <c r="L2059">
        <v>0</v>
      </c>
      <c r="M2059">
        <v>1.1025823984903716E-2</v>
      </c>
      <c r="N2059">
        <v>0.20091628953186277</v>
      </c>
      <c r="O2059">
        <v>0.12398713362719034</v>
      </c>
      <c r="P2059">
        <v>8.2289505144977931E-2</v>
      </c>
      <c r="Q2059">
        <v>0</v>
      </c>
      <c r="R2059">
        <v>1.1025823984903716E-2</v>
      </c>
      <c r="S2059">
        <v>0.27639415118273131</v>
      </c>
      <c r="T2059">
        <v>5.9129175900349669</v>
      </c>
      <c r="U2059">
        <v>0</v>
      </c>
      <c r="V2059">
        <v>1.9165595473584412E-2</v>
      </c>
      <c r="W2059">
        <v>0.10656424481052615</v>
      </c>
      <c r="X2059">
        <v>-3.2859054105999178E-3</v>
      </c>
      <c r="Y2059">
        <v>4.5402380646323959E-2</v>
      </c>
    </row>
    <row r="2060" spans="1:25" x14ac:dyDescent="0.25">
      <c r="A2060" s="879"/>
      <c r="B2060" s="1133">
        <v>1810</v>
      </c>
      <c r="C2060" s="883">
        <v>1.0031165954505521</v>
      </c>
      <c r="D2060" s="883">
        <v>0.99919114275729248</v>
      </c>
      <c r="E2060" s="883">
        <v>1.0314331540553903</v>
      </c>
      <c r="F2060" s="883">
        <v>1.0062698163109793</v>
      </c>
      <c r="G2060" s="883">
        <v>1.0161462884937196</v>
      </c>
      <c r="H2060" s="883">
        <v>1.0011903025472393</v>
      </c>
      <c r="I2060" s="883">
        <v>0.98637583642683757</v>
      </c>
      <c r="K2060">
        <v>6.7421779503355213</v>
      </c>
      <c r="L2060">
        <v>0</v>
      </c>
      <c r="M2060">
        <v>1.0123715762016273E-2</v>
      </c>
      <c r="N2060">
        <v>0.19773138268432117</v>
      </c>
      <c r="O2060">
        <v>0.12105154233392025</v>
      </c>
      <c r="P2060">
        <v>8.5056104678370575E-2</v>
      </c>
      <c r="Q2060">
        <v>0</v>
      </c>
      <c r="R2060">
        <v>1.0123715762016273E-2</v>
      </c>
      <c r="S2060">
        <v>0.2656536923837759</v>
      </c>
      <c r="T2060">
        <v>5.9106778083220863</v>
      </c>
      <c r="U2060">
        <v>0</v>
      </c>
      <c r="V2060">
        <v>1.9138155926345605E-2</v>
      </c>
      <c r="W2060">
        <v>0.10247026882504889</v>
      </c>
      <c r="X2060">
        <v>-1.2886643721080021E-3</v>
      </c>
      <c r="Y2060">
        <v>4.1687659553751387E-2</v>
      </c>
    </row>
    <row r="2061" spans="1:25" x14ac:dyDescent="0.25">
      <c r="A2061" s="879"/>
      <c r="B2061" s="1133">
        <v>1811</v>
      </c>
      <c r="C2061" s="883">
        <v>1.0367106560048107</v>
      </c>
      <c r="D2061" s="883">
        <v>1.0136370300149211</v>
      </c>
      <c r="E2061" s="883">
        <v>0.98177696419299787</v>
      </c>
      <c r="F2061" s="883">
        <v>0.96340657182400813</v>
      </c>
      <c r="G2061" s="883">
        <v>1.0187703326077968</v>
      </c>
      <c r="H2061" s="883">
        <v>1.0236815638373382</v>
      </c>
      <c r="I2061" s="883">
        <v>0.99744341137827996</v>
      </c>
      <c r="K2061">
        <v>6.7213323885762488</v>
      </c>
      <c r="L2061">
        <v>0</v>
      </c>
      <c r="M2061">
        <v>1.0395964922249E-2</v>
      </c>
      <c r="N2061">
        <v>0.18865455641984327</v>
      </c>
      <c r="O2061">
        <v>0.11735383894675151</v>
      </c>
      <c r="P2061">
        <v>8.1893795820796714E-2</v>
      </c>
      <c r="Q2061">
        <v>0</v>
      </c>
      <c r="R2061">
        <v>1.0395964922249E-2</v>
      </c>
      <c r="S2061">
        <v>0.26173850773676349</v>
      </c>
      <c r="T2061">
        <v>5.9111696049956004</v>
      </c>
      <c r="U2061">
        <v>0</v>
      </c>
      <c r="V2061">
        <v>1.8962047732184066E-2</v>
      </c>
      <c r="W2061">
        <v>0.10020076033716473</v>
      </c>
      <c r="X2061">
        <v>-1.4494565498995445E-3</v>
      </c>
      <c r="Y2061">
        <v>4.2808733137045689E-2</v>
      </c>
    </row>
    <row r="2062" spans="1:25" x14ac:dyDescent="0.25">
      <c r="A2062" s="879"/>
      <c r="B2062" s="1133">
        <v>1812</v>
      </c>
      <c r="C2062" s="883">
        <v>0.99411504003968898</v>
      </c>
      <c r="D2062" s="883">
        <v>0.99313578274986802</v>
      </c>
      <c r="E2062" s="883">
        <v>0.98813498300575442</v>
      </c>
      <c r="F2062" s="883">
        <v>0.96464817849876183</v>
      </c>
      <c r="G2062" s="883">
        <v>1.0295844452745169</v>
      </c>
      <c r="H2062" s="883">
        <v>1.00895420721518</v>
      </c>
      <c r="I2062" s="883">
        <v>0.99087340867204088</v>
      </c>
      <c r="K2062">
        <v>6.7478897984369972</v>
      </c>
      <c r="L2062">
        <v>0</v>
      </c>
      <c r="M2062">
        <v>1.071974525353195E-2</v>
      </c>
      <c r="N2062">
        <v>0.1963732222254827</v>
      </c>
      <c r="O2062">
        <v>0.12326723009772471</v>
      </c>
      <c r="P2062">
        <v>8.2402385165749464E-2</v>
      </c>
      <c r="Q2062">
        <v>0</v>
      </c>
      <c r="R2062">
        <v>1.071974525353195E-2</v>
      </c>
      <c r="S2062">
        <v>0.27000021058889762</v>
      </c>
      <c r="T2062">
        <v>5.9108849364701292</v>
      </c>
      <c r="U2062">
        <v>0</v>
      </c>
      <c r="V2062">
        <v>1.9187366172848497E-2</v>
      </c>
      <c r="W2062">
        <v>0.10396955758304344</v>
      </c>
      <c r="X2062">
        <v>-2.3371127773966836E-3</v>
      </c>
      <c r="Y2062">
        <v>4.4142002910518285E-2</v>
      </c>
    </row>
    <row r="2063" spans="1:25" x14ac:dyDescent="0.25">
      <c r="A2063" s="879"/>
      <c r="B2063" s="1133">
        <v>1813</v>
      </c>
      <c r="C2063" s="883">
        <v>1.0038058707597812</v>
      </c>
      <c r="D2063" s="883">
        <v>0.96119709458641311</v>
      </c>
      <c r="E2063" s="883">
        <v>0.97989570802925263</v>
      </c>
      <c r="F2063" s="883">
        <v>0.95944159663002171</v>
      </c>
      <c r="G2063" s="883">
        <v>1.0004940336942718</v>
      </c>
      <c r="H2063" s="883">
        <v>0.95486912547103464</v>
      </c>
      <c r="I2063" s="883">
        <v>0.96777600038637124</v>
      </c>
      <c r="K2063">
        <v>6.7184465444455519</v>
      </c>
      <c r="L2063">
        <v>0</v>
      </c>
      <c r="M2063">
        <v>1.0262424839272243E-2</v>
      </c>
      <c r="N2063">
        <v>0.1857121694587115</v>
      </c>
      <c r="O2063">
        <v>0.1238389121660203</v>
      </c>
      <c r="P2063">
        <v>8.170710522082672E-2</v>
      </c>
      <c r="Q2063">
        <v>0</v>
      </c>
      <c r="R2063">
        <v>1.0262424839272243E-2</v>
      </c>
      <c r="S2063">
        <v>0.25649477550493449</v>
      </c>
      <c r="T2063">
        <v>5.9110589113534227</v>
      </c>
      <c r="U2063">
        <v>0</v>
      </c>
      <c r="V2063">
        <v>1.9134424132741395E-2</v>
      </c>
      <c r="W2063">
        <v>9.8730885314223027E-2</v>
      </c>
      <c r="X2063">
        <v>-4.8947754992056708E-4</v>
      </c>
      <c r="Y2063">
        <v>4.2258838844596108E-2</v>
      </c>
    </row>
    <row r="2064" spans="1:25" x14ac:dyDescent="0.25">
      <c r="A2064" s="879"/>
      <c r="B2064" s="1133">
        <v>1814</v>
      </c>
      <c r="C2064" s="883">
        <v>0.99426538485486193</v>
      </c>
      <c r="D2064" s="883">
        <v>0.95626301816104231</v>
      </c>
      <c r="E2064" s="883">
        <v>0.98555011802947956</v>
      </c>
      <c r="F2064" s="883">
        <v>0.98894278407111136</v>
      </c>
      <c r="G2064" s="883">
        <v>1.0100407652609809</v>
      </c>
      <c r="H2064" s="883">
        <v>0.97908908116630045</v>
      </c>
      <c r="I2064" s="883">
        <v>1.0072541784511242</v>
      </c>
      <c r="K2064">
        <v>6.7487264715257806</v>
      </c>
      <c r="L2064">
        <v>0</v>
      </c>
      <c r="M2064">
        <v>1.0594817647273432E-2</v>
      </c>
      <c r="N2064">
        <v>0.19334215956212561</v>
      </c>
      <c r="O2064">
        <v>0.12517727332408549</v>
      </c>
      <c r="P2064">
        <v>8.228462088281191E-2</v>
      </c>
      <c r="Q2064">
        <v>0</v>
      </c>
      <c r="R2064">
        <v>1.0594817647273432E-2</v>
      </c>
      <c r="S2064">
        <v>0.27193508687047052</v>
      </c>
      <c r="T2064">
        <v>5.9123414764470699</v>
      </c>
      <c r="U2064">
        <v>0</v>
      </c>
      <c r="V2064">
        <v>1.9186536941842816E-2</v>
      </c>
      <c r="W2064">
        <v>0.10249696786472652</v>
      </c>
      <c r="X2064">
        <v>-1.6652236315841131E-3</v>
      </c>
      <c r="Y2064">
        <v>4.3627573264230689E-2</v>
      </c>
    </row>
    <row r="2065" spans="1:25" x14ac:dyDescent="0.25">
      <c r="A2065" s="879"/>
      <c r="B2065" s="1133">
        <v>1815</v>
      </c>
      <c r="C2065" s="883">
        <v>1.0059095474041593</v>
      </c>
      <c r="D2065" s="883">
        <v>1.0268138138199889</v>
      </c>
      <c r="E2065" s="883">
        <v>1.0035958136537473</v>
      </c>
      <c r="F2065" s="883">
        <v>1.0219655452547227</v>
      </c>
      <c r="G2065" s="883">
        <v>0.98064636011293815</v>
      </c>
      <c r="H2065" s="883">
        <v>0.9546703126778161</v>
      </c>
      <c r="I2065" s="883">
        <v>1.0182050967078411</v>
      </c>
      <c r="K2065">
        <v>6.7239044318966208</v>
      </c>
      <c r="L2065">
        <v>0</v>
      </c>
      <c r="M2065">
        <v>9.7494504320460255E-3</v>
      </c>
      <c r="N2065">
        <v>0.18273783376824509</v>
      </c>
      <c r="O2065">
        <v>0.11992323149636459</v>
      </c>
      <c r="P2065">
        <v>8.3386641302762146E-2</v>
      </c>
      <c r="Q2065">
        <v>0</v>
      </c>
      <c r="R2065">
        <v>9.7494504320460255E-3</v>
      </c>
      <c r="S2065">
        <v>0.26875891437243382</v>
      </c>
      <c r="T2065">
        <v>5.9131174831299571</v>
      </c>
      <c r="U2065">
        <v>0</v>
      </c>
      <c r="V2065">
        <v>1.9123066276569182E-2</v>
      </c>
      <c r="W2065">
        <v>9.6009030326976261E-2</v>
      </c>
      <c r="X2065">
        <v>7.0172968162785941E-4</v>
      </c>
      <c r="Y2065">
        <v>4.0146501541679272E-2</v>
      </c>
    </row>
    <row r="2066" spans="1:25" x14ac:dyDescent="0.25">
      <c r="A2066" s="879"/>
      <c r="B2066" s="1133">
        <v>1816</v>
      </c>
      <c r="C2066" s="883">
        <v>1.0290249311845105</v>
      </c>
      <c r="D2066" s="883">
        <v>1.0093116696205791</v>
      </c>
      <c r="E2066" s="883">
        <v>0.97051802677444099</v>
      </c>
      <c r="F2066" s="883">
        <v>0.9731289184207117</v>
      </c>
      <c r="G2066" s="883">
        <v>1.0304090596881443</v>
      </c>
      <c r="H2066" s="883">
        <v>0.98273177766407815</v>
      </c>
      <c r="I2066" s="883">
        <v>1.0137442752692554</v>
      </c>
      <c r="K2066">
        <v>6.7155335269168948</v>
      </c>
      <c r="L2066">
        <v>0</v>
      </c>
      <c r="M2066">
        <v>1.0172366330157893E-2</v>
      </c>
      <c r="N2066">
        <v>0.18153805214346416</v>
      </c>
      <c r="O2066">
        <v>0.11863464935068214</v>
      </c>
      <c r="P2066">
        <v>8.123349636799708E-2</v>
      </c>
      <c r="Q2066">
        <v>0</v>
      </c>
      <c r="R2066">
        <v>1.0172366330157893E-2</v>
      </c>
      <c r="S2066">
        <v>0.26424153496050007</v>
      </c>
      <c r="T2066">
        <v>5.9123126407229663</v>
      </c>
      <c r="U2066">
        <v>0</v>
      </c>
      <c r="V2066">
        <v>1.9001323746751047E-2</v>
      </c>
      <c r="W2066">
        <v>9.6966912879237019E-2</v>
      </c>
      <c r="X2066">
        <v>-2.8307718858555035E-4</v>
      </c>
      <c r="Y2066">
        <v>4.1887993933880256E-2</v>
      </c>
    </row>
    <row r="2067" spans="1:25" x14ac:dyDescent="0.25">
      <c r="A2067" s="879"/>
      <c r="B2067" s="1133">
        <v>1817</v>
      </c>
      <c r="C2067" s="883">
        <v>0.98140621638818137</v>
      </c>
      <c r="D2067" s="883">
        <v>0.98182687171489491</v>
      </c>
      <c r="E2067" s="883">
        <v>0.98585723009451365</v>
      </c>
      <c r="F2067" s="883">
        <v>0.96665896174481214</v>
      </c>
      <c r="G2067" s="883">
        <v>0.96479399890569295</v>
      </c>
      <c r="H2067" s="883">
        <v>1.0099209748205986</v>
      </c>
      <c r="I2067" s="883">
        <v>0.96531362203746052</v>
      </c>
      <c r="K2067">
        <v>6.752542925372425</v>
      </c>
      <c r="L2067">
        <v>0</v>
      </c>
      <c r="M2067">
        <v>1.0944161636171177E-2</v>
      </c>
      <c r="N2067">
        <v>0.19980823462338845</v>
      </c>
      <c r="O2067">
        <v>0.12548033580818932</v>
      </c>
      <c r="P2067">
        <v>8.2218679171101691E-2</v>
      </c>
      <c r="Q2067">
        <v>0</v>
      </c>
      <c r="R2067">
        <v>1.0944161636171177E-2</v>
      </c>
      <c r="S2067">
        <v>0.26664884956969731</v>
      </c>
      <c r="T2067">
        <v>5.9111199169056894</v>
      </c>
      <c r="U2067">
        <v>0</v>
      </c>
      <c r="V2067">
        <v>1.9258380494935997E-2</v>
      </c>
      <c r="W2067">
        <v>0.10590859527245042</v>
      </c>
      <c r="X2067">
        <v>-2.9661761026258567E-3</v>
      </c>
      <c r="Y2067">
        <v>4.5066109629599595E-2</v>
      </c>
    </row>
    <row r="2068" spans="1:25" x14ac:dyDescent="0.25">
      <c r="A2068" s="879"/>
      <c r="B2068" s="1133">
        <v>1818</v>
      </c>
      <c r="C2068" s="883">
        <v>1.0204917991565632</v>
      </c>
      <c r="D2068" s="883">
        <v>1.0167655937615729</v>
      </c>
      <c r="E2068" s="883">
        <v>1.0231815196829921</v>
      </c>
      <c r="F2068" s="883">
        <v>1.0187160295108251</v>
      </c>
      <c r="G2068" s="883">
        <v>0.97088939144424613</v>
      </c>
      <c r="H2068" s="883">
        <v>1.0064671960649199</v>
      </c>
      <c r="I2068" s="883">
        <v>0.97608944695001043</v>
      </c>
      <c r="K2068">
        <v>6.7260698800485512</v>
      </c>
      <c r="L2068">
        <v>0</v>
      </c>
      <c r="M2068">
        <v>1.0001433450842021E-2</v>
      </c>
      <c r="N2068">
        <v>0.19297432547989865</v>
      </c>
      <c r="O2068">
        <v>0.11831595487266178</v>
      </c>
      <c r="P2068">
        <v>8.4459480479585874E-2</v>
      </c>
      <c r="Q2068">
        <v>0</v>
      </c>
      <c r="R2068">
        <v>1.0001433450842021E-2</v>
      </c>
      <c r="S2068">
        <v>0.2587020115714852</v>
      </c>
      <c r="T2068">
        <v>5.9118263743080357</v>
      </c>
      <c r="U2068">
        <v>0</v>
      </c>
      <c r="V2068">
        <v>1.9045623273867003E-2</v>
      </c>
      <c r="W2068">
        <v>0.10041112257744263</v>
      </c>
      <c r="X2068">
        <v>-8.491352762024486E-4</v>
      </c>
      <c r="Y2068">
        <v>4.1184122761775806E-2</v>
      </c>
    </row>
    <row r="2069" spans="1:25" x14ac:dyDescent="0.25">
      <c r="A2069" s="879"/>
      <c r="B2069" s="1133">
        <v>1819</v>
      </c>
      <c r="C2069" s="883">
        <v>0.99546911184215015</v>
      </c>
      <c r="D2069" s="883">
        <v>0.96280481841156829</v>
      </c>
      <c r="E2069" s="883">
        <v>1.017207109894019</v>
      </c>
      <c r="F2069" s="883">
        <v>1.0347507660447828</v>
      </c>
      <c r="G2069" s="883">
        <v>1.0038745395299704</v>
      </c>
      <c r="H2069" s="883">
        <v>0.96506847305632615</v>
      </c>
      <c r="I2069" s="883">
        <v>0.99474159142387419</v>
      </c>
      <c r="K2069">
        <v>6.7427839579697437</v>
      </c>
      <c r="L2069">
        <v>0</v>
      </c>
      <c r="M2069">
        <v>1.0116302041264853E-2</v>
      </c>
      <c r="N2069">
        <v>0.19347322917077639</v>
      </c>
      <c r="O2069">
        <v>0.12407999539051358</v>
      </c>
      <c r="P2069">
        <v>8.4214848486388341E-2</v>
      </c>
      <c r="Q2069">
        <v>0</v>
      </c>
      <c r="R2069">
        <v>1.0116302041264853E-2</v>
      </c>
      <c r="S2069">
        <v>0.26687391432508861</v>
      </c>
      <c r="T2069">
        <v>5.913035209068938</v>
      </c>
      <c r="U2069">
        <v>0</v>
      </c>
      <c r="V2069">
        <v>1.9179906783054063E-2</v>
      </c>
      <c r="W2069">
        <v>0.10096740134938005</v>
      </c>
      <c r="X2069">
        <v>-6.9767777569062128E-4</v>
      </c>
      <c r="Y2069">
        <v>4.1657131171290128E-2</v>
      </c>
    </row>
    <row r="2070" spans="1:25" x14ac:dyDescent="0.25">
      <c r="A2070" s="879"/>
      <c r="B2070" s="1133">
        <v>1820</v>
      </c>
      <c r="C2070" s="883">
        <v>0.97399329053877604</v>
      </c>
      <c r="D2070" s="883">
        <v>0.98249095176882861</v>
      </c>
      <c r="E2070" s="883">
        <v>1.0354738423649661</v>
      </c>
      <c r="F2070" s="883">
        <v>1.0044044787688482</v>
      </c>
      <c r="G2070" s="883">
        <v>0.99931966757412005</v>
      </c>
      <c r="H2070" s="883">
        <v>1.0180676840270966</v>
      </c>
      <c r="I2070" s="883">
        <v>1.021385747966459</v>
      </c>
      <c r="K2070">
        <v>6.7838706646822482</v>
      </c>
      <c r="L2070">
        <v>0</v>
      </c>
      <c r="M2070">
        <v>1.0641265673038958E-2</v>
      </c>
      <c r="N2070">
        <v>0.20908471996652606</v>
      </c>
      <c r="O2070">
        <v>0.12543494122151452</v>
      </c>
      <c r="P2070">
        <v>8.5574926860927103E-2</v>
      </c>
      <c r="Q2070">
        <v>0</v>
      </c>
      <c r="R2070">
        <v>1.0641265673038958E-2</v>
      </c>
      <c r="S2070">
        <v>0.28517885978804425</v>
      </c>
      <c r="T2070">
        <v>5.9103425235455243</v>
      </c>
      <c r="U2070">
        <v>0</v>
      </c>
      <c r="V2070">
        <v>1.9300658153513599E-2</v>
      </c>
      <c r="W2070">
        <v>0.10813962911570726</v>
      </c>
      <c r="X2070">
        <v>-3.0044319363993059E-3</v>
      </c>
      <c r="Y2070">
        <v>4.3818837966892746E-2</v>
      </c>
    </row>
    <row r="2071" spans="1:25" x14ac:dyDescent="0.25">
      <c r="A2071" s="879"/>
      <c r="B2071" s="1133">
        <v>1821</v>
      </c>
      <c r="C2071" s="883">
        <v>0.9999756508189348</v>
      </c>
      <c r="D2071" s="883">
        <v>1.0182268348186514</v>
      </c>
      <c r="E2071" s="883">
        <v>1.0372026246038135</v>
      </c>
      <c r="F2071" s="883">
        <v>0.99654151382409861</v>
      </c>
      <c r="G2071" s="883">
        <v>0.97723729432700146</v>
      </c>
      <c r="H2071" s="883">
        <v>0.99879392132485334</v>
      </c>
      <c r="I2071" s="883">
        <v>1.0223885119665543</v>
      </c>
      <c r="K2071">
        <v>6.7497268606970096</v>
      </c>
      <c r="L2071">
        <v>0</v>
      </c>
      <c r="M2071">
        <v>9.9989621218708642E-3</v>
      </c>
      <c r="N2071">
        <v>0.19696689731819711</v>
      </c>
      <c r="O2071">
        <v>0.12040948456910822</v>
      </c>
      <c r="P2071">
        <v>8.5545002826196218E-2</v>
      </c>
      <c r="Q2071">
        <v>0</v>
      </c>
      <c r="R2071">
        <v>9.9989621218708642E-3</v>
      </c>
      <c r="S2071">
        <v>0.27580892763806314</v>
      </c>
      <c r="T2071">
        <v>5.9098172253745114</v>
      </c>
      <c r="U2071">
        <v>0</v>
      </c>
      <c r="V2071">
        <v>1.9155226396444534E-2</v>
      </c>
      <c r="W2071">
        <v>0.1017860927049155</v>
      </c>
      <c r="X2071">
        <v>-9.3594239937783131E-4</v>
      </c>
      <c r="Y2071">
        <v>4.1173946268952752E-2</v>
      </c>
    </row>
    <row r="2072" spans="1:25" x14ac:dyDescent="0.25">
      <c r="A2072" s="879"/>
      <c r="B2072" s="1133">
        <v>1822</v>
      </c>
      <c r="C2072" s="883">
        <v>0.99662657827831325</v>
      </c>
      <c r="D2072" s="883">
        <v>0.97797620100894456</v>
      </c>
      <c r="E2072" s="883">
        <v>1.0084850368373464</v>
      </c>
      <c r="F2072" s="883">
        <v>1.0143783075778805</v>
      </c>
      <c r="G2072" s="883">
        <v>0.98172930235885147</v>
      </c>
      <c r="H2072" s="883">
        <v>1.0321911613253318</v>
      </c>
      <c r="I2072" s="883">
        <v>0.98178037877070479</v>
      </c>
      <c r="K2072">
        <v>6.7604573882901828</v>
      </c>
      <c r="L2072">
        <v>0</v>
      </c>
      <c r="M2072">
        <v>1.0817356367724762E-2</v>
      </c>
      <c r="N2072">
        <v>0.20422729715258026</v>
      </c>
      <c r="O2072">
        <v>0.12332971268636085</v>
      </c>
      <c r="P2072">
        <v>8.3691336371307962E-2</v>
      </c>
      <c r="Q2072">
        <v>0</v>
      </c>
      <c r="R2072">
        <v>1.0817356367724762E-2</v>
      </c>
      <c r="S2072">
        <v>0.26922465935291312</v>
      </c>
      <c r="T2072">
        <v>5.9124310038086243</v>
      </c>
      <c r="U2072">
        <v>0</v>
      </c>
      <c r="V2072">
        <v>1.9173546532953313E-2</v>
      </c>
      <c r="W2072">
        <v>0.10703984366286765</v>
      </c>
      <c r="X2072">
        <v>-3.2039593820649202E-3</v>
      </c>
      <c r="Y2072">
        <v>4.4543948104633642E-2</v>
      </c>
    </row>
    <row r="2073" spans="1:25" x14ac:dyDescent="0.25">
      <c r="A2073" s="879"/>
      <c r="B2073" s="1133">
        <v>1823</v>
      </c>
      <c r="C2073" s="883">
        <v>0.98340769518557281</v>
      </c>
      <c r="D2073" s="883">
        <v>0.9943415315514853</v>
      </c>
      <c r="E2073" s="883">
        <v>0.9671840420573653</v>
      </c>
      <c r="F2073" s="883">
        <v>0.98235386915296952</v>
      </c>
      <c r="G2073" s="883">
        <v>0.99856648570982853</v>
      </c>
      <c r="H2073" s="883">
        <v>0.97754395350982282</v>
      </c>
      <c r="I2073" s="883">
        <v>1.0137936539619423</v>
      </c>
      <c r="K2073">
        <v>6.7482819386439203</v>
      </c>
      <c r="L2073">
        <v>0</v>
      </c>
      <c r="M2073">
        <v>1.0686994151799236E-2</v>
      </c>
      <c r="N2073">
        <v>0.18978033424829294</v>
      </c>
      <c r="O2073">
        <v>0.12494466942442886</v>
      </c>
      <c r="P2073">
        <v>8.1190945138396892E-2</v>
      </c>
      <c r="Q2073">
        <v>0</v>
      </c>
      <c r="R2073">
        <v>1.0686994151799236E-2</v>
      </c>
      <c r="S2073">
        <v>0.27614394356489963</v>
      </c>
      <c r="T2073">
        <v>5.9129929110258193</v>
      </c>
      <c r="U2073">
        <v>0</v>
      </c>
      <c r="V2073">
        <v>1.9247074868587816E-2</v>
      </c>
      <c r="W2073">
        <v>0.10153959131899695</v>
      </c>
      <c r="X2073">
        <v>-1.5646706485724299E-3</v>
      </c>
      <c r="Y2073">
        <v>4.4007139703061776E-2</v>
      </c>
    </row>
    <row r="2074" spans="1:25" x14ac:dyDescent="0.25">
      <c r="A2074" s="879"/>
      <c r="B2074" s="1133">
        <v>1824</v>
      </c>
      <c r="C2074" s="883">
        <v>1.0121348310622678</v>
      </c>
      <c r="D2074" s="883">
        <v>0.98965778327726306</v>
      </c>
      <c r="E2074" s="883">
        <v>1.0398034779756411</v>
      </c>
      <c r="F2074" s="883">
        <v>1.0122240752351106</v>
      </c>
      <c r="G2074" s="883">
        <v>1.0128582083570856</v>
      </c>
      <c r="H2074" s="883">
        <v>1.0186366237302298</v>
      </c>
      <c r="I2074" s="883">
        <v>1.0098479241888665</v>
      </c>
      <c r="K2074">
        <v>6.7520882164473415</v>
      </c>
      <c r="L2074">
        <v>0</v>
      </c>
      <c r="M2074">
        <v>1.0175401820700947E-2</v>
      </c>
      <c r="N2074">
        <v>0.2012141493225123</v>
      </c>
      <c r="O2074">
        <v>0.12027568439944882</v>
      </c>
      <c r="P2074">
        <v>8.5654355942990409E-2</v>
      </c>
      <c r="Q2074">
        <v>0</v>
      </c>
      <c r="R2074">
        <v>1.0175401820700947E-2</v>
      </c>
      <c r="S2074">
        <v>0.27131267358768063</v>
      </c>
      <c r="T2074">
        <v>5.9105125686431839</v>
      </c>
      <c r="U2074">
        <v>0</v>
      </c>
      <c r="V2074">
        <v>1.9089732241716117E-2</v>
      </c>
      <c r="W2074">
        <v>0.1038488044582196</v>
      </c>
      <c r="X2074">
        <v>-1.72024569205744E-3</v>
      </c>
      <c r="Y2074">
        <v>4.1900493543639374E-2</v>
      </c>
    </row>
    <row r="2075" spans="1:25" x14ac:dyDescent="0.25">
      <c r="A2075" s="879"/>
      <c r="B2075" s="1133">
        <v>1825</v>
      </c>
      <c r="C2075" s="883">
        <v>0.9756679015251607</v>
      </c>
      <c r="D2075" s="883">
        <v>1.0106913559055908</v>
      </c>
      <c r="E2075" s="883">
        <v>0.97522295448497776</v>
      </c>
      <c r="F2075" s="883">
        <v>0.9999005169841253</v>
      </c>
      <c r="G2075" s="883">
        <v>0.99516367094629765</v>
      </c>
      <c r="H2075" s="883">
        <v>0.99554978110746672</v>
      </c>
      <c r="I2075" s="883">
        <v>1.0130811568437539</v>
      </c>
      <c r="K2075">
        <v>6.7596134346265648</v>
      </c>
      <c r="L2075">
        <v>0</v>
      </c>
      <c r="M2075">
        <v>1.0817830894207632E-2</v>
      </c>
      <c r="N2075">
        <v>0.19441022828995824</v>
      </c>
      <c r="O2075">
        <v>0.12496536870637392</v>
      </c>
      <c r="P2075">
        <v>8.1753252636658946E-2</v>
      </c>
      <c r="Q2075">
        <v>0</v>
      </c>
      <c r="R2075">
        <v>1.0817830894207632E-2</v>
      </c>
      <c r="S2075">
        <v>0.27975420665804895</v>
      </c>
      <c r="T2075">
        <v>5.913502860632736</v>
      </c>
      <c r="U2075">
        <v>0</v>
      </c>
      <c r="V2075">
        <v>1.9291051281730039E-2</v>
      </c>
      <c r="W2075">
        <v>0.10359741261567834</v>
      </c>
      <c r="X2075">
        <v>-2.2068483148490552E-3</v>
      </c>
      <c r="Y2075">
        <v>4.4545902120227555E-2</v>
      </c>
    </row>
    <row r="2076" spans="1:25" x14ac:dyDescent="0.25">
      <c r="A2076" s="879"/>
      <c r="B2076" s="1133">
        <v>1826</v>
      </c>
      <c r="C2076" s="883">
        <v>0.98483152935394092</v>
      </c>
      <c r="D2076" s="883">
        <v>0.99871684856939469</v>
      </c>
      <c r="E2076" s="883">
        <v>0.9734579196403258</v>
      </c>
      <c r="F2076" s="883">
        <v>1.0078520583723527</v>
      </c>
      <c r="G2076" s="883">
        <v>1.0000672631919099</v>
      </c>
      <c r="H2076" s="883">
        <v>1.0018861781732165</v>
      </c>
      <c r="I2076" s="883">
        <v>1.006620609017729</v>
      </c>
      <c r="K2076">
        <v>6.7561580851106902</v>
      </c>
      <c r="L2076">
        <v>0</v>
      </c>
      <c r="M2076">
        <v>1.085725540710614E-2</v>
      </c>
      <c r="N2076">
        <v>0.19460822508525347</v>
      </c>
      <c r="O2076">
        <v>0.1244274059281532</v>
      </c>
      <c r="P2076">
        <v>8.1600152139892509E-2</v>
      </c>
      <c r="Q2076">
        <v>0</v>
      </c>
      <c r="R2076">
        <v>1.085725540710614E-2</v>
      </c>
      <c r="S2076">
        <v>0.2761096192406336</v>
      </c>
      <c r="T2076">
        <v>5.9140294235928605</v>
      </c>
      <c r="U2076">
        <v>0</v>
      </c>
      <c r="V2076">
        <v>1.9239060119970123E-2</v>
      </c>
      <c r="W2076">
        <v>0.10379482382076057</v>
      </c>
      <c r="X2076">
        <v>-2.3588700638707849E-3</v>
      </c>
      <c r="Y2076">
        <v>4.4708245247041888E-2</v>
      </c>
    </row>
    <row r="2077" spans="1:25" x14ac:dyDescent="0.25">
      <c r="A2077" s="879"/>
      <c r="B2077" s="1133">
        <v>1827</v>
      </c>
      <c r="C2077" s="883">
        <v>0.95844080136144105</v>
      </c>
      <c r="D2077" s="883">
        <v>0.98375189279932462</v>
      </c>
      <c r="E2077" s="883">
        <v>1.0258159784229692</v>
      </c>
      <c r="F2077" s="883">
        <v>0.99891606937047572</v>
      </c>
      <c r="G2077" s="883">
        <v>1.0200809963763884</v>
      </c>
      <c r="H2077" s="883">
        <v>1.0300411694173848</v>
      </c>
      <c r="I2077" s="883">
        <v>1.0303909584085924</v>
      </c>
      <c r="K2077">
        <v>6.8022060679148275</v>
      </c>
      <c r="L2077">
        <v>0</v>
      </c>
      <c r="M2077">
        <v>1.1028064908775283E-2</v>
      </c>
      <c r="N2077">
        <v>0.21361342037974437</v>
      </c>
      <c r="O2077">
        <v>0.12759779524519843</v>
      </c>
      <c r="P2077">
        <v>8.5088258443048487E-2</v>
      </c>
      <c r="Q2077">
        <v>0</v>
      </c>
      <c r="R2077">
        <v>1.1028064908775283E-2</v>
      </c>
      <c r="S2077">
        <v>0.29355019810013644</v>
      </c>
      <c r="T2077">
        <v>5.9106051141917364</v>
      </c>
      <c r="U2077">
        <v>0</v>
      </c>
      <c r="V2077">
        <v>1.9391483003661249E-2</v>
      </c>
      <c r="W2077">
        <v>0.11100646377313329</v>
      </c>
      <c r="X2077">
        <v>-4.0582735937962147E-3</v>
      </c>
      <c r="Y2077">
        <v>4.5411608371957485E-2</v>
      </c>
    </row>
    <row r="2078" spans="1:25" x14ac:dyDescent="0.25">
      <c r="A2078" s="879"/>
      <c r="B2078" s="1133">
        <v>1828</v>
      </c>
      <c r="C2078" s="883">
        <v>1.0033189568820846</v>
      </c>
      <c r="D2078" s="883">
        <v>0.98885993766124014</v>
      </c>
      <c r="E2078" s="883">
        <v>0.97977657764003223</v>
      </c>
      <c r="F2078" s="883">
        <v>1.0236673661945406</v>
      </c>
      <c r="G2078" s="883">
        <v>1.008001757275937</v>
      </c>
      <c r="H2078" s="883">
        <v>0.98913395909135637</v>
      </c>
      <c r="I2078" s="883">
        <v>0.99492870844540438</v>
      </c>
      <c r="K2078">
        <v>6.7379170006189542</v>
      </c>
      <c r="L2078">
        <v>0</v>
      </c>
      <c r="M2078">
        <v>1.0508339696754252E-2</v>
      </c>
      <c r="N2078">
        <v>0.19012871562496592</v>
      </c>
      <c r="O2078">
        <v>0.12250300669517272</v>
      </c>
      <c r="P2078">
        <v>8.1881273290054998E-2</v>
      </c>
      <c r="Q2078">
        <v>0</v>
      </c>
      <c r="R2078">
        <v>1.0508339696754252E-2</v>
      </c>
      <c r="S2078">
        <v>0.26678798387205543</v>
      </c>
      <c r="T2078">
        <v>5.9145375154445397</v>
      </c>
      <c r="U2078">
        <v>0</v>
      </c>
      <c r="V2078">
        <v>1.9137059793098484E-2</v>
      </c>
      <c r="W2078">
        <v>0.10108490090075932</v>
      </c>
      <c r="X2078">
        <v>-1.4149274581914974E-3</v>
      </c>
      <c r="Y2078">
        <v>4.3271472456494084E-2</v>
      </c>
    </row>
    <row r="2079" spans="1:25" x14ac:dyDescent="0.25">
      <c r="A2079" s="879"/>
      <c r="B2079" s="1133">
        <v>1829</v>
      </c>
      <c r="C2079" s="883">
        <v>1.0016714643869522</v>
      </c>
      <c r="D2079" s="883">
        <v>1.034777849634795</v>
      </c>
      <c r="E2079" s="883">
        <v>1.0417272541004541</v>
      </c>
      <c r="F2079" s="883">
        <v>1.0112522340380379</v>
      </c>
      <c r="G2079" s="883">
        <v>0.97030715384750521</v>
      </c>
      <c r="H2079" s="883">
        <v>0.99637638826216257</v>
      </c>
      <c r="I2079" s="883">
        <v>1.0087340289550628</v>
      </c>
      <c r="K2079">
        <v>6.7419827986003877</v>
      </c>
      <c r="L2079">
        <v>0</v>
      </c>
      <c r="M2079">
        <v>9.8502292583720064E-3</v>
      </c>
      <c r="N2079">
        <v>0.1953382609396736</v>
      </c>
      <c r="O2079">
        <v>0.11934780359059424</v>
      </c>
      <c r="P2079">
        <v>8.5772876735375259E-2</v>
      </c>
      <c r="Q2079">
        <v>0</v>
      </c>
      <c r="R2079">
        <v>9.8502292583720064E-3</v>
      </c>
      <c r="S2079">
        <v>0.27129583122597117</v>
      </c>
      <c r="T2079">
        <v>5.91034764795429</v>
      </c>
      <c r="U2079">
        <v>0</v>
      </c>
      <c r="V2079">
        <v>1.9145996657453063E-2</v>
      </c>
      <c r="W2079">
        <v>0.10072150824535152</v>
      </c>
      <c r="X2079">
        <v>-5.4861755885309428E-4</v>
      </c>
      <c r="Y2079">
        <v>4.0561490810527255E-2</v>
      </c>
    </row>
    <row r="2080" spans="1:25" x14ac:dyDescent="0.25">
      <c r="A2080" s="879"/>
      <c r="B2080" s="1133">
        <v>1830</v>
      </c>
      <c r="C2080" s="883">
        <v>1.0270456191387267</v>
      </c>
      <c r="D2080" s="883">
        <v>1.0285634134801205</v>
      </c>
      <c r="E2080" s="883">
        <v>1.0010120560523885</v>
      </c>
      <c r="F2080" s="883">
        <v>1.0041360404568305</v>
      </c>
      <c r="G2080" s="883">
        <v>0.96354491672156251</v>
      </c>
      <c r="H2080" s="883">
        <v>0.9935607405392215</v>
      </c>
      <c r="I2080" s="883">
        <v>0.97734424427080713</v>
      </c>
      <c r="K2080">
        <v>6.7122101775338496</v>
      </c>
      <c r="L2080">
        <v>0</v>
      </c>
      <c r="M2080">
        <v>9.9530104704733963E-3</v>
      </c>
      <c r="N2080">
        <v>0.18584064054277058</v>
      </c>
      <c r="O2080">
        <v>0.11742198124732137</v>
      </c>
      <c r="P2080">
        <v>8.3042094750759771E-2</v>
      </c>
      <c r="Q2080">
        <v>0</v>
      </c>
      <c r="R2080">
        <v>9.9530104704733963E-3</v>
      </c>
      <c r="S2080">
        <v>0.25609515790403659</v>
      </c>
      <c r="T2080">
        <v>5.9122995286005064</v>
      </c>
      <c r="U2080">
        <v>0</v>
      </c>
      <c r="V2080">
        <v>1.9011533721718651E-2</v>
      </c>
      <c r="W2080">
        <v>9.7764471985410606E-2</v>
      </c>
      <c r="X2080">
        <v>-2.4995676626324466E-4</v>
      </c>
      <c r="Y2080">
        <v>4.0984725547587017E-2</v>
      </c>
    </row>
    <row r="2081" spans="1:25" x14ac:dyDescent="0.25">
      <c r="A2081" s="879"/>
      <c r="B2081" s="1133">
        <v>1831</v>
      </c>
      <c r="C2081" s="883">
        <v>0.97839514884444923</v>
      </c>
      <c r="D2081" s="883">
        <v>1.0030473263414998</v>
      </c>
      <c r="E2081" s="883">
        <v>0.99258626913958292</v>
      </c>
      <c r="F2081" s="883">
        <v>1.0175410176644188</v>
      </c>
      <c r="G2081" s="883">
        <v>0.99163202584897991</v>
      </c>
      <c r="H2081" s="883">
        <v>0.97423179165478346</v>
      </c>
      <c r="I2081" s="883">
        <v>1.0278952821561349</v>
      </c>
      <c r="K2081">
        <v>6.7570858588450795</v>
      </c>
      <c r="L2081">
        <v>0</v>
      </c>
      <c r="M2081">
        <v>1.0431897590881456E-2</v>
      </c>
      <c r="N2081">
        <v>0.19236546961053316</v>
      </c>
      <c r="O2081">
        <v>0.12466648508794213</v>
      </c>
      <c r="P2081">
        <v>8.286555459923671E-2</v>
      </c>
      <c r="Q2081">
        <v>0</v>
      </c>
      <c r="R2081">
        <v>1.0431897590881456E-2</v>
      </c>
      <c r="S2081">
        <v>0.28105359008584002</v>
      </c>
      <c r="T2081">
        <v>5.9134961086855489</v>
      </c>
      <c r="U2081">
        <v>0</v>
      </c>
      <c r="V2081">
        <v>1.9275476059338333E-2</v>
      </c>
      <c r="W2081">
        <v>0.10162186950454299</v>
      </c>
      <c r="X2081">
        <v>-1.2153922585981312E-3</v>
      </c>
      <c r="Y2081">
        <v>4.2956697470697552E-2</v>
      </c>
    </row>
    <row r="2082" spans="1:25" x14ac:dyDescent="0.25">
      <c r="A2082" s="879"/>
      <c r="B2082" s="1133">
        <v>1832</v>
      </c>
      <c r="C2082" s="883">
        <v>0.99908561967483622</v>
      </c>
      <c r="D2082" s="883">
        <v>0.97355852907601603</v>
      </c>
      <c r="E2082" s="883">
        <v>1.0159914102592784</v>
      </c>
      <c r="F2082" s="883">
        <v>1.0244278973450793</v>
      </c>
      <c r="G2082" s="883">
        <v>0.99738901079920017</v>
      </c>
      <c r="H2082" s="883">
        <v>1.0001329672066293</v>
      </c>
      <c r="I2082" s="883">
        <v>1.0073383379328773</v>
      </c>
      <c r="K2082">
        <v>6.7550159642306147</v>
      </c>
      <c r="L2082">
        <v>0</v>
      </c>
      <c r="M2082">
        <v>1.0407342957645964E-2</v>
      </c>
      <c r="N2082">
        <v>0.19868164148176026</v>
      </c>
      <c r="O2082">
        <v>0.12310601751276871</v>
      </c>
      <c r="P2082">
        <v>8.4208578381873678E-2</v>
      </c>
      <c r="Q2082">
        <v>0</v>
      </c>
      <c r="R2082">
        <v>1.0407342957645964E-2</v>
      </c>
      <c r="S2082">
        <v>0.27253874656433352</v>
      </c>
      <c r="T2082">
        <v>5.9125469468552696</v>
      </c>
      <c r="U2082">
        <v>0</v>
      </c>
      <c r="V2082">
        <v>1.9160083072220686E-2</v>
      </c>
      <c r="W2082">
        <v>0.10374769927810497</v>
      </c>
      <c r="X2082">
        <v>-1.8293347773128642E-3</v>
      </c>
      <c r="Y2082">
        <v>4.2855585861595588E-2</v>
      </c>
    </row>
    <row r="2083" spans="1:25" x14ac:dyDescent="0.25">
      <c r="A2083" s="879"/>
      <c r="B2083" s="1133">
        <v>1833</v>
      </c>
      <c r="C2083" s="883">
        <v>1.0077286277483641</v>
      </c>
      <c r="D2083" s="883">
        <v>0.96202817069129598</v>
      </c>
      <c r="E2083" s="883">
        <v>0.96009901080544513</v>
      </c>
      <c r="F2083" s="883">
        <v>1.0093559151728044</v>
      </c>
      <c r="G2083" s="883">
        <v>0.97768757466054002</v>
      </c>
      <c r="H2083" s="883">
        <v>0.98689718407950078</v>
      </c>
      <c r="I2083" s="883">
        <v>0.98438562259728712</v>
      </c>
      <c r="K2083">
        <v>6.7337605610290145</v>
      </c>
      <c r="L2083">
        <v>0</v>
      </c>
      <c r="M2083">
        <v>1.0745062895281012E-2</v>
      </c>
      <c r="N2083">
        <v>0.18881382201381991</v>
      </c>
      <c r="O2083">
        <v>0.12368257926390573</v>
      </c>
      <c r="P2083">
        <v>8.0592491038460251E-2</v>
      </c>
      <c r="Q2083">
        <v>0</v>
      </c>
      <c r="R2083">
        <v>1.0745062895281012E-2</v>
      </c>
      <c r="S2083">
        <v>0.26283874511217969</v>
      </c>
      <c r="T2083">
        <v>5.9148367033901126</v>
      </c>
      <c r="U2083">
        <v>0</v>
      </c>
      <c r="V2083">
        <v>1.9113283201281871E-2</v>
      </c>
      <c r="W2083">
        <v>0.10138390320927376</v>
      </c>
      <c r="X2083">
        <v>-1.7472226528905067E-3</v>
      </c>
      <c r="Y2083">
        <v>4.4246256452868678E-2</v>
      </c>
    </row>
    <row r="2084" spans="1:25" x14ac:dyDescent="0.25">
      <c r="A2084" s="879"/>
      <c r="B2084" s="1133">
        <v>1834</v>
      </c>
      <c r="C2084" s="883">
        <v>1.0109813194134469</v>
      </c>
      <c r="D2084" s="883">
        <v>0.960047237685143</v>
      </c>
      <c r="E2084" s="883">
        <v>1.044910374431812</v>
      </c>
      <c r="F2084" s="883">
        <v>1.0017953833825124</v>
      </c>
      <c r="G2084" s="883">
        <v>0.97429884232218755</v>
      </c>
      <c r="H2084" s="883">
        <v>1.0122155912821942</v>
      </c>
      <c r="I2084" s="883">
        <v>1.0145017184589102</v>
      </c>
      <c r="K2084">
        <v>6.7574464057299615</v>
      </c>
      <c r="L2084">
        <v>0</v>
      </c>
      <c r="M2084">
        <v>1.0209636624024467E-2</v>
      </c>
      <c r="N2084">
        <v>0.20341956913778642</v>
      </c>
      <c r="O2084">
        <v>0.12178681883702698</v>
      </c>
      <c r="P2084">
        <v>8.5979701779964751E-2</v>
      </c>
      <c r="Q2084">
        <v>0</v>
      </c>
      <c r="R2084">
        <v>1.0209636624024467E-2</v>
      </c>
      <c r="S2084">
        <v>0.27261409330214414</v>
      </c>
      <c r="T2084">
        <v>5.9096504630081803</v>
      </c>
      <c r="U2084">
        <v>0</v>
      </c>
      <c r="V2084">
        <v>1.9095877873331855E-2</v>
      </c>
      <c r="W2084">
        <v>0.10472566282375909</v>
      </c>
      <c r="X2084">
        <v>-1.8672474023892674E-3</v>
      </c>
      <c r="Y2084">
        <v>4.20414663701578E-2</v>
      </c>
    </row>
    <row r="2085" spans="1:25" x14ac:dyDescent="0.25">
      <c r="A2085" s="879"/>
      <c r="B2085" s="1133">
        <v>1835</v>
      </c>
      <c r="C2085" s="883">
        <v>1.010340468644817</v>
      </c>
      <c r="D2085" s="883">
        <v>0.98988975944765478</v>
      </c>
      <c r="E2085" s="883">
        <v>0.99929885850118216</v>
      </c>
      <c r="F2085" s="883">
        <v>1.0118469675979038</v>
      </c>
      <c r="G2085" s="883">
        <v>1.0033175985731655</v>
      </c>
      <c r="H2085" s="883">
        <v>0.97389564708116705</v>
      </c>
      <c r="I2085" s="883">
        <v>1.0081158783381308</v>
      </c>
      <c r="K2085">
        <v>6.7314668792158878</v>
      </c>
      <c r="L2085">
        <v>0</v>
      </c>
      <c r="M2085">
        <v>1.0096503657271497E-2</v>
      </c>
      <c r="N2085">
        <v>0.18804205226726972</v>
      </c>
      <c r="O2085">
        <v>0.1212392959028301</v>
      </c>
      <c r="P2085">
        <v>8.3089131441381761E-2</v>
      </c>
      <c r="Q2085">
        <v>0</v>
      </c>
      <c r="R2085">
        <v>1.0096503657271497E-2</v>
      </c>
      <c r="S2085">
        <v>0.26702898663441982</v>
      </c>
      <c r="T2085">
        <v>5.9128125539215395</v>
      </c>
      <c r="U2085">
        <v>0</v>
      </c>
      <c r="V2085">
        <v>1.9099298235316489E-2</v>
      </c>
      <c r="W2085">
        <v>9.9006757122420991E-2</v>
      </c>
      <c r="X2085">
        <v>-4.2680125928025404E-4</v>
      </c>
      <c r="Y2085">
        <v>4.1575604949986474E-2</v>
      </c>
    </row>
    <row r="2086" spans="1:25" x14ac:dyDescent="0.25">
      <c r="A2086" s="879"/>
      <c r="B2086" s="1133">
        <v>1836</v>
      </c>
      <c r="C2086" s="883">
        <v>1.0365089566021977</v>
      </c>
      <c r="D2086" s="883">
        <v>0.98661503438448284</v>
      </c>
      <c r="E2086" s="883">
        <v>0.97432944891745277</v>
      </c>
      <c r="F2086" s="883">
        <v>1.0123215637291827</v>
      </c>
      <c r="G2086" s="883">
        <v>1.0174769291378394</v>
      </c>
      <c r="H2086" s="883">
        <v>0.97008178076514029</v>
      </c>
      <c r="I2086" s="883">
        <v>1.0100919420929491</v>
      </c>
      <c r="K2086">
        <v>6.711379525777514</v>
      </c>
      <c r="L2086">
        <v>0</v>
      </c>
      <c r="M2086">
        <v>1.0033157315446198E-2</v>
      </c>
      <c r="N2086">
        <v>0.18006967757808379</v>
      </c>
      <c r="O2086">
        <v>0.11878609845762234</v>
      </c>
      <c r="P2086">
        <v>8.1448154384363106E-2</v>
      </c>
      <c r="Q2086">
        <v>0</v>
      </c>
      <c r="R2086">
        <v>1.0033157315446198E-2</v>
      </c>
      <c r="S2086">
        <v>0.26043379067061073</v>
      </c>
      <c r="T2086">
        <v>5.914223354335892</v>
      </c>
      <c r="U2086">
        <v>0</v>
      </c>
      <c r="V2086">
        <v>1.8963071025249776E-2</v>
      </c>
      <c r="W2086">
        <v>9.5998644029053989E-2</v>
      </c>
      <c r="X2086">
        <v>1.4197930705936844E-4</v>
      </c>
      <c r="Y2086">
        <v>4.1314755989578414E-2</v>
      </c>
    </row>
    <row r="2087" spans="1:25" x14ac:dyDescent="0.25">
      <c r="A2087" s="879"/>
      <c r="B2087" s="1133">
        <v>1837</v>
      </c>
      <c r="C2087" s="883">
        <v>1.0003613013879027</v>
      </c>
      <c r="D2087" s="883">
        <v>0.96640201847316176</v>
      </c>
      <c r="E2087" s="883">
        <v>1.0177528756990932</v>
      </c>
      <c r="F2087" s="883">
        <v>0.98605635550324089</v>
      </c>
      <c r="G2087" s="883">
        <v>1.0114071188261795</v>
      </c>
      <c r="H2087" s="883">
        <v>0.9868275515413365</v>
      </c>
      <c r="I2087" s="883">
        <v>0.97954035147828444</v>
      </c>
      <c r="K2087">
        <v>6.7405912894866811</v>
      </c>
      <c r="L2087">
        <v>0</v>
      </c>
      <c r="M2087">
        <v>1.0272443013785099E-2</v>
      </c>
      <c r="N2087">
        <v>0.19661811343331317</v>
      </c>
      <c r="O2087">
        <v>0.1232786955652314</v>
      </c>
      <c r="P2087">
        <v>8.4166988080928568E-2</v>
      </c>
      <c r="Q2087">
        <v>0</v>
      </c>
      <c r="R2087">
        <v>1.0272443013785099E-2</v>
      </c>
      <c r="S2087">
        <v>0.26351482710734864</v>
      </c>
      <c r="T2087">
        <v>5.9103731560354076</v>
      </c>
      <c r="U2087">
        <v>0</v>
      </c>
      <c r="V2087">
        <v>1.9153124681998174E-2</v>
      </c>
      <c r="W2087">
        <v>0.10258100437324075</v>
      </c>
      <c r="X2087">
        <v>-1.3947116948551605E-3</v>
      </c>
      <c r="Y2087">
        <v>4.2300091904071434E-2</v>
      </c>
    </row>
    <row r="2088" spans="1:25" x14ac:dyDescent="0.25">
      <c r="A2088" s="879"/>
      <c r="B2088" s="1133">
        <v>1838</v>
      </c>
      <c r="C2088" s="883">
        <v>0.9872567984305729</v>
      </c>
      <c r="D2088" s="883">
        <v>0.96366996999435173</v>
      </c>
      <c r="E2088" s="883">
        <v>1.0291857549929884</v>
      </c>
      <c r="F2088" s="883">
        <v>0.99365874479602123</v>
      </c>
      <c r="G2088" s="883">
        <v>1.0213898798005216</v>
      </c>
      <c r="H2088" s="883">
        <v>0.96881408123342327</v>
      </c>
      <c r="I2088" s="883">
        <v>0.97356198572685682</v>
      </c>
      <c r="K2088">
        <v>6.7429962157875263</v>
      </c>
      <c r="L2088">
        <v>0</v>
      </c>
      <c r="M2088">
        <v>1.0129278949208589E-2</v>
      </c>
      <c r="N2088">
        <v>0.19718390164455377</v>
      </c>
      <c r="O2088">
        <v>0.12483389438565246</v>
      </c>
      <c r="P2088">
        <v>8.488287458217636E-2</v>
      </c>
      <c r="Q2088">
        <v>0</v>
      </c>
      <c r="R2088">
        <v>1.0129278949208589E-2</v>
      </c>
      <c r="S2088">
        <v>0.26372991419931802</v>
      </c>
      <c r="T2088">
        <v>5.910126647219883</v>
      </c>
      <c r="U2088">
        <v>0</v>
      </c>
      <c r="V2088">
        <v>1.9225461529553959E-2</v>
      </c>
      <c r="W2088">
        <v>0.10229926086797865</v>
      </c>
      <c r="X2088">
        <v>-9.9630640998900886E-4</v>
      </c>
      <c r="Y2088">
        <v>4.1710567768398932E-2</v>
      </c>
    </row>
    <row r="2089" spans="1:25" x14ac:dyDescent="0.25">
      <c r="A2089" s="879"/>
      <c r="B2089" s="1133">
        <v>1839</v>
      </c>
      <c r="C2089" s="883">
        <v>1.0249477368459268</v>
      </c>
      <c r="D2089" s="883">
        <v>0.97772589861648285</v>
      </c>
      <c r="E2089" s="883">
        <v>1.0074241796104582</v>
      </c>
      <c r="F2089" s="883">
        <v>0.97912605548077392</v>
      </c>
      <c r="G2089" s="883">
        <v>1.0055622349726834</v>
      </c>
      <c r="H2089" s="883">
        <v>1.0111734845925937</v>
      </c>
      <c r="I2089" s="883">
        <v>1.0068483174828136</v>
      </c>
      <c r="K2089">
        <v>6.7369656139044771</v>
      </c>
      <c r="L2089">
        <v>0</v>
      </c>
      <c r="M2089">
        <v>1.0314968226605615E-2</v>
      </c>
      <c r="N2089">
        <v>0.19443676828994647</v>
      </c>
      <c r="O2089">
        <v>0.11995381507689648</v>
      </c>
      <c r="P2089">
        <v>8.3561256523302749E-2</v>
      </c>
      <c r="Q2089">
        <v>0</v>
      </c>
      <c r="R2089">
        <v>1.0314968226605615E-2</v>
      </c>
      <c r="S2089">
        <v>0.26650565279906341</v>
      </c>
      <c r="T2089">
        <v>5.9105862011581225</v>
      </c>
      <c r="U2089">
        <v>0</v>
      </c>
      <c r="V2089">
        <v>1.9022398370786935E-2</v>
      </c>
      <c r="W2089">
        <v>0.10196195159812464</v>
      </c>
      <c r="X2089">
        <v>-1.5376330730292966E-3</v>
      </c>
      <c r="Y2089">
        <v>4.2475203161260626E-2</v>
      </c>
    </row>
    <row r="2090" spans="1:25" x14ac:dyDescent="0.25">
      <c r="A2090" s="879"/>
      <c r="B2090" s="1133">
        <v>1840</v>
      </c>
      <c r="C2090" s="883">
        <v>1.0080038800586779</v>
      </c>
      <c r="D2090" s="883">
        <v>1.0306654179530936</v>
      </c>
      <c r="E2090" s="883">
        <v>0.97924577943769098</v>
      </c>
      <c r="F2090" s="883">
        <v>0.98693264536908809</v>
      </c>
      <c r="G2090" s="883">
        <v>0.98733849127204376</v>
      </c>
      <c r="H2090" s="883">
        <v>1.0224149056609129</v>
      </c>
      <c r="I2090" s="883">
        <v>0.995926199829963</v>
      </c>
      <c r="K2090">
        <v>6.7379921542596266</v>
      </c>
      <c r="L2090">
        <v>0</v>
      </c>
      <c r="M2090">
        <v>1.0626353874357066E-2</v>
      </c>
      <c r="N2090">
        <v>0.19211260065815206</v>
      </c>
      <c r="O2090">
        <v>0.11994035632269971</v>
      </c>
      <c r="P2090">
        <v>8.1844202659731288E-2</v>
      </c>
      <c r="Q2090">
        <v>0</v>
      </c>
      <c r="R2090">
        <v>1.0626353874357066E-2</v>
      </c>
      <c r="S2090">
        <v>0.26849157385066041</v>
      </c>
      <c r="T2090">
        <v>5.9125808520204766</v>
      </c>
      <c r="U2090">
        <v>0</v>
      </c>
      <c r="V2090">
        <v>1.9111805960754499E-2</v>
      </c>
      <c r="W2090">
        <v>0.10216681965715491</v>
      </c>
      <c r="X2090">
        <v>-2.0134907041283508E-3</v>
      </c>
      <c r="Y2090">
        <v>4.375743383412193E-2</v>
      </c>
    </row>
    <row r="2091" spans="1:25" x14ac:dyDescent="0.25">
      <c r="A2091" s="879"/>
      <c r="B2091" s="1133">
        <v>1841</v>
      </c>
      <c r="C2091" s="883">
        <v>0.96990669431270271</v>
      </c>
      <c r="D2091" s="883">
        <v>0.97158229797564333</v>
      </c>
      <c r="E2091" s="883">
        <v>0.9930900589249162</v>
      </c>
      <c r="F2091" s="883">
        <v>1.0014643678561086</v>
      </c>
      <c r="G2091" s="883">
        <v>1.0084133208013835</v>
      </c>
      <c r="H2091" s="883">
        <v>1.0090835278258687</v>
      </c>
      <c r="I2091" s="883">
        <v>0.96374137732184273</v>
      </c>
      <c r="K2091">
        <v>6.7650056282060547</v>
      </c>
      <c r="L2091">
        <v>0</v>
      </c>
      <c r="M2091">
        <v>1.104467830504934E-2</v>
      </c>
      <c r="N2091">
        <v>0.20381736514046236</v>
      </c>
      <c r="O2091">
        <v>0.12736125495678424</v>
      </c>
      <c r="P2091">
        <v>8.273095272990473E-2</v>
      </c>
      <c r="Q2091">
        <v>0</v>
      </c>
      <c r="R2091">
        <v>1.104467830504934E-2</v>
      </c>
      <c r="S2091">
        <v>0.26941900888356024</v>
      </c>
      <c r="T2091">
        <v>5.9125990687074976</v>
      </c>
      <c r="U2091">
        <v>0</v>
      </c>
      <c r="V2091">
        <v>1.9324241305426055E-2</v>
      </c>
      <c r="W2091">
        <v>0.10764460477948518</v>
      </c>
      <c r="X2091">
        <v>-3.3708876778019304E-3</v>
      </c>
      <c r="Y2091">
        <v>4.548001938073977E-2</v>
      </c>
    </row>
    <row r="2092" spans="1:25" x14ac:dyDescent="0.25">
      <c r="A2092" s="879"/>
      <c r="B2092" s="1133">
        <v>1842</v>
      </c>
      <c r="C2092" s="883">
        <v>0.98706656187014141</v>
      </c>
      <c r="D2092" s="883">
        <v>1.0104433150542118</v>
      </c>
      <c r="E2092" s="883">
        <v>1.0133171076772187</v>
      </c>
      <c r="F2092" s="883">
        <v>1.0065700338175501</v>
      </c>
      <c r="G2092" s="883">
        <v>1.0431867768434975</v>
      </c>
      <c r="H2092" s="883">
        <v>1.0345159833849618</v>
      </c>
      <c r="I2092" s="883">
        <v>1.0009608250725543</v>
      </c>
      <c r="K2092">
        <v>6.7673199458552142</v>
      </c>
      <c r="L2092">
        <v>0</v>
      </c>
      <c r="M2092">
        <v>1.0749106918211841E-2</v>
      </c>
      <c r="N2092">
        <v>0.20439556930629491</v>
      </c>
      <c r="O2092">
        <v>0.12281620182147884</v>
      </c>
      <c r="P2092">
        <v>8.40909569849735E-2</v>
      </c>
      <c r="Q2092">
        <v>0</v>
      </c>
      <c r="R2092">
        <v>1.0749106918211841E-2</v>
      </c>
      <c r="S2092">
        <v>0.2769925911543295</v>
      </c>
      <c r="T2092">
        <v>5.9117345791680513</v>
      </c>
      <c r="U2092">
        <v>0</v>
      </c>
      <c r="V2092">
        <v>1.9226525779049902E-2</v>
      </c>
      <c r="W2092">
        <v>0.10687240379289244</v>
      </c>
      <c r="X2092">
        <v>-3.0717911713446324E-3</v>
      </c>
      <c r="Y2092">
        <v>4.4262909019488594E-2</v>
      </c>
    </row>
    <row r="2093" spans="1:25" x14ac:dyDescent="0.25">
      <c r="A2093" s="879"/>
      <c r="B2093" s="1133">
        <v>1843</v>
      </c>
      <c r="C2093" s="883">
        <v>1.0011994754833611</v>
      </c>
      <c r="D2093" s="883">
        <v>0.97893623535819918</v>
      </c>
      <c r="E2093" s="883">
        <v>0.98259536133263969</v>
      </c>
      <c r="F2093" s="883">
        <v>1.0299866876306083</v>
      </c>
      <c r="G2093" s="883">
        <v>1.0227196242428194</v>
      </c>
      <c r="H2093" s="883">
        <v>1.0398028632473135</v>
      </c>
      <c r="I2093" s="883">
        <v>0.96062705855048447</v>
      </c>
      <c r="K2093">
        <v>6.7525256482772908</v>
      </c>
      <c r="L2093">
        <v>0</v>
      </c>
      <c r="M2093">
        <v>1.1090689563099365E-2</v>
      </c>
      <c r="N2093">
        <v>0.20150614490113999</v>
      </c>
      <c r="O2093">
        <v>0.12320589911220875</v>
      </c>
      <c r="P2093">
        <v>8.2009489555211715E-2</v>
      </c>
      <c r="Q2093">
        <v>0</v>
      </c>
      <c r="R2093">
        <v>1.1090689563099365E-2</v>
      </c>
      <c r="S2093">
        <v>0.26286107916590601</v>
      </c>
      <c r="T2093">
        <v>5.9147236133872285</v>
      </c>
      <c r="U2093">
        <v>0</v>
      </c>
      <c r="V2093">
        <v>1.9148562393136979E-2</v>
      </c>
      <c r="W2093">
        <v>0.10698286068952959</v>
      </c>
      <c r="X2093">
        <v>-3.5814864787601739E-3</v>
      </c>
      <c r="Y2093">
        <v>4.5669485551691119E-2</v>
      </c>
    </row>
    <row r="2094" spans="1:25" x14ac:dyDescent="0.25">
      <c r="A2094" s="879"/>
      <c r="B2094" s="1133">
        <v>1844</v>
      </c>
      <c r="C2094" s="883">
        <v>1.0333725329270536</v>
      </c>
      <c r="D2094" s="883">
        <v>1.0285420414791526</v>
      </c>
      <c r="E2094" s="883">
        <v>0.97298210494654913</v>
      </c>
      <c r="F2094" s="883">
        <v>1.0003604737949781</v>
      </c>
      <c r="G2094" s="883">
        <v>0.98544203575116829</v>
      </c>
      <c r="H2094" s="883">
        <v>0.97748369947374347</v>
      </c>
      <c r="I2094" s="883">
        <v>1.0123283133318048</v>
      </c>
      <c r="K2094">
        <v>6.7086141195439666</v>
      </c>
      <c r="L2094">
        <v>0</v>
      </c>
      <c r="M2094">
        <v>9.9729865664770039E-3</v>
      </c>
      <c r="N2094">
        <v>0.17863214947866857</v>
      </c>
      <c r="O2094">
        <v>0.11720345214198645</v>
      </c>
      <c r="P2094">
        <v>8.1378202632866076E-2</v>
      </c>
      <c r="Q2094">
        <v>0</v>
      </c>
      <c r="R2094">
        <v>9.9729865664770039E-3</v>
      </c>
      <c r="S2094">
        <v>0.26212460279465605</v>
      </c>
      <c r="T2094">
        <v>5.9136504148299567</v>
      </c>
      <c r="U2094">
        <v>0</v>
      </c>
      <c r="V2094">
        <v>1.8979034623568879E-2</v>
      </c>
      <c r="W2094">
        <v>9.5296704912603503E-2</v>
      </c>
      <c r="X2094">
        <v>2.8257457434590591E-4</v>
      </c>
      <c r="Y2094">
        <v>4.1066983555317349E-2</v>
      </c>
    </row>
    <row r="2095" spans="1:25" x14ac:dyDescent="0.25">
      <c r="A2095" s="879"/>
      <c r="B2095" s="1133">
        <v>1845</v>
      </c>
      <c r="C2095" s="883">
        <v>0.96929946962651159</v>
      </c>
      <c r="D2095" s="883">
        <v>1.000964285572989</v>
      </c>
      <c r="E2095" s="883">
        <v>0.9833726863165414</v>
      </c>
      <c r="F2095" s="883">
        <v>1.0112177938411731</v>
      </c>
      <c r="G2095" s="883">
        <v>0.96221118801493866</v>
      </c>
      <c r="H2095" s="883">
        <v>1.015143012911863</v>
      </c>
      <c r="I2095" s="883">
        <v>1.0240759771481835</v>
      </c>
      <c r="K2095">
        <v>6.7787919474512792</v>
      </c>
      <c r="L2095">
        <v>0</v>
      </c>
      <c r="M2095">
        <v>1.1070369929018494E-2</v>
      </c>
      <c r="N2095">
        <v>0.20136901246498007</v>
      </c>
      <c r="O2095">
        <v>0.12611802658046056</v>
      </c>
      <c r="P2095">
        <v>8.2362331738533856E-2</v>
      </c>
      <c r="Q2095">
        <v>0</v>
      </c>
      <c r="R2095">
        <v>1.1070369929018494E-2</v>
      </c>
      <c r="S2095">
        <v>0.28671222033743043</v>
      </c>
      <c r="T2095">
        <v>5.9136660573961999</v>
      </c>
      <c r="U2095">
        <v>0</v>
      </c>
      <c r="V2095">
        <v>1.9327762479764522E-2</v>
      </c>
      <c r="W2095">
        <v>0.10686850275147013</v>
      </c>
      <c r="X2095">
        <v>-3.2177792128711617E-3</v>
      </c>
      <c r="Y2095">
        <v>4.5585812915306161E-2</v>
      </c>
    </row>
    <row r="2096" spans="1:25" x14ac:dyDescent="0.25">
      <c r="A2096" s="879"/>
      <c r="B2096" s="1133">
        <v>1846</v>
      </c>
      <c r="C2096" s="883">
        <v>1.0148998647777157</v>
      </c>
      <c r="D2096" s="883">
        <v>1.0207856379886691</v>
      </c>
      <c r="E2096" s="883">
        <v>0.98760759595133651</v>
      </c>
      <c r="F2096" s="883">
        <v>1.0094635964960568</v>
      </c>
      <c r="G2096" s="883">
        <v>0.9984930969776673</v>
      </c>
      <c r="H2096" s="883">
        <v>0.96627628020754119</v>
      </c>
      <c r="I2096" s="883">
        <v>0.99398683837518742</v>
      </c>
      <c r="K2096">
        <v>6.7148233271895208</v>
      </c>
      <c r="L2096">
        <v>0</v>
      </c>
      <c r="M2096">
        <v>9.9430779929717862E-3</v>
      </c>
      <c r="N2096">
        <v>0.1820031992317476</v>
      </c>
      <c r="O2096">
        <v>0.11943335342072481</v>
      </c>
      <c r="P2096">
        <v>8.2282365595073209E-2</v>
      </c>
      <c r="Q2096">
        <v>0</v>
      </c>
      <c r="R2096">
        <v>9.9430779929717862E-3</v>
      </c>
      <c r="S2096">
        <v>0.26112151715056409</v>
      </c>
      <c r="T2096">
        <v>5.9133366244220689</v>
      </c>
      <c r="U2096">
        <v>0</v>
      </c>
      <c r="V2096">
        <v>1.9075057687845023E-2</v>
      </c>
      <c r="W2096">
        <v>9.63867343737283E-2</v>
      </c>
      <c r="X2096">
        <v>2.4064993461343794E-4</v>
      </c>
      <c r="Y2096">
        <v>4.0943825373150493E-2</v>
      </c>
    </row>
    <row r="2097" spans="1:25" x14ac:dyDescent="0.25">
      <c r="A2097" s="879"/>
      <c r="B2097" s="1133">
        <v>1847</v>
      </c>
      <c r="C2097" s="883">
        <v>1.0054539093285217</v>
      </c>
      <c r="D2097" s="883">
        <v>1.0364996906094566</v>
      </c>
      <c r="E2097" s="883">
        <v>1.0006640838531466</v>
      </c>
      <c r="F2097" s="883">
        <v>1.0185024102146694</v>
      </c>
      <c r="G2097" s="883">
        <v>1.0202028751489485</v>
      </c>
      <c r="H2097" s="883">
        <v>1.0065755683674107</v>
      </c>
      <c r="I2097" s="883">
        <v>1.0107788238126498</v>
      </c>
      <c r="K2097">
        <v>6.7403033035476199</v>
      </c>
      <c r="L2097">
        <v>0</v>
      </c>
      <c r="M2097">
        <v>1.0269232078051206E-2</v>
      </c>
      <c r="N2097">
        <v>0.19164625204852095</v>
      </c>
      <c r="O2097">
        <v>0.11958176411248581</v>
      </c>
      <c r="P2097">
        <v>8.3241490571195301E-2</v>
      </c>
      <c r="Q2097">
        <v>0</v>
      </c>
      <c r="R2097">
        <v>1.0269232078051206E-2</v>
      </c>
      <c r="S2097">
        <v>0.27168895114947206</v>
      </c>
      <c r="T2097">
        <v>5.9130954908991296</v>
      </c>
      <c r="U2097">
        <v>0</v>
      </c>
      <c r="V2097">
        <v>1.9125522257286677E-2</v>
      </c>
      <c r="W2097">
        <v>0.1008360262141324</v>
      </c>
      <c r="X2097">
        <v>-1.1990635468537758E-3</v>
      </c>
      <c r="Y2097">
        <v>4.2286869842244522E-2</v>
      </c>
    </row>
    <row r="2098" spans="1:25" x14ac:dyDescent="0.25">
      <c r="A2098" s="879"/>
      <c r="B2098" s="1133">
        <v>1848</v>
      </c>
      <c r="C2098" s="883">
        <v>0.9809314252677146</v>
      </c>
      <c r="D2098" s="883">
        <v>0.96980911813859338</v>
      </c>
      <c r="E2098" s="883">
        <v>1.0240926025230623</v>
      </c>
      <c r="F2098" s="883">
        <v>1.0052219721087434</v>
      </c>
      <c r="G2098" s="883">
        <v>0.98861485761082812</v>
      </c>
      <c r="H2098" s="883">
        <v>0.98420048107057867</v>
      </c>
      <c r="I2098" s="883">
        <v>0.98085165039729538</v>
      </c>
      <c r="K2098">
        <v>6.7548478567564016</v>
      </c>
      <c r="L2098">
        <v>0</v>
      </c>
      <c r="M2098">
        <v>1.0374523973619303E-2</v>
      </c>
      <c r="N2098">
        <v>0.20044287628954011</v>
      </c>
      <c r="O2098">
        <v>0.12541986662147125</v>
      </c>
      <c r="P2098">
        <v>8.464674057340113E-2</v>
      </c>
      <c r="Q2098">
        <v>0</v>
      </c>
      <c r="R2098">
        <v>1.0374523973619303E-2</v>
      </c>
      <c r="S2098">
        <v>0.26881772498720224</v>
      </c>
      <c r="T2098">
        <v>5.9110449929116831</v>
      </c>
      <c r="U2098">
        <v>0</v>
      </c>
      <c r="V2098">
        <v>1.926106918768997E-2</v>
      </c>
      <c r="W2098">
        <v>0.1042505362874126</v>
      </c>
      <c r="X2098">
        <v>-1.756393228932782E-3</v>
      </c>
      <c r="Y2098">
        <v>4.2720443126935188E-2</v>
      </c>
    </row>
    <row r="2099" spans="1:25" x14ac:dyDescent="0.25">
      <c r="A2099" s="879"/>
      <c r="B2099" s="1133">
        <v>1849</v>
      </c>
      <c r="C2099" s="883">
        <v>1.0182021782350963</v>
      </c>
      <c r="D2099" s="883">
        <v>1.0292891881117476</v>
      </c>
      <c r="E2099" s="883">
        <v>0.96182766240023121</v>
      </c>
      <c r="F2099" s="883">
        <v>0.97668324139623752</v>
      </c>
      <c r="G2099" s="883">
        <v>1.0083828411720104</v>
      </c>
      <c r="H2099" s="883">
        <v>0.99761763790311531</v>
      </c>
      <c r="I2099" s="883">
        <v>0.98645405820968157</v>
      </c>
      <c r="K2099">
        <v>6.7170371069855506</v>
      </c>
      <c r="L2099">
        <v>0</v>
      </c>
      <c r="M2099">
        <v>1.0427601785544818E-2</v>
      </c>
      <c r="N2099">
        <v>0.18370657391610454</v>
      </c>
      <c r="O2099">
        <v>0.11911482120446203</v>
      </c>
      <c r="P2099">
        <v>8.0653049684785247E-2</v>
      </c>
      <c r="Q2099">
        <v>0</v>
      </c>
      <c r="R2099">
        <v>1.0427601785544818E-2</v>
      </c>
      <c r="S2099">
        <v>0.26102208130923688</v>
      </c>
      <c r="T2099">
        <v>5.9129765409729895</v>
      </c>
      <c r="U2099">
        <v>0</v>
      </c>
      <c r="V2099">
        <v>1.9057636124718433E-2</v>
      </c>
      <c r="W2099">
        <v>9.8555548460982911E-2</v>
      </c>
      <c r="X2099">
        <v>-9.8815279667754247E-4</v>
      </c>
      <c r="Y2099">
        <v>4.293900810894611E-2</v>
      </c>
    </row>
    <row r="2100" spans="1:25" x14ac:dyDescent="0.25">
      <c r="A2100" s="879"/>
      <c r="B2100" s="1133">
        <v>1850</v>
      </c>
      <c r="C2100" s="883">
        <v>0.9741768800569095</v>
      </c>
      <c r="D2100" s="883">
        <v>0.99669418839005353</v>
      </c>
      <c r="E2100" s="883">
        <v>0.99262044877723776</v>
      </c>
      <c r="F2100" s="883">
        <v>0.9991561194529559</v>
      </c>
      <c r="G2100" s="883">
        <v>1.0159223081968267</v>
      </c>
      <c r="H2100" s="883">
        <v>1.0212258255060718</v>
      </c>
      <c r="I2100" s="883">
        <v>0.97897104460094697</v>
      </c>
      <c r="K2100">
        <v>6.7657743514647342</v>
      </c>
      <c r="L2100">
        <v>0</v>
      </c>
      <c r="M2100">
        <v>1.1012052310346352E-2</v>
      </c>
      <c r="N2100">
        <v>0.20307388204065133</v>
      </c>
      <c r="O2100">
        <v>0.12552427407593164</v>
      </c>
      <c r="P2100">
        <v>8.2752158527540601E-2</v>
      </c>
      <c r="Q2100">
        <v>0</v>
      </c>
      <c r="R2100">
        <v>1.1012052310346352E-2</v>
      </c>
      <c r="S2100">
        <v>0.2733506736582122</v>
      </c>
      <c r="T2100">
        <v>5.9125005158438189</v>
      </c>
      <c r="U2100">
        <v>0</v>
      </c>
      <c r="V2100">
        <v>1.9299603329181264E-2</v>
      </c>
      <c r="W2100">
        <v>0.10727702960938855</v>
      </c>
      <c r="X2100">
        <v>-3.3494569617551033E-3</v>
      </c>
      <c r="Y2100">
        <v>4.5345671341763434E-2</v>
      </c>
    </row>
    <row r="2101" spans="1:25" x14ac:dyDescent="0.25">
      <c r="A2101" s="879"/>
      <c r="B2101" s="1133">
        <v>1851</v>
      </c>
      <c r="C2101" s="883">
        <v>1.0370550289069662</v>
      </c>
      <c r="D2101" s="883">
        <v>1.0209899081201701</v>
      </c>
      <c r="E2101" s="883">
        <v>0.9742154878512167</v>
      </c>
      <c r="F2101" s="883">
        <v>0.98291215175102575</v>
      </c>
      <c r="G2101" s="883">
        <v>0.96965575992186537</v>
      </c>
      <c r="H2101" s="883">
        <v>1.000617425042458</v>
      </c>
      <c r="I2101" s="883">
        <v>1.0353585685222282</v>
      </c>
      <c r="K2101">
        <v>6.7215109441602561</v>
      </c>
      <c r="L2101">
        <v>0</v>
      </c>
      <c r="M2101">
        <v>1.0193936477768929E-2</v>
      </c>
      <c r="N2101">
        <v>0.18292431005248411</v>
      </c>
      <c r="O2101">
        <v>0.11711023653429296</v>
      </c>
      <c r="P2101">
        <v>8.1537392194160563E-2</v>
      </c>
      <c r="Q2101">
        <v>0</v>
      </c>
      <c r="R2101">
        <v>1.0193936477768929E-2</v>
      </c>
      <c r="S2101">
        <v>0.26935776042863074</v>
      </c>
      <c r="T2101">
        <v>5.9126395814429058</v>
      </c>
      <c r="U2101">
        <v>0</v>
      </c>
      <c r="V2101">
        <v>1.8960301525496191E-2</v>
      </c>
      <c r="W2101">
        <v>9.7526081934032838E-2</v>
      </c>
      <c r="X2101">
        <v>-5.2153591415162077E-4</v>
      </c>
      <c r="Y2101">
        <v>4.1976815962399362E-2</v>
      </c>
    </row>
    <row r="2102" spans="1:25" x14ac:dyDescent="0.25">
      <c r="A2102" s="879"/>
      <c r="B2102" s="1133">
        <v>1852</v>
      </c>
      <c r="C2102" s="883">
        <v>0.97489704984269843</v>
      </c>
      <c r="D2102" s="883">
        <v>0.96038368081645598</v>
      </c>
      <c r="E2102" s="883">
        <v>0.99288609084135038</v>
      </c>
      <c r="F2102" s="883">
        <v>1.01523995954486</v>
      </c>
      <c r="G2102" s="883">
        <v>0.9767528920257621</v>
      </c>
      <c r="H2102" s="883">
        <v>1.0278774591552879</v>
      </c>
      <c r="I2102" s="883">
        <v>1.0154193096966133</v>
      </c>
      <c r="K2102">
        <v>6.7867570139414477</v>
      </c>
      <c r="L2102">
        <v>0</v>
      </c>
      <c r="M2102">
        <v>1.1250586533537247E-2</v>
      </c>
      <c r="N2102">
        <v>0.20755441473198366</v>
      </c>
      <c r="O2102">
        <v>0.12730222934648261</v>
      </c>
      <c r="P2102">
        <v>8.2927785062331463E-2</v>
      </c>
      <c r="Q2102">
        <v>0</v>
      </c>
      <c r="R2102">
        <v>1.1250586533537247E-2</v>
      </c>
      <c r="S2102">
        <v>0.28442648828172279</v>
      </c>
      <c r="T2102">
        <v>5.9133550061952667</v>
      </c>
      <c r="U2102">
        <v>0</v>
      </c>
      <c r="V2102">
        <v>1.9295469387330736E-2</v>
      </c>
      <c r="W2102">
        <v>0.10962943582714083</v>
      </c>
      <c r="X2102">
        <v>-4.0617277061712623E-3</v>
      </c>
      <c r="Y2102">
        <v>4.6327912815354554E-2</v>
      </c>
    </row>
    <row r="2103" spans="1:25" x14ac:dyDescent="0.25">
      <c r="A2103" s="879"/>
      <c r="B2103" s="1133">
        <v>1853</v>
      </c>
      <c r="C2103" s="883">
        <v>1.0218132225803118</v>
      </c>
      <c r="D2103" s="883">
        <v>0.98139845273493154</v>
      </c>
      <c r="E2103" s="883">
        <v>0.98548547085560811</v>
      </c>
      <c r="F2103" s="883">
        <v>1.0261257847573149</v>
      </c>
      <c r="G2103" s="883">
        <v>1.0312324954803544</v>
      </c>
      <c r="H2103" s="883">
        <v>0.99926816220940562</v>
      </c>
      <c r="I2103" s="883">
        <v>0.99059695340030962</v>
      </c>
      <c r="K2103">
        <v>6.7300014464722366</v>
      </c>
      <c r="L2103">
        <v>0</v>
      </c>
      <c r="M2103">
        <v>1.0405824679733481E-2</v>
      </c>
      <c r="N2103">
        <v>0.18987506906532697</v>
      </c>
      <c r="O2103">
        <v>0.12054615237349563</v>
      </c>
      <c r="P2103">
        <v>8.2171401949578809E-2</v>
      </c>
      <c r="Q2103">
        <v>0</v>
      </c>
      <c r="R2103">
        <v>1.0405824679733481E-2</v>
      </c>
      <c r="S2103">
        <v>0.26183492427194532</v>
      </c>
      <c r="T2103">
        <v>5.9143549887043498</v>
      </c>
      <c r="U2103">
        <v>0</v>
      </c>
      <c r="V2103">
        <v>1.9038714722284106E-2</v>
      </c>
      <c r="W2103">
        <v>0.10066220140328566</v>
      </c>
      <c r="X2103">
        <v>-1.3313398814264385E-3</v>
      </c>
      <c r="Y2103">
        <v>4.2849333863395379E-2</v>
      </c>
    </row>
    <row r="2104" spans="1:25" x14ac:dyDescent="0.25">
      <c r="A2104" s="879"/>
      <c r="B2104" s="1133">
        <v>1854</v>
      </c>
      <c r="C2104" s="883">
        <v>0.99212672479778574</v>
      </c>
      <c r="D2104" s="883">
        <v>1.0209640034646221</v>
      </c>
      <c r="E2104" s="883">
        <v>0.99677463354420204</v>
      </c>
      <c r="F2104" s="883">
        <v>1.0439029841462064</v>
      </c>
      <c r="G2104" s="883">
        <v>0.99787839817245128</v>
      </c>
      <c r="H2104" s="883">
        <v>1.0046140558707473</v>
      </c>
      <c r="I2104" s="883">
        <v>1.0048795423627082</v>
      </c>
      <c r="K2104">
        <v>6.7513056375556291</v>
      </c>
      <c r="L2104">
        <v>0</v>
      </c>
      <c r="M2104">
        <v>1.048980658673271E-2</v>
      </c>
      <c r="N2104">
        <v>0.19463777686565426</v>
      </c>
      <c r="O2104">
        <v>0.1219952045556728</v>
      </c>
      <c r="P2104">
        <v>8.3045826383330593E-2</v>
      </c>
      <c r="Q2104">
        <v>0</v>
      </c>
      <c r="R2104">
        <v>1.048980658673271E-2</v>
      </c>
      <c r="S2104">
        <v>0.27368473515697017</v>
      </c>
      <c r="T2104">
        <v>5.9146866458312513</v>
      </c>
      <c r="U2104">
        <v>0</v>
      </c>
      <c r="V2104">
        <v>1.9198356420784459E-2</v>
      </c>
      <c r="W2104">
        <v>0.10260815157114588</v>
      </c>
      <c r="X2104">
        <v>-1.7462156373760597E-3</v>
      </c>
      <c r="Y2104">
        <v>4.3195156408195989E-2</v>
      </c>
    </row>
    <row r="2105" spans="1:25" x14ac:dyDescent="0.25">
      <c r="A2105" s="879"/>
      <c r="B2105" s="1133">
        <v>1855</v>
      </c>
      <c r="C2105" s="883">
        <v>1.0247371187410499</v>
      </c>
      <c r="D2105" s="883">
        <v>1.0038198638640297</v>
      </c>
      <c r="E2105" s="883">
        <v>0.97523553015062969</v>
      </c>
      <c r="F2105" s="883">
        <v>1.0107570104138079</v>
      </c>
      <c r="G2105" s="883">
        <v>0.98469713594636854</v>
      </c>
      <c r="H2105" s="883">
        <v>0.99281708933933277</v>
      </c>
      <c r="I2105" s="883">
        <v>0.99075522622207213</v>
      </c>
      <c r="K2105">
        <v>6.7196175126566766</v>
      </c>
      <c r="L2105">
        <v>0</v>
      </c>
      <c r="M2105">
        <v>1.030148648833016E-2</v>
      </c>
      <c r="N2105">
        <v>0.18513431576500092</v>
      </c>
      <c r="O2105">
        <v>0.11930633551826336</v>
      </c>
      <c r="P2105">
        <v>8.1502518677090005E-2</v>
      </c>
      <c r="Q2105">
        <v>0</v>
      </c>
      <c r="R2105">
        <v>1.030148648833016E-2</v>
      </c>
      <c r="S2105">
        <v>0.26030332047006299</v>
      </c>
      <c r="T2105">
        <v>5.9140891161468936</v>
      </c>
      <c r="U2105">
        <v>0</v>
      </c>
      <c r="V2105">
        <v>1.9023491590748502E-2</v>
      </c>
      <c r="W2105">
        <v>9.8653837633040045E-2</v>
      </c>
      <c r="X2105">
        <v>-8.15110907125863E-4</v>
      </c>
      <c r="Y2105">
        <v>4.2419687762702253E-2</v>
      </c>
    </row>
    <row r="2106" spans="1:25" x14ac:dyDescent="0.25">
      <c r="A2106" s="879"/>
      <c r="B2106" s="1133">
        <v>1856</v>
      </c>
      <c r="C2106" s="883">
        <v>0.97887059989348291</v>
      </c>
      <c r="D2106" s="883">
        <v>1.0456011538939698</v>
      </c>
      <c r="E2106" s="883">
        <v>0.98811660329414286</v>
      </c>
      <c r="F2106" s="883">
        <v>1.0075859129355051</v>
      </c>
      <c r="G2106" s="883">
        <v>1.0314904859603797</v>
      </c>
      <c r="H2106" s="883">
        <v>0.99965079405120427</v>
      </c>
      <c r="I2106" s="883">
        <v>1.0432124807683627</v>
      </c>
      <c r="K2106">
        <v>6.7624066433121266</v>
      </c>
      <c r="L2106">
        <v>0</v>
      </c>
      <c r="M2106">
        <v>1.0551406863120141E-2</v>
      </c>
      <c r="N2106">
        <v>0.19328419169841593</v>
      </c>
      <c r="O2106">
        <v>0.12263579000298276</v>
      </c>
      <c r="P2106">
        <v>8.2661921851254497E-2</v>
      </c>
      <c r="Q2106">
        <v>0</v>
      </c>
      <c r="R2106">
        <v>1.0551406863120141E-2</v>
      </c>
      <c r="S2106">
        <v>0.28723070919855437</v>
      </c>
      <c r="T2106">
        <v>5.9132068645379761</v>
      </c>
      <c r="U2106">
        <v>0</v>
      </c>
      <c r="V2106">
        <v>1.9272769657526743E-2</v>
      </c>
      <c r="W2106">
        <v>0.10233501287518866</v>
      </c>
      <c r="X2106">
        <v>-1.6694318916924611E-3</v>
      </c>
      <c r="Y2106">
        <v>4.3448815381918977E-2</v>
      </c>
    </row>
    <row r="2107" spans="1:25" x14ac:dyDescent="0.25">
      <c r="A2107" s="879"/>
      <c r="B2107" s="1133">
        <v>1857</v>
      </c>
      <c r="C2107" s="883">
        <v>1.0215270244576857</v>
      </c>
      <c r="D2107" s="883">
        <v>1.0123286130781544</v>
      </c>
      <c r="E2107" s="883">
        <v>0.99251619151290349</v>
      </c>
      <c r="F2107" s="883">
        <v>1.0156808886685367</v>
      </c>
      <c r="G2107" s="883">
        <v>0.99924009721919171</v>
      </c>
      <c r="H2107" s="883">
        <v>1.0361103560109379</v>
      </c>
      <c r="I2107" s="883">
        <v>1.0170325548562862</v>
      </c>
      <c r="K2107">
        <v>6.7458101168250506</v>
      </c>
      <c r="L2107">
        <v>0</v>
      </c>
      <c r="M2107">
        <v>1.0584862459948143E-2</v>
      </c>
      <c r="N2107">
        <v>0.19516588642750834</v>
      </c>
      <c r="O2107">
        <v>0.11896487743037512</v>
      </c>
      <c r="P2107">
        <v>8.2736615768623734E-2</v>
      </c>
      <c r="Q2107">
        <v>0</v>
      </c>
      <c r="R2107">
        <v>1.0584862459948143E-2</v>
      </c>
      <c r="S2107">
        <v>0.27203811350325485</v>
      </c>
      <c r="T2107">
        <v>5.9133994807133421</v>
      </c>
      <c r="U2107">
        <v>0</v>
      </c>
      <c r="V2107">
        <v>1.904020948219939E-2</v>
      </c>
      <c r="W2107">
        <v>0.10310485893948872</v>
      </c>
      <c r="X2107">
        <v>-2.2265050145274571E-3</v>
      </c>
      <c r="Y2107">
        <v>4.358657957478243E-2</v>
      </c>
    </row>
    <row r="2108" spans="1:25" x14ac:dyDescent="0.25">
      <c r="A2108" s="879"/>
      <c r="B2108" s="1133">
        <v>1858</v>
      </c>
      <c r="C2108" s="883">
        <v>1.0248827196672488</v>
      </c>
      <c r="D2108" s="883">
        <v>0.98447747655422013</v>
      </c>
      <c r="E2108" s="883">
        <v>1.0025934266438683</v>
      </c>
      <c r="F2108" s="883">
        <v>0.964812024817015</v>
      </c>
      <c r="G2108" s="883">
        <v>1.0032362702807451</v>
      </c>
      <c r="H2108" s="883">
        <v>1.0014229410372413</v>
      </c>
      <c r="I2108" s="883">
        <v>1.032519076753506</v>
      </c>
      <c r="K2108">
        <v>6.7375651806494092</v>
      </c>
      <c r="L2108">
        <v>0</v>
      </c>
      <c r="M2108">
        <v>1.0229160635356407E-2</v>
      </c>
      <c r="N2108">
        <v>0.19144478836820658</v>
      </c>
      <c r="O2108">
        <v>0.11972076037693091</v>
      </c>
      <c r="P2108">
        <v>8.3329238604764141E-2</v>
      </c>
      <c r="Q2108">
        <v>0</v>
      </c>
      <c r="R2108">
        <v>1.0229160635356407E-2</v>
      </c>
      <c r="S2108">
        <v>0.27230109533984342</v>
      </c>
      <c r="T2108">
        <v>5.9100854045689815</v>
      </c>
      <c r="U2108">
        <v>0</v>
      </c>
      <c r="V2108">
        <v>1.9022735796573965E-2</v>
      </c>
      <c r="W2108">
        <v>0.10063361787264831</v>
      </c>
      <c r="X2108">
        <v>-1.0943230522177246E-3</v>
      </c>
      <c r="Y2108">
        <v>4.2121862773678263E-2</v>
      </c>
    </row>
    <row r="2109" spans="1:25" x14ac:dyDescent="0.25">
      <c r="A2109" s="879"/>
      <c r="B2109" s="1133">
        <v>1859</v>
      </c>
      <c r="C2109" s="883">
        <v>1.0387245356474479</v>
      </c>
      <c r="D2109" s="883">
        <v>1.0213284137950789</v>
      </c>
      <c r="E2109" s="883">
        <v>1.0255422391606153</v>
      </c>
      <c r="F2109" s="883">
        <v>1.0145702019536635</v>
      </c>
      <c r="G2109" s="883">
        <v>0.99364609400448878</v>
      </c>
      <c r="H2109" s="883">
        <v>1.0307462859350238</v>
      </c>
      <c r="I2109" s="883">
        <v>1.0231499421861254</v>
      </c>
      <c r="K2109">
        <v>6.7348435210632589</v>
      </c>
      <c r="L2109">
        <v>0</v>
      </c>
      <c r="M2109">
        <v>1.0022896640830352E-2</v>
      </c>
      <c r="N2109">
        <v>0.19406476153910399</v>
      </c>
      <c r="O2109">
        <v>0.1159884356530838</v>
      </c>
      <c r="P2109">
        <v>8.4736209021368386E-2</v>
      </c>
      <c r="Q2109">
        <v>0</v>
      </c>
      <c r="R2109">
        <v>1.0022896640830352E-2</v>
      </c>
      <c r="S2109">
        <v>0.26861035947049222</v>
      </c>
      <c r="T2109">
        <v>5.911466535240697</v>
      </c>
      <c r="U2109">
        <v>0</v>
      </c>
      <c r="V2109">
        <v>1.8951852394844478E-2</v>
      </c>
      <c r="W2109">
        <v>0.10086136525867065</v>
      </c>
      <c r="X2109">
        <v>-1.1085018728480337E-3</v>
      </c>
      <c r="Y2109">
        <v>4.1272504357842361E-2</v>
      </c>
    </row>
    <row r="2110" spans="1:25" x14ac:dyDescent="0.25">
      <c r="A2110" s="879"/>
      <c r="B2110" s="1133">
        <v>1860</v>
      </c>
      <c r="C2110" s="883">
        <v>1.0313252323861151</v>
      </c>
      <c r="D2110" s="883">
        <v>0.99747556620653788</v>
      </c>
      <c r="E2110" s="883">
        <v>1.0157455775554278</v>
      </c>
      <c r="F2110" s="883">
        <v>1.0193014471002106</v>
      </c>
      <c r="G2110" s="883">
        <v>0.99667684047534566</v>
      </c>
      <c r="H2110" s="883">
        <v>1.0127928230060395</v>
      </c>
      <c r="I2110" s="883">
        <v>0.99494389427494179</v>
      </c>
      <c r="K2110">
        <v>6.7292189193704495</v>
      </c>
      <c r="L2110">
        <v>0</v>
      </c>
      <c r="M2110">
        <v>1.0106160171895862E-2</v>
      </c>
      <c r="N2110">
        <v>0.19286173408070054</v>
      </c>
      <c r="O2110">
        <v>0.11811004288528368</v>
      </c>
      <c r="P2110">
        <v>8.4040054209679693E-2</v>
      </c>
      <c r="Q2110">
        <v>0</v>
      </c>
      <c r="R2110">
        <v>1.0106160171895862E-2</v>
      </c>
      <c r="S2110">
        <v>0.2616790440490166</v>
      </c>
      <c r="T2110">
        <v>5.9122840049831149</v>
      </c>
      <c r="U2110">
        <v>0</v>
      </c>
      <c r="V2110">
        <v>1.8989507237290773E-2</v>
      </c>
      <c r="W2110">
        <v>0.10072087322565905</v>
      </c>
      <c r="X2110">
        <v>-1.0817100587162535E-3</v>
      </c>
      <c r="Y2110">
        <v>4.1615368758414088E-2</v>
      </c>
    </row>
    <row r="2111" spans="1:25" x14ac:dyDescent="0.25">
      <c r="A2111" s="879"/>
      <c r="B2111" s="1133">
        <v>1861</v>
      </c>
      <c r="C2111" s="883">
        <v>1.0209746132798674</v>
      </c>
      <c r="D2111" s="883">
        <v>1.002081455807974</v>
      </c>
      <c r="E2111" s="883">
        <v>1.0200257749028911</v>
      </c>
      <c r="F2111" s="883">
        <v>1.000846201384838</v>
      </c>
      <c r="G2111" s="883">
        <v>1.0149702275079076</v>
      </c>
      <c r="H2111" s="883">
        <v>0.99571722301782684</v>
      </c>
      <c r="I2111" s="883">
        <v>1.0211730258451712</v>
      </c>
      <c r="K2111">
        <v>6.7351691509179945</v>
      </c>
      <c r="L2111">
        <v>0</v>
      </c>
      <c r="M2111">
        <v>9.979259790442398E-3</v>
      </c>
      <c r="N2111">
        <v>0.19164983560675436</v>
      </c>
      <c r="O2111">
        <v>0.11900862351680735</v>
      </c>
      <c r="P2111">
        <v>8.4400318697161469E-2</v>
      </c>
      <c r="Q2111">
        <v>0</v>
      </c>
      <c r="R2111">
        <v>9.979259790442398E-3</v>
      </c>
      <c r="S2111">
        <v>0.26965051622621355</v>
      </c>
      <c r="T2111">
        <v>5.9110421076746782</v>
      </c>
      <c r="U2111">
        <v>0</v>
      </c>
      <c r="V2111">
        <v>1.9043096993516105E-2</v>
      </c>
      <c r="W2111">
        <v>9.9876981876572068E-2</v>
      </c>
      <c r="X2111">
        <v>-5.9514524872101866E-4</v>
      </c>
      <c r="Y2111">
        <v>4.1092815575014596E-2</v>
      </c>
    </row>
    <row r="2112" spans="1:25" x14ac:dyDescent="0.25">
      <c r="A2112" s="879"/>
      <c r="B2112" s="1133">
        <v>1862</v>
      </c>
      <c r="C2112" s="883">
        <v>0.99265634103067446</v>
      </c>
      <c r="D2112" s="883">
        <v>1.0011085812577163</v>
      </c>
      <c r="E2112" s="883">
        <v>0.97900564621887887</v>
      </c>
      <c r="F2112" s="883">
        <v>1.0145764065225018</v>
      </c>
      <c r="G2112" s="883">
        <v>0.99435650983970791</v>
      </c>
      <c r="H2112" s="883">
        <v>0.9883464304730718</v>
      </c>
      <c r="I2112" s="883">
        <v>1.027804875158183</v>
      </c>
      <c r="K2112">
        <v>6.7513149261587859</v>
      </c>
      <c r="L2112">
        <v>0</v>
      </c>
      <c r="M2112">
        <v>1.0564032222577071E-2</v>
      </c>
      <c r="N2112">
        <v>0.19091785796485272</v>
      </c>
      <c r="O2112">
        <v>0.12322506025893612</v>
      </c>
      <c r="P2112">
        <v>8.1980168893652491E-2</v>
      </c>
      <c r="Q2112">
        <v>0</v>
      </c>
      <c r="R2112">
        <v>1.0564032222577071E-2</v>
      </c>
      <c r="S2112">
        <v>0.27836217203046953</v>
      </c>
      <c r="T2112">
        <v>5.9140885055855161</v>
      </c>
      <c r="U2112">
        <v>0</v>
      </c>
      <c r="V2112">
        <v>1.9195424709090209E-2</v>
      </c>
      <c r="W2112">
        <v>0.10154366011080278</v>
      </c>
      <c r="X2112">
        <v>-1.4987277594733937E-3</v>
      </c>
      <c r="Y2112">
        <v>4.3500804364932408E-2</v>
      </c>
    </row>
    <row r="2113" spans="1:25" x14ac:dyDescent="0.25">
      <c r="A2113" s="879"/>
      <c r="B2113" s="1133">
        <v>1863</v>
      </c>
      <c r="C2113" s="883">
        <v>1.0426721797578968</v>
      </c>
      <c r="D2113" s="883">
        <v>1.0081884134750012</v>
      </c>
      <c r="E2113" s="883">
        <v>1.0105529992172961</v>
      </c>
      <c r="F2113" s="883">
        <v>0.99834533192015118</v>
      </c>
      <c r="G2113" s="883">
        <v>0.99937705832398438</v>
      </c>
      <c r="H2113" s="883">
        <v>0.97402985331267544</v>
      </c>
      <c r="I2113" s="883">
        <v>1.0264232646300753</v>
      </c>
      <c r="K2113">
        <v>6.7115897871468517</v>
      </c>
      <c r="L2113">
        <v>0</v>
      </c>
      <c r="M2113">
        <v>9.6132790306100967E-3</v>
      </c>
      <c r="N2113">
        <v>0.18205130161784808</v>
      </c>
      <c r="O2113">
        <v>0.11642016888803391</v>
      </c>
      <c r="P2113">
        <v>8.3724807536024015E-2</v>
      </c>
      <c r="Q2113">
        <v>0</v>
      </c>
      <c r="R2113">
        <v>9.6132790306100967E-3</v>
      </c>
      <c r="S2113">
        <v>0.26331702073980678</v>
      </c>
      <c r="T2113">
        <v>5.9114473500112581</v>
      </c>
      <c r="U2113">
        <v>0</v>
      </c>
      <c r="V2113">
        <v>1.8931981571706422E-2</v>
      </c>
      <c r="W2113">
        <v>9.5319370765912056E-2</v>
      </c>
      <c r="X2113">
        <v>7.9201406808833788E-4</v>
      </c>
      <c r="Y2113">
        <v>3.9585771948172033E-2</v>
      </c>
    </row>
    <row r="2114" spans="1:25" x14ac:dyDescent="0.25">
      <c r="A2114" s="879"/>
      <c r="B2114" s="1133">
        <v>1864</v>
      </c>
      <c r="C2114" s="883">
        <v>1.0300913010083255</v>
      </c>
      <c r="D2114" s="883">
        <v>1.0013085670508348</v>
      </c>
      <c r="E2114" s="883">
        <v>0.97975126849601368</v>
      </c>
      <c r="F2114" s="883">
        <v>0.99649219609454853</v>
      </c>
      <c r="G2114" s="883">
        <v>0.9759075404589943</v>
      </c>
      <c r="H2114" s="883">
        <v>0.98975539400871282</v>
      </c>
      <c r="I2114" s="883">
        <v>1.0166092438513663</v>
      </c>
      <c r="K2114">
        <v>6.7218173435784703</v>
      </c>
      <c r="L2114">
        <v>0</v>
      </c>
      <c r="M2114">
        <v>1.0187138387254985E-2</v>
      </c>
      <c r="N2114">
        <v>0.18431025859400105</v>
      </c>
      <c r="O2114">
        <v>0.1187239809688795</v>
      </c>
      <c r="P2114">
        <v>8.1840890122715754E-2</v>
      </c>
      <c r="Q2114">
        <v>0</v>
      </c>
      <c r="R2114">
        <v>1.0187138387254985E-2</v>
      </c>
      <c r="S2114">
        <v>0.26545453107627764</v>
      </c>
      <c r="T2114">
        <v>5.9130698184448303</v>
      </c>
      <c r="U2114">
        <v>0</v>
      </c>
      <c r="V2114">
        <v>1.8995839306982714E-2</v>
      </c>
      <c r="W2114">
        <v>9.7992669281299419E-2</v>
      </c>
      <c r="X2114">
        <v>-5.1946685219691482E-4</v>
      </c>
      <c r="Y2114">
        <v>4.1948822635677924E-2</v>
      </c>
    </row>
    <row r="2115" spans="1:25" x14ac:dyDescent="0.25">
      <c r="A2115" s="879"/>
      <c r="B2115" s="1133">
        <v>1865</v>
      </c>
      <c r="C2115" s="883">
        <v>1.0383195432316894</v>
      </c>
      <c r="D2115" s="883">
        <v>1.0408716863956917</v>
      </c>
      <c r="E2115" s="883">
        <v>0.9835668861039828</v>
      </c>
      <c r="F2115" s="883">
        <v>0.96089550916274824</v>
      </c>
      <c r="G2115" s="883">
        <v>0.98824207813541665</v>
      </c>
      <c r="H2115" s="883">
        <v>1.0300946728367384</v>
      </c>
      <c r="I2115" s="883">
        <v>0.99832078372342758</v>
      </c>
      <c r="K2115">
        <v>6.7180182705458886</v>
      </c>
      <c r="L2115">
        <v>0</v>
      </c>
      <c r="M2115">
        <v>1.031095358841074E-2</v>
      </c>
      <c r="N2115">
        <v>0.18760933319363268</v>
      </c>
      <c r="O2115">
        <v>0.11590437778106868</v>
      </c>
      <c r="P2115">
        <v>8.2004960349059394E-2</v>
      </c>
      <c r="Q2115">
        <v>0</v>
      </c>
      <c r="R2115">
        <v>1.031095358841074E-2</v>
      </c>
      <c r="S2115">
        <v>0.26187609181501881</v>
      </c>
      <c r="T2115">
        <v>5.9109350601807948</v>
      </c>
      <c r="U2115">
        <v>0</v>
      </c>
      <c r="V2115">
        <v>1.8953899506413886E-2</v>
      </c>
      <c r="W2115">
        <v>9.9556439106364261E-2</v>
      </c>
      <c r="X2115">
        <v>-1.2805629822160926E-3</v>
      </c>
      <c r="Y2115">
        <v>4.2458671595753075E-2</v>
      </c>
    </row>
    <row r="2116" spans="1:25" x14ac:dyDescent="0.25">
      <c r="A2116" s="879"/>
      <c r="B2116" s="1133">
        <v>1866</v>
      </c>
      <c r="C2116" s="883">
        <v>1.0245940282774426</v>
      </c>
      <c r="D2116" s="883">
        <v>1.0171906707564453</v>
      </c>
      <c r="E2116" s="883">
        <v>1.0053692887947707</v>
      </c>
      <c r="F2116" s="883">
        <v>0.98520952266671669</v>
      </c>
      <c r="G2116" s="883">
        <v>1.0174144916806895</v>
      </c>
      <c r="H2116" s="883">
        <v>1.0044797018897591</v>
      </c>
      <c r="I2116" s="883">
        <v>0.96060613766769276</v>
      </c>
      <c r="K2116">
        <v>6.7148885042255273</v>
      </c>
      <c r="L2116">
        <v>0</v>
      </c>
      <c r="M2116">
        <v>1.0096060210074172E-2</v>
      </c>
      <c r="N2116">
        <v>0.18973215629139156</v>
      </c>
      <c r="O2116">
        <v>0.11814830901381371</v>
      </c>
      <c r="P2116">
        <v>8.3261667471958747E-2</v>
      </c>
      <c r="Q2116">
        <v>0</v>
      </c>
      <c r="R2116">
        <v>1.0096060210074172E-2</v>
      </c>
      <c r="S2116">
        <v>0.25337192208602027</v>
      </c>
      <c r="T2116">
        <v>5.9110311154388242</v>
      </c>
      <c r="U2116">
        <v>0</v>
      </c>
      <c r="V2116">
        <v>1.9024234562742715E-2</v>
      </c>
      <c r="W2116">
        <v>9.9596193632319058E-2</v>
      </c>
      <c r="X2116">
        <v>-8.5087318490745603E-4</v>
      </c>
      <c r="Y2116">
        <v>4.1573778913358554E-2</v>
      </c>
    </row>
    <row r="2117" spans="1:25" x14ac:dyDescent="0.25">
      <c r="A2117" s="879"/>
      <c r="B2117" s="1133">
        <v>1867</v>
      </c>
      <c r="C2117" s="883">
        <v>0.97021355121420916</v>
      </c>
      <c r="D2117" s="883">
        <v>0.99511209200431427</v>
      </c>
      <c r="E2117" s="883">
        <v>0.99847781367228772</v>
      </c>
      <c r="F2117" s="883">
        <v>0.99353084819424564</v>
      </c>
      <c r="G2117" s="883">
        <v>0.97714834303402787</v>
      </c>
      <c r="H2117" s="883">
        <v>0.99790034105867842</v>
      </c>
      <c r="I2117" s="883">
        <v>1.0122738079550306</v>
      </c>
      <c r="K2117">
        <v>6.7692575031495359</v>
      </c>
      <c r="L2117">
        <v>0</v>
      </c>
      <c r="M2117">
        <v>1.0756687820967097E-2</v>
      </c>
      <c r="N2117">
        <v>0.20009407878195443</v>
      </c>
      <c r="O2117">
        <v>0.12600404508496515</v>
      </c>
      <c r="P2117">
        <v>8.3222036546501274E-2</v>
      </c>
      <c r="Q2117">
        <v>0</v>
      </c>
      <c r="R2117">
        <v>1.0756687820967097E-2</v>
      </c>
      <c r="S2117">
        <v>0.28153403831397344</v>
      </c>
      <c r="T2117">
        <v>5.9118687775778129</v>
      </c>
      <c r="U2117">
        <v>0</v>
      </c>
      <c r="V2117">
        <v>1.9322463580166406E-2</v>
      </c>
      <c r="W2117">
        <v>0.10539530338414058</v>
      </c>
      <c r="X2117">
        <v>-2.477365947665277E-3</v>
      </c>
      <c r="Y2117">
        <v>4.4294125827684348E-2</v>
      </c>
    </row>
    <row r="2118" spans="1:25" x14ac:dyDescent="0.25">
      <c r="A2118" s="879"/>
      <c r="B2118" s="1133">
        <v>1868</v>
      </c>
      <c r="C2118" s="883">
        <v>1.0238610138657274</v>
      </c>
      <c r="D2118" s="883">
        <v>0.96424855264004194</v>
      </c>
      <c r="E2118" s="883">
        <v>1.0236138046665579</v>
      </c>
      <c r="F2118" s="883">
        <v>0.95327685574864385</v>
      </c>
      <c r="G2118" s="883">
        <v>0.99481986057042104</v>
      </c>
      <c r="H2118" s="883">
        <v>1.0173230277513634</v>
      </c>
      <c r="I2118" s="883">
        <v>0.99664438103310871</v>
      </c>
      <c r="K2118">
        <v>6.7400914748541449</v>
      </c>
      <c r="L2118">
        <v>0</v>
      </c>
      <c r="M2118">
        <v>1.0303724239997633E-2</v>
      </c>
      <c r="N2118">
        <v>0.19893406623946835</v>
      </c>
      <c r="O2118">
        <v>0.12044681184907097</v>
      </c>
      <c r="P2118">
        <v>8.4521459584923339E-2</v>
      </c>
      <c r="Q2118">
        <v>0</v>
      </c>
      <c r="R2118">
        <v>1.0303724239997633E-2</v>
      </c>
      <c r="S2118">
        <v>0.26483746069851871</v>
      </c>
      <c r="T2118">
        <v>5.90826632611744</v>
      </c>
      <c r="U2118">
        <v>0</v>
      </c>
      <c r="V2118">
        <v>1.9028043867574559E-2</v>
      </c>
      <c r="W2118">
        <v>0.10349016988644856</v>
      </c>
      <c r="X2118">
        <v>-1.8617658150653243E-3</v>
      </c>
      <c r="Y2118">
        <v>4.2428902425763956E-2</v>
      </c>
    </row>
    <row r="2119" spans="1:25" x14ac:dyDescent="0.25">
      <c r="A2119" s="879"/>
      <c r="B2119" s="1133">
        <v>1869</v>
      </c>
      <c r="C2119" s="883">
        <v>0.99337629591541243</v>
      </c>
      <c r="D2119" s="883">
        <v>0.98775728016438757</v>
      </c>
      <c r="E2119" s="883">
        <v>1.0378703749560458</v>
      </c>
      <c r="F2119" s="883">
        <v>1.0175100643733004</v>
      </c>
      <c r="G2119" s="883">
        <v>1.0074666237066141</v>
      </c>
      <c r="H2119" s="883">
        <v>0.97152643617550549</v>
      </c>
      <c r="I2119" s="883">
        <v>0.99596706072031727</v>
      </c>
      <c r="K2119">
        <v>6.7432398506271785</v>
      </c>
      <c r="L2119">
        <v>0</v>
      </c>
      <c r="M2119">
        <v>9.9130124589573917E-3</v>
      </c>
      <c r="N2119">
        <v>0.19546653368517916</v>
      </c>
      <c r="O2119">
        <v>0.12267849935064239</v>
      </c>
      <c r="P2119">
        <v>8.5497162929040985E-2</v>
      </c>
      <c r="Q2119">
        <v>0</v>
      </c>
      <c r="R2119">
        <v>9.9130124589573917E-3</v>
      </c>
      <c r="S2119">
        <v>0.26817714793035419</v>
      </c>
      <c r="T2119">
        <v>5.9109108446595791</v>
      </c>
      <c r="U2119">
        <v>0</v>
      </c>
      <c r="V2119">
        <v>1.9191444383398152E-2</v>
      </c>
      <c r="W2119">
        <v>0.10097777051802061</v>
      </c>
      <c r="X2119">
        <v>-4.7957368457911866E-4</v>
      </c>
      <c r="Y2119">
        <v>4.0820020855544766E-2</v>
      </c>
    </row>
    <row r="2120" spans="1:25" x14ac:dyDescent="0.25">
      <c r="A2120" s="879"/>
      <c r="B2120" s="1133">
        <v>1870</v>
      </c>
      <c r="C2120" s="883">
        <v>0.99674172284781171</v>
      </c>
      <c r="D2120" s="883">
        <v>0.99348306953181409</v>
      </c>
      <c r="E2120" s="883">
        <v>1.0113862983737787</v>
      </c>
      <c r="F2120" s="883">
        <v>1.0262193772286829</v>
      </c>
      <c r="G2120" s="883">
        <v>0.99736569501276517</v>
      </c>
      <c r="H2120" s="883">
        <v>0.97838813870280539</v>
      </c>
      <c r="I2120" s="883">
        <v>1.0084686073351097</v>
      </c>
      <c r="K2120">
        <v>6.7440621945691941</v>
      </c>
      <c r="L2120">
        <v>0</v>
      </c>
      <c r="M2120">
        <v>1.0157625365476812E-2</v>
      </c>
      <c r="N2120">
        <v>0.19259727586331829</v>
      </c>
      <c r="O2120">
        <v>0.12248696880834202</v>
      </c>
      <c r="P2120">
        <v>8.3906278417638619E-2</v>
      </c>
      <c r="Q2120">
        <v>0</v>
      </c>
      <c r="R2120">
        <v>1.0157625365476812E-2</v>
      </c>
      <c r="S2120">
        <v>0.27118374264663886</v>
      </c>
      <c r="T2120">
        <v>5.9129061314602076</v>
      </c>
      <c r="U2120">
        <v>0</v>
      </c>
      <c r="V2120">
        <v>1.917291462416025E-2</v>
      </c>
      <c r="W2120">
        <v>0.10079954963050643</v>
      </c>
      <c r="X2120">
        <v>-8.1796014673765226E-4</v>
      </c>
      <c r="Y2120">
        <v>4.1827293265117457E-2</v>
      </c>
    </row>
    <row r="2121" spans="1:25" x14ac:dyDescent="0.25">
      <c r="A2121" s="879"/>
      <c r="B2121" s="1133">
        <v>1871</v>
      </c>
      <c r="C2121" s="883">
        <v>1.0003076305945204</v>
      </c>
      <c r="D2121" s="883">
        <v>0.99467979231268877</v>
      </c>
      <c r="E2121" s="883">
        <v>1.0159713500086576</v>
      </c>
      <c r="F2121" s="883">
        <v>1.0034752480266071</v>
      </c>
      <c r="G2121" s="883">
        <v>0.99065989117540654</v>
      </c>
      <c r="H2121" s="883">
        <v>0.99703113117197251</v>
      </c>
      <c r="I2121" s="883">
        <v>0.99321555575058151</v>
      </c>
      <c r="K2121">
        <v>6.7437150002612416</v>
      </c>
      <c r="L2121">
        <v>0</v>
      </c>
      <c r="M2121">
        <v>1.0267689411709134E-2</v>
      </c>
      <c r="N2121">
        <v>0.19600976357295249</v>
      </c>
      <c r="O2121">
        <v>0.12190492845279483</v>
      </c>
      <c r="P2121">
        <v>8.412868787569236E-2</v>
      </c>
      <c r="Q2121">
        <v>0</v>
      </c>
      <c r="R2121">
        <v>1.0267689411709134E-2</v>
      </c>
      <c r="S2121">
        <v>0.26787578456298428</v>
      </c>
      <c r="T2121">
        <v>5.9114160408125249</v>
      </c>
      <c r="U2121">
        <v>0</v>
      </c>
      <c r="V2121">
        <v>1.91534170794555E-2</v>
      </c>
      <c r="W2121">
        <v>0.10235350952835805</v>
      </c>
      <c r="X2121">
        <v>-1.4076490403590574E-3</v>
      </c>
      <c r="Y2121">
        <v>4.2280517416832239E-2</v>
      </c>
    </row>
    <row r="2122" spans="1:25" x14ac:dyDescent="0.25">
      <c r="A2122" s="879"/>
      <c r="B2122" s="1133">
        <v>1872</v>
      </c>
      <c r="C2122" s="883">
        <v>1.0207592362591191</v>
      </c>
      <c r="D2122" s="883">
        <v>1.0181242750589883</v>
      </c>
      <c r="E2122" s="883">
        <v>1.0111945578971597</v>
      </c>
      <c r="F2122" s="883">
        <v>1.0266541818198678</v>
      </c>
      <c r="G2122" s="883">
        <v>0.99819610112407287</v>
      </c>
      <c r="H2122" s="883">
        <v>0.99364031235253825</v>
      </c>
      <c r="I2122" s="883">
        <v>0.98283488201024061</v>
      </c>
      <c r="K2122">
        <v>6.7219005159207885</v>
      </c>
      <c r="L2122">
        <v>0</v>
      </c>
      <c r="M2122">
        <v>9.9697880512925989E-3</v>
      </c>
      <c r="N2122">
        <v>0.18898207452798452</v>
      </c>
      <c r="O2122">
        <v>0.11844206120248627</v>
      </c>
      <c r="P2122">
        <v>8.3731508265766821E-2</v>
      </c>
      <c r="Q2122">
        <v>0</v>
      </c>
      <c r="R2122">
        <v>9.9697880512925989E-3</v>
      </c>
      <c r="S2122">
        <v>0.25923365066214882</v>
      </c>
      <c r="T2122">
        <v>5.9129405250769347</v>
      </c>
      <c r="U2122">
        <v>0</v>
      </c>
      <c r="V2122">
        <v>1.9044223638647956E-2</v>
      </c>
      <c r="W2122">
        <v>9.8916838881160249E-2</v>
      </c>
      <c r="X2122">
        <v>-4.4417897344416532E-4</v>
      </c>
      <c r="Y2122">
        <v>4.105381263910244E-2</v>
      </c>
    </row>
    <row r="2123" spans="1:25" x14ac:dyDescent="0.25">
      <c r="A2123" s="879"/>
      <c r="B2123" s="1133">
        <v>1873</v>
      </c>
      <c r="C2123" s="883">
        <v>1.0141387039981165</v>
      </c>
      <c r="D2123" s="883">
        <v>0.97420918047643523</v>
      </c>
      <c r="E2123" s="883">
        <v>1.0086004604844847</v>
      </c>
      <c r="F2123" s="883">
        <v>0.97482380318923145</v>
      </c>
      <c r="G2123" s="883">
        <v>1.0291847955736106</v>
      </c>
      <c r="H2123" s="883">
        <v>1.0000969122305339</v>
      </c>
      <c r="I2123" s="883">
        <v>1.0080862574356053</v>
      </c>
      <c r="K2123">
        <v>6.740989802456637</v>
      </c>
      <c r="L2123">
        <v>0</v>
      </c>
      <c r="M2123">
        <v>1.0316037509951621E-2</v>
      </c>
      <c r="N2123">
        <v>0.19479588641433773</v>
      </c>
      <c r="O2123">
        <v>0.12138513699947402</v>
      </c>
      <c r="P2123">
        <v>8.3660951197702796E-2</v>
      </c>
      <c r="Q2123">
        <v>0</v>
      </c>
      <c r="R2123">
        <v>1.0316037509951621E-2</v>
      </c>
      <c r="S2123">
        <v>0.26866953048542946</v>
      </c>
      <c r="T2123">
        <v>5.910287120246787</v>
      </c>
      <c r="U2123">
        <v>0</v>
      </c>
      <c r="V2123">
        <v>1.9079089329196434E-2</v>
      </c>
      <c r="W2123">
        <v>0.10209080996268331</v>
      </c>
      <c r="X2123">
        <v>-1.4583284587347913E-3</v>
      </c>
      <c r="Y2123">
        <v>4.2479606279754119E-2</v>
      </c>
    </row>
    <row r="2124" spans="1:25" x14ac:dyDescent="0.25">
      <c r="A2124" s="879"/>
      <c r="B2124" s="1133">
        <v>1874</v>
      </c>
      <c r="C2124" s="883">
        <v>1.0248149405162337</v>
      </c>
      <c r="D2124" s="883">
        <v>1.0283224243462197</v>
      </c>
      <c r="E2124" s="883">
        <v>0.99854478518362899</v>
      </c>
      <c r="F2124" s="883">
        <v>0.97212883020617613</v>
      </c>
      <c r="G2124" s="883">
        <v>1.0194627210150367</v>
      </c>
      <c r="H2124" s="883">
        <v>1.0157125386843451</v>
      </c>
      <c r="I2124" s="883">
        <v>1.0221953428111858</v>
      </c>
      <c r="K2124">
        <v>6.7322553373072171</v>
      </c>
      <c r="L2124">
        <v>0</v>
      </c>
      <c r="M2124">
        <v>1.0220089587377376E-2</v>
      </c>
      <c r="N2124">
        <v>0.1901312350392706</v>
      </c>
      <c r="O2124">
        <v>0.11773320946446646</v>
      </c>
      <c r="P2124">
        <v>8.3058889836010216E-2</v>
      </c>
      <c r="Q2124">
        <v>0</v>
      </c>
      <c r="R2124">
        <v>1.0220089587377376E-2</v>
      </c>
      <c r="S2124">
        <v>0.27048651546051389</v>
      </c>
      <c r="T2124">
        <v>5.910708370507221</v>
      </c>
      <c r="U2124">
        <v>0</v>
      </c>
      <c r="V2124">
        <v>1.9023087602010765E-2</v>
      </c>
      <c r="W2124">
        <v>0.10014425427214318</v>
      </c>
      <c r="X2124">
        <v>-1.1147346871081634E-3</v>
      </c>
      <c r="Y2124">
        <v>4.2084509812686959E-2</v>
      </c>
    </row>
    <row r="2125" spans="1:25" x14ac:dyDescent="0.25">
      <c r="A2125" s="879"/>
      <c r="B2125" s="1133">
        <v>1875</v>
      </c>
      <c r="C2125" s="883">
        <v>0.9797348486670252</v>
      </c>
      <c r="D2125" s="883">
        <v>0.97701415257194246</v>
      </c>
      <c r="E2125" s="883">
        <v>1.0247027926583314</v>
      </c>
      <c r="F2125" s="883">
        <v>0.99344012181792518</v>
      </c>
      <c r="G2125" s="883">
        <v>0.98249965635538383</v>
      </c>
      <c r="H2125" s="883">
        <v>0.95437540081594385</v>
      </c>
      <c r="I2125" s="883">
        <v>1.0125508699246422</v>
      </c>
      <c r="K2125">
        <v>6.7502577857908097</v>
      </c>
      <c r="L2125">
        <v>0</v>
      </c>
      <c r="M2125">
        <v>1.0035142698486084E-2</v>
      </c>
      <c r="N2125">
        <v>0.19406083137592758</v>
      </c>
      <c r="O2125">
        <v>0.12518988818700352</v>
      </c>
      <c r="P2125">
        <v>8.475798647293234E-2</v>
      </c>
      <c r="Q2125">
        <v>0</v>
      </c>
      <c r="R2125">
        <v>1.0035142698486084E-2</v>
      </c>
      <c r="S2125">
        <v>0.27483298338157591</v>
      </c>
      <c r="T2125">
        <v>5.9103734031092765</v>
      </c>
      <c r="U2125">
        <v>0</v>
      </c>
      <c r="V2125">
        <v>1.9267856836171857E-2</v>
      </c>
      <c r="W2125">
        <v>0.10090094998606428</v>
      </c>
      <c r="X2125">
        <v>-4.4904500169660783E-4</v>
      </c>
      <c r="Y2125">
        <v>4.1322931443551661E-2</v>
      </c>
    </row>
    <row r="2126" spans="1:25" x14ac:dyDescent="0.25">
      <c r="A2126" s="879"/>
      <c r="B2126" s="1133">
        <v>1876</v>
      </c>
      <c r="C2126" s="883">
        <v>0.97146802198433324</v>
      </c>
      <c r="D2126" s="883">
        <v>0.98095176635052928</v>
      </c>
      <c r="E2126" s="883">
        <v>0.99152098562580826</v>
      </c>
      <c r="F2126" s="883">
        <v>0.98953261521487834</v>
      </c>
      <c r="G2126" s="883">
        <v>1.0209545447535606</v>
      </c>
      <c r="H2126" s="883">
        <v>0.97972317298537381</v>
      </c>
      <c r="I2126" s="883">
        <v>0.99644534254794859</v>
      </c>
      <c r="K2126">
        <v>6.7583414812754361</v>
      </c>
      <c r="L2126">
        <v>0</v>
      </c>
      <c r="M2126">
        <v>1.0676740438001115E-2</v>
      </c>
      <c r="N2126">
        <v>0.19656974783501455</v>
      </c>
      <c r="O2126">
        <v>0.1266997398246664</v>
      </c>
      <c r="P2126">
        <v>8.2700890218303735E-2</v>
      </c>
      <c r="Q2126">
        <v>0</v>
      </c>
      <c r="R2126">
        <v>1.0676740438001115E-2</v>
      </c>
      <c r="S2126">
        <v>0.27514037334844854</v>
      </c>
      <c r="T2126">
        <v>5.9120416690007271</v>
      </c>
      <c r="U2126">
        <v>0</v>
      </c>
      <c r="V2126">
        <v>1.9315207689303313E-2</v>
      </c>
      <c r="W2126">
        <v>0.10389801659776569</v>
      </c>
      <c r="X2126">
        <v>-1.9890799735332743E-3</v>
      </c>
      <c r="Y2126">
        <v>4.396491673473412E-2</v>
      </c>
    </row>
    <row r="2127" spans="1:25" x14ac:dyDescent="0.25">
      <c r="A2127" s="879"/>
      <c r="B2127" s="1133">
        <v>1877</v>
      </c>
      <c r="C2127" s="883">
        <v>0.99568188145033254</v>
      </c>
      <c r="D2127" s="883">
        <v>1.0073157946912119</v>
      </c>
      <c r="E2127" s="883">
        <v>1.0029788509969857</v>
      </c>
      <c r="F2127" s="883">
        <v>1.0118848659841468</v>
      </c>
      <c r="G2127" s="883">
        <v>0.95653807757527098</v>
      </c>
      <c r="H2127" s="883">
        <v>0.99336122967173135</v>
      </c>
      <c r="I2127" s="883">
        <v>1.033147127462031</v>
      </c>
      <c r="K2127">
        <v>6.7534308506899254</v>
      </c>
      <c r="L2127">
        <v>0</v>
      </c>
      <c r="M2127">
        <v>1.033880446754111E-2</v>
      </c>
      <c r="N2127">
        <v>0.19360733275270828</v>
      </c>
      <c r="O2127">
        <v>0.12209934220116447</v>
      </c>
      <c r="P2127">
        <v>8.3485089077327726E-2</v>
      </c>
      <c r="Q2127">
        <v>0</v>
      </c>
      <c r="R2127">
        <v>1.033880446754111E-2</v>
      </c>
      <c r="S2127">
        <v>0.27942983121863624</v>
      </c>
      <c r="T2127">
        <v>5.9126075188325879</v>
      </c>
      <c r="U2127">
        <v>0</v>
      </c>
      <c r="V2127">
        <v>1.9178736509902445E-2</v>
      </c>
      <c r="W2127">
        <v>0.10175091051083908</v>
      </c>
      <c r="X2127">
        <v>-1.3012669719863845E-3</v>
      </c>
      <c r="Y2127">
        <v>4.2573356558740248E-2</v>
      </c>
    </row>
    <row r="2128" spans="1:25" x14ac:dyDescent="0.25">
      <c r="A2128" s="879"/>
      <c r="B2128" s="1133">
        <v>1878</v>
      </c>
      <c r="C2128" s="883">
        <v>0.96563662592724508</v>
      </c>
      <c r="D2128" s="883">
        <v>0.98152779179696381</v>
      </c>
      <c r="E2128" s="883">
        <v>1.0114503338782583</v>
      </c>
      <c r="F2128" s="883">
        <v>0.9907902384914461</v>
      </c>
      <c r="G2128" s="883">
        <v>0.96073736069059668</v>
      </c>
      <c r="H2128" s="883">
        <v>1.033783570244289</v>
      </c>
      <c r="I2128" s="883">
        <v>0.98937841534642668</v>
      </c>
      <c r="K2128">
        <v>6.7848629946659491</v>
      </c>
      <c r="L2128">
        <v>0</v>
      </c>
      <c r="M2128">
        <v>1.1135464235626167E-2</v>
      </c>
      <c r="N2128">
        <v>0.21115795238868326</v>
      </c>
      <c r="O2128">
        <v>0.12704501898827059</v>
      </c>
      <c r="P2128">
        <v>8.4007712593490338E-2</v>
      </c>
      <c r="Q2128">
        <v>0</v>
      </c>
      <c r="R2128">
        <v>1.1135464235626167E-2</v>
      </c>
      <c r="S2128">
        <v>0.28013147205256539</v>
      </c>
      <c r="T2128">
        <v>5.9109881517490335</v>
      </c>
      <c r="U2128">
        <v>0</v>
      </c>
      <c r="V2128">
        <v>1.9349096500991054E-2</v>
      </c>
      <c r="W2128">
        <v>0.11051014438877296</v>
      </c>
      <c r="X2128">
        <v>-4.180413679423527E-3</v>
      </c>
      <c r="Y2128">
        <v>4.5853859683561891E-2</v>
      </c>
    </row>
    <row r="2129" spans="1:25" x14ac:dyDescent="0.25">
      <c r="A2129" s="879"/>
      <c r="B2129" s="1133">
        <v>1879</v>
      </c>
      <c r="C2129" s="883">
        <v>1.0035418824631797</v>
      </c>
      <c r="D2129" s="883">
        <v>0.97854686944913061</v>
      </c>
      <c r="E2129" s="883">
        <v>1.0109081192846652</v>
      </c>
      <c r="F2129" s="883">
        <v>1.0079119023717356</v>
      </c>
      <c r="G2129" s="883">
        <v>0.96160986258927039</v>
      </c>
      <c r="H2129" s="883">
        <v>0.96332618361008771</v>
      </c>
      <c r="I2129" s="883">
        <v>1.0427544361149457</v>
      </c>
      <c r="K2129">
        <v>6.7443116479543228</v>
      </c>
      <c r="L2129">
        <v>0</v>
      </c>
      <c r="M2129">
        <v>1.0002359911498006E-2</v>
      </c>
      <c r="N2129">
        <v>0.18951911527423002</v>
      </c>
      <c r="O2129">
        <v>0.1224054315914522</v>
      </c>
      <c r="P2129">
        <v>8.3943556159965918E-2</v>
      </c>
      <c r="Q2129">
        <v>0</v>
      </c>
      <c r="R2129">
        <v>1.0002359911498006E-2</v>
      </c>
      <c r="S2129">
        <v>0.27716305073082265</v>
      </c>
      <c r="T2129">
        <v>5.9119440960663345</v>
      </c>
      <c r="U2129">
        <v>0</v>
      </c>
      <c r="V2129">
        <v>1.913585278154243E-2</v>
      </c>
      <c r="W2129">
        <v>9.9211985140311348E-2</v>
      </c>
      <c r="X2129">
        <v>-1.993775521872338E-4</v>
      </c>
      <c r="Y2129">
        <v>4.1187937761853317E-2</v>
      </c>
    </row>
    <row r="2130" spans="1:25" x14ac:dyDescent="0.25">
      <c r="A2130" s="879"/>
      <c r="B2130" s="1133">
        <v>1880</v>
      </c>
      <c r="C2130" s="883">
        <v>1.0062260795289157</v>
      </c>
      <c r="D2130" s="883">
        <v>0.98686877811736129</v>
      </c>
      <c r="E2130" s="883">
        <v>0.98575570823494552</v>
      </c>
      <c r="F2130" s="883">
        <v>1.036536139025749</v>
      </c>
      <c r="G2130" s="883">
        <v>1.0032894970983448</v>
      </c>
      <c r="H2130" s="883">
        <v>0.95897552129999586</v>
      </c>
      <c r="I2130" s="883">
        <v>1.0107006581388811</v>
      </c>
      <c r="K2130">
        <v>6.7298490902687096</v>
      </c>
      <c r="L2130">
        <v>0</v>
      </c>
      <c r="M2130">
        <v>1.0114419487425216E-2</v>
      </c>
      <c r="N2130">
        <v>0.18463178054240892</v>
      </c>
      <c r="O2130">
        <v>0.12213659840764193</v>
      </c>
      <c r="P2130">
        <v>8.227040433108794E-2</v>
      </c>
      <c r="Q2130">
        <v>0</v>
      </c>
      <c r="R2130">
        <v>1.0114419487425216E-2</v>
      </c>
      <c r="S2130">
        <v>0.26739298138766626</v>
      </c>
      <c r="T2130">
        <v>5.9149027428322221</v>
      </c>
      <c r="U2130">
        <v>0</v>
      </c>
      <c r="V2130">
        <v>1.9121361414161812E-2</v>
      </c>
      <c r="W2130">
        <v>9.786926058651424E-2</v>
      </c>
      <c r="X2130">
        <v>-1.2541838265290933E-4</v>
      </c>
      <c r="Y2130">
        <v>4.1649379149660597E-2</v>
      </c>
    </row>
    <row r="2131" spans="1:25" x14ac:dyDescent="0.25">
      <c r="A2131" s="879"/>
      <c r="B2131" s="1133">
        <v>1881</v>
      </c>
      <c r="C2131" s="883">
        <v>0.98962916134030487</v>
      </c>
      <c r="D2131" s="883">
        <v>0.99256934824102883</v>
      </c>
      <c r="E2131" s="883">
        <v>0.982078581275591</v>
      </c>
      <c r="F2131" s="883">
        <v>0.99198565975290243</v>
      </c>
      <c r="G2131" s="883">
        <v>0.99910192588767543</v>
      </c>
      <c r="H2131" s="883">
        <v>1.0049291930263959</v>
      </c>
      <c r="I2131" s="883">
        <v>1.0487698057550505</v>
      </c>
      <c r="K2131">
        <v>6.7667011257204042</v>
      </c>
      <c r="L2131">
        <v>0</v>
      </c>
      <c r="M2131">
        <v>1.0784816157167762E-2</v>
      </c>
      <c r="N2131">
        <v>0.19579859001282401</v>
      </c>
      <c r="O2131">
        <v>0.12396844001972826</v>
      </c>
      <c r="P2131">
        <v>8.22656465545029E-2</v>
      </c>
      <c r="Q2131">
        <v>0</v>
      </c>
      <c r="R2131">
        <v>1.0784816157167762E-2</v>
      </c>
      <c r="S2131">
        <v>0.28666362766568337</v>
      </c>
      <c r="T2131">
        <v>5.9126978981008556</v>
      </c>
      <c r="U2131">
        <v>0</v>
      </c>
      <c r="V2131">
        <v>1.9212224072951721E-2</v>
      </c>
      <c r="W2131">
        <v>0.10397950403751158</v>
      </c>
      <c r="X2131">
        <v>-2.2947580531522257E-3</v>
      </c>
      <c r="Y2131">
        <v>4.4409953309501482E-2</v>
      </c>
    </row>
    <row r="2132" spans="1:25" x14ac:dyDescent="0.25">
      <c r="A2132" s="879"/>
      <c r="B2132" s="1133">
        <v>1882</v>
      </c>
      <c r="C2132" s="883">
        <v>0.9942880720318239</v>
      </c>
      <c r="D2132" s="883">
        <v>1.0415806225335653</v>
      </c>
      <c r="E2132" s="883">
        <v>1.0299962035692356</v>
      </c>
      <c r="F2132" s="883">
        <v>1.0276152675904779</v>
      </c>
      <c r="G2132" s="883">
        <v>0.98466049556123381</v>
      </c>
      <c r="H2132" s="883">
        <v>1.001331258299603</v>
      </c>
      <c r="I2132" s="883">
        <v>1.0108090912635259</v>
      </c>
      <c r="K2132">
        <v>6.7483846527926339</v>
      </c>
      <c r="L2132">
        <v>0</v>
      </c>
      <c r="M2132">
        <v>1.0047646563310383E-2</v>
      </c>
      <c r="N2132">
        <v>0.19582925684331332</v>
      </c>
      <c r="O2132">
        <v>0.12014051826319772</v>
      </c>
      <c r="P2132">
        <v>8.5101736922873567E-2</v>
      </c>
      <c r="Q2132">
        <v>0</v>
      </c>
      <c r="R2132">
        <v>1.0047646563310383E-2</v>
      </c>
      <c r="S2132">
        <v>0.27425970511629977</v>
      </c>
      <c r="T2132">
        <v>5.9119140183262209</v>
      </c>
      <c r="U2132">
        <v>0</v>
      </c>
      <c r="V2132">
        <v>1.9186411831864054E-2</v>
      </c>
      <c r="W2132">
        <v>0.10155607645505084</v>
      </c>
      <c r="X2132">
        <v>-9.7749109947757856E-4</v>
      </c>
      <c r="Y2132">
        <v>4.1374420133293156E-2</v>
      </c>
    </row>
    <row r="2133" spans="1:25" x14ac:dyDescent="0.25">
      <c r="A2133" s="879"/>
      <c r="B2133" s="1133">
        <v>1883</v>
      </c>
      <c r="C2133" s="883">
        <v>1.0202888057741233</v>
      </c>
      <c r="D2133" s="883">
        <v>0.99733508073173827</v>
      </c>
      <c r="E2133" s="883">
        <v>0.97141359180042919</v>
      </c>
      <c r="F2133" s="883">
        <v>0.97975660092132522</v>
      </c>
      <c r="G2133" s="883">
        <v>1.0070782560948923</v>
      </c>
      <c r="H2133" s="883">
        <v>1.0168247413518139</v>
      </c>
      <c r="I2133" s="883">
        <v>1.0149415610144361</v>
      </c>
      <c r="K2133">
        <v>6.7375878985117401</v>
      </c>
      <c r="L2133">
        <v>0</v>
      </c>
      <c r="M2133">
        <v>1.0661477439380935E-2</v>
      </c>
      <c r="N2133">
        <v>0.19051997661977524</v>
      </c>
      <c r="O2133">
        <v>0.1202068921555858</v>
      </c>
      <c r="P2133">
        <v>8.1371753745304531E-2</v>
      </c>
      <c r="Q2133">
        <v>0</v>
      </c>
      <c r="R2133">
        <v>1.0661477439380935E-2</v>
      </c>
      <c r="S2133">
        <v>0.27012991179228096</v>
      </c>
      <c r="T2133">
        <v>5.9126221283547036</v>
      </c>
      <c r="U2133">
        <v>0</v>
      </c>
      <c r="V2133">
        <v>1.9046686131951821E-2</v>
      </c>
      <c r="W2133">
        <v>0.10171873517812137</v>
      </c>
      <c r="X2133">
        <v>-1.9302518891139854E-3</v>
      </c>
      <c r="Y2133">
        <v>4.3902066423128723E-2</v>
      </c>
    </row>
    <row r="2134" spans="1:25" x14ac:dyDescent="0.25">
      <c r="A2134" s="879"/>
      <c r="B2134" s="1133">
        <v>1884</v>
      </c>
      <c r="C2134" s="883">
        <v>0.9629459902075177</v>
      </c>
      <c r="D2134" s="883">
        <v>0.98260047746251433</v>
      </c>
      <c r="E2134" s="883">
        <v>0.97785172360547823</v>
      </c>
      <c r="F2134" s="883">
        <v>0.98510934018535246</v>
      </c>
      <c r="G2134" s="883">
        <v>0.98223689533682113</v>
      </c>
      <c r="H2134" s="883">
        <v>0.97110271568110273</v>
      </c>
      <c r="I2134" s="883">
        <v>1.0087845221772902</v>
      </c>
      <c r="K2134">
        <v>6.7628777549800132</v>
      </c>
      <c r="L2134">
        <v>0</v>
      </c>
      <c r="M2134">
        <v>1.0796715861511669E-2</v>
      </c>
      <c r="N2134">
        <v>0.19478920579022627</v>
      </c>
      <c r="O2134">
        <v>0.12800108372735483</v>
      </c>
      <c r="P2134">
        <v>8.1912521089273674E-2</v>
      </c>
      <c r="Q2134">
        <v>0</v>
      </c>
      <c r="R2134">
        <v>1.0796715861511669E-2</v>
      </c>
      <c r="S2134">
        <v>0.28011359392113183</v>
      </c>
      <c r="T2134">
        <v>5.9125589390604958</v>
      </c>
      <c r="U2134">
        <v>0</v>
      </c>
      <c r="V2134">
        <v>1.936487135270298E-2</v>
      </c>
      <c r="W2134">
        <v>0.10366263291742162</v>
      </c>
      <c r="X2134">
        <v>-1.9840470525152279E-3</v>
      </c>
      <c r="Y2134">
        <v>4.4458954173921261E-2</v>
      </c>
    </row>
    <row r="2135" spans="1:25" x14ac:dyDescent="0.25">
      <c r="A2135" s="879"/>
      <c r="B2135" s="1133">
        <v>1885</v>
      </c>
      <c r="C2135" s="883">
        <v>1.0255961433978413</v>
      </c>
      <c r="D2135" s="883">
        <v>1.0132303036640236</v>
      </c>
      <c r="E2135" s="883">
        <v>1.0133774910016708</v>
      </c>
      <c r="F2135" s="883">
        <v>0.97988965707739828</v>
      </c>
      <c r="G2135" s="883">
        <v>0.97316831663758741</v>
      </c>
      <c r="H2135" s="883">
        <v>0.99505627956005593</v>
      </c>
      <c r="I2135" s="883">
        <v>0.970449471852454</v>
      </c>
      <c r="K2135">
        <v>6.71439326834646</v>
      </c>
      <c r="L2135">
        <v>0</v>
      </c>
      <c r="M2135">
        <v>9.9384306266038017E-3</v>
      </c>
      <c r="N2135">
        <v>0.18899735112301791</v>
      </c>
      <c r="O2135">
        <v>0.11807098162042773</v>
      </c>
      <c r="P2135">
        <v>8.3773850777667525E-2</v>
      </c>
      <c r="Q2135">
        <v>0</v>
      </c>
      <c r="R2135">
        <v>9.9384306266038017E-3</v>
      </c>
      <c r="S2135">
        <v>0.25493140812673626</v>
      </c>
      <c r="T2135">
        <v>5.9102895665511239</v>
      </c>
      <c r="U2135">
        <v>0</v>
      </c>
      <c r="V2135">
        <v>1.9019035614946278E-2</v>
      </c>
      <c r="W2135">
        <v>9.8818183155638395E-2</v>
      </c>
      <c r="X2135">
        <v>-4.3179696875420877E-4</v>
      </c>
      <c r="Y2135">
        <v>4.0924688345647497E-2</v>
      </c>
    </row>
    <row r="2136" spans="1:25" x14ac:dyDescent="0.25">
      <c r="A2136" s="879"/>
      <c r="B2136" s="1133">
        <v>1886</v>
      </c>
      <c r="C2136" s="883">
        <v>0.96790525751113921</v>
      </c>
      <c r="D2136" s="883">
        <v>1.0218699455205049</v>
      </c>
      <c r="E2136" s="883">
        <v>1.0096509521396577</v>
      </c>
      <c r="F2136" s="883">
        <v>1.0017218278595894</v>
      </c>
      <c r="G2136" s="883">
        <v>1.009393145352441</v>
      </c>
      <c r="H2136" s="883">
        <v>1.0266037228742924</v>
      </c>
      <c r="I2136" s="883">
        <v>1.0104347988060418</v>
      </c>
      <c r="K2136">
        <v>6.7784574257140964</v>
      </c>
      <c r="L2136">
        <v>0</v>
      </c>
      <c r="M2136">
        <v>1.0860597677603107E-2</v>
      </c>
      <c r="N2136">
        <v>0.20539791166915236</v>
      </c>
      <c r="O2136">
        <v>0.12475620539576347</v>
      </c>
      <c r="P2136">
        <v>8.3959271831992185E-2</v>
      </c>
      <c r="Q2136">
        <v>0</v>
      </c>
      <c r="R2136">
        <v>1.0860597677603107E-2</v>
      </c>
      <c r="S2136">
        <v>0.28424282575303539</v>
      </c>
      <c r="T2136">
        <v>5.911680994655276</v>
      </c>
      <c r="U2136">
        <v>0</v>
      </c>
      <c r="V2136">
        <v>1.9335863954264017E-2</v>
      </c>
      <c r="W2136">
        <v>0.1075913010226552</v>
      </c>
      <c r="X2136">
        <v>-3.2289566900928182E-3</v>
      </c>
      <c r="Y2136">
        <v>4.4722008122046422E-2</v>
      </c>
    </row>
    <row r="2137" spans="1:25" x14ac:dyDescent="0.25">
      <c r="A2137" s="879"/>
      <c r="B2137" s="1133">
        <v>1887</v>
      </c>
      <c r="C2137" s="883">
        <v>1.0193077064216605</v>
      </c>
      <c r="D2137" s="883">
        <v>0.99151519941479782</v>
      </c>
      <c r="E2137" s="883">
        <v>1.0433651591539062</v>
      </c>
      <c r="F2137" s="883">
        <v>0.99743481177701965</v>
      </c>
      <c r="G2137" s="883">
        <v>1.0072415172661888</v>
      </c>
      <c r="H2137" s="883">
        <v>0.99933944642738171</v>
      </c>
      <c r="I2137" s="883">
        <v>1.0345366329563703</v>
      </c>
      <c r="K2137">
        <v>6.7452340491980154</v>
      </c>
      <c r="L2137">
        <v>0</v>
      </c>
      <c r="M2137">
        <v>9.8735236172738487E-3</v>
      </c>
      <c r="N2137">
        <v>0.19627440243157246</v>
      </c>
      <c r="O2137">
        <v>0.11927277933875978</v>
      </c>
      <c r="P2137">
        <v>8.5901394377209395E-2</v>
      </c>
      <c r="Q2137">
        <v>0</v>
      </c>
      <c r="R2137">
        <v>9.8735236172738487E-3</v>
      </c>
      <c r="S2137">
        <v>0.27412161984705186</v>
      </c>
      <c r="T2137">
        <v>5.9095055445956532</v>
      </c>
      <c r="U2137">
        <v>0</v>
      </c>
      <c r="V2137">
        <v>1.905182906180268E-2</v>
      </c>
      <c r="W2137">
        <v>0.10112333390468413</v>
      </c>
      <c r="X2137">
        <v>-6.7426719296116797E-4</v>
      </c>
      <c r="Y2137">
        <v>4.0657412834243747E-2</v>
      </c>
    </row>
    <row r="2138" spans="1:25" x14ac:dyDescent="0.25">
      <c r="A2138" s="879"/>
      <c r="B2138" s="1133">
        <v>1888</v>
      </c>
      <c r="C2138" s="883">
        <v>1.0231335538720288</v>
      </c>
      <c r="D2138" s="883">
        <v>1.001575253499972</v>
      </c>
      <c r="E2138" s="883">
        <v>1.0170087081450514</v>
      </c>
      <c r="F2138" s="883">
        <v>0.99303764116030391</v>
      </c>
      <c r="G2138" s="883">
        <v>0.9897422829188538</v>
      </c>
      <c r="H2138" s="883">
        <v>1.004399905083063</v>
      </c>
      <c r="I2138" s="883">
        <v>0.99892427297417674</v>
      </c>
      <c r="K2138">
        <v>6.7304891094155295</v>
      </c>
      <c r="L2138">
        <v>0</v>
      </c>
      <c r="M2138">
        <v>1.0073780785291012E-2</v>
      </c>
      <c r="N2138">
        <v>0.1926034662522193</v>
      </c>
      <c r="O2138">
        <v>0.11883721600747787</v>
      </c>
      <c r="P2138">
        <v>8.413125289734863E-2</v>
      </c>
      <c r="Q2138">
        <v>0</v>
      </c>
      <c r="R2138">
        <v>1.0073780785291012E-2</v>
      </c>
      <c r="S2138">
        <v>0.26401733982150599</v>
      </c>
      <c r="T2138">
        <v>5.9107928692400939</v>
      </c>
      <c r="U2138">
        <v>0</v>
      </c>
      <c r="V2138">
        <v>1.9031829703789971E-2</v>
      </c>
      <c r="W2138">
        <v>0.10052333571068352</v>
      </c>
      <c r="X2138">
        <v>-9.3023642527761735E-4</v>
      </c>
      <c r="Y2138">
        <v>4.1482036207691288E-2</v>
      </c>
    </row>
    <row r="2139" spans="1:25" x14ac:dyDescent="0.25">
      <c r="A2139" s="879"/>
      <c r="B2139" s="1133">
        <v>1889</v>
      </c>
      <c r="C2139" s="883">
        <v>0.98269724847476403</v>
      </c>
      <c r="D2139" s="883">
        <v>0.97320818833240463</v>
      </c>
      <c r="E2139" s="883">
        <v>0.95689097765509334</v>
      </c>
      <c r="F2139" s="883">
        <v>1.0069160362514968</v>
      </c>
      <c r="G2139" s="883">
        <v>0.98920421326132757</v>
      </c>
      <c r="H2139" s="883">
        <v>1.0058846370518109</v>
      </c>
      <c r="I2139" s="883">
        <v>1.0120420887283423</v>
      </c>
      <c r="K2139">
        <v>6.7643622520971052</v>
      </c>
      <c r="L2139">
        <v>0</v>
      </c>
      <c r="M2139">
        <v>1.120646436552835E-2</v>
      </c>
      <c r="N2139">
        <v>0.1959850863131887</v>
      </c>
      <c r="O2139">
        <v>0.12630877616352254</v>
      </c>
      <c r="P2139">
        <v>8.0599699267206712E-2</v>
      </c>
      <c r="Q2139">
        <v>0</v>
      </c>
      <c r="R2139">
        <v>1.120646436552835E-2</v>
      </c>
      <c r="S2139">
        <v>0.27884190419667176</v>
      </c>
      <c r="T2139">
        <v>5.9148775833964304</v>
      </c>
      <c r="U2139">
        <v>0</v>
      </c>
      <c r="V2139">
        <v>1.9251082651659517E-2</v>
      </c>
      <c r="W2139">
        <v>0.10540519467785968</v>
      </c>
      <c r="X2139">
        <v>-3.0533001503850513E-3</v>
      </c>
      <c r="Y2139">
        <v>4.614622558094706E-2</v>
      </c>
    </row>
    <row r="2140" spans="1:25" x14ac:dyDescent="0.25">
      <c r="A2140" s="879"/>
      <c r="B2140" s="1133">
        <v>1890</v>
      </c>
      <c r="C2140" s="883">
        <v>1.0064759814864244</v>
      </c>
      <c r="D2140" s="883">
        <v>1.0179838346038219</v>
      </c>
      <c r="E2140" s="883">
        <v>1.0049690521350365</v>
      </c>
      <c r="F2140" s="883">
        <v>1.0075819563445312</v>
      </c>
      <c r="G2140" s="883">
        <v>0.98780665324574501</v>
      </c>
      <c r="H2140" s="883">
        <v>1.0228628404543543</v>
      </c>
      <c r="I2140" s="883">
        <v>1.003660588904963</v>
      </c>
      <c r="K2140">
        <v>6.7471948106465822</v>
      </c>
      <c r="L2140">
        <v>0</v>
      </c>
      <c r="M2140">
        <v>1.0466069314719131E-2</v>
      </c>
      <c r="N2140">
        <v>0.19656907944230467</v>
      </c>
      <c r="O2140">
        <v>0.12024507567605321</v>
      </c>
      <c r="P2140">
        <v>8.3494193255188698E-2</v>
      </c>
      <c r="Q2140">
        <v>0</v>
      </c>
      <c r="R2140">
        <v>1.0466069314719131E-2</v>
      </c>
      <c r="S2140">
        <v>0.27120029347024632</v>
      </c>
      <c r="T2140">
        <v>5.9122626894486201</v>
      </c>
      <c r="U2140">
        <v>0</v>
      </c>
      <c r="V2140">
        <v>1.9120016183633862E-2</v>
      </c>
      <c r="W2140">
        <v>0.10320557201913395</v>
      </c>
      <c r="X2140">
        <v>-1.9995193957166777E-3</v>
      </c>
      <c r="Y2140">
        <v>4.3097410547121004E-2</v>
      </c>
    </row>
    <row r="2141" spans="1:25" x14ac:dyDescent="0.25">
      <c r="A2141" s="879"/>
      <c r="B2141" s="1133">
        <v>1891</v>
      </c>
      <c r="C2141" s="883">
        <v>1.0180066706755746</v>
      </c>
      <c r="D2141" s="883">
        <v>1.0058328536326233</v>
      </c>
      <c r="E2141" s="883">
        <v>0.98971939752183369</v>
      </c>
      <c r="F2141" s="883">
        <v>1.0084326434259883</v>
      </c>
      <c r="G2141" s="883">
        <v>1.0039917913184908</v>
      </c>
      <c r="H2141" s="883">
        <v>0.97459278907722735</v>
      </c>
      <c r="I2141" s="883">
        <v>0.98389829725259148</v>
      </c>
      <c r="K2141">
        <v>6.7160504053907681</v>
      </c>
      <c r="L2141">
        <v>0</v>
      </c>
      <c r="M2141">
        <v>1.0042889863130447E-2</v>
      </c>
      <c r="N2141">
        <v>0.18440672264292096</v>
      </c>
      <c r="O2141">
        <v>0.11973519270899452</v>
      </c>
      <c r="P2141">
        <v>8.2378525091537549E-2</v>
      </c>
      <c r="Q2141">
        <v>0</v>
      </c>
      <c r="R2141">
        <v>1.0042889863130447E-2</v>
      </c>
      <c r="S2141">
        <v>0.25856007800038583</v>
      </c>
      <c r="T2141">
        <v>5.9131635347445597</v>
      </c>
      <c r="U2141">
        <v>0</v>
      </c>
      <c r="V2141">
        <v>1.9058664389473061E-2</v>
      </c>
      <c r="W2141">
        <v>9.7556765819463528E-2</v>
      </c>
      <c r="X2141">
        <v>-1.6391089517561671E-4</v>
      </c>
      <c r="Y2141">
        <v>4.1354832888613233E-2</v>
      </c>
    </row>
    <row r="2142" spans="1:25" x14ac:dyDescent="0.25">
      <c r="A2142" s="879"/>
      <c r="B2142" s="1133">
        <v>1892</v>
      </c>
      <c r="C2142" s="883">
        <v>1.0278441099439282</v>
      </c>
      <c r="D2142" s="883">
        <v>0.98837153131652677</v>
      </c>
      <c r="E2142" s="883">
        <v>0.96937487733066297</v>
      </c>
      <c r="F2142" s="883">
        <v>0.99544497196823689</v>
      </c>
      <c r="G2142" s="883">
        <v>1.0129845285531194</v>
      </c>
      <c r="H2142" s="883">
        <v>1.0153132615527556</v>
      </c>
      <c r="I2142" s="883">
        <v>1.0008610857288345</v>
      </c>
      <c r="K2142">
        <v>6.7304106734563174</v>
      </c>
      <c r="L2142">
        <v>0</v>
      </c>
      <c r="M2142">
        <v>1.0627178713987778E-2</v>
      </c>
      <c r="N2142">
        <v>0.18933308923999836</v>
      </c>
      <c r="O2142">
        <v>0.11979178275043854</v>
      </c>
      <c r="P2142">
        <v>8.1179892409623519E-2</v>
      </c>
      <c r="Q2142">
        <v>0</v>
      </c>
      <c r="R2142">
        <v>1.0627178713987778E-2</v>
      </c>
      <c r="S2142">
        <v>0.26437711132709263</v>
      </c>
      <c r="T2142">
        <v>5.9135815397670335</v>
      </c>
      <c r="U2142">
        <v>0</v>
      </c>
      <c r="V2142">
        <v>1.9007410098516735E-2</v>
      </c>
      <c r="W2142">
        <v>0.10118870250272388</v>
      </c>
      <c r="X2142">
        <v>-1.8096850160132236E-3</v>
      </c>
      <c r="Y2142">
        <v>4.3760830376905216E-2</v>
      </c>
    </row>
    <row r="2143" spans="1:25" x14ac:dyDescent="0.25">
      <c r="A2143" s="879"/>
      <c r="B2143" s="1133">
        <v>1893</v>
      </c>
      <c r="C2143" s="883">
        <v>1.0268467902321801</v>
      </c>
      <c r="D2143" s="883">
        <v>0.96698282198324137</v>
      </c>
      <c r="E2143" s="883">
        <v>1.0082875981214274</v>
      </c>
      <c r="F2143" s="883">
        <v>1.0336269277545285</v>
      </c>
      <c r="G2143" s="883">
        <v>0.99751828113334196</v>
      </c>
      <c r="H2143" s="883">
        <v>0.99696602288204328</v>
      </c>
      <c r="I2143" s="883">
        <v>0.99194352196751623</v>
      </c>
      <c r="K2143">
        <v>6.7312771704006886</v>
      </c>
      <c r="L2143">
        <v>0</v>
      </c>
      <c r="M2143">
        <v>1.0191737124118963E-2</v>
      </c>
      <c r="N2143">
        <v>0.19235962096562639</v>
      </c>
      <c r="O2143">
        <v>0.12024626365934464</v>
      </c>
      <c r="P2143">
        <v>8.3578474470286976E-2</v>
      </c>
      <c r="Q2143">
        <v>0</v>
      </c>
      <c r="R2143">
        <v>1.0191737124118963E-2</v>
      </c>
      <c r="S2143">
        <v>0.26088353415213617</v>
      </c>
      <c r="T2143">
        <v>5.9134823046040808</v>
      </c>
      <c r="U2143">
        <v>0</v>
      </c>
      <c r="V2143">
        <v>1.9012561525428105E-2</v>
      </c>
      <c r="W2143">
        <v>0.10082959622205034</v>
      </c>
      <c r="X2143">
        <v>-1.0829446138012834E-3</v>
      </c>
      <c r="Y2143">
        <v>4.1967759415539152E-2</v>
      </c>
    </row>
    <row r="2144" spans="1:25" x14ac:dyDescent="0.25">
      <c r="A2144" s="879"/>
      <c r="B2144" s="1133">
        <v>1894</v>
      </c>
      <c r="C2144" s="883">
        <v>0.95402048010048157</v>
      </c>
      <c r="D2144" s="883">
        <v>0.97430529539982369</v>
      </c>
      <c r="E2144" s="883">
        <v>1.033837363416175</v>
      </c>
      <c r="F2144" s="883">
        <v>0.97785589939919293</v>
      </c>
      <c r="G2144" s="883">
        <v>0.98568445835833129</v>
      </c>
      <c r="H2144" s="883">
        <v>1.0149736300079455</v>
      </c>
      <c r="I2144" s="883">
        <v>1.0159479841369017</v>
      </c>
      <c r="K2144">
        <v>6.7967962570758749</v>
      </c>
      <c r="L2144">
        <v>0</v>
      </c>
      <c r="M2144">
        <v>1.0885550874640351E-2</v>
      </c>
      <c r="N2144">
        <v>0.21336796147516152</v>
      </c>
      <c r="O2144">
        <v>0.12852326778136972</v>
      </c>
      <c r="P2144">
        <v>8.5513326652605443E-2</v>
      </c>
      <c r="Q2144">
        <v>0</v>
      </c>
      <c r="R2144">
        <v>1.0885550874640351E-2</v>
      </c>
      <c r="S2144">
        <v>0.28938297415725628</v>
      </c>
      <c r="T2144">
        <v>5.9090036233555363</v>
      </c>
      <c r="U2144">
        <v>0</v>
      </c>
      <c r="V2144">
        <v>1.9417837631255045E-2</v>
      </c>
      <c r="W2144">
        <v>0.11044340630472152</v>
      </c>
      <c r="X2144">
        <v>-3.6809012279770204E-3</v>
      </c>
      <c r="Y2144">
        <v>4.4824760945942302E-2</v>
      </c>
    </row>
    <row r="2145" spans="1:25" x14ac:dyDescent="0.25">
      <c r="A2145" s="879"/>
      <c r="B2145" s="1133">
        <v>1895</v>
      </c>
      <c r="C2145" s="883">
        <v>1.0186935526023688</v>
      </c>
      <c r="D2145" s="883">
        <v>0.99432912366913184</v>
      </c>
      <c r="E2145" s="883">
        <v>0.969023528411738</v>
      </c>
      <c r="F2145" s="883">
        <v>1.0020813865642195</v>
      </c>
      <c r="G2145" s="883">
        <v>1.0030548068174887</v>
      </c>
      <c r="H2145" s="883">
        <v>1.0039303402728528</v>
      </c>
      <c r="I2145" s="883">
        <v>1.0018236753928396</v>
      </c>
      <c r="K2145">
        <v>6.7317205577908581</v>
      </c>
      <c r="L2145">
        <v>0</v>
      </c>
      <c r="M2145">
        <v>1.0578395483774103E-2</v>
      </c>
      <c r="N2145">
        <v>0.18836567317710903</v>
      </c>
      <c r="O2145">
        <v>0.12058401125805583</v>
      </c>
      <c r="P2145">
        <v>8.1183046526995387E-2</v>
      </c>
      <c r="Q2145">
        <v>0</v>
      </c>
      <c r="R2145">
        <v>1.0578395483774103E-2</v>
      </c>
      <c r="S2145">
        <v>0.26588606003248072</v>
      </c>
      <c r="T2145">
        <v>5.9139595036433814</v>
      </c>
      <c r="U2145">
        <v>0</v>
      </c>
      <c r="V2145">
        <v>1.9055053502045893E-2</v>
      </c>
      <c r="W2145">
        <v>0.10068945936980359</v>
      </c>
      <c r="X2145">
        <v>-1.5621994369895034E-3</v>
      </c>
      <c r="Y2145">
        <v>4.3559949717976582E-2</v>
      </c>
    </row>
    <row r="2146" spans="1:25" x14ac:dyDescent="0.25">
      <c r="A2146" s="879"/>
      <c r="B2146" s="1133">
        <v>1896</v>
      </c>
      <c r="C2146" s="883">
        <v>1.0185003183721635</v>
      </c>
      <c r="D2146" s="883">
        <v>1.0160770640288495</v>
      </c>
      <c r="E2146" s="883">
        <v>0.97535663933765304</v>
      </c>
      <c r="F2146" s="883">
        <v>0.99663284581611644</v>
      </c>
      <c r="G2146" s="883">
        <v>1.0197855677876824</v>
      </c>
      <c r="H2146" s="883">
        <v>0.99093304349883726</v>
      </c>
      <c r="I2146" s="883">
        <v>1.0014785125912271</v>
      </c>
      <c r="K2146">
        <v>6.7229733777010363</v>
      </c>
      <c r="L2146">
        <v>0</v>
      </c>
      <c r="M2146">
        <v>1.0290196906615357E-2</v>
      </c>
      <c r="N2146">
        <v>0.18496466818658633</v>
      </c>
      <c r="O2146">
        <v>0.11945339712617019</v>
      </c>
      <c r="P2146">
        <v>8.1554922665274129E-2</v>
      </c>
      <c r="Q2146">
        <v>0</v>
      </c>
      <c r="R2146">
        <v>1.0290196906615357E-2</v>
      </c>
      <c r="S2146">
        <v>0.26444584067005916</v>
      </c>
      <c r="T2146">
        <v>5.9133188696099461</v>
      </c>
      <c r="U2146">
        <v>0</v>
      </c>
      <c r="V2146">
        <v>1.9056068827737908E-2</v>
      </c>
      <c r="W2146">
        <v>9.8557448056944955E-2</v>
      </c>
      <c r="X2146">
        <v>-7.5103671635902219E-4</v>
      </c>
      <c r="Y2146">
        <v>4.2373199274671328E-2</v>
      </c>
    </row>
    <row r="2147" spans="1:25" x14ac:dyDescent="0.25">
      <c r="A2147" s="879"/>
      <c r="B2147" s="1133">
        <v>1897</v>
      </c>
      <c r="C2147" s="883">
        <v>0.96917375095947589</v>
      </c>
      <c r="D2147" s="883">
        <v>0.98366767279947254</v>
      </c>
      <c r="E2147" s="883">
        <v>0.98024752529011316</v>
      </c>
      <c r="F2147" s="883">
        <v>1.0009120744311937</v>
      </c>
      <c r="G2147" s="883">
        <v>0.97010924181867608</v>
      </c>
      <c r="H2147" s="883">
        <v>1.0268759375943193</v>
      </c>
      <c r="I2147" s="883">
        <v>0.99607379279309904</v>
      </c>
      <c r="K2147">
        <v>6.7783488294786549</v>
      </c>
      <c r="L2147">
        <v>0</v>
      </c>
      <c r="M2147">
        <v>1.1314513190462675E-2</v>
      </c>
      <c r="N2147">
        <v>0.20485800574747132</v>
      </c>
      <c r="O2147">
        <v>0.12707720608871889</v>
      </c>
      <c r="P2147">
        <v>8.2074462129797007E-2</v>
      </c>
      <c r="Q2147">
        <v>0</v>
      </c>
      <c r="R2147">
        <v>1.1314513190462675E-2</v>
      </c>
      <c r="S2147">
        <v>0.28024168736899979</v>
      </c>
      <c r="T2147">
        <v>5.913281422114375</v>
      </c>
      <c r="U2147">
        <v>0</v>
      </c>
      <c r="V2147">
        <v>1.9328492048459003E-2</v>
      </c>
      <c r="W2147">
        <v>0.10889027790641402</v>
      </c>
      <c r="X2147">
        <v>-3.9938753356312581E-3</v>
      </c>
      <c r="Y2147">
        <v>4.6591151410052704E-2</v>
      </c>
    </row>
    <row r="2148" spans="1:25" x14ac:dyDescent="0.25">
      <c r="A2148" s="879"/>
      <c r="B2148" s="1133">
        <v>1898</v>
      </c>
      <c r="C2148" s="883">
        <v>1.0053318906073136</v>
      </c>
      <c r="D2148" s="883">
        <v>0.9672345323585253</v>
      </c>
      <c r="E2148" s="883">
        <v>0.99147386959632833</v>
      </c>
      <c r="F2148" s="883">
        <v>1.0466114384531915</v>
      </c>
      <c r="G2148" s="883">
        <v>1.0056896665871553</v>
      </c>
      <c r="H2148" s="883">
        <v>0.96967106808698922</v>
      </c>
      <c r="I2148" s="883">
        <v>1.0390611174674573</v>
      </c>
      <c r="K2148">
        <v>6.7472074591624969</v>
      </c>
      <c r="L2148">
        <v>0</v>
      </c>
      <c r="M2148">
        <v>1.0273508686450631E-2</v>
      </c>
      <c r="N2148">
        <v>0.18913262696918259</v>
      </c>
      <c r="O2148">
        <v>0.12312443393691408</v>
      </c>
      <c r="P2148">
        <v>8.2753136563023161E-2</v>
      </c>
      <c r="Q2148">
        <v>0</v>
      </c>
      <c r="R2148">
        <v>1.0273508686450631E-2</v>
      </c>
      <c r="S2148">
        <v>0.27639370091495663</v>
      </c>
      <c r="T2148">
        <v>5.9151294040957278</v>
      </c>
      <c r="U2148">
        <v>0</v>
      </c>
      <c r="V2148">
        <v>1.9126180340607708E-2</v>
      </c>
      <c r="W2148">
        <v>9.9969432979817641E-2</v>
      </c>
      <c r="X2148">
        <v>-7.259367921577483E-4</v>
      </c>
      <c r="Y2148">
        <v>4.2304480154425443E-2</v>
      </c>
    </row>
    <row r="2149" spans="1:25" x14ac:dyDescent="0.25">
      <c r="A2149" s="879"/>
      <c r="B2149" s="1133">
        <v>1899</v>
      </c>
      <c r="C2149" s="883">
        <v>1.011799717077225</v>
      </c>
      <c r="D2149" s="883">
        <v>1.0012726751417116</v>
      </c>
      <c r="E2149" s="883">
        <v>0.97630421721421956</v>
      </c>
      <c r="F2149" s="883">
        <v>1.0208339375837672</v>
      </c>
      <c r="G2149" s="883">
        <v>0.9782342362518075</v>
      </c>
      <c r="H2149" s="883">
        <v>0.97922047858805028</v>
      </c>
      <c r="I2149" s="883">
        <v>1.0382128010253502</v>
      </c>
      <c r="K2149">
        <v>6.7370263291792751</v>
      </c>
      <c r="L2149">
        <v>0</v>
      </c>
      <c r="M2149">
        <v>1.029194026494786E-2</v>
      </c>
      <c r="N2149">
        <v>0.18525635451193828</v>
      </c>
      <c r="O2149">
        <v>0.12093516291343775</v>
      </c>
      <c r="P2149">
        <v>8.1770082125106933E-2</v>
      </c>
      <c r="Q2149">
        <v>0</v>
      </c>
      <c r="R2149">
        <v>1.029194026494786E-2</v>
      </c>
      <c r="S2149">
        <v>0.27497255272011784</v>
      </c>
      <c r="T2149">
        <v>5.9145752843537966</v>
      </c>
      <c r="U2149">
        <v>0</v>
      </c>
      <c r="V2149">
        <v>1.9091516204002297E-2</v>
      </c>
      <c r="W2149">
        <v>9.8665967349995082E-2</v>
      </c>
      <c r="X2149">
        <v>-6.2096911310327314E-4</v>
      </c>
      <c r="Y2149">
        <v>4.2380378113978358E-2</v>
      </c>
    </row>
    <row r="2150" spans="1:25" x14ac:dyDescent="0.25">
      <c r="A2150" s="879"/>
      <c r="B2150" s="1133">
        <v>1900</v>
      </c>
      <c r="C2150" s="883">
        <v>1.0002157669506384</v>
      </c>
      <c r="D2150" s="883">
        <v>0.96942705732965784</v>
      </c>
      <c r="E2150" s="883">
        <v>1.0151200297163063</v>
      </c>
      <c r="F2150" s="883">
        <v>0.99233155085541103</v>
      </c>
      <c r="G2150" s="883">
        <v>1.0199788315801122</v>
      </c>
      <c r="H2150" s="883">
        <v>0.99510277241749734</v>
      </c>
      <c r="I2150" s="883">
        <v>0.98724907421012764</v>
      </c>
      <c r="K2150">
        <v>6.7456361508928593</v>
      </c>
      <c r="L2150">
        <v>0</v>
      </c>
      <c r="M2150">
        <v>1.0370081224872015E-2</v>
      </c>
      <c r="N2150">
        <v>0.19771518747978289</v>
      </c>
      <c r="O2150">
        <v>0.12319292708618604</v>
      </c>
      <c r="P2150">
        <v>8.404745090553814E-2</v>
      </c>
      <c r="Q2150">
        <v>0</v>
      </c>
      <c r="R2150">
        <v>1.0370081224872015E-2</v>
      </c>
      <c r="S2150">
        <v>0.26637121676047432</v>
      </c>
      <c r="T2150">
        <v>5.9108625269432187</v>
      </c>
      <c r="U2150">
        <v>0</v>
      </c>
      <c r="V2150">
        <v>1.9153917623652986E-2</v>
      </c>
      <c r="W2150">
        <v>0.10328744143666531</v>
      </c>
      <c r="X2150">
        <v>-1.6966660210395684E-3</v>
      </c>
      <c r="Y2150">
        <v>4.2702148678373651E-2</v>
      </c>
    </row>
    <row r="2151" spans="1:25" x14ac:dyDescent="0.25">
      <c r="A2151" s="879"/>
      <c r="B2151" s="1133">
        <v>1901</v>
      </c>
      <c r="C2151" s="883">
        <v>0.98454577079416539</v>
      </c>
      <c r="D2151" s="883">
        <v>1.0411910325904181</v>
      </c>
      <c r="E2151" s="883">
        <v>1.0209818849043797</v>
      </c>
      <c r="F2151" s="883">
        <v>0.99798970824104005</v>
      </c>
      <c r="G2151" s="883">
        <v>1.0386608531748922</v>
      </c>
      <c r="H2151" s="883">
        <v>1.0215425828367959</v>
      </c>
      <c r="I2151" s="883">
        <v>1.0062871131712852</v>
      </c>
      <c r="K2151">
        <v>6.7598534832396506</v>
      </c>
      <c r="L2151">
        <v>0</v>
      </c>
      <c r="M2151">
        <v>1.0435617884096263E-2</v>
      </c>
      <c r="N2151">
        <v>0.20069775670941412</v>
      </c>
      <c r="O2151">
        <v>0.12151835559750529</v>
      </c>
      <c r="P2151">
        <v>8.4568761034968104E-2</v>
      </c>
      <c r="Q2151">
        <v>0</v>
      </c>
      <c r="R2151">
        <v>1.0435617884096263E-2</v>
      </c>
      <c r="S2151">
        <v>0.277636250793033</v>
      </c>
      <c r="T2151">
        <v>5.91083297122014</v>
      </c>
      <c r="U2151">
        <v>0</v>
      </c>
      <c r="V2151">
        <v>1.924066679274395E-2</v>
      </c>
      <c r="W2151">
        <v>0.1045430047414616</v>
      </c>
      <c r="X2151">
        <v>-2.156300625588684E-3</v>
      </c>
      <c r="Y2151">
        <v>4.2972016975968634E-2</v>
      </c>
    </row>
    <row r="2152" spans="1:25" x14ac:dyDescent="0.25">
      <c r="A2152" s="879"/>
      <c r="B2152" s="1133">
        <v>1902</v>
      </c>
      <c r="C2152" s="883">
        <v>0.97519561313920577</v>
      </c>
      <c r="D2152" s="883">
        <v>0.98212678990080593</v>
      </c>
      <c r="E2152" s="883">
        <v>1.0365009574761843</v>
      </c>
      <c r="F2152" s="883">
        <v>0.95417507895642673</v>
      </c>
      <c r="G2152" s="883">
        <v>0.96320782128415061</v>
      </c>
      <c r="H2152" s="883">
        <v>0.97351432152143302</v>
      </c>
      <c r="I2152" s="883">
        <v>1.0021184717971214</v>
      </c>
      <c r="K2152">
        <v>6.7564890109093918</v>
      </c>
      <c r="L2152">
        <v>0</v>
      </c>
      <c r="M2152">
        <v>1.0155493421182179E-2</v>
      </c>
      <c r="N2152">
        <v>0.19984308563244249</v>
      </c>
      <c r="O2152">
        <v>0.12527865471792282</v>
      </c>
      <c r="P2152">
        <v>8.5462481159280665E-2</v>
      </c>
      <c r="Q2152">
        <v>0</v>
      </c>
      <c r="R2152">
        <v>1.0155493421182179E-2</v>
      </c>
      <c r="S2152">
        <v>0.27511013507804477</v>
      </c>
      <c r="T2152">
        <v>5.9075697981542383</v>
      </c>
      <c r="U2152">
        <v>0</v>
      </c>
      <c r="V2152">
        <v>1.9293757354994938E-2</v>
      </c>
      <c r="W2152">
        <v>0.10330786946212536</v>
      </c>
      <c r="X2152">
        <v>-1.1952849476452958E-3</v>
      </c>
      <c r="Y2152">
        <v>4.1818514297984097E-2</v>
      </c>
    </row>
    <row r="2153" spans="1:25" x14ac:dyDescent="0.25">
      <c r="A2153" s="879"/>
      <c r="B2153" s="1133">
        <v>1903</v>
      </c>
      <c r="C2153" s="883">
        <v>0.97029784107819061</v>
      </c>
      <c r="D2153" s="883">
        <v>1.001413624310326</v>
      </c>
      <c r="E2153" s="883">
        <v>0.9794210745945634</v>
      </c>
      <c r="F2153" s="883">
        <v>1.0134974435196935</v>
      </c>
      <c r="G2153" s="883">
        <v>1.0243127041636999</v>
      </c>
      <c r="H2153" s="883">
        <v>1.0207878879031085</v>
      </c>
      <c r="I2153" s="883">
        <v>0.97276728873274576</v>
      </c>
      <c r="K2153">
        <v>6.7653685919684072</v>
      </c>
      <c r="L2153">
        <v>0</v>
      </c>
      <c r="M2153">
        <v>1.1156705440882568E-2</v>
      </c>
      <c r="N2153">
        <v>0.20175323231339359</v>
      </c>
      <c r="O2153">
        <v>0.12604122695543973</v>
      </c>
      <c r="P2153">
        <v>8.1930836990365172E-2</v>
      </c>
      <c r="Q2153">
        <v>0</v>
      </c>
      <c r="R2153">
        <v>1.1156705440882568E-2</v>
      </c>
      <c r="S2153">
        <v>0.27258850620281322</v>
      </c>
      <c r="T2153">
        <v>5.9140073070016896</v>
      </c>
      <c r="U2153">
        <v>0</v>
      </c>
      <c r="V2153">
        <v>1.9321975457480069E-2</v>
      </c>
      <c r="W2153">
        <v>0.10728435520253345</v>
      </c>
      <c r="X2153">
        <v>-3.5001753413236767E-3</v>
      </c>
      <c r="Y2153">
        <v>4.5941327186014159E-2</v>
      </c>
    </row>
    <row r="2154" spans="1:25" x14ac:dyDescent="0.25">
      <c r="A2154" s="879"/>
      <c r="B2154" s="1133">
        <v>1904</v>
      </c>
      <c r="C2154" s="883">
        <v>0.9656753283888313</v>
      </c>
      <c r="D2154" s="883">
        <v>1.0045999338446903</v>
      </c>
      <c r="E2154" s="883">
        <v>0.9864203526050831</v>
      </c>
      <c r="F2154" s="883">
        <v>0.99295988556009429</v>
      </c>
      <c r="G2154" s="883">
        <v>0.99620371593102353</v>
      </c>
      <c r="H2154" s="883">
        <v>1.0102164915931642</v>
      </c>
      <c r="I2154" s="883">
        <v>0.99000140888799926</v>
      </c>
      <c r="K2154">
        <v>6.768391708713712</v>
      </c>
      <c r="L2154">
        <v>0</v>
      </c>
      <c r="M2154">
        <v>1.1011526542275222E-2</v>
      </c>
      <c r="N2154">
        <v>0.20120607954895481</v>
      </c>
      <c r="O2154">
        <v>0.12634928985654303</v>
      </c>
      <c r="P2154">
        <v>8.2420300272490934E-2</v>
      </c>
      <c r="Q2154">
        <v>0</v>
      </c>
      <c r="R2154">
        <v>1.1011526542275222E-2</v>
      </c>
      <c r="S2154">
        <v>0.27770358978156795</v>
      </c>
      <c r="T2154">
        <v>5.9125103999073678</v>
      </c>
      <c r="U2154">
        <v>0</v>
      </c>
      <c r="V2154">
        <v>1.9348870234749259E-2</v>
      </c>
      <c r="W2154">
        <v>0.10661953323383069</v>
      </c>
      <c r="X2154">
        <v>-3.1098604442231915E-3</v>
      </c>
      <c r="Y2154">
        <v>4.5343506322429748E-2</v>
      </c>
    </row>
    <row r="2155" spans="1:25" x14ac:dyDescent="0.25">
      <c r="A2155" s="879"/>
      <c r="B2155" s="1133">
        <v>1905</v>
      </c>
      <c r="C2155" s="883">
        <v>0.99662190744795731</v>
      </c>
      <c r="D2155" s="883">
        <v>0.96357738512691538</v>
      </c>
      <c r="E2155" s="883">
        <v>0.96581809124576379</v>
      </c>
      <c r="F2155" s="883">
        <v>0.99004463073174054</v>
      </c>
      <c r="G2155" s="883">
        <v>1.011030748881782</v>
      </c>
      <c r="H2155" s="883">
        <v>0.9824651215678456</v>
      </c>
      <c r="I2155" s="883">
        <v>0.95260463828433484</v>
      </c>
      <c r="K2155">
        <v>6.7302292129277426</v>
      </c>
      <c r="L2155">
        <v>0</v>
      </c>
      <c r="M2155">
        <v>1.0754908975921728E-2</v>
      </c>
      <c r="N2155">
        <v>0.19059931550795534</v>
      </c>
      <c r="O2155">
        <v>0.12487332637523869</v>
      </c>
      <c r="P2155">
        <v>8.0857302426614014E-2</v>
      </c>
      <c r="Q2155">
        <v>0</v>
      </c>
      <c r="R2155">
        <v>1.0754908975921728E-2</v>
      </c>
      <c r="S2155">
        <v>0.25677509626232581</v>
      </c>
      <c r="T2155">
        <v>5.9134829442518262</v>
      </c>
      <c r="U2155">
        <v>0</v>
      </c>
      <c r="V2155">
        <v>1.9173572169365202E-2</v>
      </c>
      <c r="W2155">
        <v>0.10204793433929786</v>
      </c>
      <c r="X2155">
        <v>-1.8670792652905879E-3</v>
      </c>
      <c r="Y2155">
        <v>4.4286800860410133E-2</v>
      </c>
    </row>
    <row r="2156" spans="1:25" x14ac:dyDescent="0.25">
      <c r="A2156" s="879"/>
      <c r="B2156" s="1133">
        <v>1906</v>
      </c>
      <c r="C2156" s="883">
        <v>0.99569507882576536</v>
      </c>
      <c r="D2156" s="883">
        <v>1.040025163653745</v>
      </c>
      <c r="E2156" s="883">
        <v>1.010412906450469</v>
      </c>
      <c r="F2156" s="883">
        <v>0.99891246835119785</v>
      </c>
      <c r="G2156" s="883">
        <v>0.98948331319065708</v>
      </c>
      <c r="H2156" s="883">
        <v>1.00872830965743</v>
      </c>
      <c r="I2156" s="883">
        <v>1.0236464077909282</v>
      </c>
      <c r="K2156">
        <v>6.7507875244462294</v>
      </c>
      <c r="L2156">
        <v>0</v>
      </c>
      <c r="M2156">
        <v>1.0288926869809195E-2</v>
      </c>
      <c r="N2156">
        <v>0.19480596683123083</v>
      </c>
      <c r="O2156">
        <v>0.12040879058216025</v>
      </c>
      <c r="P2156">
        <v>8.3918611950889357E-2</v>
      </c>
      <c r="Q2156">
        <v>0</v>
      </c>
      <c r="R2156">
        <v>1.0288926869809195E-2</v>
      </c>
      <c r="S2156">
        <v>0.27803444245669445</v>
      </c>
      <c r="T2156">
        <v>5.9114859487455229</v>
      </c>
      <c r="U2156">
        <v>0</v>
      </c>
      <c r="V2156">
        <v>1.9178663938310882E-2</v>
      </c>
      <c r="W2156">
        <v>0.10200459133166428</v>
      </c>
      <c r="X2156">
        <v>-1.4174608794031362E-3</v>
      </c>
      <c r="Y2156">
        <v>4.2367969489161675E-2</v>
      </c>
    </row>
    <row r="2157" spans="1:25" x14ac:dyDescent="0.25">
      <c r="A2157" s="879"/>
      <c r="B2157" s="1133">
        <v>1907</v>
      </c>
      <c r="C2157" s="883">
        <v>1.0229352428967968</v>
      </c>
      <c r="D2157" s="883">
        <v>1.0029607543214545</v>
      </c>
      <c r="E2157" s="883">
        <v>1.0070379770062103</v>
      </c>
      <c r="F2157" s="883">
        <v>0.99207478257890425</v>
      </c>
      <c r="G2157" s="883">
        <v>1.0216555575215149</v>
      </c>
      <c r="H2157" s="883">
        <v>0.9886397859988586</v>
      </c>
      <c r="I2157" s="883">
        <v>1.0076210730662054</v>
      </c>
      <c r="K2157">
        <v>6.7256479195002203</v>
      </c>
      <c r="L2157">
        <v>0</v>
      </c>
      <c r="M2157">
        <v>9.9985877372542002E-3</v>
      </c>
      <c r="N2157">
        <v>0.18836526113639324</v>
      </c>
      <c r="O2157">
        <v>0.11897803589550955</v>
      </c>
      <c r="P2157">
        <v>8.3524916381979272E-2</v>
      </c>
      <c r="Q2157">
        <v>0</v>
      </c>
      <c r="R2157">
        <v>9.9985877372542002E-3</v>
      </c>
      <c r="S2157">
        <v>0.26487520044050633</v>
      </c>
      <c r="T2157">
        <v>5.9113077593921757</v>
      </c>
      <c r="U2157">
        <v>0</v>
      </c>
      <c r="V2157">
        <v>1.9032862684762973E-2</v>
      </c>
      <c r="W2157">
        <v>9.8796966462790764E-2</v>
      </c>
      <c r="X2157">
        <v>-4.0548751364118259E-4</v>
      </c>
      <c r="Y2157">
        <v>4.1172404619739304E-2</v>
      </c>
    </row>
    <row r="2158" spans="1:25" x14ac:dyDescent="0.25">
      <c r="A2158" s="879"/>
      <c r="B2158" s="1133">
        <v>1908</v>
      </c>
      <c r="C2158" s="883">
        <v>0.99852552749879386</v>
      </c>
      <c r="D2158" s="883">
        <v>1.0152520440295842</v>
      </c>
      <c r="E2158" s="883">
        <v>0.99654303099040364</v>
      </c>
      <c r="F2158" s="883">
        <v>1.0302192408530744</v>
      </c>
      <c r="G2158" s="883">
        <v>1.0238491320648759</v>
      </c>
      <c r="H2158" s="883">
        <v>0.99659201084479521</v>
      </c>
      <c r="I2158" s="883">
        <v>1.0305025897203348</v>
      </c>
      <c r="K2158">
        <v>6.7508847924555635</v>
      </c>
      <c r="L2158">
        <v>0</v>
      </c>
      <c r="M2158">
        <v>1.0366313890810908E-2</v>
      </c>
      <c r="N2158">
        <v>0.19228037485409799</v>
      </c>
      <c r="O2158">
        <v>0.12149006911401254</v>
      </c>
      <c r="P2158">
        <v>8.3080690843231664E-2</v>
      </c>
      <c r="Q2158">
        <v>0</v>
      </c>
      <c r="R2158">
        <v>1.0366313890810908E-2</v>
      </c>
      <c r="S2158">
        <v>0.27814523686958736</v>
      </c>
      <c r="T2158">
        <v>5.9139600806861425</v>
      </c>
      <c r="U2158">
        <v>0</v>
      </c>
      <c r="V2158">
        <v>1.9163143792681921E-2</v>
      </c>
      <c r="W2158">
        <v>0.10137706420419683</v>
      </c>
      <c r="X2158">
        <v>-1.2985033756572376E-3</v>
      </c>
      <c r="Y2158">
        <v>4.2686635467270473E-2</v>
      </c>
    </row>
    <row r="2159" spans="1:25" x14ac:dyDescent="0.25">
      <c r="A2159" s="879"/>
      <c r="B2159" s="1133">
        <v>1909</v>
      </c>
      <c r="C2159" s="883">
        <v>1.0042909347986573</v>
      </c>
      <c r="D2159" s="883">
        <v>1.0043592501977345</v>
      </c>
      <c r="E2159" s="883">
        <v>1.0354036674004119</v>
      </c>
      <c r="F2159" s="883">
        <v>0.97854846394825579</v>
      </c>
      <c r="G2159" s="883">
        <v>1.016492785027223</v>
      </c>
      <c r="H2159" s="883">
        <v>1.0101870023927202</v>
      </c>
      <c r="I2159" s="883">
        <v>1.0076800305031579</v>
      </c>
      <c r="K2159">
        <v>6.7486077712689259</v>
      </c>
      <c r="L2159">
        <v>0</v>
      </c>
      <c r="M2159">
        <v>1.014484924093426E-2</v>
      </c>
      <c r="N2159">
        <v>0.19931022280845026</v>
      </c>
      <c r="O2159">
        <v>0.12058562118855611</v>
      </c>
      <c r="P2159">
        <v>8.5366118961193865E-2</v>
      </c>
      <c r="Q2159">
        <v>0</v>
      </c>
      <c r="R2159">
        <v>1.014484924093426E-2</v>
      </c>
      <c r="S2159">
        <v>0.27187866717863224</v>
      </c>
      <c r="T2159">
        <v>5.9089500560686661</v>
      </c>
      <c r="U2159">
        <v>0</v>
      </c>
      <c r="V2159">
        <v>1.913180102671206E-2</v>
      </c>
      <c r="W2159">
        <v>0.10308775293643602</v>
      </c>
      <c r="X2159">
        <v>-1.4771523580439094E-3</v>
      </c>
      <c r="Y2159">
        <v>4.1774683458316628E-2</v>
      </c>
    </row>
    <row r="2160" spans="1:25" x14ac:dyDescent="0.25">
      <c r="A2160" s="879"/>
      <c r="B2160" s="1133">
        <v>1910</v>
      </c>
      <c r="C2160" s="883">
        <v>0.95695667428933551</v>
      </c>
      <c r="D2160" s="883">
        <v>1.0403060280254586</v>
      </c>
      <c r="E2160" s="883">
        <v>1.0356266115971438</v>
      </c>
      <c r="F2160" s="883">
        <v>1.02852418856334</v>
      </c>
      <c r="G2160" s="883">
        <v>0.99327436191830698</v>
      </c>
      <c r="H2160" s="883">
        <v>1.0183547020623303</v>
      </c>
      <c r="I2160" s="883">
        <v>0.98893939746304294</v>
      </c>
      <c r="K2160">
        <v>6.7777058412015414</v>
      </c>
      <c r="L2160">
        <v>0</v>
      </c>
      <c r="M2160">
        <v>1.0570350347629971E-2</v>
      </c>
      <c r="N2160">
        <v>0.20773822898548128</v>
      </c>
      <c r="O2160">
        <v>0.12477821409402269</v>
      </c>
      <c r="P2160">
        <v>8.5538532706505313E-2</v>
      </c>
      <c r="Q2160">
        <v>0</v>
      </c>
      <c r="R2160">
        <v>1.0570350347629971E-2</v>
      </c>
      <c r="S2160">
        <v>0.28044575795100901</v>
      </c>
      <c r="T2160">
        <v>5.9116364005573061</v>
      </c>
      <c r="U2160">
        <v>0</v>
      </c>
      <c r="V2160">
        <v>1.9400304445168944E-2</v>
      </c>
      <c r="W2160">
        <v>0.10743518349377118</v>
      </c>
      <c r="X2160">
        <v>-2.7936023110448852E-3</v>
      </c>
      <c r="Y2160">
        <v>4.3526821279315904E-2</v>
      </c>
    </row>
    <row r="2161" spans="1:25" x14ac:dyDescent="0.25">
      <c r="A2161" s="879"/>
      <c r="B2161" s="1133">
        <v>1911</v>
      </c>
      <c r="C2161" s="883">
        <v>0.97669624544381095</v>
      </c>
      <c r="D2161" s="883">
        <v>0.9841214654997078</v>
      </c>
      <c r="E2161" s="883">
        <v>0.99930653637165634</v>
      </c>
      <c r="F2161" s="883">
        <v>1.0133098465690082</v>
      </c>
      <c r="G2161" s="883">
        <v>0.982038311372876</v>
      </c>
      <c r="H2161" s="883">
        <v>1.0486902018950313</v>
      </c>
      <c r="I2161" s="883">
        <v>0.98365612865915653</v>
      </c>
      <c r="K2161">
        <v>6.7803329880373049</v>
      </c>
      <c r="L2161">
        <v>0</v>
      </c>
      <c r="M2161">
        <v>1.1274538410390196E-2</v>
      </c>
      <c r="N2161">
        <v>0.20998471645240546</v>
      </c>
      <c r="O2161">
        <v>0.12570900127006768</v>
      </c>
      <c r="P2161">
        <v>8.3223053375961267E-2</v>
      </c>
      <c r="Q2161">
        <v>0</v>
      </c>
      <c r="R2161">
        <v>1.1274538410390196E-2</v>
      </c>
      <c r="S2161">
        <v>0.2767296704261018</v>
      </c>
      <c r="T2161">
        <v>5.9128911814283596</v>
      </c>
      <c r="U2161">
        <v>0</v>
      </c>
      <c r="V2161">
        <v>1.9285168226988614E-2</v>
      </c>
      <c r="W2161">
        <v>0.11055945345383157</v>
      </c>
      <c r="X2161">
        <v>-4.4757989773746556E-3</v>
      </c>
      <c r="Y2161">
        <v>4.6426542380959848E-2</v>
      </c>
    </row>
    <row r="2162" spans="1:25" x14ac:dyDescent="0.25">
      <c r="A2162" s="879"/>
      <c r="B2162" s="1133">
        <v>1912</v>
      </c>
      <c r="C2162" s="883">
        <v>1.0071677336762721</v>
      </c>
      <c r="D2162" s="883">
        <v>1.0259476857817582</v>
      </c>
      <c r="E2162" s="883">
        <v>0.97720941541237549</v>
      </c>
      <c r="F2162" s="883">
        <v>1.0048296038096718</v>
      </c>
      <c r="G2162" s="883">
        <v>0.9630525400806651</v>
      </c>
      <c r="H2162" s="883">
        <v>1.0363894338138213</v>
      </c>
      <c r="I2162" s="883">
        <v>1.0040587028132799</v>
      </c>
      <c r="K2162">
        <v>6.7479057548743162</v>
      </c>
      <c r="L2162">
        <v>0</v>
      </c>
      <c r="M2162">
        <v>1.082090840272199E-2</v>
      </c>
      <c r="N2162">
        <v>0.19503968459216903</v>
      </c>
      <c r="O2162">
        <v>0.12029752776876011</v>
      </c>
      <c r="P2162">
        <v>8.1779654221377757E-2</v>
      </c>
      <c r="Q2162">
        <v>0</v>
      </c>
      <c r="R2162">
        <v>1.082090840272199E-2</v>
      </c>
      <c r="S2162">
        <v>0.27225043350927031</v>
      </c>
      <c r="T2162">
        <v>5.9136603429513412</v>
      </c>
      <c r="U2162">
        <v>0</v>
      </c>
      <c r="V2162">
        <v>1.9116295940153141E-2</v>
      </c>
      <c r="W2162">
        <v>0.10382935327097843</v>
      </c>
      <c r="X2162">
        <v>-2.6261121322522433E-3</v>
      </c>
      <c r="Y2162">
        <v>4.4558574752513576E-2</v>
      </c>
    </row>
    <row r="2163" spans="1:25" x14ac:dyDescent="0.25">
      <c r="A2163" s="879"/>
      <c r="B2163" s="1133">
        <v>1913</v>
      </c>
      <c r="C2163" s="883">
        <v>0.99222129435587259</v>
      </c>
      <c r="D2163" s="883">
        <v>0.99516702389035905</v>
      </c>
      <c r="E2163" s="883">
        <v>1.0000416410469288</v>
      </c>
      <c r="F2163" s="883">
        <v>0.99821340222289778</v>
      </c>
      <c r="G2163" s="883">
        <v>1.012699665073711</v>
      </c>
      <c r="H2163" s="883">
        <v>1.0206612470335654</v>
      </c>
      <c r="I2163" s="883">
        <v>1.0127541783880101</v>
      </c>
      <c r="K2163">
        <v>6.7625772031805962</v>
      </c>
      <c r="L2163">
        <v>0</v>
      </c>
      <c r="M2163">
        <v>1.0743067335689145E-2</v>
      </c>
      <c r="N2163">
        <v>0.20030426223838868</v>
      </c>
      <c r="O2163">
        <v>0.1231769384537215</v>
      </c>
      <c r="P2163">
        <v>8.3268553070462423E-2</v>
      </c>
      <c r="Q2163">
        <v>0</v>
      </c>
      <c r="R2163">
        <v>1.0743067335689145E-2</v>
      </c>
      <c r="S2163">
        <v>0.27761687499640841</v>
      </c>
      <c r="T2163">
        <v>5.9120340220571777</v>
      </c>
      <c r="U2163">
        <v>0</v>
      </c>
      <c r="V2163">
        <v>1.9197832697709683E-2</v>
      </c>
      <c r="W2163">
        <v>0.10542407890033927</v>
      </c>
      <c r="X2163">
        <v>-2.6833983272840736E-3</v>
      </c>
      <c r="Y2163">
        <v>4.4238039093665756E-2</v>
      </c>
    </row>
    <row r="2164" spans="1:25" x14ac:dyDescent="0.25">
      <c r="A2164" s="879"/>
      <c r="B2164" s="1133">
        <v>1914</v>
      </c>
      <c r="C2164" s="883">
        <v>1.0008791468985028</v>
      </c>
      <c r="D2164" s="883">
        <v>1.0002405250270834</v>
      </c>
      <c r="E2164" s="883">
        <v>1.0179303059339349</v>
      </c>
      <c r="F2164" s="883">
        <v>0.99260166760734281</v>
      </c>
      <c r="G2164" s="883">
        <v>0.98772320943036518</v>
      </c>
      <c r="H2164" s="883">
        <v>1.0345798676332811</v>
      </c>
      <c r="I2164" s="883">
        <v>1.0149036022308935</v>
      </c>
      <c r="K2164">
        <v>6.7627495785181972</v>
      </c>
      <c r="L2164">
        <v>0</v>
      </c>
      <c r="M2164">
        <v>1.06046975586945E-2</v>
      </c>
      <c r="N2164">
        <v>0.20303087156040367</v>
      </c>
      <c r="O2164">
        <v>0.1215269634825118</v>
      </c>
      <c r="P2164">
        <v>8.4367266385400125E-2</v>
      </c>
      <c r="Q2164">
        <v>0</v>
      </c>
      <c r="R2164">
        <v>1.06046975586945E-2</v>
      </c>
      <c r="S2164">
        <v>0.27710519123105937</v>
      </c>
      <c r="T2164">
        <v>5.9107166378771341</v>
      </c>
      <c r="U2164">
        <v>0</v>
      </c>
      <c r="V2164">
        <v>1.9150305080499343E-2</v>
      </c>
      <c r="W2164">
        <v>0.10591744842560412</v>
      </c>
      <c r="X2164">
        <v>-2.7333625053171072E-3</v>
      </c>
      <c r="Y2164">
        <v>4.3668256980903972E-2</v>
      </c>
    </row>
    <row r="2165" spans="1:25" x14ac:dyDescent="0.25">
      <c r="A2165" s="879"/>
      <c r="B2165" s="1133">
        <v>1915</v>
      </c>
      <c r="C2165" s="883">
        <v>0.96211488429322567</v>
      </c>
      <c r="D2165" s="883">
        <v>0.99898352482075747</v>
      </c>
      <c r="E2165" s="883">
        <v>1.0052813735342805</v>
      </c>
      <c r="F2165" s="883">
        <v>0.9555835243291918</v>
      </c>
      <c r="G2165" s="883">
        <v>1.0395461233853391</v>
      </c>
      <c r="H2165" s="883">
        <v>1.008412561889356</v>
      </c>
      <c r="I2165" s="883">
        <v>0.97757390189568905</v>
      </c>
      <c r="K2165">
        <v>6.7676364892972023</v>
      </c>
      <c r="L2165">
        <v>0</v>
      </c>
      <c r="M2165">
        <v>1.0878424177392369E-2</v>
      </c>
      <c r="N2165">
        <v>0.20440826749843555</v>
      </c>
      <c r="O2165">
        <v>0.12673480567703621</v>
      </c>
      <c r="P2165">
        <v>8.3532337710978122E-2</v>
      </c>
      <c r="Q2165">
        <v>0</v>
      </c>
      <c r="R2165">
        <v>1.0878424177392369E-2</v>
      </c>
      <c r="S2165">
        <v>0.275151629313866</v>
      </c>
      <c r="T2165">
        <v>5.9094351463514583</v>
      </c>
      <c r="U2165">
        <v>0</v>
      </c>
      <c r="V2165">
        <v>1.9369761855947423E-2</v>
      </c>
      <c r="W2165">
        <v>0.10730480669396382</v>
      </c>
      <c r="X2165">
        <v>-3.0956802796676566E-3</v>
      </c>
      <c r="Y2165">
        <v>4.4795414475179929E-2</v>
      </c>
    </row>
    <row r="2166" spans="1:25" x14ac:dyDescent="0.25">
      <c r="A2166" s="879"/>
      <c r="B2166" s="1133">
        <v>1916</v>
      </c>
      <c r="C2166" s="883">
        <v>1.0277879585212202</v>
      </c>
      <c r="D2166" s="883">
        <v>1.0111757869977214</v>
      </c>
      <c r="E2166" s="883">
        <v>1.0397831169811338</v>
      </c>
      <c r="F2166" s="883">
        <v>0.99299223095648803</v>
      </c>
      <c r="G2166" s="883">
        <v>1.0087890464203613</v>
      </c>
      <c r="H2166" s="883">
        <v>0.97018978881251461</v>
      </c>
      <c r="I2166" s="883">
        <v>0.98143028495847184</v>
      </c>
      <c r="K2166">
        <v>6.7096953798642689</v>
      </c>
      <c r="L2166">
        <v>0</v>
      </c>
      <c r="M2166">
        <v>9.4565009798274514E-3</v>
      </c>
      <c r="N2166">
        <v>0.18699257355713531</v>
      </c>
      <c r="O2166">
        <v>0.1174295571765142</v>
      </c>
      <c r="P2166">
        <v>8.5413911401584219E-2</v>
      </c>
      <c r="Q2166">
        <v>0</v>
      </c>
      <c r="R2166">
        <v>9.4565009798274514E-3</v>
      </c>
      <c r="S2166">
        <v>0.25509975639113286</v>
      </c>
      <c r="T2166">
        <v>5.9094750689835065</v>
      </c>
      <c r="U2166">
        <v>0</v>
      </c>
      <c r="V2166">
        <v>1.9007699870256828E-2</v>
      </c>
      <c r="W2166">
        <v>9.6509855154765456E-2</v>
      </c>
      <c r="X2166">
        <v>8.2676948886804401E-4</v>
      </c>
      <c r="Y2166">
        <v>3.8940187840501857E-2</v>
      </c>
    </row>
    <row r="2167" spans="1:25" x14ac:dyDescent="0.25">
      <c r="A2167" s="879"/>
      <c r="B2167" s="1133">
        <v>1917</v>
      </c>
      <c r="C2167" s="883">
        <v>1.007507207400173</v>
      </c>
      <c r="D2167" s="883">
        <v>1.0180104280806652</v>
      </c>
      <c r="E2167" s="883">
        <v>0.96772360947803471</v>
      </c>
      <c r="F2167" s="883">
        <v>1.028736957260191</v>
      </c>
      <c r="G2167" s="883">
        <v>1.0326319484551911</v>
      </c>
      <c r="H2167" s="883">
        <v>1.0045118979012693</v>
      </c>
      <c r="I2167" s="883">
        <v>1.0090318799698876</v>
      </c>
      <c r="K2167">
        <v>6.7385840544052753</v>
      </c>
      <c r="L2167">
        <v>0</v>
      </c>
      <c r="M2167">
        <v>1.060671456094781E-2</v>
      </c>
      <c r="N2167">
        <v>0.18850571148873191</v>
      </c>
      <c r="O2167">
        <v>0.12080398510496777</v>
      </c>
      <c r="P2167">
        <v>8.1183043061000992E-2</v>
      </c>
      <c r="Q2167">
        <v>0</v>
      </c>
      <c r="R2167">
        <v>1.060671456094781E-2</v>
      </c>
      <c r="S2167">
        <v>0.27058893268765172</v>
      </c>
      <c r="T2167">
        <v>5.9154715333744585</v>
      </c>
      <c r="U2167">
        <v>0</v>
      </c>
      <c r="V2167">
        <v>1.9114472119036136E-2</v>
      </c>
      <c r="W2167">
        <v>0.1008302355777476</v>
      </c>
      <c r="X2167">
        <v>-1.5904216454930549E-3</v>
      </c>
      <c r="Y2167">
        <v>4.3676562637170083E-2</v>
      </c>
    </row>
    <row r="2168" spans="1:25" x14ac:dyDescent="0.25">
      <c r="A2168" s="879"/>
      <c r="B2168" s="1133">
        <v>1918</v>
      </c>
      <c r="C2168" s="883">
        <v>1.0083153016956201</v>
      </c>
      <c r="D2168" s="883">
        <v>0.98623690239317285</v>
      </c>
      <c r="E2168" s="883">
        <v>1.0079579463230608</v>
      </c>
      <c r="F2168" s="883">
        <v>0.99945742049414332</v>
      </c>
      <c r="G2168" s="883">
        <v>1.0274344447858126</v>
      </c>
      <c r="H2168" s="883">
        <v>1.0143151378851016</v>
      </c>
      <c r="I2168" s="883">
        <v>1.0229862366868137</v>
      </c>
      <c r="K2168">
        <v>6.7537550610709385</v>
      </c>
      <c r="L2168">
        <v>0</v>
      </c>
      <c r="M2168">
        <v>1.0473804617401805E-2</v>
      </c>
      <c r="N2168">
        <v>0.19758692263053901</v>
      </c>
      <c r="O2168">
        <v>0.12150047876970663</v>
      </c>
      <c r="P2168">
        <v>8.3730864580921188E-2</v>
      </c>
      <c r="Q2168">
        <v>0</v>
      </c>
      <c r="R2168">
        <v>1.0473804617401805E-2</v>
      </c>
      <c r="S2168">
        <v>0.27545066120901041</v>
      </c>
      <c r="T2168">
        <v>5.9116546091560078</v>
      </c>
      <c r="U2168">
        <v>0</v>
      </c>
      <c r="V2168">
        <v>1.9110135576981113E-2</v>
      </c>
      <c r="W2168">
        <v>0.1035865044941596</v>
      </c>
      <c r="X2168">
        <v>-1.9943784931226293E-3</v>
      </c>
      <c r="Y2168">
        <v>4.312926314673568E-2</v>
      </c>
    </row>
    <row r="2169" spans="1:25" x14ac:dyDescent="0.25">
      <c r="A2169" s="879"/>
      <c r="B2169" s="1133">
        <v>1919</v>
      </c>
      <c r="C2169" s="883">
        <v>1.0016420882604113</v>
      </c>
      <c r="D2169" s="883">
        <v>0.9596086855676641</v>
      </c>
      <c r="E2169" s="883">
        <v>0.98226604055109523</v>
      </c>
      <c r="F2169" s="883">
        <v>0.99756113467374063</v>
      </c>
      <c r="G2169" s="883">
        <v>1.0481433841551115</v>
      </c>
      <c r="H2169" s="883">
        <v>0.97815478701564096</v>
      </c>
      <c r="I2169" s="883">
        <v>1.0215187997933428</v>
      </c>
      <c r="K2169">
        <v>6.7464723109681994</v>
      </c>
      <c r="L2169">
        <v>0</v>
      </c>
      <c r="M2169">
        <v>1.0521111201519381E-2</v>
      </c>
      <c r="N2169">
        <v>0.1910641449884514</v>
      </c>
      <c r="O2169">
        <v>0.12414389693598783</v>
      </c>
      <c r="P2169">
        <v>8.2108063291687003E-2</v>
      </c>
      <c r="Q2169">
        <v>0</v>
      </c>
      <c r="R2169">
        <v>1.0521111201519381E-2</v>
      </c>
      <c r="S2169">
        <v>0.27362130462569811</v>
      </c>
      <c r="T2169">
        <v>5.9129889493226617</v>
      </c>
      <c r="U2169">
        <v>0</v>
      </c>
      <c r="V2169">
        <v>1.9146156275761689E-2</v>
      </c>
      <c r="W2169">
        <v>0.10145574607582945</v>
      </c>
      <c r="X2169">
        <v>-1.3800137877548906E-3</v>
      </c>
      <c r="Y2169">
        <v>4.332406323987379E-2</v>
      </c>
    </row>
    <row r="2170" spans="1:25" x14ac:dyDescent="0.25">
      <c r="A2170" s="879"/>
      <c r="B2170" s="1133">
        <v>1920</v>
      </c>
      <c r="C2170" s="883">
        <v>1.0035727431414465</v>
      </c>
      <c r="D2170" s="883">
        <v>1.0196332785941482</v>
      </c>
      <c r="E2170" s="883">
        <v>0.96522382818037589</v>
      </c>
      <c r="F2170" s="883">
        <v>1.0018146997266792</v>
      </c>
      <c r="G2170" s="883">
        <v>0.97424229186748779</v>
      </c>
      <c r="H2170" s="883">
        <v>0.97930309517432723</v>
      </c>
      <c r="I2170" s="883">
        <v>1.0012450896818461</v>
      </c>
      <c r="K2170">
        <v>6.7273974040115192</v>
      </c>
      <c r="L2170">
        <v>0</v>
      </c>
      <c r="M2170">
        <v>1.0396592380493294E-2</v>
      </c>
      <c r="N2170">
        <v>0.18408664682651937</v>
      </c>
      <c r="O2170">
        <v>0.12124589694244239</v>
      </c>
      <c r="P2170">
        <v>8.0963851612070953E-2</v>
      </c>
      <c r="Q2170">
        <v>0</v>
      </c>
      <c r="R2170">
        <v>1.0396592380493294E-2</v>
      </c>
      <c r="S2170">
        <v>0.26718310741568269</v>
      </c>
      <c r="T2170">
        <v>5.9141516244759211</v>
      </c>
      <c r="U2170">
        <v>0</v>
      </c>
      <c r="V2170">
        <v>1.9135685731285431E-2</v>
      </c>
      <c r="W2170">
        <v>9.8590521000173986E-2</v>
      </c>
      <c r="X2170">
        <v>-7.7124689098798029E-4</v>
      </c>
      <c r="Y2170">
        <v>4.2811316898412277E-2</v>
      </c>
    </row>
    <row r="2171" spans="1:25" x14ac:dyDescent="0.25">
      <c r="A2171" s="879"/>
      <c r="B2171" s="1133">
        <v>1921</v>
      </c>
      <c r="C2171" s="883">
        <v>1.0112616370232077</v>
      </c>
      <c r="D2171" s="883">
        <v>1.0001792506033866</v>
      </c>
      <c r="E2171" s="883">
        <v>0.99920132886681845</v>
      </c>
      <c r="F2171" s="883">
        <v>1.0123363734742252</v>
      </c>
      <c r="G2171" s="883">
        <v>1.0140043272314834</v>
      </c>
      <c r="H2171" s="883">
        <v>1.0335921635119711</v>
      </c>
      <c r="I2171" s="883">
        <v>0.97334989494173896</v>
      </c>
      <c r="K2171">
        <v>6.7428156651754811</v>
      </c>
      <c r="L2171">
        <v>0</v>
      </c>
      <c r="M2171">
        <v>1.0659211260970077E-2</v>
      </c>
      <c r="N2171">
        <v>0.19849350075832745</v>
      </c>
      <c r="O2171">
        <v>0.12063066444939634</v>
      </c>
      <c r="P2171">
        <v>8.3028222557963799E-2</v>
      </c>
      <c r="Q2171">
        <v>0</v>
      </c>
      <c r="R2171">
        <v>1.0659211260970077E-2</v>
      </c>
      <c r="S2171">
        <v>0.26291066849335698</v>
      </c>
      <c r="T2171">
        <v>5.9128444810961307</v>
      </c>
      <c r="U2171">
        <v>0</v>
      </c>
      <c r="V2171">
        <v>1.9094383119211879E-2</v>
      </c>
      <c r="W2171">
        <v>0.10451465393871968</v>
      </c>
      <c r="X2171">
        <v>-2.5936439414261641E-3</v>
      </c>
      <c r="Y2171">
        <v>4.3892734703797516E-2</v>
      </c>
    </row>
    <row r="2172" spans="1:25" x14ac:dyDescent="0.25">
      <c r="A2172" s="879"/>
      <c r="B2172" s="1133">
        <v>1922</v>
      </c>
      <c r="C2172" s="883">
        <v>1.0131964846350454</v>
      </c>
      <c r="D2172" s="883">
        <v>0.97346038996250361</v>
      </c>
      <c r="E2172" s="883">
        <v>1.0238658956471354</v>
      </c>
      <c r="F2172" s="883">
        <v>1.004707280806405</v>
      </c>
      <c r="G2172" s="883">
        <v>1.0025114083848403</v>
      </c>
      <c r="H2172" s="883">
        <v>0.99035043710741155</v>
      </c>
      <c r="I2172" s="883">
        <v>0.98701161237873003</v>
      </c>
      <c r="K2172">
        <v>6.7352245096055361</v>
      </c>
      <c r="L2172">
        <v>0</v>
      </c>
      <c r="M2172">
        <v>1.0092643231230384E-2</v>
      </c>
      <c r="N2172">
        <v>0.19493138324250275</v>
      </c>
      <c r="O2172">
        <v>0.12124779593880629</v>
      </c>
      <c r="P2172">
        <v>8.454274405457822E-2</v>
      </c>
      <c r="Q2172">
        <v>0</v>
      </c>
      <c r="R2172">
        <v>1.0092643231230384E-2</v>
      </c>
      <c r="S2172">
        <v>0.26242562699547373</v>
      </c>
      <c r="T2172">
        <v>5.911030229495867</v>
      </c>
      <c r="U2172">
        <v>0</v>
      </c>
      <c r="V2172">
        <v>1.9084088374056684E-2</v>
      </c>
      <c r="W2172">
        <v>0.10139530758997677</v>
      </c>
      <c r="X2172">
        <v>-9.9237448840593773E-4</v>
      </c>
      <c r="Y2172">
        <v>4.1559708402679391E-2</v>
      </c>
    </row>
    <row r="2173" spans="1:25" x14ac:dyDescent="0.25">
      <c r="A2173" s="879"/>
      <c r="B2173" s="1133">
        <v>1923</v>
      </c>
      <c r="C2173" s="883">
        <v>1.0012007073753129</v>
      </c>
      <c r="D2173" s="883">
        <v>0.99377819292230163</v>
      </c>
      <c r="E2173" s="883">
        <v>0.99636236833942171</v>
      </c>
      <c r="F2173" s="883">
        <v>0.97335607125980628</v>
      </c>
      <c r="G2173" s="883">
        <v>0.99514675272628772</v>
      </c>
      <c r="H2173" s="883">
        <v>1.0034825407095331</v>
      </c>
      <c r="I2173" s="883">
        <v>0.99789981233778435</v>
      </c>
      <c r="K2173">
        <v>6.7436796630643716</v>
      </c>
      <c r="L2173">
        <v>0</v>
      </c>
      <c r="M2173">
        <v>1.0507497835077902E-2</v>
      </c>
      <c r="N2173">
        <v>0.19484696499936585</v>
      </c>
      <c r="O2173">
        <v>0.12220939617690471</v>
      </c>
      <c r="P2173">
        <v>8.291250612658338E-2</v>
      </c>
      <c r="Q2173">
        <v>0</v>
      </c>
      <c r="R2173">
        <v>1.0507497835077902E-2</v>
      </c>
      <c r="S2173">
        <v>0.26948230307158422</v>
      </c>
      <c r="T2173">
        <v>5.9108969872666712</v>
      </c>
      <c r="U2173">
        <v>0</v>
      </c>
      <c r="V2173">
        <v>1.9148555693413203E-2</v>
      </c>
      <c r="W2173">
        <v>0.10273949304116417</v>
      </c>
      <c r="X2173">
        <v>-1.824549131270515E-3</v>
      </c>
      <c r="Y2173">
        <v>4.3268005819956677E-2</v>
      </c>
    </row>
    <row r="2174" spans="1:25" x14ac:dyDescent="0.25">
      <c r="A2174" s="879"/>
      <c r="B2174" s="1133">
        <v>1924</v>
      </c>
      <c r="C2174" s="883">
        <v>1.0324225419920376</v>
      </c>
      <c r="D2174" s="883">
        <v>1.0161131456518189</v>
      </c>
      <c r="E2174" s="883">
        <v>1.0197985003052801</v>
      </c>
      <c r="F2174" s="883">
        <v>0.98816210471720756</v>
      </c>
      <c r="G2174" s="883">
        <v>0.99983870056280488</v>
      </c>
      <c r="H2174" s="883">
        <v>0.96700804562321718</v>
      </c>
      <c r="I2174" s="883">
        <v>1.0178667667222634</v>
      </c>
      <c r="K2174">
        <v>6.7121915681366433</v>
      </c>
      <c r="L2174">
        <v>0</v>
      </c>
      <c r="M2174">
        <v>9.5290703395137181E-3</v>
      </c>
      <c r="N2174">
        <v>0.18294251366682612</v>
      </c>
      <c r="O2174">
        <v>0.11704035490605251</v>
      </c>
      <c r="P2174">
        <v>8.4285910036013337E-2</v>
      </c>
      <c r="Q2174">
        <v>0</v>
      </c>
      <c r="R2174">
        <v>9.5290703395137181E-3</v>
      </c>
      <c r="S2174">
        <v>0.26301491439633151</v>
      </c>
      <c r="T2174">
        <v>5.9103698620665179</v>
      </c>
      <c r="U2174">
        <v>0</v>
      </c>
      <c r="V2174">
        <v>1.8983888973838393E-2</v>
      </c>
      <c r="W2174">
        <v>9.5349896052875818E-2</v>
      </c>
      <c r="X2174">
        <v>9.6521249136379548E-4</v>
      </c>
      <c r="Y2174">
        <v>3.9239015546825413E-2</v>
      </c>
    </row>
    <row r="2175" spans="1:25" x14ac:dyDescent="0.25">
      <c r="A2175" s="879"/>
      <c r="B2175" s="1133">
        <v>1925</v>
      </c>
      <c r="C2175" s="883">
        <v>0.99131306510508244</v>
      </c>
      <c r="D2175" s="883">
        <v>1.0162887466875785</v>
      </c>
      <c r="E2175" s="883">
        <v>1.0163281438587723</v>
      </c>
      <c r="F2175" s="883">
        <v>0.96141504954383561</v>
      </c>
      <c r="G2175" s="883">
        <v>1.0077528225099548</v>
      </c>
      <c r="H2175" s="883">
        <v>1.0149127613618762</v>
      </c>
      <c r="I2175" s="883">
        <v>0.99396777778308543</v>
      </c>
      <c r="K2175">
        <v>6.751072080010017</v>
      </c>
      <c r="L2175">
        <v>0</v>
      </c>
      <c r="M2175">
        <v>1.0446789862918375E-2</v>
      </c>
      <c r="N2175">
        <v>0.19953410033797817</v>
      </c>
      <c r="O2175">
        <v>0.12195130019444449</v>
      </c>
      <c r="P2175">
        <v>8.4176337005820681E-2</v>
      </c>
      <c r="Q2175">
        <v>0</v>
      </c>
      <c r="R2175">
        <v>1.0446789862918375E-2</v>
      </c>
      <c r="S2175">
        <v>0.27198028318888551</v>
      </c>
      <c r="T2175">
        <v>5.9091232104354079</v>
      </c>
      <c r="U2175">
        <v>0</v>
      </c>
      <c r="V2175">
        <v>1.9202866569527161E-2</v>
      </c>
      <c r="W2175">
        <v>0.10417552832487588</v>
      </c>
      <c r="X2175">
        <v>-2.0895672431455285E-3</v>
      </c>
      <c r="Y2175">
        <v>4.3018021196219967E-2</v>
      </c>
    </row>
    <row r="2176" spans="1:25" x14ac:dyDescent="0.25">
      <c r="A2176" s="879"/>
      <c r="B2176" s="1133">
        <v>1926</v>
      </c>
      <c r="C2176" s="883">
        <v>1.024673611890466</v>
      </c>
      <c r="D2176" s="883">
        <v>0.98540249833355142</v>
      </c>
      <c r="E2176" s="883">
        <v>0.99197411096252075</v>
      </c>
      <c r="F2176" s="883">
        <v>1.006380724222979</v>
      </c>
      <c r="G2176" s="883">
        <v>0.98466309813770569</v>
      </c>
      <c r="H2176" s="883">
        <v>0.97922027137361656</v>
      </c>
      <c r="I2176" s="883">
        <v>0.9879943615404998</v>
      </c>
      <c r="K2176">
        <v>6.7183145701855702</v>
      </c>
      <c r="L2176">
        <v>0</v>
      </c>
      <c r="M2176">
        <v>1.009355813832709E-2</v>
      </c>
      <c r="N2176">
        <v>0.18595763041735877</v>
      </c>
      <c r="O2176">
        <v>0.11989531266973175</v>
      </c>
      <c r="P2176">
        <v>8.2516443666742198E-2</v>
      </c>
      <c r="Q2176">
        <v>0</v>
      </c>
      <c r="R2176">
        <v>1.009355813832709E-2</v>
      </c>
      <c r="S2176">
        <v>0.25855420133353091</v>
      </c>
      <c r="T2176">
        <v>5.9129270487936063</v>
      </c>
      <c r="U2176">
        <v>0</v>
      </c>
      <c r="V2176">
        <v>1.9023821313258259E-2</v>
      </c>
      <c r="W2176">
        <v>9.8266732938463525E-2</v>
      </c>
      <c r="X2176">
        <v>-3.9009677437933825E-4</v>
      </c>
      <c r="Y2176">
        <v>4.1563475827256245E-2</v>
      </c>
    </row>
    <row r="2177" spans="1:25" x14ac:dyDescent="0.25">
      <c r="A2177" s="879"/>
      <c r="B2177" s="1133">
        <v>1927</v>
      </c>
      <c r="C2177" s="883">
        <v>1.0388048965997785</v>
      </c>
      <c r="D2177" s="883">
        <v>0.99769075241952665</v>
      </c>
      <c r="E2177" s="883">
        <v>0.96863572870908721</v>
      </c>
      <c r="F2177" s="883">
        <v>1.0304566996352558</v>
      </c>
      <c r="G2177" s="883">
        <v>1.001048760868583</v>
      </c>
      <c r="H2177" s="883">
        <v>0.98329763182128282</v>
      </c>
      <c r="I2177" s="883">
        <v>1.0172749591165864</v>
      </c>
      <c r="K2177">
        <v>6.7153079856520916</v>
      </c>
      <c r="L2177">
        <v>0</v>
      </c>
      <c r="M2177">
        <v>1.0149145729612149E-2</v>
      </c>
      <c r="N2177">
        <v>0.18061813913244962</v>
      </c>
      <c r="O2177">
        <v>0.11809685633796639</v>
      </c>
      <c r="P2177">
        <v>8.1137437681062394E-2</v>
      </c>
      <c r="Q2177">
        <v>0</v>
      </c>
      <c r="R2177">
        <v>1.0149145729612149E-2</v>
      </c>
      <c r="S2177">
        <v>0.26281913056067818</v>
      </c>
      <c r="T2177">
        <v>5.9155148633890535</v>
      </c>
      <c r="U2177">
        <v>0</v>
      </c>
      <c r="V2177">
        <v>1.8951446384837801E-2</v>
      </c>
      <c r="W2177">
        <v>9.6566907982051628E-2</v>
      </c>
      <c r="X2177">
        <v>-1.8917144995768835E-4</v>
      </c>
      <c r="Y2177">
        <v>4.1792375633945715E-2</v>
      </c>
    </row>
    <row r="2178" spans="1:25" x14ac:dyDescent="0.25">
      <c r="A2178" s="879"/>
      <c r="B2178" s="1133">
        <v>1928</v>
      </c>
      <c r="C2178" s="883">
        <v>1.0245357486467257</v>
      </c>
      <c r="D2178" s="883">
        <v>0.97905431365649764</v>
      </c>
      <c r="E2178" s="883">
        <v>0.9710113130262189</v>
      </c>
      <c r="F2178" s="883">
        <v>0.96353038589113571</v>
      </c>
      <c r="G2178" s="883">
        <v>0.99633891462942081</v>
      </c>
      <c r="H2178" s="883">
        <v>1.0454127511309794</v>
      </c>
      <c r="I2178" s="883">
        <v>0.98145338254866588</v>
      </c>
      <c r="K2178">
        <v>6.7392558486403304</v>
      </c>
      <c r="L2178">
        <v>0</v>
      </c>
      <c r="M2178">
        <v>1.1006519352970664E-2</v>
      </c>
      <c r="N2178">
        <v>0.19656842137580438</v>
      </c>
      <c r="O2178">
        <v>0.12060503712887166</v>
      </c>
      <c r="P2178">
        <v>8.1240597303267464E-2</v>
      </c>
      <c r="Q2178">
        <v>0</v>
      </c>
      <c r="R2178">
        <v>1.1006519352970664E-2</v>
      </c>
      <c r="S2178">
        <v>0.26293319444079999</v>
      </c>
      <c r="T2178">
        <v>5.9117667682911659</v>
      </c>
      <c r="U2178">
        <v>0</v>
      </c>
      <c r="V2178">
        <v>1.9024537228922576E-2</v>
      </c>
      <c r="W2178">
        <v>0.10496922101033308</v>
      </c>
      <c r="X2178">
        <v>-3.1748157469577857E-3</v>
      </c>
      <c r="Y2178">
        <v>4.5322887608120047E-2</v>
      </c>
    </row>
    <row r="2179" spans="1:25" x14ac:dyDescent="0.25">
      <c r="A2179" s="879"/>
      <c r="B2179" s="1133">
        <v>1929</v>
      </c>
      <c r="C2179" s="883">
        <v>1.0146548156605326</v>
      </c>
      <c r="D2179" s="883">
        <v>1.0327222802064351</v>
      </c>
      <c r="E2179" s="883">
        <v>1.0090549629539576</v>
      </c>
      <c r="F2179" s="883">
        <v>0.97425681593983127</v>
      </c>
      <c r="G2179" s="883">
        <v>0.99997618002291944</v>
      </c>
      <c r="H2179" s="883">
        <v>1.0048183522787262</v>
      </c>
      <c r="I2179" s="883">
        <v>1.0006005152752759</v>
      </c>
      <c r="K2179">
        <v>6.7294476735277184</v>
      </c>
      <c r="L2179">
        <v>0</v>
      </c>
      <c r="M2179">
        <v>1.0099880155787692E-2</v>
      </c>
      <c r="N2179">
        <v>0.19084260007066328</v>
      </c>
      <c r="O2179">
        <v>0.11851723547987278</v>
      </c>
      <c r="P2179">
        <v>8.3658067189258112E-2</v>
      </c>
      <c r="Q2179">
        <v>0</v>
      </c>
      <c r="R2179">
        <v>1.0099880155787692E-2</v>
      </c>
      <c r="S2179">
        <v>0.26640108306797983</v>
      </c>
      <c r="T2179">
        <v>5.9102307279736408</v>
      </c>
      <c r="U2179">
        <v>0</v>
      </c>
      <c r="V2179">
        <v>1.9076354979629184E-2</v>
      </c>
      <c r="W2179">
        <v>9.9996434777697887E-2</v>
      </c>
      <c r="X2179">
        <v>-8.6433878090140406E-4</v>
      </c>
      <c r="Y2179">
        <v>4.1589508769881843E-2</v>
      </c>
    </row>
    <row r="2180" spans="1:25" x14ac:dyDescent="0.25">
      <c r="A2180" s="879"/>
      <c r="B2180" s="1133">
        <v>1930</v>
      </c>
      <c r="C2180" s="883">
        <v>0.98248176956208588</v>
      </c>
      <c r="D2180" s="883">
        <v>1.0034443675939095</v>
      </c>
      <c r="E2180" s="883">
        <v>1.0067286886648923</v>
      </c>
      <c r="F2180" s="883">
        <v>1.0137909739371007</v>
      </c>
      <c r="G2180" s="883">
        <v>1.0004608728410729</v>
      </c>
      <c r="H2180" s="883">
        <v>0.99582332074556301</v>
      </c>
      <c r="I2180" s="883">
        <v>0.98053607006240551</v>
      </c>
      <c r="K2180">
        <v>6.7505955521694263</v>
      </c>
      <c r="L2180">
        <v>0</v>
      </c>
      <c r="M2180">
        <v>1.0486589726140236E-2</v>
      </c>
      <c r="N2180">
        <v>0.1974683661321705</v>
      </c>
      <c r="O2180">
        <v>0.12385895654964924</v>
      </c>
      <c r="P2180">
        <v>8.3580544917154873E-2</v>
      </c>
      <c r="Q2180">
        <v>0</v>
      </c>
      <c r="R2180">
        <v>1.0486589726140236E-2</v>
      </c>
      <c r="S2180">
        <v>0.26903810658197513</v>
      </c>
      <c r="T2180">
        <v>5.9124987334220087</v>
      </c>
      <c r="U2180">
        <v>0</v>
      </c>
      <c r="V2180">
        <v>1.9252299360253945E-2</v>
      </c>
      <c r="W2180">
        <v>0.10358738084856425</v>
      </c>
      <c r="X2180">
        <v>-1.8707455912094558E-3</v>
      </c>
      <c r="Y2180">
        <v>4.3181909948856026E-2</v>
      </c>
    </row>
    <row r="2181" spans="1:25" x14ac:dyDescent="0.25">
      <c r="A2181" s="879"/>
      <c r="B2181" s="1133">
        <v>1931</v>
      </c>
      <c r="C2181" s="883">
        <v>0.97725930089829049</v>
      </c>
      <c r="D2181" s="883">
        <v>0.96240497324407293</v>
      </c>
      <c r="E2181" s="883">
        <v>1.0380228063077581</v>
      </c>
      <c r="F2181" s="883">
        <v>1.0173776657347429</v>
      </c>
      <c r="G2181" s="883">
        <v>1.0091862012786113</v>
      </c>
      <c r="H2181" s="883">
        <v>1.000012170107949</v>
      </c>
      <c r="I2181" s="883">
        <v>0.97654225832785846</v>
      </c>
      <c r="K2181">
        <v>6.7663340869153306</v>
      </c>
      <c r="L2181">
        <v>0</v>
      </c>
      <c r="M2181">
        <v>1.0486814843452291E-2</v>
      </c>
      <c r="N2181">
        <v>0.20682744111681578</v>
      </c>
      <c r="O2181">
        <v>0.12600244742208905</v>
      </c>
      <c r="P2181">
        <v>8.5536417609210186E-2</v>
      </c>
      <c r="Q2181">
        <v>0</v>
      </c>
      <c r="R2181">
        <v>1.0486814843452291E-2</v>
      </c>
      <c r="S2181">
        <v>0.27025955773117627</v>
      </c>
      <c r="T2181">
        <v>5.9108948075703163</v>
      </c>
      <c r="U2181">
        <v>0</v>
      </c>
      <c r="V2181">
        <v>1.92819522874123E-2</v>
      </c>
      <c r="W2181">
        <v>0.10683883739068947</v>
      </c>
      <c r="X2181">
        <v>-2.4902111542614625E-3</v>
      </c>
      <c r="Y2181">
        <v>4.3182836941877689E-2</v>
      </c>
    </row>
    <row r="2182" spans="1:25" x14ac:dyDescent="0.25">
      <c r="A2182" s="879"/>
      <c r="B2182" s="1133">
        <v>1932</v>
      </c>
      <c r="C2182" s="883">
        <v>0.95900153312538106</v>
      </c>
      <c r="D2182" s="883">
        <v>0.97983413194327451</v>
      </c>
      <c r="E2182" s="883">
        <v>1.0044499044880806</v>
      </c>
      <c r="F2182" s="883">
        <v>0.98979456701276547</v>
      </c>
      <c r="G2182" s="883">
        <v>1.0057870560372066</v>
      </c>
      <c r="H2182" s="883">
        <v>1.0170177407645316</v>
      </c>
      <c r="I2182" s="883">
        <v>0.98305512205813395</v>
      </c>
      <c r="K2182">
        <v>6.7808947152863812</v>
      </c>
      <c r="L2182">
        <v>0</v>
      </c>
      <c r="M2182">
        <v>1.1106604321891816E-2</v>
      </c>
      <c r="N2182">
        <v>0.208439006569624</v>
      </c>
      <c r="O2182">
        <v>0.12815084934339693</v>
      </c>
      <c r="P2182">
        <v>8.3552703884830021E-2</v>
      </c>
      <c r="Q2182">
        <v>0</v>
      </c>
      <c r="R2182">
        <v>1.1106604321891816E-2</v>
      </c>
      <c r="S2182">
        <v>0.27864111774279982</v>
      </c>
      <c r="T2182">
        <v>5.9113307935421728</v>
      </c>
      <c r="U2182">
        <v>0</v>
      </c>
      <c r="V2182">
        <v>1.9388157200020947E-2</v>
      </c>
      <c r="W2182">
        <v>0.10946586000180986</v>
      </c>
      <c r="X2182">
        <v>-3.8087926939478203E-3</v>
      </c>
      <c r="Y2182">
        <v>4.5735019695676976E-2</v>
      </c>
    </row>
    <row r="2183" spans="1:25" x14ac:dyDescent="0.25">
      <c r="A2183" s="879"/>
      <c r="B2183" s="1133">
        <v>1933</v>
      </c>
      <c r="C2183" s="883">
        <v>0.98617703127326528</v>
      </c>
      <c r="D2183" s="883">
        <v>1.0376138755090096</v>
      </c>
      <c r="E2183" s="883">
        <v>0.97706688031204048</v>
      </c>
      <c r="F2183" s="883">
        <v>0.97934280150370023</v>
      </c>
      <c r="G2183" s="883">
        <v>0.99132018810409639</v>
      </c>
      <c r="H2183" s="883">
        <v>1.0058660053959803</v>
      </c>
      <c r="I2183" s="883">
        <v>1.0416730158826495</v>
      </c>
      <c r="K2183">
        <v>6.7579508912168755</v>
      </c>
      <c r="L2183">
        <v>0</v>
      </c>
      <c r="M2183">
        <v>1.0675320699123423E-2</v>
      </c>
      <c r="N2183">
        <v>0.19237486727359368</v>
      </c>
      <c r="O2183">
        <v>0.12230628344986505</v>
      </c>
      <c r="P2183">
        <v>8.1926536861740271E-2</v>
      </c>
      <c r="Q2183">
        <v>0</v>
      </c>
      <c r="R2183">
        <v>1.0675320699123423E-2</v>
      </c>
      <c r="S2183">
        <v>0.28534319035499539</v>
      </c>
      <c r="T2183">
        <v>5.9122902948828937</v>
      </c>
      <c r="U2183">
        <v>0</v>
      </c>
      <c r="V2183">
        <v>1.9231507571254847E-2</v>
      </c>
      <c r="W2183">
        <v>0.10241805582572457</v>
      </c>
      <c r="X2183">
        <v>-1.8989155059310769E-3</v>
      </c>
      <c r="Y2183">
        <v>4.395907050273988E-2</v>
      </c>
    </row>
    <row r="2184" spans="1:25" x14ac:dyDescent="0.25">
      <c r="A2184" s="879"/>
      <c r="B2184" s="1133">
        <v>1934</v>
      </c>
      <c r="C2184" s="883">
        <v>1.0091952422932735</v>
      </c>
      <c r="D2184" s="883">
        <v>1.0145383499942018</v>
      </c>
      <c r="E2184" s="883">
        <v>1.0097413503274617</v>
      </c>
      <c r="F2184" s="883">
        <v>1.0077458961706109</v>
      </c>
      <c r="G2184" s="883">
        <v>1.0159383846218593</v>
      </c>
      <c r="H2184" s="883">
        <v>0.99562693526904378</v>
      </c>
      <c r="I2184" s="883">
        <v>0.98292162155021112</v>
      </c>
      <c r="K2184">
        <v>6.7300636373949638</v>
      </c>
      <c r="L2184">
        <v>0</v>
      </c>
      <c r="M2184">
        <v>1.0132330672681952E-2</v>
      </c>
      <c r="N2184">
        <v>0.1916504189299284</v>
      </c>
      <c r="O2184">
        <v>0.1199954027541494</v>
      </c>
      <c r="P2184">
        <v>8.3671878897132138E-2</v>
      </c>
      <c r="Q2184">
        <v>0</v>
      </c>
      <c r="R2184">
        <v>1.0132330672681952E-2</v>
      </c>
      <c r="S2184">
        <v>0.2624381434879185</v>
      </c>
      <c r="T2184">
        <v>5.9120013723427949</v>
      </c>
      <c r="U2184">
        <v>0</v>
      </c>
      <c r="V2184">
        <v>1.9105421378714852E-2</v>
      </c>
      <c r="W2184">
        <v>0.10038561589999261</v>
      </c>
      <c r="X2184">
        <v>-9.07750518150221E-4</v>
      </c>
      <c r="Y2184">
        <v>4.1723134222475707E-2</v>
      </c>
    </row>
    <row r="2185" spans="1:25" x14ac:dyDescent="0.25">
      <c r="A2185" s="879"/>
      <c r="B2185" s="1133">
        <v>1935</v>
      </c>
      <c r="C2185" s="883">
        <v>1.0011451101214854</v>
      </c>
      <c r="D2185" s="883">
        <v>0.98901329370829849</v>
      </c>
      <c r="E2185" s="883">
        <v>1.0252714593658065</v>
      </c>
      <c r="F2185" s="883">
        <v>0.973865535321223</v>
      </c>
      <c r="G2185" s="883">
        <v>0.97979347028201536</v>
      </c>
      <c r="H2185" s="883">
        <v>0.9981266889284317</v>
      </c>
      <c r="I2185" s="883">
        <v>1.0291477625212055</v>
      </c>
      <c r="K2185">
        <v>6.7537287848789553</v>
      </c>
      <c r="L2185">
        <v>0</v>
      </c>
      <c r="M2185">
        <v>1.0212053542796631E-2</v>
      </c>
      <c r="N2185">
        <v>0.19764809011353277</v>
      </c>
      <c r="O2185">
        <v>0.12190505840769343</v>
      </c>
      <c r="P2185">
        <v>8.4813786306696184E-2</v>
      </c>
      <c r="Q2185">
        <v>0</v>
      </c>
      <c r="R2185">
        <v>1.0212053542796631E-2</v>
      </c>
      <c r="S2185">
        <v>0.27751725398543164</v>
      </c>
      <c r="T2185">
        <v>5.9092832236710215</v>
      </c>
      <c r="U2185">
        <v>0</v>
      </c>
      <c r="V2185">
        <v>1.9148858079081205E-2</v>
      </c>
      <c r="W2185">
        <v>0.10273740264809998</v>
      </c>
      <c r="X2185">
        <v>-1.3763071440657179E-3</v>
      </c>
      <c r="Y2185">
        <v>4.2051418811466061E-2</v>
      </c>
    </row>
    <row r="2186" spans="1:25" x14ac:dyDescent="0.25">
      <c r="A2186" s="879"/>
      <c r="B2186" s="1133">
        <v>1936</v>
      </c>
      <c r="C2186" s="883">
        <v>0.98484806490449228</v>
      </c>
      <c r="D2186" s="883">
        <v>1.0340523898919871</v>
      </c>
      <c r="E2186" s="883">
        <v>1.0051366631883163</v>
      </c>
      <c r="F2186" s="883">
        <v>1.0040662589400331</v>
      </c>
      <c r="G2186" s="883">
        <v>0.99632956459751487</v>
      </c>
      <c r="H2186" s="883">
        <v>0.99287283203047449</v>
      </c>
      <c r="I2186" s="883">
        <v>1.0332511224731709</v>
      </c>
      <c r="K2186">
        <v>6.7559404598331643</v>
      </c>
      <c r="L2186">
        <v>0</v>
      </c>
      <c r="M2186">
        <v>1.0311454539175334E-2</v>
      </c>
      <c r="N2186">
        <v>0.19371325068291687</v>
      </c>
      <c r="O2186">
        <v>0.12211516293226643</v>
      </c>
      <c r="P2186">
        <v>8.3652064432613943E-2</v>
      </c>
      <c r="Q2186">
        <v>0</v>
      </c>
      <c r="R2186">
        <v>1.0311454539175334E-2</v>
      </c>
      <c r="S2186">
        <v>0.28223553346133623</v>
      </c>
      <c r="T2186">
        <v>5.9120632394885488</v>
      </c>
      <c r="U2186">
        <v>0</v>
      </c>
      <c r="V2186">
        <v>1.9238967177647701E-2</v>
      </c>
      <c r="W2186">
        <v>0.10169771470580379</v>
      </c>
      <c r="X2186">
        <v>-1.2362074698045976E-3</v>
      </c>
      <c r="Y2186">
        <v>4.2460734421835761E-2</v>
      </c>
    </row>
    <row r="2187" spans="1:25" x14ac:dyDescent="0.25">
      <c r="A2187" s="879"/>
      <c r="B2187" s="1133">
        <v>1937</v>
      </c>
      <c r="C2187" s="883">
        <v>0.99899695289321133</v>
      </c>
      <c r="D2187" s="883">
        <v>1.0249704348041877</v>
      </c>
      <c r="E2187" s="883">
        <v>0.98970595236089765</v>
      </c>
      <c r="F2187" s="883">
        <v>1.0229856310731325</v>
      </c>
      <c r="G2187" s="883">
        <v>0.98822580039762287</v>
      </c>
      <c r="H2187" s="883">
        <v>0.99664404921038752</v>
      </c>
      <c r="I2187" s="883">
        <v>0.98681920744558971</v>
      </c>
      <c r="K2187">
        <v>6.7357686062318356</v>
      </c>
      <c r="L2187">
        <v>0</v>
      </c>
      <c r="M2187">
        <v>1.0381572923926696E-2</v>
      </c>
      <c r="N2187">
        <v>0.19062179343470814</v>
      </c>
      <c r="O2187">
        <v>0.12109743833924987</v>
      </c>
      <c r="P2187">
        <v>8.2490172257724842E-2</v>
      </c>
      <c r="Q2187">
        <v>0</v>
      </c>
      <c r="R2187">
        <v>1.0381572923926696E-2</v>
      </c>
      <c r="S2187">
        <v>0.26613416923317845</v>
      </c>
      <c r="T2187">
        <v>5.9139508936781597</v>
      </c>
      <c r="U2187">
        <v>0</v>
      </c>
      <c r="V2187">
        <v>1.9160567378516114E-2</v>
      </c>
      <c r="W2187">
        <v>0.10084540353862993</v>
      </c>
      <c r="X2187">
        <v>-1.2813010779689524E-3</v>
      </c>
      <c r="Y2187">
        <v>4.2749469449634654E-2</v>
      </c>
    </row>
    <row r="2188" spans="1:25" x14ac:dyDescent="0.25">
      <c r="A2188" s="879"/>
      <c r="B2188" s="1133">
        <v>1938</v>
      </c>
      <c r="C2188" s="883">
        <v>0.9916251509896854</v>
      </c>
      <c r="D2188" s="883">
        <v>0.98479199863306388</v>
      </c>
      <c r="E2188" s="883">
        <v>0.97973920604348064</v>
      </c>
      <c r="F2188" s="883">
        <v>1.0348040857521819</v>
      </c>
      <c r="G2188" s="883">
        <v>0.99576910789950457</v>
      </c>
      <c r="H2188" s="883">
        <v>0.98157760938868432</v>
      </c>
      <c r="I2188" s="883">
        <v>1.0201500417451126</v>
      </c>
      <c r="K2188">
        <v>6.7515435051539718</v>
      </c>
      <c r="L2188">
        <v>0</v>
      </c>
      <c r="M2188">
        <v>1.0570035681120771E-2</v>
      </c>
      <c r="N2188">
        <v>0.19123438490450959</v>
      </c>
      <c r="O2188">
        <v>0.12415288132449891</v>
      </c>
      <c r="P2188">
        <v>8.2010322523320661E-2</v>
      </c>
      <c r="Q2188">
        <v>0</v>
      </c>
      <c r="R2188">
        <v>1.0570035681120771E-2</v>
      </c>
      <c r="S2188">
        <v>0.27608139034175194</v>
      </c>
      <c r="T2188">
        <v>5.9151416260151555</v>
      </c>
      <c r="U2188">
        <v>0</v>
      </c>
      <c r="V2188">
        <v>1.9201135789783115E-2</v>
      </c>
      <c r="W2188">
        <v>0.10167464998033059</v>
      </c>
      <c r="X2188">
        <v>-1.4784112640158222E-3</v>
      </c>
      <c r="Y2188">
        <v>4.3525525538639594E-2</v>
      </c>
    </row>
    <row r="2189" spans="1:25" x14ac:dyDescent="0.25">
      <c r="A2189" s="879"/>
      <c r="B2189" s="1133">
        <v>1939</v>
      </c>
      <c r="C2189" s="883">
        <v>0.97231164053843733</v>
      </c>
      <c r="D2189" s="883">
        <v>1.0224436280437896</v>
      </c>
      <c r="E2189" s="883">
        <v>0.95600245128970629</v>
      </c>
      <c r="F2189" s="883">
        <v>0.99548600629535411</v>
      </c>
      <c r="G2189" s="883">
        <v>0.99062653942576595</v>
      </c>
      <c r="H2189" s="883">
        <v>1.0039825054725586</v>
      </c>
      <c r="I2189" s="883">
        <v>1.0395483678370363</v>
      </c>
      <c r="K2189">
        <v>6.768767598087515</v>
      </c>
      <c r="L2189">
        <v>0</v>
      </c>
      <c r="M2189">
        <v>1.1076819213567681E-2</v>
      </c>
      <c r="N2189">
        <v>0.19346212337920643</v>
      </c>
      <c r="O2189">
        <v>0.12517913464893657</v>
      </c>
      <c r="P2189">
        <v>8.066508360761851E-2</v>
      </c>
      <c r="Q2189">
        <v>0</v>
      </c>
      <c r="R2189">
        <v>1.1076819213567681E-2</v>
      </c>
      <c r="S2189">
        <v>0.28874428717257916</v>
      </c>
      <c r="T2189">
        <v>5.9143072038534443</v>
      </c>
      <c r="U2189">
        <v>0</v>
      </c>
      <c r="V2189">
        <v>1.9310338707300874E-2</v>
      </c>
      <c r="W2189">
        <v>0.10409503733709254</v>
      </c>
      <c r="X2189">
        <v>-2.607980539819059E-3</v>
      </c>
      <c r="Y2189">
        <v>4.5612369921149837E-2</v>
      </c>
    </row>
    <row r="2190" spans="1:25" x14ac:dyDescent="0.25">
      <c r="A2190" s="879"/>
      <c r="B2190" s="1133">
        <v>1940</v>
      </c>
      <c r="C2190" s="883">
        <v>1.0298757153618645</v>
      </c>
      <c r="D2190" s="883">
        <v>0.99953818971258346</v>
      </c>
      <c r="E2190" s="883">
        <v>1.0025802811878155</v>
      </c>
      <c r="F2190" s="883">
        <v>0.99885298003629774</v>
      </c>
      <c r="G2190" s="883">
        <v>1.0168645723658349</v>
      </c>
      <c r="H2190" s="883">
        <v>1.0031589309293272</v>
      </c>
      <c r="I2190" s="883">
        <v>0.96978615821069936</v>
      </c>
      <c r="K2190">
        <v>6.7170829976818709</v>
      </c>
      <c r="L2190">
        <v>0</v>
      </c>
      <c r="M2190">
        <v>1.0131215140969645E-2</v>
      </c>
      <c r="N2190">
        <v>0.18960798864259951</v>
      </c>
      <c r="O2190">
        <v>0.11841923517026028</v>
      </c>
      <c r="P2190">
        <v>8.3114097436731094E-2</v>
      </c>
      <c r="Q2190">
        <v>0</v>
      </c>
      <c r="R2190">
        <v>1.0131215140969645E-2</v>
      </c>
      <c r="S2190">
        <v>0.25452398709084662</v>
      </c>
      <c r="T2190">
        <v>5.9119257343570704</v>
      </c>
      <c r="U2190">
        <v>0</v>
      </c>
      <c r="V2190">
        <v>1.8996947168166668E-2</v>
      </c>
      <c r="W2190">
        <v>9.9668747713604497E-2</v>
      </c>
      <c r="X2190">
        <v>-8.9228055884721629E-4</v>
      </c>
      <c r="Y2190">
        <v>4.1718540661441671E-2</v>
      </c>
    </row>
    <row r="2191" spans="1:25" x14ac:dyDescent="0.25">
      <c r="A2191" s="879"/>
      <c r="B2191" s="1133">
        <v>1941</v>
      </c>
      <c r="C2191" s="883">
        <v>0.97980506465231154</v>
      </c>
      <c r="D2191" s="883">
        <v>0.99906688775084318</v>
      </c>
      <c r="E2191" s="883">
        <v>0.98271961656831142</v>
      </c>
      <c r="F2191" s="883">
        <v>0.97219197557989345</v>
      </c>
      <c r="G2191" s="883">
        <v>0.9955043237823018</v>
      </c>
      <c r="H2191" s="883">
        <v>1.0004969469029195</v>
      </c>
      <c r="I2191" s="883">
        <v>1.0124048770934473</v>
      </c>
      <c r="K2191">
        <v>6.759747162333821</v>
      </c>
      <c r="L2191">
        <v>0</v>
      </c>
      <c r="M2191">
        <v>1.0808594171874039E-2</v>
      </c>
      <c r="N2191">
        <v>0.1964169688075092</v>
      </c>
      <c r="O2191">
        <v>0.12487289164766129</v>
      </c>
      <c r="P2191">
        <v>8.2190909434366605E-2</v>
      </c>
      <c r="Q2191">
        <v>0</v>
      </c>
      <c r="R2191">
        <v>1.0808594171874039E-2</v>
      </c>
      <c r="S2191">
        <v>0.27899819803144249</v>
      </c>
      <c r="T2191">
        <v>5.9115925094003066</v>
      </c>
      <c r="U2191">
        <v>0</v>
      </c>
      <c r="V2191">
        <v>1.9267458074140788E-2</v>
      </c>
      <c r="W2191">
        <v>0.1042744543833533</v>
      </c>
      <c r="X2191">
        <v>-2.3740943866929387E-3</v>
      </c>
      <c r="Y2191">
        <v>4.4507866941733081E-2</v>
      </c>
    </row>
    <row r="2192" spans="1:25" x14ac:dyDescent="0.25">
      <c r="A2192" s="879"/>
      <c r="B2192" s="1133">
        <v>1942</v>
      </c>
      <c r="C2192" s="883">
        <v>1.0281471203942831</v>
      </c>
      <c r="D2192" s="883">
        <v>1.0047981986577206</v>
      </c>
      <c r="E2192" s="883">
        <v>0.99324387119017099</v>
      </c>
      <c r="F2192" s="883">
        <v>1.0135716099594205</v>
      </c>
      <c r="G2192" s="883">
        <v>1.0059134341073925</v>
      </c>
      <c r="H2192" s="883">
        <v>0.97136160176516739</v>
      </c>
      <c r="I2192" s="883">
        <v>0.99140702802430536</v>
      </c>
      <c r="K2192">
        <v>6.710836215169393</v>
      </c>
      <c r="L2192">
        <v>0</v>
      </c>
      <c r="M2192">
        <v>9.8847870215568786E-3</v>
      </c>
      <c r="N2192">
        <v>0.1824544420977105</v>
      </c>
      <c r="O2192">
        <v>0.11853922859105523</v>
      </c>
      <c r="P2192">
        <v>8.258857588274543E-2</v>
      </c>
      <c r="Q2192">
        <v>0</v>
      </c>
      <c r="R2192">
        <v>9.8847870215568786E-3</v>
      </c>
      <c r="S2192">
        <v>0.25768517781718475</v>
      </c>
      <c r="T2192">
        <v>5.9132448608046424</v>
      </c>
      <c r="U2192">
        <v>0</v>
      </c>
      <c r="V2192">
        <v>1.9005846946796495E-2</v>
      </c>
      <c r="W2192">
        <v>9.6354556803950664E-2</v>
      </c>
      <c r="X2192">
        <v>2.5973269703891968E-4</v>
      </c>
      <c r="Y2192">
        <v>4.070379352827002E-2</v>
      </c>
    </row>
    <row r="2193" spans="1:25" x14ac:dyDescent="0.25">
      <c r="A2193" s="879"/>
      <c r="B2193" s="1133">
        <v>1943</v>
      </c>
      <c r="C2193" s="883">
        <v>0.97038614373851062</v>
      </c>
      <c r="D2193" s="883">
        <v>1.0177062855973371</v>
      </c>
      <c r="E2193" s="883">
        <v>1.0141332746767526</v>
      </c>
      <c r="F2193" s="883">
        <v>1.0327100071506861</v>
      </c>
      <c r="G2193" s="883">
        <v>0.98663622295687514</v>
      </c>
      <c r="H2193" s="883">
        <v>0.98955662251725285</v>
      </c>
      <c r="I2193" s="883">
        <v>0.9891750120174988</v>
      </c>
      <c r="K2193">
        <v>6.7583947689457027</v>
      </c>
      <c r="L2193">
        <v>0</v>
      </c>
      <c r="M2193">
        <v>1.0419239023535802E-2</v>
      </c>
      <c r="N2193">
        <v>0.19836255046370491</v>
      </c>
      <c r="O2193">
        <v>0.12455420330651107</v>
      </c>
      <c r="P2193">
        <v>8.4122377875297763E-2</v>
      </c>
      <c r="Q2193">
        <v>0</v>
      </c>
      <c r="R2193">
        <v>1.0419239023535802E-2</v>
      </c>
      <c r="S2193">
        <v>0.27406917917141838</v>
      </c>
      <c r="T2193">
        <v>5.913100445842379</v>
      </c>
      <c r="U2193">
        <v>0</v>
      </c>
      <c r="V2193">
        <v>1.932146418763658E-2</v>
      </c>
      <c r="W2193">
        <v>0.10367611935798302</v>
      </c>
      <c r="X2193">
        <v>-1.7161430027440028E-3</v>
      </c>
      <c r="Y2193">
        <v>4.2904571743509139E-2</v>
      </c>
    </row>
    <row r="2194" spans="1:25" x14ac:dyDescent="0.25">
      <c r="A2194" s="879"/>
      <c r="B2194" s="1133">
        <v>1944</v>
      </c>
      <c r="C2194" s="883">
        <v>0.98765742891255925</v>
      </c>
      <c r="D2194" s="883">
        <v>0.9646602823836361</v>
      </c>
      <c r="E2194" s="883">
        <v>1.0353550013357027</v>
      </c>
      <c r="F2194" s="883">
        <v>0.98486611954882819</v>
      </c>
      <c r="G2194" s="883">
        <v>0.99091218778923584</v>
      </c>
      <c r="H2194" s="883">
        <v>0.97466483576874108</v>
      </c>
      <c r="I2194" s="883">
        <v>0.9869735546407965</v>
      </c>
      <c r="K2194">
        <v>6.7486704728274276</v>
      </c>
      <c r="L2194">
        <v>0</v>
      </c>
      <c r="M2194">
        <v>1.0126915728951245E-2</v>
      </c>
      <c r="N2194">
        <v>0.19894358661878098</v>
      </c>
      <c r="O2194">
        <v>0.12461144583383969</v>
      </c>
      <c r="P2194">
        <v>8.5313160400135979E-2</v>
      </c>
      <c r="Q2194">
        <v>0</v>
      </c>
      <c r="R2194">
        <v>1.0126915728951245E-2</v>
      </c>
      <c r="S2194">
        <v>0.26781495961076818</v>
      </c>
      <c r="T2194">
        <v>5.9092941173948779</v>
      </c>
      <c r="U2194">
        <v>0</v>
      </c>
      <c r="V2194">
        <v>1.9223221604111676E-2</v>
      </c>
      <c r="W2194">
        <v>0.10290057173445506</v>
      </c>
      <c r="X2194">
        <v>-1.131426817558514E-3</v>
      </c>
      <c r="Y2194">
        <v>4.1700836448016712E-2</v>
      </c>
    </row>
    <row r="2195" spans="1:25" x14ac:dyDescent="0.25">
      <c r="A2195" s="879"/>
      <c r="B2195" s="1133">
        <v>1945</v>
      </c>
      <c r="C2195" s="883">
        <v>1.0212805546529988</v>
      </c>
      <c r="D2195" s="883">
        <v>0.99106508192516352</v>
      </c>
      <c r="E2195" s="883">
        <v>0.98959668967656989</v>
      </c>
      <c r="F2195" s="883">
        <v>1.0151216494528077</v>
      </c>
      <c r="G2195" s="883">
        <v>0.99492567912486574</v>
      </c>
      <c r="H2195" s="883">
        <v>1.0134654925489366</v>
      </c>
      <c r="I2195" s="883">
        <v>0.98732278703843657</v>
      </c>
      <c r="K2195">
        <v>6.7329033953749571</v>
      </c>
      <c r="L2195">
        <v>0</v>
      </c>
      <c r="M2195">
        <v>1.0477267882149541E-2</v>
      </c>
      <c r="N2195">
        <v>0.19234773954581358</v>
      </c>
      <c r="O2195">
        <v>0.12006183346766219</v>
      </c>
      <c r="P2195">
        <v>8.2425364619731198E-2</v>
      </c>
      <c r="Q2195">
        <v>0</v>
      </c>
      <c r="R2195">
        <v>1.0477267882149541E-2</v>
      </c>
      <c r="S2195">
        <v>0.26231305504772773</v>
      </c>
      <c r="T2195">
        <v>5.9135319125391774</v>
      </c>
      <c r="U2195">
        <v>0</v>
      </c>
      <c r="V2195">
        <v>1.9041497419848175E-2</v>
      </c>
      <c r="W2195">
        <v>0.10176403298369409</v>
      </c>
      <c r="X2195">
        <v>-1.7255645032285636E-3</v>
      </c>
      <c r="Y2195">
        <v>4.3143524254528713E-2</v>
      </c>
    </row>
    <row r="2196" spans="1:25" x14ac:dyDescent="0.25">
      <c r="A2196" s="879"/>
      <c r="B2196" s="1133">
        <v>1946</v>
      </c>
      <c r="C2196" s="883">
        <v>0.98835527563216286</v>
      </c>
      <c r="D2196" s="883">
        <v>0.98094122979495701</v>
      </c>
      <c r="E2196" s="883">
        <v>1.0020214505829868</v>
      </c>
      <c r="F2196" s="883">
        <v>0.98056504321161742</v>
      </c>
      <c r="G2196" s="883">
        <v>1.0097316569619836</v>
      </c>
      <c r="H2196" s="883">
        <v>0.99157983612242617</v>
      </c>
      <c r="I2196" s="883">
        <v>1.0049457037232812</v>
      </c>
      <c r="K2196">
        <v>6.7535336462603093</v>
      </c>
      <c r="L2196">
        <v>0</v>
      </c>
      <c r="M2196">
        <v>1.0524418337986481E-2</v>
      </c>
      <c r="N2196">
        <v>0.19680390255929026</v>
      </c>
      <c r="O2196">
        <v>0.12433514012331198</v>
      </c>
      <c r="P2196">
        <v>8.3329378147229599E-2</v>
      </c>
      <c r="Q2196">
        <v>0</v>
      </c>
      <c r="R2196">
        <v>1.0524418337986481E-2</v>
      </c>
      <c r="S2196">
        <v>0.27391049586529381</v>
      </c>
      <c r="T2196">
        <v>5.910968913468432</v>
      </c>
      <c r="U2196">
        <v>0</v>
      </c>
      <c r="V2196">
        <v>1.9219324278757617E-2</v>
      </c>
      <c r="W2196">
        <v>0.10348001780032309</v>
      </c>
      <c r="X2196">
        <v>-1.851207421533128E-3</v>
      </c>
      <c r="Y2196">
        <v>4.3337681439196973E-2</v>
      </c>
    </row>
    <row r="2197" spans="1:25" x14ac:dyDescent="0.25">
      <c r="A2197" s="879"/>
      <c r="B2197" s="1133">
        <v>1947</v>
      </c>
      <c r="C2197" s="883">
        <v>1.0284913637032367</v>
      </c>
      <c r="D2197" s="883">
        <v>1.005260936118342</v>
      </c>
      <c r="E2197" s="883">
        <v>1.0406354342601705</v>
      </c>
      <c r="F2197" s="883">
        <v>1.0224440060799438</v>
      </c>
      <c r="G2197" s="883">
        <v>0.97163307901296414</v>
      </c>
      <c r="H2197" s="883">
        <v>1.0224127271417274</v>
      </c>
      <c r="I2197" s="883">
        <v>0.96807682385375782</v>
      </c>
      <c r="K2197">
        <v>6.7285438186766102</v>
      </c>
      <c r="L2197">
        <v>0</v>
      </c>
      <c r="M2197">
        <v>9.9762906050842332E-3</v>
      </c>
      <c r="N2197">
        <v>0.19751938749038433</v>
      </c>
      <c r="O2197">
        <v>0.11760915851770978</v>
      </c>
      <c r="P2197">
        <v>8.5502468734200351E-2</v>
      </c>
      <c r="Q2197">
        <v>0</v>
      </c>
      <c r="R2197">
        <v>9.9762906050842332E-3</v>
      </c>
      <c r="S2197">
        <v>0.25613004162807551</v>
      </c>
      <c r="T2197">
        <v>5.9110159285468624</v>
      </c>
      <c r="U2197">
        <v>0</v>
      </c>
      <c r="V2197">
        <v>1.9004072203126342E-2</v>
      </c>
      <c r="W2197">
        <v>0.10190047219620965</v>
      </c>
      <c r="X2197">
        <v>-1.2182996381627728E-3</v>
      </c>
      <c r="Y2197">
        <v>4.1080588998204964E-2</v>
      </c>
    </row>
    <row r="2198" spans="1:25" x14ac:dyDescent="0.25">
      <c r="A2198" s="879"/>
      <c r="B2198" s="1133">
        <v>1948</v>
      </c>
      <c r="C2198" s="883">
        <v>0.98849637473751817</v>
      </c>
      <c r="D2198" s="883">
        <v>1.0023199265733995</v>
      </c>
      <c r="E2198" s="883">
        <v>1.0171202465653171</v>
      </c>
      <c r="F2198" s="883">
        <v>1.0152418591138161</v>
      </c>
      <c r="G2198" s="883">
        <v>0.97545518861008473</v>
      </c>
      <c r="H2198" s="883">
        <v>0.98504520722160427</v>
      </c>
      <c r="I2198" s="883">
        <v>0.98980193576983777</v>
      </c>
      <c r="K2198">
        <v>6.7457192745435819</v>
      </c>
      <c r="L2198">
        <v>0</v>
      </c>
      <c r="M2198">
        <v>1.0221593523666873E-2</v>
      </c>
      <c r="N2198">
        <v>0.19546179491780735</v>
      </c>
      <c r="O2198">
        <v>0.12296261267674335</v>
      </c>
      <c r="P2198">
        <v>8.4223755514563528E-2</v>
      </c>
      <c r="Q2198">
        <v>0</v>
      </c>
      <c r="R2198">
        <v>1.0221593523666873E-2</v>
      </c>
      <c r="S2198">
        <v>0.26894041146180703</v>
      </c>
      <c r="T2198">
        <v>5.9119861472330637</v>
      </c>
      <c r="U2198">
        <v>0</v>
      </c>
      <c r="V2198">
        <v>1.9218536939084797E-2</v>
      </c>
      <c r="W2198">
        <v>0.10200953907494439</v>
      </c>
      <c r="X2198">
        <v>-1.1742260290721585E-3</v>
      </c>
      <c r="Y2198">
        <v>4.2090702754636423E-2</v>
      </c>
    </row>
    <row r="2199" spans="1:25" x14ac:dyDescent="0.25">
      <c r="A2199" s="879"/>
      <c r="B2199" s="1133">
        <v>1949</v>
      </c>
      <c r="C2199" s="883">
        <v>0.99683725481691854</v>
      </c>
      <c r="D2199" s="883">
        <v>0.98491208199770997</v>
      </c>
      <c r="E2199" s="883">
        <v>0.96881207905068722</v>
      </c>
      <c r="F2199" s="883">
        <v>0.98358235257868598</v>
      </c>
      <c r="G2199" s="883">
        <v>0.99914713001836275</v>
      </c>
      <c r="H2199" s="883">
        <v>0.97669451874291613</v>
      </c>
      <c r="I2199" s="883">
        <v>0.99840412117227351</v>
      </c>
      <c r="K2199">
        <v>6.7360785079428736</v>
      </c>
      <c r="L2199">
        <v>0</v>
      </c>
      <c r="M2199">
        <v>1.0561972067433815E-2</v>
      </c>
      <c r="N2199">
        <v>0.18801418513411469</v>
      </c>
      <c r="O2199">
        <v>0.12370177467836484</v>
      </c>
      <c r="P2199">
        <v>8.1189905707005586E-2</v>
      </c>
      <c r="Q2199">
        <v>0</v>
      </c>
      <c r="R2199">
        <v>1.0561972067433815E-2</v>
      </c>
      <c r="S2199">
        <v>0.26829980932921904</v>
      </c>
      <c r="T2199">
        <v>5.9129707859000664</v>
      </c>
      <c r="U2199">
        <v>0</v>
      </c>
      <c r="V2199">
        <v>1.9172390459336906E-2</v>
      </c>
      <c r="W2199">
        <v>0.10051226354440411</v>
      </c>
      <c r="X2199">
        <v>-1.2749278223906776E-3</v>
      </c>
      <c r="Y2199">
        <v>4.3492321012746415E-2</v>
      </c>
    </row>
    <row r="2200" spans="1:25" x14ac:dyDescent="0.25">
      <c r="A2200" s="879"/>
      <c r="B2200" s="1133">
        <v>1950</v>
      </c>
      <c r="C2200" s="883">
        <v>1.0178876906233649</v>
      </c>
      <c r="D2200" s="883">
        <v>0.97419499468857595</v>
      </c>
      <c r="E2200" s="883">
        <v>1.0014363256943291</v>
      </c>
      <c r="F2200" s="883">
        <v>0.95620122422297282</v>
      </c>
      <c r="G2200" s="883">
        <v>0.99905788645243154</v>
      </c>
      <c r="H2200" s="883">
        <v>0.98176470177031672</v>
      </c>
      <c r="I2200" s="883">
        <v>1.0437248582551839</v>
      </c>
      <c r="K2200">
        <v>6.7390494204502192</v>
      </c>
      <c r="L2200">
        <v>0</v>
      </c>
      <c r="M2200">
        <v>1.0153081977894626E-2</v>
      </c>
      <c r="N2200">
        <v>0.189695520509154</v>
      </c>
      <c r="O2200">
        <v>0.12107236635507554</v>
      </c>
      <c r="P2200">
        <v>8.329241827452219E-2</v>
      </c>
      <c r="Q2200">
        <v>0</v>
      </c>
      <c r="R2200">
        <v>1.0153081977894626E-2</v>
      </c>
      <c r="S2200">
        <v>0.27533877170120996</v>
      </c>
      <c r="T2200">
        <v>5.9096851872317844</v>
      </c>
      <c r="U2200">
        <v>0</v>
      </c>
      <c r="V2200">
        <v>1.9059290353981611E-2</v>
      </c>
      <c r="W2200">
        <v>9.977137969065443E-2</v>
      </c>
      <c r="X2200">
        <v>-6.7409806991099478E-4</v>
      </c>
      <c r="Y2200">
        <v>4.1808584403746879E-2</v>
      </c>
    </row>
    <row r="2201" spans="1:25" x14ac:dyDescent="0.25">
      <c r="A2201" s="879"/>
      <c r="B2201" s="1133">
        <v>1951</v>
      </c>
      <c r="C2201" s="883">
        <v>1.0165141407400715</v>
      </c>
      <c r="D2201" s="883">
        <v>0.99049862262387078</v>
      </c>
      <c r="E2201" s="883">
        <v>0.98478376286705516</v>
      </c>
      <c r="F2201" s="883">
        <v>0.97461416577262749</v>
      </c>
      <c r="G2201" s="883">
        <v>1.0064951642465991</v>
      </c>
      <c r="H2201" s="883">
        <v>1.0024879456406706</v>
      </c>
      <c r="I2201" s="883">
        <v>1.0012817036686905</v>
      </c>
      <c r="K2201">
        <v>6.7331356121965458</v>
      </c>
      <c r="L2201">
        <v>0</v>
      </c>
      <c r="M2201">
        <v>1.0458747073998879E-2</v>
      </c>
      <c r="N2201">
        <v>0.19064223672335909</v>
      </c>
      <c r="O2201">
        <v>0.12074090158045073</v>
      </c>
      <c r="P2201">
        <v>8.2149711157741653E-2</v>
      </c>
      <c r="Q2201">
        <v>0</v>
      </c>
      <c r="R2201">
        <v>1.0458747073998879E-2</v>
      </c>
      <c r="S2201">
        <v>0.2662435759048889</v>
      </c>
      <c r="T2201">
        <v>5.9116093598237613</v>
      </c>
      <c r="U2201">
        <v>0</v>
      </c>
      <c r="V2201">
        <v>1.9066527330948418E-2</v>
      </c>
      <c r="W2201">
        <v>0.10110435760282882</v>
      </c>
      <c r="X2201">
        <v>-1.4883167905778232E-3</v>
      </c>
      <c r="Y2201">
        <v>4.3067258863145261E-2</v>
      </c>
    </row>
    <row r="2202" spans="1:25" x14ac:dyDescent="0.25">
      <c r="A2202" s="879"/>
      <c r="B2202" s="1133">
        <v>1952</v>
      </c>
      <c r="C2202" s="883">
        <v>0.99643101279084378</v>
      </c>
      <c r="D2202" s="883">
        <v>0.96411879656371546</v>
      </c>
      <c r="E2202" s="883">
        <v>0.996160693394886</v>
      </c>
      <c r="F2202" s="883">
        <v>0.98633528056261977</v>
      </c>
      <c r="G2202" s="883">
        <v>1.0017775220633536</v>
      </c>
      <c r="H2202" s="883">
        <v>0.98043715015579569</v>
      </c>
      <c r="I2202" s="883">
        <v>1.0014980539098965</v>
      </c>
      <c r="K2202">
        <v>6.7453680742508588</v>
      </c>
      <c r="L2202">
        <v>0</v>
      </c>
      <c r="M2202">
        <v>1.0452024092706892E-2</v>
      </c>
      <c r="N2202">
        <v>0.19376036546843772</v>
      </c>
      <c r="O2202">
        <v>0.12429552841277282</v>
      </c>
      <c r="P2202">
        <v>8.2914694494058361E-2</v>
      </c>
      <c r="Q2202">
        <v>0</v>
      </c>
      <c r="R2202">
        <v>1.0452024092706892E-2</v>
      </c>
      <c r="S2202">
        <v>0.26985710933701329</v>
      </c>
      <c r="T2202">
        <v>5.9116097487745041</v>
      </c>
      <c r="U2202">
        <v>0</v>
      </c>
      <c r="V2202">
        <v>1.9174620123194066E-2</v>
      </c>
      <c r="W2202">
        <v>0.10217679659096768</v>
      </c>
      <c r="X2202">
        <v>-1.4603637729237032E-3</v>
      </c>
      <c r="Y2202">
        <v>4.3039574822830919E-2</v>
      </c>
    </row>
    <row r="2203" spans="1:25" x14ac:dyDescent="0.25">
      <c r="A2203" s="879"/>
      <c r="B2203" s="1133">
        <v>1953</v>
      </c>
      <c r="C2203" s="883">
        <v>1.0130012493481519</v>
      </c>
      <c r="D2203" s="883">
        <v>1.0224183386006247</v>
      </c>
      <c r="E2203" s="883">
        <v>1.0001560551313065</v>
      </c>
      <c r="F2203" s="883">
        <v>0.99963665114041311</v>
      </c>
      <c r="G2203" s="883">
        <v>1.0001708161831371</v>
      </c>
      <c r="H2203" s="883">
        <v>0.98667377451684779</v>
      </c>
      <c r="I2203" s="883">
        <v>0.99887574013854397</v>
      </c>
      <c r="K2203">
        <v>6.7255652130843009</v>
      </c>
      <c r="L2203">
        <v>0</v>
      </c>
      <c r="M2203">
        <v>1.0054298293878633E-2</v>
      </c>
      <c r="N2203">
        <v>0.18749395582631886</v>
      </c>
      <c r="O2203">
        <v>0.11935133100994157</v>
      </c>
      <c r="P2203">
        <v>8.3103231029632726E-2</v>
      </c>
      <c r="Q2203">
        <v>0</v>
      </c>
      <c r="R2203">
        <v>1.0054298293878633E-2</v>
      </c>
      <c r="S2203">
        <v>0.26478395475927546</v>
      </c>
      <c r="T2203">
        <v>5.9121045076103291</v>
      </c>
      <c r="U2203">
        <v>0</v>
      </c>
      <c r="V2203">
        <v>1.9085125378699205E-2</v>
      </c>
      <c r="W2203">
        <v>9.8676155392940806E-2</v>
      </c>
      <c r="X2203">
        <v>-4.3485869864339752E-4</v>
      </c>
      <c r="Y2203">
        <v>4.140181077580931E-2</v>
      </c>
    </row>
    <row r="2204" spans="1:25" x14ac:dyDescent="0.25">
      <c r="A2204" s="879"/>
      <c r="B2204" s="1133">
        <v>1954</v>
      </c>
      <c r="C2204" s="883">
        <v>1.0296310805540856</v>
      </c>
      <c r="D2204" s="883">
        <v>1.0243714855821566</v>
      </c>
      <c r="E2204" s="883">
        <v>1.0063148869338658</v>
      </c>
      <c r="F2204" s="883">
        <v>0.96615613795860256</v>
      </c>
      <c r="G2204" s="883">
        <v>1.0417863972893824</v>
      </c>
      <c r="H2204" s="883">
        <v>0.97484862431479558</v>
      </c>
      <c r="I2204" s="883">
        <v>0.99441724277901977</v>
      </c>
      <c r="K2204">
        <v>6.7070325199478953</v>
      </c>
      <c r="L2204">
        <v>0</v>
      </c>
      <c r="M2204">
        <v>9.7129602272087116E-3</v>
      </c>
      <c r="N2204">
        <v>0.18278845199021657</v>
      </c>
      <c r="O2204">
        <v>0.11722286152497312</v>
      </c>
      <c r="P2204">
        <v>8.3371937222516943E-2</v>
      </c>
      <c r="Q2204">
        <v>0</v>
      </c>
      <c r="R2204">
        <v>9.7129602272087116E-3</v>
      </c>
      <c r="S2204">
        <v>0.2582728423672066</v>
      </c>
      <c r="T2204">
        <v>5.9099480859997007</v>
      </c>
      <c r="U2204">
        <v>0</v>
      </c>
      <c r="V2204">
        <v>1.8998204870394636E-2</v>
      </c>
      <c r="W2204">
        <v>9.5906289251701249E-2</v>
      </c>
      <c r="X2204">
        <v>5.2760534800712084E-4</v>
      </c>
      <c r="Y2204">
        <v>3.9996241373173542E-2</v>
      </c>
    </row>
    <row r="2205" spans="1:25" x14ac:dyDescent="0.25">
      <c r="A2205" s="879"/>
      <c r="B2205" s="1133">
        <v>1955</v>
      </c>
      <c r="C2205" s="883">
        <v>0.99616393848913876</v>
      </c>
      <c r="D2205" s="883">
        <v>0.97892706758719283</v>
      </c>
      <c r="E2205" s="883">
        <v>1.0036142895427116</v>
      </c>
      <c r="F2205" s="883">
        <v>1.0260283803537795</v>
      </c>
      <c r="G2205" s="883">
        <v>0.9818487123146723</v>
      </c>
      <c r="H2205" s="883">
        <v>1.0184546324127688</v>
      </c>
      <c r="I2205" s="883">
        <v>1.0311805901801805</v>
      </c>
      <c r="K2205">
        <v>6.7690225325399309</v>
      </c>
      <c r="L2205">
        <v>0</v>
      </c>
      <c r="M2205">
        <v>1.0719450421764644E-2</v>
      </c>
      <c r="N2205">
        <v>0.20092442813456868</v>
      </c>
      <c r="O2205">
        <v>0.12343171346408968</v>
      </c>
      <c r="P2205">
        <v>8.3563005586723568E-2</v>
      </c>
      <c r="Q2205">
        <v>0</v>
      </c>
      <c r="R2205">
        <v>1.0719450421764644E-2</v>
      </c>
      <c r="S2205">
        <v>0.28152906680986861</v>
      </c>
      <c r="T2205">
        <v>5.9133359947174347</v>
      </c>
      <c r="U2205">
        <v>0</v>
      </c>
      <c r="V2205">
        <v>1.917608695423028E-2</v>
      </c>
      <c r="W2205">
        <v>0.10556315773462664</v>
      </c>
      <c r="X2205">
        <v>-2.6417097073889147E-3</v>
      </c>
      <c r="Y2205">
        <v>4.4140788845778614E-2</v>
      </c>
    </row>
    <row r="2206" spans="1:25" x14ac:dyDescent="0.25">
      <c r="A2206" s="879"/>
      <c r="B2206" s="1133">
        <v>1956</v>
      </c>
      <c r="C2206" s="883">
        <v>1.0176155275361309</v>
      </c>
      <c r="D2206" s="883">
        <v>0.9918920159276774</v>
      </c>
      <c r="E2206" s="883">
        <v>0.98787104162616313</v>
      </c>
      <c r="F2206" s="883">
        <v>1.0062379983019332</v>
      </c>
      <c r="G2206" s="883">
        <v>0.97202670942628544</v>
      </c>
      <c r="H2206" s="883">
        <v>1.0110715416788956</v>
      </c>
      <c r="I2206" s="883">
        <v>0.99420271098984014</v>
      </c>
      <c r="K2206">
        <v>6.7355545397920595</v>
      </c>
      <c r="L2206">
        <v>0</v>
      </c>
      <c r="M2206">
        <v>1.0502217060055111E-2</v>
      </c>
      <c r="N2206">
        <v>0.19231307889693591</v>
      </c>
      <c r="O2206">
        <v>0.12048576117481065</v>
      </c>
      <c r="P2206">
        <v>8.2345847979580042E-2</v>
      </c>
      <c r="Q2206">
        <v>0</v>
      </c>
      <c r="R2206">
        <v>1.0502217060055111E-2</v>
      </c>
      <c r="S2206">
        <v>0.26485932161115583</v>
      </c>
      <c r="T2206">
        <v>5.9131476432995544</v>
      </c>
      <c r="U2206">
        <v>0</v>
      </c>
      <c r="V2206">
        <v>1.9060722778268924E-2</v>
      </c>
      <c r="W2206">
        <v>0.10183333301931967</v>
      </c>
      <c r="X2206">
        <v>-1.7374294959212977E-3</v>
      </c>
      <c r="Y2206">
        <v>4.3246260528355729E-2</v>
      </c>
    </row>
    <row r="2207" spans="1:25" x14ac:dyDescent="0.25">
      <c r="A2207" s="879"/>
      <c r="B2207" s="1133">
        <v>1957</v>
      </c>
      <c r="C2207" s="883">
        <v>1.0049330965731664</v>
      </c>
      <c r="D2207" s="883">
        <v>1.0279316697384393</v>
      </c>
      <c r="E2207" s="883">
        <v>1.0333427537358557</v>
      </c>
      <c r="F2207" s="883">
        <v>1.0330185672494892</v>
      </c>
      <c r="G2207" s="883">
        <v>0.97094712518132442</v>
      </c>
      <c r="H2207" s="883">
        <v>0.99746643830833126</v>
      </c>
      <c r="I2207" s="883">
        <v>0.99379110995613729</v>
      </c>
      <c r="K2207">
        <v>6.737730028510545</v>
      </c>
      <c r="L2207">
        <v>0</v>
      </c>
      <c r="M2207">
        <v>9.9297088638425676E-3</v>
      </c>
      <c r="N2207">
        <v>0.1944902657597182</v>
      </c>
      <c r="O2207">
        <v>0.1194340938236364</v>
      </c>
      <c r="P2207">
        <v>8.5206037675302895E-2</v>
      </c>
      <c r="Q2207">
        <v>0</v>
      </c>
      <c r="R2207">
        <v>9.9297088638425676E-3</v>
      </c>
      <c r="S2207">
        <v>0.26655501609102439</v>
      </c>
      <c r="T2207">
        <v>5.9120118940488267</v>
      </c>
      <c r="U2207">
        <v>0</v>
      </c>
      <c r="V2207">
        <v>1.9128332270334544E-2</v>
      </c>
      <c r="W2207">
        <v>0.10069633898351686</v>
      </c>
      <c r="X2207">
        <v>-6.8072382082444416E-4</v>
      </c>
      <c r="Y2207">
        <v>4.0888773679012655E-2</v>
      </c>
    </row>
    <row r="2208" spans="1:25" x14ac:dyDescent="0.25">
      <c r="A2208" s="879"/>
      <c r="B2208" s="1133">
        <v>1958</v>
      </c>
      <c r="C2208" s="883">
        <v>1.0060690673234838</v>
      </c>
      <c r="D2208" s="883">
        <v>1.0105236629440744</v>
      </c>
      <c r="E2208" s="883">
        <v>0.98767149626578044</v>
      </c>
      <c r="F2208" s="883">
        <v>0.98708061737868136</v>
      </c>
      <c r="G2208" s="883">
        <v>0.98365825009747099</v>
      </c>
      <c r="H2208" s="883">
        <v>0.9736054033626752</v>
      </c>
      <c r="I2208" s="883">
        <v>0.9527214874057599</v>
      </c>
      <c r="K2208">
        <v>6.7131239017377888</v>
      </c>
      <c r="L2208">
        <v>0</v>
      </c>
      <c r="M2208">
        <v>1.0149673492432589E-2</v>
      </c>
      <c r="N2208">
        <v>0.18580243388242992</v>
      </c>
      <c r="O2208">
        <v>0.12096842400479911</v>
      </c>
      <c r="P2208">
        <v>8.2165892943734706E-2</v>
      </c>
      <c r="Q2208">
        <v>0</v>
      </c>
      <c r="R2208">
        <v>1.0149673492432589E-2</v>
      </c>
      <c r="S2208">
        <v>0.253208154019335</v>
      </c>
      <c r="T2208">
        <v>5.9121232039146596</v>
      </c>
      <c r="U2208">
        <v>0</v>
      </c>
      <c r="V2208">
        <v>1.9122206957922591E-2</v>
      </c>
      <c r="W2208">
        <v>9.839562550376299E-2</v>
      </c>
      <c r="X2208">
        <v>-4.5658835616003242E-4</v>
      </c>
      <c r="Y2208">
        <v>4.1794548867301988E-2</v>
      </c>
    </row>
    <row r="2209" spans="1:25" x14ac:dyDescent="0.25">
      <c r="A2209" s="879"/>
      <c r="B2209" s="1133">
        <v>1959</v>
      </c>
      <c r="C2209" s="883">
        <v>1.0147808709008235</v>
      </c>
      <c r="D2209" s="883">
        <v>1.0040939998148379</v>
      </c>
      <c r="E2209" s="883">
        <v>1.026488579598305</v>
      </c>
      <c r="F2209" s="883">
        <v>1.0149407712261944</v>
      </c>
      <c r="G2209" s="883">
        <v>1.0238186389996711</v>
      </c>
      <c r="H2209" s="883">
        <v>1.0063323190842022</v>
      </c>
      <c r="I2209" s="883">
        <v>1.0167516346612011</v>
      </c>
      <c r="K2209">
        <v>6.7434059840769409</v>
      </c>
      <c r="L2209">
        <v>0</v>
      </c>
      <c r="M2209">
        <v>1.0081268394821036E-2</v>
      </c>
      <c r="N2209">
        <v>0.19546828921962217</v>
      </c>
      <c r="O2209">
        <v>0.11951847888539811</v>
      </c>
      <c r="P2209">
        <v>8.4830895395893877E-2</v>
      </c>
      <c r="Q2209">
        <v>0</v>
      </c>
      <c r="R2209">
        <v>1.0081268394821036E-2</v>
      </c>
      <c r="S2209">
        <v>0.27111424311050858</v>
      </c>
      <c r="T2209">
        <v>5.9114320019725719</v>
      </c>
      <c r="U2209">
        <v>0</v>
      </c>
      <c r="V2209">
        <v>1.9075687564030459E-2</v>
      </c>
      <c r="W2209">
        <v>0.10154359081045371</v>
      </c>
      <c r="X2209">
        <v>-1.0900717325315211E-3</v>
      </c>
      <c r="Y2209">
        <v>4.1512868850991085E-2</v>
      </c>
    </row>
    <row r="2210" spans="1:25" x14ac:dyDescent="0.25">
      <c r="A2210" s="879"/>
      <c r="B2210" s="1133">
        <v>1960</v>
      </c>
      <c r="C2210" s="883">
        <v>1.0063177894106774</v>
      </c>
      <c r="D2210" s="883">
        <v>0.99413907811798641</v>
      </c>
      <c r="E2210" s="883">
        <v>0.97422883851034947</v>
      </c>
      <c r="F2210" s="883">
        <v>1.0362202644564029</v>
      </c>
      <c r="G2210" s="883">
        <v>1.0295662865700166</v>
      </c>
      <c r="H2210" s="883">
        <v>0.99175119631253217</v>
      </c>
      <c r="I2210" s="883">
        <v>0.96082250074448849</v>
      </c>
      <c r="K2210">
        <v>6.7267545668287658</v>
      </c>
      <c r="L2210">
        <v>0</v>
      </c>
      <c r="M2210">
        <v>1.0531597837604094E-2</v>
      </c>
      <c r="N2210">
        <v>0.18898719343101328</v>
      </c>
      <c r="O2210">
        <v>0.12198048648090966</v>
      </c>
      <c r="P2210">
        <v>8.1416489151611024E-2</v>
      </c>
      <c r="Q2210">
        <v>0</v>
      </c>
      <c r="R2210">
        <v>1.0531597837604094E-2</v>
      </c>
      <c r="S2210">
        <v>0.25705196999557023</v>
      </c>
      <c r="T2210">
        <v>5.9155209434947134</v>
      </c>
      <c r="U2210">
        <v>0</v>
      </c>
      <c r="V2210">
        <v>1.912086765922022E-2</v>
      </c>
      <c r="W2210">
        <v>0.10075783260239132</v>
      </c>
      <c r="X2210">
        <v>-1.4484613273845544E-3</v>
      </c>
      <c r="Y2210">
        <v>4.3367245340718993E-2</v>
      </c>
    </row>
    <row r="2211" spans="1:25" x14ac:dyDescent="0.25">
      <c r="A2211" s="879"/>
      <c r="B2211" s="1133">
        <v>1961</v>
      </c>
      <c r="C2211" s="883">
        <v>1.0344187320854314</v>
      </c>
      <c r="D2211" s="883">
        <v>1.033321032770109</v>
      </c>
      <c r="E2211" s="883">
        <v>0.97451707891550132</v>
      </c>
      <c r="F2211" s="883">
        <v>0.97816470192901672</v>
      </c>
      <c r="G2211" s="883">
        <v>1.0223776699304152</v>
      </c>
      <c r="H2211" s="883">
        <v>1.0000875954547956</v>
      </c>
      <c r="I2211" s="883">
        <v>1.0012528966982874</v>
      </c>
      <c r="K2211">
        <v>6.7116045839382465</v>
      </c>
      <c r="L2211">
        <v>0</v>
      </c>
      <c r="M2211">
        <v>1.0159499434275767E-2</v>
      </c>
      <c r="N2211">
        <v>0.18238798516785723</v>
      </c>
      <c r="O2211">
        <v>0.11684091823797724</v>
      </c>
      <c r="P2211">
        <v>8.1443094640651123E-2</v>
      </c>
      <c r="Q2211">
        <v>0</v>
      </c>
      <c r="R2211">
        <v>1.0159499434275767E-2</v>
      </c>
      <c r="S2211">
        <v>0.26099327955099633</v>
      </c>
      <c r="T2211">
        <v>5.9123664005053591</v>
      </c>
      <c r="U2211">
        <v>0</v>
      </c>
      <c r="V2211">
        <v>1.8973698976230347E-2</v>
      </c>
      <c r="W2211">
        <v>9.7225423418378212E-2</v>
      </c>
      <c r="X2211">
        <v>-4.612269060702147E-4</v>
      </c>
      <c r="Y2211">
        <v>4.1835010346859748E-2</v>
      </c>
    </row>
    <row r="2212" spans="1:25" x14ac:dyDescent="0.25">
      <c r="A2212" s="879"/>
      <c r="B2212" s="1133">
        <v>1962</v>
      </c>
      <c r="C2212" s="883">
        <v>1.0012599986159054</v>
      </c>
      <c r="D2212" s="883">
        <v>0.99243609383931886</v>
      </c>
      <c r="E2212" s="883">
        <v>0.98735071690597542</v>
      </c>
      <c r="F2212" s="883">
        <v>1.0116408237275618</v>
      </c>
      <c r="G2212" s="883">
        <v>1.0000965609791328</v>
      </c>
      <c r="H2212" s="883">
        <v>1.0038306687169833</v>
      </c>
      <c r="I2212" s="883">
        <v>1.0301887164442336</v>
      </c>
      <c r="K2212">
        <v>6.7542034625057257</v>
      </c>
      <c r="L2212">
        <v>0</v>
      </c>
      <c r="M2212">
        <v>1.0599649921016677E-2</v>
      </c>
      <c r="N2212">
        <v>0.19394753698160641</v>
      </c>
      <c r="O2212">
        <v>0.12243674151677258</v>
      </c>
      <c r="P2212">
        <v>8.2495795309579234E-2</v>
      </c>
      <c r="Q2212">
        <v>0</v>
      </c>
      <c r="R2212">
        <v>1.0599649921016677E-2</v>
      </c>
      <c r="S2212">
        <v>0.2782177297264426</v>
      </c>
      <c r="T2212">
        <v>5.9134685704891607</v>
      </c>
      <c r="U2212">
        <v>0</v>
      </c>
      <c r="V2212">
        <v>1.9148233253671428E-2</v>
      </c>
      <c r="W2212">
        <v>0.10272548546276949</v>
      </c>
      <c r="X2212">
        <v>-1.8841019416738442E-3</v>
      </c>
      <c r="Y2212">
        <v>4.36474717073927E-2</v>
      </c>
    </row>
    <row r="2213" spans="1:25" x14ac:dyDescent="0.25">
      <c r="A2213" s="879"/>
      <c r="B2213" s="1133">
        <v>1963</v>
      </c>
      <c r="C2213" s="883">
        <v>1.0025391624752185</v>
      </c>
      <c r="D2213" s="883">
        <v>0.97468043984238983</v>
      </c>
      <c r="E2213" s="883">
        <v>1.0010957822859405</v>
      </c>
      <c r="F2213" s="883">
        <v>0.99662761467931493</v>
      </c>
      <c r="G2213" s="883">
        <v>0.97065974403370237</v>
      </c>
      <c r="H2213" s="883">
        <v>1.009086719132497</v>
      </c>
      <c r="I2213" s="883">
        <v>1.0410403559468704</v>
      </c>
      <c r="K2213">
        <v>6.7622974444179471</v>
      </c>
      <c r="L2213">
        <v>0</v>
      </c>
      <c r="M2213">
        <v>1.0596292544389549E-2</v>
      </c>
      <c r="N2213">
        <v>0.19787641696806807</v>
      </c>
      <c r="O2213">
        <v>0.12290788411297418</v>
      </c>
      <c r="P2213">
        <v>8.3384685506947206E-2</v>
      </c>
      <c r="Q2213">
        <v>0</v>
      </c>
      <c r="R2213">
        <v>1.0596292544389549E-2</v>
      </c>
      <c r="S2213">
        <v>0.28153334556166826</v>
      </c>
      <c r="T2213">
        <v>5.9118890495812053</v>
      </c>
      <c r="U2213">
        <v>0</v>
      </c>
      <c r="V2213">
        <v>1.9141286146334442E-2</v>
      </c>
      <c r="W2213">
        <v>0.10409176016711651</v>
      </c>
      <c r="X2213">
        <v>-2.160630254404191E-3</v>
      </c>
      <c r="Y2213">
        <v>4.3633646628032964E-2</v>
      </c>
    </row>
    <row r="2214" spans="1:25" x14ac:dyDescent="0.25">
      <c r="A2214" s="879"/>
      <c r="B2214" s="1133">
        <v>1964</v>
      </c>
      <c r="C2214" s="883">
        <v>0.97284844880431054</v>
      </c>
      <c r="D2214" s="883">
        <v>0.98306166125964123</v>
      </c>
      <c r="E2214" s="883">
        <v>1.0028574811008759</v>
      </c>
      <c r="F2214" s="883">
        <v>0.99310977297135172</v>
      </c>
      <c r="G2214" s="883">
        <v>0.99696147182003114</v>
      </c>
      <c r="H2214" s="883">
        <v>0.96976017967660799</v>
      </c>
      <c r="I2214" s="883">
        <v>1.0133081010012095</v>
      </c>
      <c r="K2214">
        <v>6.758745642718031</v>
      </c>
      <c r="L2214">
        <v>0</v>
      </c>
      <c r="M2214">
        <v>1.0439590326053178E-2</v>
      </c>
      <c r="N2214">
        <v>0.19545953621165604</v>
      </c>
      <c r="O2214">
        <v>0.12619170531638488</v>
      </c>
      <c r="P2214">
        <v>8.3452007669384876E-2</v>
      </c>
      <c r="Q2214">
        <v>0</v>
      </c>
      <c r="R2214">
        <v>1.0439590326053178E-2</v>
      </c>
      <c r="S2214">
        <v>0.27841261418821989</v>
      </c>
      <c r="T2214">
        <v>5.9115997500558111</v>
      </c>
      <c r="U2214">
        <v>0</v>
      </c>
      <c r="V2214">
        <v>1.9307244890741652E-2</v>
      </c>
      <c r="W2214">
        <v>0.10273052621757002</v>
      </c>
      <c r="X2214">
        <v>-1.3961166166200916E-3</v>
      </c>
      <c r="Y2214">
        <v>4.2988374784878887E-2</v>
      </c>
    </row>
    <row r="2215" spans="1:25" x14ac:dyDescent="0.25">
      <c r="A2215" s="879"/>
      <c r="B2215" s="1133">
        <v>1965</v>
      </c>
      <c r="C2215" s="883">
        <v>1.0381147300826541</v>
      </c>
      <c r="D2215" s="883">
        <v>0.99917073125397038</v>
      </c>
      <c r="E2215" s="883">
        <v>0.97703027246368579</v>
      </c>
      <c r="F2215" s="883">
        <v>1.0101566995768574</v>
      </c>
      <c r="G2215" s="883">
        <v>0.98204154226533591</v>
      </c>
      <c r="H2215" s="883">
        <v>1.0114982702507955</v>
      </c>
      <c r="I2215" s="883">
        <v>1.0138958364254431</v>
      </c>
      <c r="K2215">
        <v>6.7249730239201773</v>
      </c>
      <c r="L2215">
        <v>0</v>
      </c>
      <c r="M2215">
        <v>1.0364474061499932E-2</v>
      </c>
      <c r="N2215">
        <v>0.18676310173579388</v>
      </c>
      <c r="O2215">
        <v>0.11795575661259786</v>
      </c>
      <c r="P2215">
        <v>8.1670981811388293E-2</v>
      </c>
      <c r="Q2215">
        <v>0</v>
      </c>
      <c r="R2215">
        <v>1.0364474061499932E-2</v>
      </c>
      <c r="S2215">
        <v>0.26471752373090679</v>
      </c>
      <c r="T2215">
        <v>5.913958177797519</v>
      </c>
      <c r="U2215">
        <v>0</v>
      </c>
      <c r="V2215">
        <v>1.8954935381753388E-2</v>
      </c>
      <c r="W2215">
        <v>9.9432244400482317E-2</v>
      </c>
      <c r="X2215">
        <v>-1.1587569279110259E-3</v>
      </c>
      <c r="Y2215">
        <v>4.2679059377645288E-2</v>
      </c>
    </row>
    <row r="2216" spans="1:25" x14ac:dyDescent="0.25">
      <c r="A2216" s="879"/>
      <c r="B2216" s="1133">
        <v>1966</v>
      </c>
      <c r="C2216" s="883">
        <v>0.98484527973267699</v>
      </c>
      <c r="D2216" s="883">
        <v>1.0384896274432016</v>
      </c>
      <c r="E2216" s="883">
        <v>1.0238153072207385</v>
      </c>
      <c r="F2216" s="883">
        <v>0.98297420242980738</v>
      </c>
      <c r="G2216" s="883">
        <v>0.98836129030549846</v>
      </c>
      <c r="H2216" s="883">
        <v>1.0057299470684278</v>
      </c>
      <c r="I2216" s="883">
        <v>1.0066406631179199</v>
      </c>
      <c r="K2216">
        <v>6.7533680283388131</v>
      </c>
      <c r="L2216">
        <v>0</v>
      </c>
      <c r="M2216">
        <v>1.0256896219698615E-2</v>
      </c>
      <c r="N2216">
        <v>0.19808897885711785</v>
      </c>
      <c r="O2216">
        <v>0.12155403500570067</v>
      </c>
      <c r="P2216">
        <v>8.4713349531358145E-2</v>
      </c>
      <c r="Q2216">
        <v>0</v>
      </c>
      <c r="R2216">
        <v>1.0256896219698615E-2</v>
      </c>
      <c r="S2216">
        <v>0.27618107365907074</v>
      </c>
      <c r="T2216">
        <v>5.9098590670941018</v>
      </c>
      <c r="U2216">
        <v>0</v>
      </c>
      <c r="V2216">
        <v>1.9238982832204959E-2</v>
      </c>
      <c r="W2216">
        <v>0.10304032293333332</v>
      </c>
      <c r="X2216">
        <v>-1.543854547325769E-3</v>
      </c>
      <c r="Y2216">
        <v>4.2236072973249481E-2</v>
      </c>
    </row>
    <row r="2217" spans="1:25" x14ac:dyDescent="0.25">
      <c r="A2217" s="879"/>
      <c r="B2217" s="1133">
        <v>1967</v>
      </c>
      <c r="C2217" s="883">
        <v>0.98209189138482711</v>
      </c>
      <c r="D2217" s="883">
        <v>0.99248121534729361</v>
      </c>
      <c r="E2217" s="883">
        <v>0.98903189343688025</v>
      </c>
      <c r="F2217" s="883">
        <v>1.0278603273793836</v>
      </c>
      <c r="G2217" s="883">
        <v>0.99475167810522935</v>
      </c>
      <c r="H2217" s="883">
        <v>1.0114786280611339</v>
      </c>
      <c r="I2217" s="883">
        <v>0.97463162754385335</v>
      </c>
      <c r="K2217">
        <v>6.7568142949210799</v>
      </c>
      <c r="L2217">
        <v>0</v>
      </c>
      <c r="M2217">
        <v>1.0872691474335337E-2</v>
      </c>
      <c r="N2217">
        <v>0.19944007373698366</v>
      </c>
      <c r="O2217">
        <v>0.12479215531541042</v>
      </c>
      <c r="P2217">
        <v>8.2492036250514184E-2</v>
      </c>
      <c r="Q2217">
        <v>0</v>
      </c>
      <c r="R2217">
        <v>1.0872691474335337E-2</v>
      </c>
      <c r="S2217">
        <v>0.2690711542708516</v>
      </c>
      <c r="T2217">
        <v>5.9142518769709733</v>
      </c>
      <c r="U2217">
        <v>0</v>
      </c>
      <c r="V2217">
        <v>1.9254502176861657E-2</v>
      </c>
      <c r="W2217">
        <v>0.10554605385570877</v>
      </c>
      <c r="X2217">
        <v>-2.8053658805959809E-3</v>
      </c>
      <c r="Y2217">
        <v>4.4771808224374168E-2</v>
      </c>
    </row>
    <row r="2218" spans="1:25" x14ac:dyDescent="0.25">
      <c r="A2218" s="879"/>
      <c r="B2218" s="1133">
        <v>1968</v>
      </c>
      <c r="C2218" s="883">
        <v>0.96991734088747139</v>
      </c>
      <c r="D2218" s="883">
        <v>0.98164277582848869</v>
      </c>
      <c r="E2218" s="883">
        <v>0.99198642606831089</v>
      </c>
      <c r="F2218" s="883">
        <v>1.020678386994043</v>
      </c>
      <c r="G2218" s="883">
        <v>1.0213978021801062</v>
      </c>
      <c r="H2218" s="883">
        <v>1.0104900126065115</v>
      </c>
      <c r="I2218" s="883">
        <v>1.0018541437032025</v>
      </c>
      <c r="K2218">
        <v>6.7753042721192438</v>
      </c>
      <c r="L2218">
        <v>0</v>
      </c>
      <c r="M2218">
        <v>1.1021827534169909E-2</v>
      </c>
      <c r="N2218">
        <v>0.20306321315122808</v>
      </c>
      <c r="O2218">
        <v>0.12685754127282564</v>
      </c>
      <c r="P2218">
        <v>8.2818257095793699E-2</v>
      </c>
      <c r="Q2218">
        <v>0</v>
      </c>
      <c r="R2218">
        <v>1.1021827534169909E-2</v>
      </c>
      <c r="S2218">
        <v>0.28008939085759543</v>
      </c>
      <c r="T2218">
        <v>5.9136991443940534</v>
      </c>
      <c r="U2218">
        <v>0</v>
      </c>
      <c r="V2218">
        <v>1.9324179607400151E-2</v>
      </c>
      <c r="W2218">
        <v>0.10730528265252</v>
      </c>
      <c r="X2218">
        <v>-3.2386608857150221E-3</v>
      </c>
      <c r="Y2218">
        <v>4.5385923973543858E-2</v>
      </c>
    </row>
    <row r="2219" spans="1:25" x14ac:dyDescent="0.25">
      <c r="A2219" s="879"/>
      <c r="B2219" s="1133">
        <v>1969</v>
      </c>
      <c r="C2219" s="883">
        <v>1.0181328780404819</v>
      </c>
      <c r="D2219" s="883">
        <v>1.0011484223577167</v>
      </c>
      <c r="E2219" s="883">
        <v>1.0008036516564116</v>
      </c>
      <c r="F2219" s="883">
        <v>0.99715113310856351</v>
      </c>
      <c r="G2219" s="883">
        <v>0.99447644322717454</v>
      </c>
      <c r="H2219" s="883">
        <v>0.98611007533588713</v>
      </c>
      <c r="I2219" s="883">
        <v>1.0341089126663152</v>
      </c>
      <c r="K2219">
        <v>6.735113633502456</v>
      </c>
      <c r="L2219">
        <v>0</v>
      </c>
      <c r="M2219">
        <v>1.0082593880162614E-2</v>
      </c>
      <c r="N2219">
        <v>0.18820208436834454</v>
      </c>
      <c r="O2219">
        <v>0.11974065684766204</v>
      </c>
      <c r="P2219">
        <v>8.3249838161679066E-2</v>
      </c>
      <c r="Q2219">
        <v>0</v>
      </c>
      <c r="R2219">
        <v>1.0082593880162614E-2</v>
      </c>
      <c r="S2219">
        <v>0.27288482987923185</v>
      </c>
      <c r="T2219">
        <v>5.9119337736788502</v>
      </c>
      <c r="U2219">
        <v>0</v>
      </c>
      <c r="V2219">
        <v>1.9058000561339463E-2</v>
      </c>
      <c r="W2219">
        <v>9.9016991662637902E-2</v>
      </c>
      <c r="X2219">
        <v>-4.9086862098686934E-4</v>
      </c>
      <c r="Y2219">
        <v>4.1518326963700128E-2</v>
      </c>
    </row>
    <row r="2220" spans="1:25" x14ac:dyDescent="0.25">
      <c r="A2220" s="879"/>
      <c r="B2220" s="1133">
        <v>1970</v>
      </c>
      <c r="C2220" s="883">
        <v>0.9970200598046558</v>
      </c>
      <c r="D2220" s="883">
        <v>1.0083704420941237</v>
      </c>
      <c r="E2220" s="883">
        <v>0.99851654294457326</v>
      </c>
      <c r="F2220" s="883">
        <v>0.99029553611220311</v>
      </c>
      <c r="G2220" s="883">
        <v>1.0098155244549247</v>
      </c>
      <c r="H2220" s="883">
        <v>0.9767505840641203</v>
      </c>
      <c r="I2220" s="883">
        <v>0.97825370213160001</v>
      </c>
      <c r="K2220">
        <v>6.7290408954725409</v>
      </c>
      <c r="L2220">
        <v>0</v>
      </c>
      <c r="M2220">
        <v>1.0187367577697904E-2</v>
      </c>
      <c r="N2220">
        <v>0.18951455498905412</v>
      </c>
      <c r="O2220">
        <v>0.12196805596450984</v>
      </c>
      <c r="P2220">
        <v>8.2967766197491771E-2</v>
      </c>
      <c r="Q2220">
        <v>0</v>
      </c>
      <c r="R2220">
        <v>1.0187367577697904E-2</v>
      </c>
      <c r="S2220">
        <v>0.26267982653152694</v>
      </c>
      <c r="T2220">
        <v>5.9116917553976416</v>
      </c>
      <c r="U2220">
        <v>0</v>
      </c>
      <c r="V2220">
        <v>1.91713877249114E-2</v>
      </c>
      <c r="W2220">
        <v>9.982084289527636E-2</v>
      </c>
      <c r="X2220">
        <v>-7.2306062900162355E-4</v>
      </c>
      <c r="Y2220">
        <v>4.1949766401127506E-2</v>
      </c>
    </row>
    <row r="2221" spans="1:25" x14ac:dyDescent="0.25">
      <c r="A2221" s="879"/>
      <c r="B2221" s="1133">
        <v>1971</v>
      </c>
      <c r="C2221" s="883">
        <v>0.99765542635434912</v>
      </c>
      <c r="D2221" s="883">
        <v>1.0073321980899874</v>
      </c>
      <c r="E2221" s="883">
        <v>1.017123855729934</v>
      </c>
      <c r="F2221" s="883">
        <v>0.99623872899708366</v>
      </c>
      <c r="G2221" s="883">
        <v>1.0054624308814506</v>
      </c>
      <c r="H2221" s="883">
        <v>0.97285705009309509</v>
      </c>
      <c r="I2221" s="883">
        <v>1.0027344992971616</v>
      </c>
      <c r="K2221">
        <v>6.7358964148739728</v>
      </c>
      <c r="L2221">
        <v>0</v>
      </c>
      <c r="M2221">
        <v>9.9810653742287685E-3</v>
      </c>
      <c r="N2221">
        <v>0.19086332937369158</v>
      </c>
      <c r="O2221">
        <v>0.12159082611002764</v>
      </c>
      <c r="P2221">
        <v>8.4206864386005914E-2</v>
      </c>
      <c r="Q2221">
        <v>0</v>
      </c>
      <c r="R2221">
        <v>9.9810653742287685E-3</v>
      </c>
      <c r="S2221">
        <v>0.26875523396514994</v>
      </c>
      <c r="T2221">
        <v>5.9109592387228851</v>
      </c>
      <c r="U2221">
        <v>0</v>
      </c>
      <c r="V2221">
        <v>1.9167905427000489E-2</v>
      </c>
      <c r="W2221">
        <v>9.9609468994725947E-2</v>
      </c>
      <c r="X2221">
        <v>-3.5670275317885866E-4</v>
      </c>
      <c r="Y2221">
        <v>4.1100250647664933E-2</v>
      </c>
    </row>
    <row r="2222" spans="1:25" x14ac:dyDescent="0.25">
      <c r="A2222" s="879"/>
      <c r="B2222" s="1133">
        <v>1972</v>
      </c>
      <c r="C2222" s="883">
        <v>0.99088463801430315</v>
      </c>
      <c r="D2222" s="883">
        <v>1.0126880560792293</v>
      </c>
      <c r="E2222" s="883">
        <v>1.0254985393412641</v>
      </c>
      <c r="F2222" s="883">
        <v>0.98000638698783815</v>
      </c>
      <c r="G2222" s="883">
        <v>1.0077782538711038</v>
      </c>
      <c r="H2222" s="883">
        <v>0.99978910840992008</v>
      </c>
      <c r="I2222" s="883">
        <v>0.99744112535336604</v>
      </c>
      <c r="K2222">
        <v>6.7488588161234544</v>
      </c>
      <c r="L2222">
        <v>0</v>
      </c>
      <c r="M2222">
        <v>1.0228764060336766E-2</v>
      </c>
      <c r="N2222">
        <v>0.19803799873064112</v>
      </c>
      <c r="O2222">
        <v>0.12200309292195069</v>
      </c>
      <c r="P2222">
        <v>8.4753335671350585E-2</v>
      </c>
      <c r="Q2222">
        <v>0</v>
      </c>
      <c r="R2222">
        <v>1.0228764060336766E-2</v>
      </c>
      <c r="S2222">
        <v>0.27167365259728249</v>
      </c>
      <c r="T2222">
        <v>5.9096018838974711</v>
      </c>
      <c r="U2222">
        <v>0</v>
      </c>
      <c r="V2222">
        <v>1.920524433513069E-2</v>
      </c>
      <c r="W2222">
        <v>0.10292858825312629</v>
      </c>
      <c r="X2222">
        <v>-1.4652100318371948E-3</v>
      </c>
      <c r="Y2222">
        <v>4.2120229748335104E-2</v>
      </c>
    </row>
    <row r="2223" spans="1:25" x14ac:dyDescent="0.25">
      <c r="A2223" s="879"/>
      <c r="B2223" s="1133">
        <v>1973</v>
      </c>
      <c r="C2223" s="883">
        <v>1.0275073386891094</v>
      </c>
      <c r="D2223" s="883">
        <v>1.0318764505027931</v>
      </c>
      <c r="E2223" s="883">
        <v>0.97206685658374925</v>
      </c>
      <c r="F2223" s="883">
        <v>0.98809376721018505</v>
      </c>
      <c r="G2223" s="883">
        <v>1.017324578601468</v>
      </c>
      <c r="H2223" s="883">
        <v>0.99723118362499907</v>
      </c>
      <c r="I2223" s="883">
        <v>1.0059917744958391</v>
      </c>
      <c r="K2223">
        <v>6.7169518438062266</v>
      </c>
      <c r="L2223">
        <v>0</v>
      </c>
      <c r="M2223">
        <v>1.0226530861710265E-2</v>
      </c>
      <c r="N2223">
        <v>0.18292482673990682</v>
      </c>
      <c r="O2223">
        <v>0.11773622662957337</v>
      </c>
      <c r="P2223">
        <v>8.1334110044370703E-2</v>
      </c>
      <c r="Q2223">
        <v>0</v>
      </c>
      <c r="R2223">
        <v>1.0226530861710265E-2</v>
      </c>
      <c r="S2223">
        <v>0.26374077294246928</v>
      </c>
      <c r="T2223">
        <v>5.9130372234470645</v>
      </c>
      <c r="U2223">
        <v>0</v>
      </c>
      <c r="V2223">
        <v>1.9009148495150011E-2</v>
      </c>
      <c r="W2223">
        <v>9.7631631670855534E-2</v>
      </c>
      <c r="X2223">
        <v>-5.7312999705458963E-4</v>
      </c>
      <c r="Y2223">
        <v>4.211103383388571E-2</v>
      </c>
    </row>
    <row r="2224" spans="1:25" x14ac:dyDescent="0.25">
      <c r="A2224" s="879"/>
      <c r="B2224" s="1133">
        <v>1974</v>
      </c>
      <c r="C2224" s="883">
        <v>1.0352504816514321</v>
      </c>
      <c r="D2224" s="883">
        <v>1.0276533783556043</v>
      </c>
      <c r="E2224" s="883">
        <v>0.98371953889057751</v>
      </c>
      <c r="F2224" s="883">
        <v>1.0197578843174193</v>
      </c>
      <c r="G2224" s="883">
        <v>1.0132867251924504</v>
      </c>
      <c r="H2224" s="883">
        <v>1.0274718428784431</v>
      </c>
      <c r="I2224" s="883">
        <v>1.0178721833471527</v>
      </c>
      <c r="K2224">
        <v>6.7299247004688594</v>
      </c>
      <c r="L2224">
        <v>0</v>
      </c>
      <c r="M2224">
        <v>1.0370358866387897E-2</v>
      </c>
      <c r="N2224">
        <v>0.18873295038257751</v>
      </c>
      <c r="O2224">
        <v>0.11684108135115154</v>
      </c>
      <c r="P2224">
        <v>8.2133576452143781E-2</v>
      </c>
      <c r="Q2224">
        <v>0</v>
      </c>
      <c r="R2224">
        <v>1.0370358866387897E-2</v>
      </c>
      <c r="S2224">
        <v>0.26768584631064568</v>
      </c>
      <c r="T2224">
        <v>5.9141085283056283</v>
      </c>
      <c r="U2224">
        <v>0</v>
      </c>
      <c r="V2224">
        <v>1.896946472320794E-2</v>
      </c>
      <c r="W2224">
        <v>0.10014505236652865</v>
      </c>
      <c r="X2224">
        <v>-1.3950913797404711E-3</v>
      </c>
      <c r="Y2224">
        <v>4.2703291956717716E-2</v>
      </c>
    </row>
    <row r="2225" spans="1:25" x14ac:dyDescent="0.25">
      <c r="A2225" s="879"/>
      <c r="B2225" s="1133">
        <v>1975</v>
      </c>
      <c r="C2225" s="883">
        <v>0.97029035223256543</v>
      </c>
      <c r="D2225" s="883">
        <v>1.0082469212468417</v>
      </c>
      <c r="E2225" s="883">
        <v>0.9989885422555369</v>
      </c>
      <c r="F2225" s="883">
        <v>0.99652968560701938</v>
      </c>
      <c r="G2225" s="883">
        <v>1.0179203727019035</v>
      </c>
      <c r="H2225" s="883">
        <v>1.0177983942509232</v>
      </c>
      <c r="I2225" s="883">
        <v>0.97757740769382551</v>
      </c>
      <c r="K2225">
        <v>6.7650710242131069</v>
      </c>
      <c r="L2225">
        <v>0</v>
      </c>
      <c r="M2225">
        <v>1.0904003363596593E-2</v>
      </c>
      <c r="N2225">
        <v>0.20298796156655299</v>
      </c>
      <c r="O2225">
        <v>0.12532511165528148</v>
      </c>
      <c r="P2225">
        <v>8.3149971252243118E-2</v>
      </c>
      <c r="Q2225">
        <v>0</v>
      </c>
      <c r="R2225">
        <v>1.0904003363596593E-2</v>
      </c>
      <c r="S2225">
        <v>0.27361622659856738</v>
      </c>
      <c r="T2225">
        <v>5.9120021815486599</v>
      </c>
      <c r="U2225">
        <v>0</v>
      </c>
      <c r="V2225">
        <v>1.9322018821959868E-2</v>
      </c>
      <c r="W2225">
        <v>0.10689246441044951</v>
      </c>
      <c r="X2225">
        <v>-3.1256566516540928E-3</v>
      </c>
      <c r="Y2225">
        <v>4.4900745011043519E-2</v>
      </c>
    </row>
    <row r="2226" spans="1:25" x14ac:dyDescent="0.25">
      <c r="A2226" s="879"/>
      <c r="B2226" s="1133">
        <v>1976</v>
      </c>
      <c r="C2226" s="883">
        <v>0.98274713173911965</v>
      </c>
      <c r="D2226" s="883">
        <v>1.0193105802106037</v>
      </c>
      <c r="E2226" s="883">
        <v>0.99937326721803599</v>
      </c>
      <c r="F2226" s="883">
        <v>1.042487874828403</v>
      </c>
      <c r="G2226" s="883">
        <v>1.037596913003624</v>
      </c>
      <c r="H2226" s="883">
        <v>1.015261768947886</v>
      </c>
      <c r="I2226" s="883">
        <v>1.0211119325030518</v>
      </c>
      <c r="K2226">
        <v>6.7674369825704783</v>
      </c>
      <c r="L2226">
        <v>0</v>
      </c>
      <c r="M2226">
        <v>1.0685312213356985E-2</v>
      </c>
      <c r="N2226">
        <v>0.19903024088074209</v>
      </c>
      <c r="O2226">
        <v>0.12319030217455758</v>
      </c>
      <c r="P2226">
        <v>8.3315933938128389E-2</v>
      </c>
      <c r="Q2226">
        <v>0</v>
      </c>
      <c r="R2226">
        <v>1.0685312213356985E-2</v>
      </c>
      <c r="S2226">
        <v>0.28181533882475412</v>
      </c>
      <c r="T2226">
        <v>5.9144643075870222</v>
      </c>
      <c r="U2226">
        <v>0</v>
      </c>
      <c r="V2226">
        <v>1.9250801060262796E-2</v>
      </c>
      <c r="W2226">
        <v>0.10478831787054428</v>
      </c>
      <c r="X2226">
        <v>-2.4184735454647103E-3</v>
      </c>
      <c r="Y2226">
        <v>4.4000213779930464E-2</v>
      </c>
    </row>
    <row r="2227" spans="1:25" x14ac:dyDescent="0.25">
      <c r="A2227" s="879"/>
      <c r="B2227" s="1133">
        <v>1977</v>
      </c>
      <c r="C2227" s="883">
        <v>1.014705701641986</v>
      </c>
      <c r="D2227" s="883">
        <v>0.99788822509032649</v>
      </c>
      <c r="E2227" s="883">
        <v>1.0087752226545981</v>
      </c>
      <c r="F2227" s="883">
        <v>0.99488889595458596</v>
      </c>
      <c r="G2227" s="883">
        <v>1.0011459572945054</v>
      </c>
      <c r="H2227" s="883">
        <v>0.99577910776103107</v>
      </c>
      <c r="I2227" s="883">
        <v>0.98304097888559672</v>
      </c>
      <c r="K2227">
        <v>6.728674972785158</v>
      </c>
      <c r="L2227">
        <v>0</v>
      </c>
      <c r="M2227">
        <v>1.0159097608999492E-2</v>
      </c>
      <c r="N2227">
        <v>0.1918820596273437</v>
      </c>
      <c r="O2227">
        <v>0.12015425875931152</v>
      </c>
      <c r="P2227">
        <v>8.3585765222996711E-2</v>
      </c>
      <c r="Q2227">
        <v>0</v>
      </c>
      <c r="R2227">
        <v>1.0159097608999492E-2</v>
      </c>
      <c r="S2227">
        <v>0.26121196420751425</v>
      </c>
      <c r="T2227">
        <v>5.9113614393703875</v>
      </c>
      <c r="U2227">
        <v>0</v>
      </c>
      <c r="V2227">
        <v>1.9076085537330648E-2</v>
      </c>
      <c r="W2227">
        <v>0.10055500207851274</v>
      </c>
      <c r="X2227">
        <v>-9.8495772012978226E-4</v>
      </c>
      <c r="Y2227">
        <v>4.1833355701894281E-2</v>
      </c>
    </row>
    <row r="2228" spans="1:25" x14ac:dyDescent="0.25">
      <c r="A2228" s="879"/>
      <c r="B2228" s="1133">
        <v>1978</v>
      </c>
      <c r="C2228" s="883">
        <v>0.99433839360227083</v>
      </c>
      <c r="D2228" s="883">
        <v>0.965228717268792</v>
      </c>
      <c r="E2228" s="883">
        <v>0.97358837194025394</v>
      </c>
      <c r="F2228" s="883">
        <v>0.97441088329517278</v>
      </c>
      <c r="G2228" s="883">
        <v>1.0036335934564105</v>
      </c>
      <c r="H2228" s="883">
        <v>0.97919708354347301</v>
      </c>
      <c r="I2228" s="883">
        <v>0.99321407022858776</v>
      </c>
      <c r="K2228">
        <v>6.7411923818458082</v>
      </c>
      <c r="L2228">
        <v>0</v>
      </c>
      <c r="M2228">
        <v>1.0663477872698101E-2</v>
      </c>
      <c r="N2228">
        <v>0.19117192237158509</v>
      </c>
      <c r="O2228">
        <v>0.12492808722034281</v>
      </c>
      <c r="P2228">
        <v>8.1477674517883056E-2</v>
      </c>
      <c r="Q2228">
        <v>0</v>
      </c>
      <c r="R2228">
        <v>1.0663477872698101E-2</v>
      </c>
      <c r="S2228">
        <v>0.26801950706277633</v>
      </c>
      <c r="T2228">
        <v>5.9122142755591689</v>
      </c>
      <c r="U2228">
        <v>0</v>
      </c>
      <c r="V2228">
        <v>1.9186134350520325E-2</v>
      </c>
      <c r="W2228">
        <v>0.10195538498770013</v>
      </c>
      <c r="X2228">
        <v>-1.6709080756364249E-3</v>
      </c>
      <c r="Y2228">
        <v>4.3910303851464931E-2</v>
      </c>
    </row>
    <row r="2229" spans="1:25" x14ac:dyDescent="0.25">
      <c r="A2229" s="879"/>
      <c r="B2229" s="1133">
        <v>1979</v>
      </c>
      <c r="C2229" s="883">
        <v>1.0074084316531602</v>
      </c>
      <c r="D2229" s="883">
        <v>0.99892271994711368</v>
      </c>
      <c r="E2229" s="883">
        <v>0.98696368729640771</v>
      </c>
      <c r="F2229" s="883">
        <v>0.95811181488810393</v>
      </c>
      <c r="G2229" s="883">
        <v>1.0203780881591038</v>
      </c>
      <c r="H2229" s="883">
        <v>0.99833934671266145</v>
      </c>
      <c r="I2229" s="883">
        <v>1.026716135511341</v>
      </c>
      <c r="K2229">
        <v>6.7424612077166763</v>
      </c>
      <c r="L2229">
        <v>0</v>
      </c>
      <c r="M2229">
        <v>1.0451656079275404E-2</v>
      </c>
      <c r="N2229">
        <v>0.1911298881256511</v>
      </c>
      <c r="O2229">
        <v>0.12137994050357148</v>
      </c>
      <c r="P2229">
        <v>8.2390106579084965E-2</v>
      </c>
      <c r="Q2229">
        <v>0</v>
      </c>
      <c r="R2229">
        <v>1.0451656079275404E-2</v>
      </c>
      <c r="S2229">
        <v>0.27499090568791767</v>
      </c>
      <c r="T2229">
        <v>5.9105965984686506</v>
      </c>
      <c r="U2229">
        <v>0</v>
      </c>
      <c r="V2229">
        <v>1.911500266451838E-2</v>
      </c>
      <c r="W2229">
        <v>0.101252663207784</v>
      </c>
      <c r="X2229">
        <v>-1.4319569295291456E-3</v>
      </c>
      <c r="Y2229">
        <v>4.3038059409023992E-2</v>
      </c>
    </row>
    <row r="2230" spans="1:25" x14ac:dyDescent="0.25">
      <c r="A2230" s="879"/>
      <c r="B2230" s="1133">
        <v>1980</v>
      </c>
      <c r="C2230" s="883">
        <v>1.0111143997952532</v>
      </c>
      <c r="D2230" s="883">
        <v>0.97397220974025467</v>
      </c>
      <c r="E2230" s="883">
        <v>0.99556419146079245</v>
      </c>
      <c r="F2230" s="883">
        <v>1.0155585186903442</v>
      </c>
      <c r="G2230" s="883">
        <v>1.0205530668128744</v>
      </c>
      <c r="H2230" s="883">
        <v>0.99577638352183229</v>
      </c>
      <c r="I2230" s="883">
        <v>0.98142170794944361</v>
      </c>
      <c r="K2230">
        <v>6.7352667145512992</v>
      </c>
      <c r="L2230">
        <v>0</v>
      </c>
      <c r="M2230">
        <v>1.0421299773492401E-2</v>
      </c>
      <c r="N2230">
        <v>0.19302009499829154</v>
      </c>
      <c r="O2230">
        <v>0.12200446632512724</v>
      </c>
      <c r="P2230">
        <v>8.2791742399268689E-2</v>
      </c>
      <c r="Q2230">
        <v>0</v>
      </c>
      <c r="R2230">
        <v>1.0421299773492401E-2</v>
      </c>
      <c r="S2230">
        <v>0.26192634055557729</v>
      </c>
      <c r="T2230">
        <v>5.9132225409332593</v>
      </c>
      <c r="U2230">
        <v>0</v>
      </c>
      <c r="V2230">
        <v>1.9095168137628838E-2</v>
      </c>
      <c r="W2230">
        <v>0.10181663441789295</v>
      </c>
      <c r="X2230">
        <v>-1.5233307607804823E-3</v>
      </c>
      <c r="Y2230">
        <v>4.2913057545030595E-2</v>
      </c>
    </row>
    <row r="2231" spans="1:25" x14ac:dyDescent="0.25">
      <c r="A2231" s="879"/>
      <c r="B2231" s="1133">
        <v>1981</v>
      </c>
      <c r="C2231" s="883">
        <v>0.97870717171221211</v>
      </c>
      <c r="D2231" s="883">
        <v>1.0197446800022112</v>
      </c>
      <c r="E2231" s="883">
        <v>0.98566492204926237</v>
      </c>
      <c r="F2231" s="883">
        <v>1.0013744531448967</v>
      </c>
      <c r="G2231" s="883">
        <v>1.0016191974951492</v>
      </c>
      <c r="H2231" s="883">
        <v>1.0273115967872646</v>
      </c>
      <c r="I2231" s="883">
        <v>0.99907978973353728</v>
      </c>
      <c r="K2231">
        <v>6.7654626029037654</v>
      </c>
      <c r="L2231">
        <v>0</v>
      </c>
      <c r="M2231">
        <v>1.0985446928356473E-2</v>
      </c>
      <c r="N2231">
        <v>0.20050479030523691</v>
      </c>
      <c r="O2231">
        <v>0.12393723362046344</v>
      </c>
      <c r="P2231">
        <v>8.2382111003386674E-2</v>
      </c>
      <c r="Q2231">
        <v>0</v>
      </c>
      <c r="R2231">
        <v>1.0985446928356473E-2</v>
      </c>
      <c r="S2231">
        <v>0.2779941367390939</v>
      </c>
      <c r="T2231">
        <v>5.9130071113539726</v>
      </c>
      <c r="U2231">
        <v>0</v>
      </c>
      <c r="V2231">
        <v>1.9273699640362598E-2</v>
      </c>
      <c r="W2231">
        <v>0.10628801541586323</v>
      </c>
      <c r="X2231">
        <v>-3.1606102889268884E-3</v>
      </c>
      <c r="Y2231">
        <v>4.5236115114310561E-2</v>
      </c>
    </row>
    <row r="2232" spans="1:25" x14ac:dyDescent="0.25">
      <c r="A2232" s="879"/>
      <c r="B2232" s="1133">
        <v>1982</v>
      </c>
      <c r="C2232" s="883">
        <v>0.97868248611316111</v>
      </c>
      <c r="D2232" s="883">
        <v>1.0450847398310934</v>
      </c>
      <c r="E2232" s="883">
        <v>1.0027362542101854</v>
      </c>
      <c r="F2232" s="883">
        <v>1.0087282029993763</v>
      </c>
      <c r="G2232" s="883">
        <v>0.99126220990260827</v>
      </c>
      <c r="H2232" s="883">
        <v>1.0020832959880754</v>
      </c>
      <c r="I2232" s="883">
        <v>0.98534121426400945</v>
      </c>
      <c r="K2232">
        <v>6.7487626266670206</v>
      </c>
      <c r="L2232">
        <v>0</v>
      </c>
      <c r="M2232">
        <v>1.0447139294868289E-2</v>
      </c>
      <c r="N2232">
        <v>0.19556575630749781</v>
      </c>
      <c r="O2232">
        <v>0.12240917584202954</v>
      </c>
      <c r="P2232">
        <v>8.3363948187529929E-2</v>
      </c>
      <c r="Q2232">
        <v>0</v>
      </c>
      <c r="R2232">
        <v>1.0447139294868289E-2</v>
      </c>
      <c r="S2232">
        <v>0.27160517382403176</v>
      </c>
      <c r="T2232">
        <v>5.912450606384569</v>
      </c>
      <c r="U2232">
        <v>0</v>
      </c>
      <c r="V2232">
        <v>1.9273840139974494E-2</v>
      </c>
      <c r="W2232">
        <v>0.10279253527537743</v>
      </c>
      <c r="X2232">
        <v>-1.7178693887869934E-3</v>
      </c>
      <c r="Y2232">
        <v>4.3019460094793155E-2</v>
      </c>
    </row>
    <row r="2233" spans="1:25" x14ac:dyDescent="0.25">
      <c r="A2233" s="879"/>
      <c r="B2233" s="1133">
        <v>1983</v>
      </c>
      <c r="C2233" s="883">
        <v>1.0200264325092412</v>
      </c>
      <c r="D2233" s="883">
        <v>1.0028532802782208</v>
      </c>
      <c r="E2233" s="883">
        <v>1.0051386707792347</v>
      </c>
      <c r="F2233" s="883">
        <v>0.98753489878490774</v>
      </c>
      <c r="G2233" s="883">
        <v>0.98214840613226762</v>
      </c>
      <c r="H2233" s="883">
        <v>1.0143167132039796</v>
      </c>
      <c r="I2233" s="883">
        <v>1.0002737362103449</v>
      </c>
      <c r="K2233">
        <v>6.7352329062568614</v>
      </c>
      <c r="L2233">
        <v>0</v>
      </c>
      <c r="M2233">
        <v>1.0305091481683499E-2</v>
      </c>
      <c r="N2233">
        <v>0.19359428845666715</v>
      </c>
      <c r="O2233">
        <v>0.11935739526685751</v>
      </c>
      <c r="P2233">
        <v>8.3420093649669028E-2</v>
      </c>
      <c r="Q2233">
        <v>0</v>
      </c>
      <c r="R2233">
        <v>1.0305091481683499E-2</v>
      </c>
      <c r="S2233">
        <v>0.2660622008849019</v>
      </c>
      <c r="T2233">
        <v>5.9111697996303754</v>
      </c>
      <c r="U2233">
        <v>0</v>
      </c>
      <c r="V2233">
        <v>1.9048060525389144E-2</v>
      </c>
      <c r="W2233">
        <v>0.10163515948511377</v>
      </c>
      <c r="X2233">
        <v>-1.4886241257816163E-3</v>
      </c>
      <c r="Y2233">
        <v>4.2434532483666396E-2</v>
      </c>
    </row>
    <row r="2234" spans="1:25" x14ac:dyDescent="0.25">
      <c r="A2234" s="879"/>
      <c r="B2234" s="1133">
        <v>1984</v>
      </c>
      <c r="C2234" s="883">
        <v>0.97614202111931891</v>
      </c>
      <c r="D2234" s="883">
        <v>0.97997816691088147</v>
      </c>
      <c r="E2234" s="883">
        <v>1.0081355219977894</v>
      </c>
      <c r="F2234" s="883">
        <v>1.0174710167832426</v>
      </c>
      <c r="G2234" s="883">
        <v>0.99303772937443169</v>
      </c>
      <c r="H2234" s="883">
        <v>0.95557758560824302</v>
      </c>
      <c r="I2234" s="883">
        <v>0.97984835392795033</v>
      </c>
      <c r="K2234">
        <v>6.7435948991824333</v>
      </c>
      <c r="L2234">
        <v>0</v>
      </c>
      <c r="M2234">
        <v>1.0218765462905418E-2</v>
      </c>
      <c r="N2234">
        <v>0.19282633402662738</v>
      </c>
      <c r="O2234">
        <v>0.12582164863306428</v>
      </c>
      <c r="P2234">
        <v>8.3643412179041129E-2</v>
      </c>
      <c r="Q2234">
        <v>0</v>
      </c>
      <c r="R2234">
        <v>1.0218765462905418E-2</v>
      </c>
      <c r="S2234">
        <v>0.26699551007429739</v>
      </c>
      <c r="T2234">
        <v>5.9126179282774487</v>
      </c>
      <c r="U2234">
        <v>0</v>
      </c>
      <c r="V2234">
        <v>1.9288337349998665E-2</v>
      </c>
      <c r="W2234">
        <v>0.10108184277546073</v>
      </c>
      <c r="X2234">
        <v>-7.5917143730366702E-4</v>
      </c>
      <c r="Y2234">
        <v>4.207905730379681E-2</v>
      </c>
    </row>
    <row r="2235" spans="1:25" x14ac:dyDescent="0.25">
      <c r="A2235" s="879"/>
      <c r="B2235" s="1133">
        <v>1985</v>
      </c>
      <c r="C2235" s="883">
        <v>1.0352341310594053</v>
      </c>
      <c r="D2235" s="883">
        <v>1.0298064290710718</v>
      </c>
      <c r="E2235" s="883">
        <v>1.003982575167923</v>
      </c>
      <c r="F2235" s="883">
        <v>0.99618274525085371</v>
      </c>
      <c r="G2235" s="883">
        <v>1.0181032710304951</v>
      </c>
      <c r="H2235" s="883">
        <v>1.0293840979003397</v>
      </c>
      <c r="I2235" s="883">
        <v>1.0193222634830235</v>
      </c>
      <c r="K2235">
        <v>6.7311693471116918</v>
      </c>
      <c r="L2235">
        <v>0</v>
      </c>
      <c r="M2235">
        <v>1.019851523501797E-2</v>
      </c>
      <c r="N2235">
        <v>0.191264362818404</v>
      </c>
      <c r="O2235">
        <v>0.11638372308002058</v>
      </c>
      <c r="P2235">
        <v>8.3383173710162808E-2</v>
      </c>
      <c r="Q2235">
        <v>0</v>
      </c>
      <c r="R2235">
        <v>1.019851523501797E-2</v>
      </c>
      <c r="S2235">
        <v>0.26825994022761873</v>
      </c>
      <c r="T2235">
        <v>5.91170237489104</v>
      </c>
      <c r="U2235">
        <v>0</v>
      </c>
      <c r="V2235">
        <v>1.8969547894892969E-2</v>
      </c>
      <c r="W2235">
        <v>0.10046953201506474</v>
      </c>
      <c r="X2235">
        <v>-1.2589779952790266E-3</v>
      </c>
      <c r="Y2235">
        <v>4.1995670469762499E-2</v>
      </c>
    </row>
    <row r="2236" spans="1:25" x14ac:dyDescent="0.25">
      <c r="A2236" s="879"/>
      <c r="B2236" s="1133">
        <v>1986</v>
      </c>
      <c r="C2236" s="883">
        <v>0.96066160031326508</v>
      </c>
      <c r="D2236" s="883">
        <v>1.0194559925414655</v>
      </c>
      <c r="E2236" s="883">
        <v>1.0097061702918038</v>
      </c>
      <c r="F2236" s="883">
        <v>0.96713645881973109</v>
      </c>
      <c r="G2236" s="883">
        <v>1.0314770048872892</v>
      </c>
      <c r="H2236" s="883">
        <v>1.0197930797104684</v>
      </c>
      <c r="I2236" s="883">
        <v>1.0107362722678934</v>
      </c>
      <c r="K2236">
        <v>6.7799438030626709</v>
      </c>
      <c r="L2236">
        <v>0</v>
      </c>
      <c r="M2236">
        <v>1.0880378457544118E-2</v>
      </c>
      <c r="N2236">
        <v>0.20578883168668022</v>
      </c>
      <c r="O2236">
        <v>0.12581479820861619</v>
      </c>
      <c r="P2236">
        <v>8.3959481144177131E-2</v>
      </c>
      <c r="Q2236">
        <v>0</v>
      </c>
      <c r="R2236">
        <v>1.0880378457544118E-2</v>
      </c>
      <c r="S2236">
        <v>0.28582787466383119</v>
      </c>
      <c r="T2236">
        <v>5.9098090625076534</v>
      </c>
      <c r="U2236">
        <v>0</v>
      </c>
      <c r="V2236">
        <v>1.9378333796735283E-2</v>
      </c>
      <c r="W2236">
        <v>0.10779312789471714</v>
      </c>
      <c r="X2236">
        <v>-3.2311686927366415E-3</v>
      </c>
      <c r="Y2236">
        <v>4.4803461852995927E-2</v>
      </c>
    </row>
    <row r="2237" spans="1:25" x14ac:dyDescent="0.25">
      <c r="A2237" s="879"/>
      <c r="B2237" s="1133">
        <v>1987</v>
      </c>
      <c r="C2237" s="883">
        <v>0.9906473711682533</v>
      </c>
      <c r="D2237" s="883">
        <v>0.99060306432856127</v>
      </c>
      <c r="E2237" s="883">
        <v>0.96715095743843016</v>
      </c>
      <c r="F2237" s="883">
        <v>0.96322190798576524</v>
      </c>
      <c r="G2237" s="883">
        <v>1.0446396888602185</v>
      </c>
      <c r="H2237" s="883">
        <v>1.0021835341218954</v>
      </c>
      <c r="I2237" s="883">
        <v>0.97178365964793934</v>
      </c>
      <c r="K2237">
        <v>6.7409066169211238</v>
      </c>
      <c r="L2237">
        <v>0</v>
      </c>
      <c r="M2237">
        <v>1.0894177486665563E-2</v>
      </c>
      <c r="N2237">
        <v>0.19345000416949898</v>
      </c>
      <c r="O2237">
        <v>0.12421921198649147</v>
      </c>
      <c r="P2237">
        <v>8.1030418971459142E-2</v>
      </c>
      <c r="Q2237">
        <v>0</v>
      </c>
      <c r="R2237">
        <v>1.0894177486665563E-2</v>
      </c>
      <c r="S2237">
        <v>0.26508805035054911</v>
      </c>
      <c r="T2237">
        <v>5.9119602264706916</v>
      </c>
      <c r="U2237">
        <v>0</v>
      </c>
      <c r="V2237">
        <v>1.9206562048376088E-2</v>
      </c>
      <c r="W2237">
        <v>0.10350472590099585</v>
      </c>
      <c r="X2237">
        <v>-2.4128667757203526E-3</v>
      </c>
      <c r="Y2237">
        <v>4.4860283798782423E-2</v>
      </c>
    </row>
    <row r="2238" spans="1:25" x14ac:dyDescent="0.25">
      <c r="A2238" s="879"/>
      <c r="B2238" s="1133">
        <v>1988</v>
      </c>
      <c r="C2238" s="883">
        <v>0.98600088435231081</v>
      </c>
      <c r="D2238" s="883">
        <v>1.0063416494994768</v>
      </c>
      <c r="E2238" s="883">
        <v>0.95969101140487789</v>
      </c>
      <c r="F2238" s="883">
        <v>0.99592619419599182</v>
      </c>
      <c r="G2238" s="883">
        <v>1.0157242421933677</v>
      </c>
      <c r="H2238" s="883">
        <v>1.0137572923489921</v>
      </c>
      <c r="I2238" s="883">
        <v>1.0057704062860697</v>
      </c>
      <c r="K2238">
        <v>6.7564179178084371</v>
      </c>
      <c r="L2238">
        <v>0</v>
      </c>
      <c r="M2238">
        <v>1.1069026192426789E-2</v>
      </c>
      <c r="N2238">
        <v>0.19438866981106973</v>
      </c>
      <c r="O2238">
        <v>0.12415901887334919</v>
      </c>
      <c r="P2238">
        <v>8.0737701039636497E-2</v>
      </c>
      <c r="Q2238">
        <v>0</v>
      </c>
      <c r="R2238">
        <v>1.1069026192426789E-2</v>
      </c>
      <c r="S2238">
        <v>0.27658559991522452</v>
      </c>
      <c r="T2238">
        <v>5.9141324726584523</v>
      </c>
      <c r="U2238">
        <v>0</v>
      </c>
      <c r="V2238">
        <v>1.9232495143575907E-2</v>
      </c>
      <c r="W2238">
        <v>0.10439882864081568</v>
      </c>
      <c r="X2238">
        <v>-2.797147920882777E-3</v>
      </c>
      <c r="Y2238">
        <v>4.5580279647197706E-2</v>
      </c>
    </row>
    <row r="2239" spans="1:25" x14ac:dyDescent="0.25">
      <c r="A2239" s="879"/>
      <c r="B2239" s="1133">
        <v>1989</v>
      </c>
      <c r="C2239" s="883">
        <v>1.0359538071952901</v>
      </c>
      <c r="D2239" s="883">
        <v>1.0011175729059394</v>
      </c>
      <c r="E2239" s="883">
        <v>0.99904980228035978</v>
      </c>
      <c r="F2239" s="883">
        <v>0.99289476940560628</v>
      </c>
      <c r="G2239" s="883">
        <v>1.0108665667463477</v>
      </c>
      <c r="H2239" s="883">
        <v>1.0305931932146422</v>
      </c>
      <c r="I2239" s="883">
        <v>1.0211508377900174</v>
      </c>
      <c r="K2239">
        <v>6.7363261351533934</v>
      </c>
      <c r="L2239">
        <v>0</v>
      </c>
      <c r="M2239">
        <v>1.0372162913433019E-2</v>
      </c>
      <c r="N2239">
        <v>0.19310479263428684</v>
      </c>
      <c r="O2239">
        <v>0.11771398640671088</v>
      </c>
      <c r="P2239">
        <v>8.308402704731134E-2</v>
      </c>
      <c r="Q2239">
        <v>0</v>
      </c>
      <c r="R2239">
        <v>1.0372162913433019E-2</v>
      </c>
      <c r="S2239">
        <v>0.26895858608172279</v>
      </c>
      <c r="T2239">
        <v>5.9118022986975669</v>
      </c>
      <c r="U2239">
        <v>0</v>
      </c>
      <c r="V2239">
        <v>1.8965889554012665E-2</v>
      </c>
      <c r="W2239">
        <v>0.10168494122247483</v>
      </c>
      <c r="X2239">
        <v>-1.6991071920361832E-3</v>
      </c>
      <c r="Y2239">
        <v>4.2710720701341118E-2</v>
      </c>
    </row>
    <row r="2240" spans="1:25" x14ac:dyDescent="0.25">
      <c r="A2240" s="879"/>
      <c r="B2240" s="1133">
        <v>1990</v>
      </c>
      <c r="C2240" s="883">
        <v>0.96875661032861582</v>
      </c>
      <c r="D2240" s="883">
        <v>0.99635936164912975</v>
      </c>
      <c r="E2240" s="883">
        <v>1.0169589284934621</v>
      </c>
      <c r="F2240" s="883">
        <v>0.99141321349218403</v>
      </c>
      <c r="G2240" s="883">
        <v>0.99530078572042402</v>
      </c>
      <c r="H2240" s="883">
        <v>0.99793515045639991</v>
      </c>
      <c r="I2240" s="883">
        <v>1.0171026887245791</v>
      </c>
      <c r="K2240">
        <v>6.7730889912040606</v>
      </c>
      <c r="L2240">
        <v>0</v>
      </c>
      <c r="M2240">
        <v>1.0594879003547676E-2</v>
      </c>
      <c r="N2240">
        <v>0.20255157110646216</v>
      </c>
      <c r="O2240">
        <v>0.12577099817884632</v>
      </c>
      <c r="P2240">
        <v>8.439305425738243E-2</v>
      </c>
      <c r="Q2240">
        <v>0</v>
      </c>
      <c r="R2240">
        <v>1.0594879003547676E-2</v>
      </c>
      <c r="S2240">
        <v>0.28332610526197599</v>
      </c>
      <c r="T2240">
        <v>5.9107079483257818</v>
      </c>
      <c r="U2240">
        <v>0</v>
      </c>
      <c r="V2240">
        <v>1.9330914149255241E-2</v>
      </c>
      <c r="W2240">
        <v>0.10571803237584083</v>
      </c>
      <c r="X2240">
        <v>-2.337458369932897E-3</v>
      </c>
      <c r="Y2240">
        <v>4.3627825918447022E-2</v>
      </c>
    </row>
    <row r="2241" spans="1:25" x14ac:dyDescent="0.25">
      <c r="A2241" s="879"/>
      <c r="B2241" s="1133">
        <v>1991</v>
      </c>
      <c r="C2241" s="883">
        <v>1.0054115732551165</v>
      </c>
      <c r="D2241" s="883">
        <v>1.0068846037017074</v>
      </c>
      <c r="E2241" s="883">
        <v>1.0201017466380602</v>
      </c>
      <c r="F2241" s="883">
        <v>1.0225161439220221</v>
      </c>
      <c r="G2241" s="883">
        <v>0.99256748755524138</v>
      </c>
      <c r="H2241" s="883">
        <v>1.0141155173306229</v>
      </c>
      <c r="I2241" s="883">
        <v>0.99128097816201011</v>
      </c>
      <c r="K2241">
        <v>6.7454099072169793</v>
      </c>
      <c r="L2241">
        <v>0</v>
      </c>
      <c r="M2241">
        <v>1.0299178677101674E-2</v>
      </c>
      <c r="N2241">
        <v>0.1978160486087534</v>
      </c>
      <c r="O2241">
        <v>0.1206184356442932</v>
      </c>
      <c r="P2241">
        <v>8.4392367443434674E-2</v>
      </c>
      <c r="Q2241">
        <v>0</v>
      </c>
      <c r="R2241">
        <v>1.0299178677101674E-2</v>
      </c>
      <c r="S2241">
        <v>0.26746851142529288</v>
      </c>
      <c r="T2241">
        <v>5.9122084838550384</v>
      </c>
      <c r="U2241">
        <v>0</v>
      </c>
      <c r="V2241">
        <v>1.9125750570249216E-2</v>
      </c>
      <c r="W2241">
        <v>0.10308660319375616</v>
      </c>
      <c r="X2241">
        <v>-1.7164781306838075E-3</v>
      </c>
      <c r="Y2241">
        <v>4.241018460683843E-2</v>
      </c>
    </row>
    <row r="2242" spans="1:25" x14ac:dyDescent="0.25">
      <c r="A2242" s="879"/>
      <c r="B2242" s="1133">
        <v>1992</v>
      </c>
      <c r="C2242" s="883">
        <v>0.96999588208999699</v>
      </c>
      <c r="D2242" s="883">
        <v>0.97046213225464695</v>
      </c>
      <c r="E2242" s="883">
        <v>0.97232897073925639</v>
      </c>
      <c r="F2242" s="883">
        <v>1.0347798828155692</v>
      </c>
      <c r="G2242" s="883">
        <v>0.99442233419382753</v>
      </c>
      <c r="H2242" s="883">
        <v>1.0013460771576015</v>
      </c>
      <c r="I2242" s="883">
        <v>1.0332278802898975</v>
      </c>
      <c r="K2242">
        <v>6.781621444252993</v>
      </c>
      <c r="L2242">
        <v>0</v>
      </c>
      <c r="M2242">
        <v>1.1164687315805111E-2</v>
      </c>
      <c r="N2242">
        <v>0.19978361885288887</v>
      </c>
      <c r="O2242">
        <v>0.12781082387965645</v>
      </c>
      <c r="P2242">
        <v>8.1705913075587527E-2</v>
      </c>
      <c r="Q2242">
        <v>0</v>
      </c>
      <c r="R2242">
        <v>1.1164687315805111E-2</v>
      </c>
      <c r="S2242">
        <v>0.28800658651687694</v>
      </c>
      <c r="T2242">
        <v>5.9155470558252601</v>
      </c>
      <c r="U2242">
        <v>0</v>
      </c>
      <c r="V2242">
        <v>1.9323724494681293E-2</v>
      </c>
      <c r="W2242">
        <v>0.10661555953599093</v>
      </c>
      <c r="X2242">
        <v>-3.1460330541783067E-3</v>
      </c>
      <c r="Y2242">
        <v>4.5974195126224401E-2</v>
      </c>
    </row>
    <row r="2243" spans="1:25" x14ac:dyDescent="0.25">
      <c r="A2243" s="879"/>
      <c r="B2243" s="1133">
        <v>1993</v>
      </c>
      <c r="C2243" s="883">
        <v>1.0031815632836176</v>
      </c>
      <c r="D2243" s="883">
        <v>0.96649738029993415</v>
      </c>
      <c r="E2243" s="883">
        <v>0.98976864265357989</v>
      </c>
      <c r="F2243" s="883">
        <v>0.99423152838351714</v>
      </c>
      <c r="G2243" s="883">
        <v>1.0027071031545172</v>
      </c>
      <c r="H2243" s="883">
        <v>0.99599750694409106</v>
      </c>
      <c r="I2243" s="883">
        <v>1.0217354734492077</v>
      </c>
      <c r="K2243">
        <v>6.7517343656160396</v>
      </c>
      <c r="L2243">
        <v>0</v>
      </c>
      <c r="M2243">
        <v>1.0594264230933152E-2</v>
      </c>
      <c r="N2243">
        <v>0.19454521717334658</v>
      </c>
      <c r="O2243">
        <v>0.12345813106861188</v>
      </c>
      <c r="P2243">
        <v>8.2590155515311042E-2</v>
      </c>
      <c r="Q2243">
        <v>0</v>
      </c>
      <c r="R2243">
        <v>1.0594264230933152E-2</v>
      </c>
      <c r="S2243">
        <v>0.27493675620707025</v>
      </c>
      <c r="T2243">
        <v>5.9123932040524947</v>
      </c>
      <c r="U2243">
        <v>0</v>
      </c>
      <c r="V2243">
        <v>1.9137803966219041E-2</v>
      </c>
      <c r="W2243">
        <v>0.10291781019090251</v>
      </c>
      <c r="X2243">
        <v>-1.8700069521640581E-3</v>
      </c>
      <c r="Y2243">
        <v>4.3625294394245853E-2</v>
      </c>
    </row>
    <row r="2244" spans="1:25" x14ac:dyDescent="0.25">
      <c r="A2244" s="879"/>
      <c r="B2244" s="1133">
        <v>1994</v>
      </c>
      <c r="C2244" s="883">
        <v>0.97153541962153456</v>
      </c>
      <c r="D2244" s="883">
        <v>0.96199271843965051</v>
      </c>
      <c r="E2244" s="883">
        <v>1.017759133696168</v>
      </c>
      <c r="F2244" s="883">
        <v>1.0179311505367208</v>
      </c>
      <c r="G2244" s="883">
        <v>1.0433164740697969</v>
      </c>
      <c r="H2244" s="883">
        <v>1.0101504680620388</v>
      </c>
      <c r="I2244" s="883">
        <v>0.98519175686583349</v>
      </c>
      <c r="K2244">
        <v>6.7755327523489033</v>
      </c>
      <c r="L2244">
        <v>0</v>
      </c>
      <c r="M2244">
        <v>1.0848413936516234E-2</v>
      </c>
      <c r="N2244">
        <v>0.20764431872891151</v>
      </c>
      <c r="O2244">
        <v>0.12716871152540513</v>
      </c>
      <c r="P2244">
        <v>8.4351773689560469E-2</v>
      </c>
      <c r="Q2244">
        <v>0</v>
      </c>
      <c r="R2244">
        <v>1.0848413936516234E-2</v>
      </c>
      <c r="S2244">
        <v>0.27521441316253453</v>
      </c>
      <c r="T2244">
        <v>5.9120949142906642</v>
      </c>
      <c r="U2244">
        <v>0</v>
      </c>
      <c r="V2244">
        <v>1.9314818390055461E-2</v>
      </c>
      <c r="W2244">
        <v>0.10833334057617024</v>
      </c>
      <c r="X2244">
        <v>-3.2613756592748825E-3</v>
      </c>
      <c r="Y2244">
        <v>4.4671837644875763E-2</v>
      </c>
    </row>
    <row r="2245" spans="1:25" x14ac:dyDescent="0.25">
      <c r="A2245" s="879"/>
      <c r="B2245" s="1133">
        <v>1995</v>
      </c>
      <c r="C2245" s="883">
        <v>0.97962978218267549</v>
      </c>
      <c r="D2245" s="883">
        <v>0.98412109136223203</v>
      </c>
      <c r="E2245" s="883">
        <v>0.98529644953591899</v>
      </c>
      <c r="F2245" s="883">
        <v>0.98880411471949414</v>
      </c>
      <c r="G2245" s="883">
        <v>1.0126965162363637</v>
      </c>
      <c r="H2245" s="883">
        <v>0.97573854039451058</v>
      </c>
      <c r="I2245" s="883">
        <v>1.0380547933626261</v>
      </c>
      <c r="K2245">
        <v>6.7610276259245428</v>
      </c>
      <c r="L2245">
        <v>0</v>
      </c>
      <c r="M2245">
        <v>1.0587498731324325E-2</v>
      </c>
      <c r="N2245">
        <v>0.1931359249031083</v>
      </c>
      <c r="O2245">
        <v>0.12560129470512374</v>
      </c>
      <c r="P2245">
        <v>8.2426966411623337E-2</v>
      </c>
      <c r="Q2245">
        <v>0</v>
      </c>
      <c r="R2245">
        <v>1.0587498731324325E-2</v>
      </c>
      <c r="S2245">
        <v>0.28379663178400144</v>
      </c>
      <c r="T2245">
        <v>5.9123480280022411</v>
      </c>
      <c r="U2245">
        <v>0</v>
      </c>
      <c r="V2245">
        <v>1.9268453623654865E-2</v>
      </c>
      <c r="W2245">
        <v>0.10240061288329437</v>
      </c>
      <c r="X2245">
        <v>-1.5477216595768852E-3</v>
      </c>
      <c r="Y2245">
        <v>4.3597435271070753E-2</v>
      </c>
    </row>
    <row r="2246" spans="1:25" x14ac:dyDescent="0.25">
      <c r="A2246" s="879"/>
      <c r="B2246" s="1133">
        <v>1996</v>
      </c>
      <c r="C2246" s="883">
        <v>0.99835243467567858</v>
      </c>
      <c r="D2246" s="883">
        <v>0.98817134018884922</v>
      </c>
      <c r="E2246" s="883">
        <v>1.0072569913432976</v>
      </c>
      <c r="F2246" s="883">
        <v>0.98111499658170875</v>
      </c>
      <c r="G2246" s="883">
        <v>1.0352459724913601</v>
      </c>
      <c r="H2246" s="883">
        <v>1.0230681376402146</v>
      </c>
      <c r="I2246" s="883">
        <v>1.0006649058769892</v>
      </c>
      <c r="K2246">
        <v>6.7568094899844233</v>
      </c>
      <c r="L2246">
        <v>0</v>
      </c>
      <c r="M2246">
        <v>1.0667190990893444E-2</v>
      </c>
      <c r="N2246">
        <v>0.20102638373958204</v>
      </c>
      <c r="O2246">
        <v>0.12263009213111796</v>
      </c>
      <c r="P2246">
        <v>8.3640900682103655E-2</v>
      </c>
      <c r="Q2246">
        <v>0</v>
      </c>
      <c r="R2246">
        <v>1.0667190990893444E-2</v>
      </c>
      <c r="S2246">
        <v>0.27293780419509023</v>
      </c>
      <c r="T2246">
        <v>5.9107031374175616</v>
      </c>
      <c r="U2246">
        <v>0</v>
      </c>
      <c r="V2246">
        <v>1.916409038297948E-2</v>
      </c>
      <c r="W2246">
        <v>0.10542624967543768</v>
      </c>
      <c r="X2246">
        <v>-2.6447620507302249E-3</v>
      </c>
      <c r="Y2246">
        <v>4.3925593811282977E-2</v>
      </c>
    </row>
    <row r="2247" spans="1:25" x14ac:dyDescent="0.25">
      <c r="A2247" s="879"/>
      <c r="B2247" s="1133">
        <v>1997</v>
      </c>
      <c r="C2247" s="883">
        <v>0.95986012152744549</v>
      </c>
      <c r="D2247" s="883">
        <v>1.0281477859957981</v>
      </c>
      <c r="E2247" s="883">
        <v>0.96148726455947964</v>
      </c>
      <c r="F2247" s="883">
        <v>1.0139857992732939</v>
      </c>
      <c r="G2247" s="883">
        <v>1.0181402697475701</v>
      </c>
      <c r="H2247" s="883">
        <v>1.006701864643484</v>
      </c>
      <c r="I2247" s="883">
        <v>0.99782806303304195</v>
      </c>
      <c r="K2247">
        <v>6.7679224103858067</v>
      </c>
      <c r="L2247">
        <v>0</v>
      </c>
      <c r="M2247">
        <v>1.1170742291541982E-2</v>
      </c>
      <c r="N2247">
        <v>0.19669922883466806</v>
      </c>
      <c r="O2247">
        <v>0.12641737686804619</v>
      </c>
      <c r="P2247">
        <v>8.0921697340290172E-2</v>
      </c>
      <c r="Q2247">
        <v>0</v>
      </c>
      <c r="R2247">
        <v>1.1170742291541982E-2</v>
      </c>
      <c r="S2247">
        <v>0.28096948078082373</v>
      </c>
      <c r="T2247">
        <v>5.9150120963722594</v>
      </c>
      <c r="U2247">
        <v>0</v>
      </c>
      <c r="V2247">
        <v>1.938307228372366E-2</v>
      </c>
      <c r="W2247">
        <v>0.10554401649529545</v>
      </c>
      <c r="X2247">
        <v>-3.0236870278648551E-3</v>
      </c>
      <c r="Y2247">
        <v>4.5999128438563346E-2</v>
      </c>
    </row>
    <row r="2248" spans="1:25" x14ac:dyDescent="0.25">
      <c r="A2248" s="879"/>
      <c r="B2248" s="1133">
        <v>1998</v>
      </c>
      <c r="C2248" s="883">
        <v>0.98128315830973389</v>
      </c>
      <c r="D2248" s="883">
        <v>0.99186375975349861</v>
      </c>
      <c r="E2248" s="883">
        <v>0.99528333433499228</v>
      </c>
      <c r="F2248" s="883">
        <v>1.0090625186281776</v>
      </c>
      <c r="G2248" s="883">
        <v>1.0039399455666789</v>
      </c>
      <c r="H2248" s="883">
        <v>0.99330504402445008</v>
      </c>
      <c r="I2248" s="883">
        <v>0.99950551208446181</v>
      </c>
      <c r="K2248">
        <v>6.7567114763978608</v>
      </c>
      <c r="L2248">
        <v>0</v>
      </c>
      <c r="M2248">
        <v>1.0630823344048157E-2</v>
      </c>
      <c r="N2248">
        <v>0.19681888770984701</v>
      </c>
      <c r="O2248">
        <v>0.12480677942619868</v>
      </c>
      <c r="P2248">
        <v>8.2938775500663225E-2</v>
      </c>
      <c r="Q2248">
        <v>0</v>
      </c>
      <c r="R2248">
        <v>1.0630823344048157E-2</v>
      </c>
      <c r="S2248">
        <v>0.27443235067985078</v>
      </c>
      <c r="T2248">
        <v>5.9128871696681244</v>
      </c>
      <c r="U2248">
        <v>0</v>
      </c>
      <c r="V2248">
        <v>1.9259077110254961E-2</v>
      </c>
      <c r="W2248">
        <v>0.10383497804931527</v>
      </c>
      <c r="X2248">
        <v>-2.0423800611738111E-3</v>
      </c>
      <c r="Y2248">
        <v>4.3775838314773906E-2</v>
      </c>
    </row>
    <row r="2249" spans="1:25" x14ac:dyDescent="0.25">
      <c r="A2249" s="879"/>
      <c r="B2249" s="1133">
        <v>1999</v>
      </c>
      <c r="C2249" s="883">
        <v>1.0049807694842439</v>
      </c>
      <c r="D2249" s="883">
        <v>0.9608449706935116</v>
      </c>
      <c r="E2249" s="883">
        <v>0.98663847112759528</v>
      </c>
      <c r="F2249" s="883">
        <v>0.9650030685804506</v>
      </c>
      <c r="G2249" s="883">
        <v>0.96776202116932775</v>
      </c>
      <c r="H2249" s="883">
        <v>0.99943915075472756</v>
      </c>
      <c r="I2249" s="883">
        <v>1.0078539813130427</v>
      </c>
      <c r="K2249">
        <v>6.7472739223119369</v>
      </c>
      <c r="L2249">
        <v>0</v>
      </c>
      <c r="M2249">
        <v>1.0667663851528744E-2</v>
      </c>
      <c r="N2249">
        <v>0.1949859724297463</v>
      </c>
      <c r="O2249">
        <v>0.12358555198803045</v>
      </c>
      <c r="P2249">
        <v>8.2323437771156777E-2</v>
      </c>
      <c r="Q2249">
        <v>0</v>
      </c>
      <c r="R2249">
        <v>1.0667663851528744E-2</v>
      </c>
      <c r="S2249">
        <v>0.27110522847256524</v>
      </c>
      <c r="T2249">
        <v>5.9109871252048043</v>
      </c>
      <c r="U2249">
        <v>0</v>
      </c>
      <c r="V2249">
        <v>1.9128074932991766E-2</v>
      </c>
      <c r="W2249">
        <v>0.10331223143635211</v>
      </c>
      <c r="X2249">
        <v>-2.081240890923943E-3</v>
      </c>
      <c r="Y2249">
        <v>4.3927540967213068E-2</v>
      </c>
    </row>
    <row r="2250" spans="1:25" x14ac:dyDescent="0.25">
      <c r="A2250" s="879"/>
      <c r="B2250" s="1133">
        <v>2000</v>
      </c>
      <c r="C2250" s="883">
        <v>1.0021794995675832</v>
      </c>
      <c r="D2250" s="883">
        <v>1.0176367978659493</v>
      </c>
      <c r="E2250" s="883">
        <v>1.0066252249843362</v>
      </c>
      <c r="F2250" s="883">
        <v>0.97876463962153892</v>
      </c>
      <c r="G2250" s="883">
        <v>0.98005155205463634</v>
      </c>
      <c r="H2250" s="883">
        <v>0.99906152298088458</v>
      </c>
      <c r="I2250" s="883">
        <v>1.0038729465516316</v>
      </c>
      <c r="K2250">
        <v>6.7395798224623764</v>
      </c>
      <c r="L2250">
        <v>0</v>
      </c>
      <c r="M2250">
        <v>1.0253000978842375E-2</v>
      </c>
      <c r="N2250">
        <v>0.19304018226204717</v>
      </c>
      <c r="O2250">
        <v>0.12074621632213835</v>
      </c>
      <c r="P2250">
        <v>8.3562804423660278E-2</v>
      </c>
      <c r="Q2250">
        <v>0</v>
      </c>
      <c r="R2250">
        <v>1.0253000978842375E-2</v>
      </c>
      <c r="S2250">
        <v>0.27019626498817362</v>
      </c>
      <c r="T2250">
        <v>5.9106118687697577</v>
      </c>
      <c r="U2250">
        <v>0</v>
      </c>
      <c r="V2250">
        <v>1.9143237674531705E-2</v>
      </c>
      <c r="W2250">
        <v>0.10126964632743228</v>
      </c>
      <c r="X2250">
        <v>-1.2104313700930516E-3</v>
      </c>
      <c r="Y2250">
        <v>4.2220033064730524E-2</v>
      </c>
    </row>
  </sheetData>
  <mergeCells count="3">
    <mergeCell ref="P12:Q12"/>
    <mergeCell ref="R12:U12"/>
    <mergeCell ref="B11:C11"/>
  </mergeCells>
  <dataValidations count="2">
    <dataValidation type="list" allowBlank="1" showInputMessage="1" showErrorMessage="1" sqref="D11" xr:uid="{8C7B4247-66FA-4E01-A74E-38C3F9453CF9}">
      <formula1>"Yes, No"</formula1>
    </dataValidation>
    <dataValidation type="list" allowBlank="1" showInputMessage="1" showErrorMessage="1" sqref="R12:U12" xr:uid="{0A7B5D4B-E6DE-4AAD-AFAF-42FAC3382FBE}">
      <formula1>$B$224:$B$245</formula1>
    </dataValidation>
  </dataValidations>
  <pageMargins left="0.7" right="0.7" top="0.75" bottom="0.75" header="0.3" footer="0.3"/>
  <drawing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ransitionEvaluation="1" codeName="Sheet9">
    <tabColor indexed="44"/>
    <pageSetUpPr fitToPage="1"/>
  </sheetPr>
  <dimension ref="A1:AG282"/>
  <sheetViews>
    <sheetView topLeftCell="P63" zoomScaleNormal="100" workbookViewId="0">
      <selection activeCell="X81" sqref="X81"/>
    </sheetView>
  </sheetViews>
  <sheetFormatPr defaultColWidth="11" defaultRowHeight="13.2" x14ac:dyDescent="0.25"/>
  <cols>
    <col min="1" max="1" width="27.33203125" style="51" customWidth="1"/>
    <col min="2" max="2" width="28.6640625" style="51" customWidth="1"/>
    <col min="3" max="3" width="25.33203125" style="51" customWidth="1"/>
    <col min="4" max="4" width="18.6640625" style="51" customWidth="1"/>
    <col min="5" max="5" width="49.6640625" style="51" customWidth="1"/>
    <col min="6" max="6" width="24.6640625" style="51" customWidth="1"/>
    <col min="7" max="7" width="25.6640625" style="51" customWidth="1"/>
    <col min="8" max="8" width="21.33203125" style="51" customWidth="1"/>
    <col min="9" max="9" width="29.6640625" style="51" customWidth="1"/>
    <col min="10" max="10" width="27.33203125" style="51" customWidth="1"/>
    <col min="11" max="11" width="25" style="51" customWidth="1"/>
    <col min="12" max="12" width="25.6640625" style="51" customWidth="1"/>
    <col min="13" max="13" width="21" style="51" customWidth="1"/>
    <col min="14" max="14" width="22.6640625" style="51" customWidth="1"/>
    <col min="15" max="15" width="28.33203125" style="51" customWidth="1"/>
    <col min="16" max="16" width="28.6640625" style="51" customWidth="1"/>
    <col min="17" max="17" width="26.6640625" style="51" customWidth="1"/>
    <col min="18" max="18" width="23.5546875" style="51" customWidth="1"/>
    <col min="19" max="19" width="22.33203125" style="51" customWidth="1"/>
    <col min="20" max="20" width="20.6640625" style="51" customWidth="1"/>
    <col min="21" max="21" width="21.44140625" style="51" customWidth="1"/>
    <col min="22" max="22" width="18.6640625" style="51" customWidth="1"/>
    <col min="23" max="23" width="20.44140625" style="51" customWidth="1"/>
    <col min="24" max="24" width="19.33203125" style="51" customWidth="1"/>
    <col min="25" max="25" width="14.6640625" style="51" customWidth="1"/>
    <col min="26" max="26" width="15.6640625" style="51" customWidth="1"/>
    <col min="27" max="27" width="15.5546875" style="51" customWidth="1"/>
    <col min="28" max="28" width="15.6640625" style="51" customWidth="1"/>
    <col min="29" max="29" width="16.6640625" style="51" customWidth="1"/>
    <col min="30" max="30" width="14.6640625" style="51" customWidth="1"/>
    <col min="31" max="31" width="15.44140625" style="51" customWidth="1"/>
    <col min="32" max="32" width="11" style="51"/>
    <col min="33" max="33" width="14.6640625" style="51" customWidth="1"/>
    <col min="34" max="16384" width="11" style="51"/>
  </cols>
  <sheetData>
    <row r="1" spans="1:23" ht="15" customHeight="1" thickBot="1" x14ac:dyDescent="0.3">
      <c r="D1" s="39"/>
    </row>
    <row r="2" spans="1:23" ht="15" customHeight="1" thickTop="1" x14ac:dyDescent="0.25">
      <c r="A2" s="503" t="s">
        <v>483</v>
      </c>
      <c r="B2" s="497"/>
      <c r="C2" s="498"/>
      <c r="D2" s="39"/>
    </row>
    <row r="3" spans="1:23" ht="15" customHeight="1" x14ac:dyDescent="0.25">
      <c r="A3" s="504" t="s">
        <v>484</v>
      </c>
      <c r="B3" s="499"/>
      <c r="C3" s="500"/>
      <c r="E3" s="146"/>
      <c r="F3" s="38"/>
      <c r="G3" s="39"/>
    </row>
    <row r="4" spans="1:23" ht="30.75" customHeight="1" x14ac:dyDescent="0.25">
      <c r="A4" s="504" t="s">
        <v>485</v>
      </c>
      <c r="B4" s="499"/>
      <c r="C4" s="500"/>
      <c r="T4" s="149"/>
      <c r="U4" s="132"/>
      <c r="V4" s="132"/>
      <c r="W4" s="132"/>
    </row>
    <row r="5" spans="1:23" ht="26.25" customHeight="1" x14ac:dyDescent="0.25">
      <c r="A5" s="504" t="s">
        <v>78</v>
      </c>
      <c r="B5" s="499"/>
      <c r="C5" s="500"/>
      <c r="T5" s="149"/>
      <c r="U5" s="132"/>
      <c r="V5" s="132"/>
      <c r="W5" s="132"/>
    </row>
    <row r="6" spans="1:23" ht="15" customHeight="1" thickBot="1" x14ac:dyDescent="0.3">
      <c r="A6" s="505" t="s">
        <v>486</v>
      </c>
      <c r="B6" s="501"/>
      <c r="C6" s="502"/>
      <c r="T6" s="149"/>
      <c r="U6" s="132"/>
      <c r="V6" s="132"/>
      <c r="W6" s="132"/>
    </row>
    <row r="7" spans="1:23" ht="15" customHeight="1" thickTop="1" x14ac:dyDescent="0.25">
      <c r="T7" s="149"/>
      <c r="U7" s="132"/>
      <c r="V7" s="132"/>
      <c r="W7" s="132"/>
    </row>
    <row r="8" spans="1:23" ht="15" customHeight="1" x14ac:dyDescent="0.25">
      <c r="T8" s="149"/>
      <c r="U8" s="132"/>
      <c r="V8" s="132"/>
      <c r="W8" s="132"/>
    </row>
    <row r="9" spans="1:23" ht="15" customHeight="1" x14ac:dyDescent="0.25">
      <c r="T9" s="149"/>
      <c r="U9" s="132"/>
      <c r="V9" s="132"/>
      <c r="W9" s="132"/>
    </row>
    <row r="10" spans="1:23" ht="15" customHeight="1" x14ac:dyDescent="0.25">
      <c r="T10" s="149"/>
      <c r="U10" s="132"/>
      <c r="V10" s="132"/>
      <c r="W10" s="132"/>
    </row>
    <row r="11" spans="1:23" ht="15" customHeight="1" x14ac:dyDescent="0.25">
      <c r="T11" s="149"/>
      <c r="U11" s="132"/>
      <c r="V11" s="132"/>
      <c r="W11" s="132"/>
    </row>
    <row r="12" spans="1:23" ht="29.25" customHeight="1" x14ac:dyDescent="0.25">
      <c r="T12" s="149"/>
      <c r="U12" s="132"/>
      <c r="V12" s="132"/>
      <c r="W12" s="132"/>
    </row>
    <row r="13" spans="1:23" ht="15" customHeight="1" x14ac:dyDescent="0.3">
      <c r="A13" s="135"/>
      <c r="B13" s="145"/>
      <c r="C13" s="145"/>
      <c r="D13" s="145"/>
      <c r="E13" s="145"/>
      <c r="F13" s="132"/>
      <c r="G13" s="38"/>
      <c r="H13" s="39"/>
    </row>
    <row r="14" spans="1:23" ht="15" customHeight="1" thickBot="1" x14ac:dyDescent="0.35">
      <c r="A14" s="131"/>
    </row>
    <row r="15" spans="1:23" ht="29.25" customHeight="1" thickTop="1" thickBot="1" x14ac:dyDescent="0.35">
      <c r="A15" s="153" t="s">
        <v>88</v>
      </c>
      <c r="B15" s="148"/>
      <c r="D15" s="1594" t="s">
        <v>64</v>
      </c>
      <c r="E15" s="1595"/>
    </row>
    <row r="16" spans="1:23" ht="40.200000000000003" thickTop="1" x14ac:dyDescent="0.25">
      <c r="A16" s="154" t="s">
        <v>89</v>
      </c>
      <c r="B16" s="155"/>
      <c r="D16" s="311" t="str">
        <f>"Hydrogen Cost (Year "&amp;TEXT(ref_year,"0")&amp;" Real $/kg)"</f>
        <v>Hydrogen Cost (Year 2016 Real $/kg)</v>
      </c>
      <c r="E16" s="992">
        <f ca="1">H2_price_nominal/INFLATION_FACTOR</f>
        <v>1.5026131500439246</v>
      </c>
    </row>
    <row r="17" spans="1:10" ht="39.6" x14ac:dyDescent="0.25">
      <c r="A17" s="156" t="s">
        <v>90</v>
      </c>
      <c r="B17" s="157">
        <f ca="1">output_kgyear</f>
        <v>470850</v>
      </c>
      <c r="D17" s="136" t="s">
        <v>922</v>
      </c>
      <c r="E17" s="868">
        <f ca="1">+SUM(X57:AB57)/AC57*(1+inflation_rate)^construct</f>
        <v>1.474595829287463</v>
      </c>
    </row>
    <row r="18" spans="1:10" ht="26.4" x14ac:dyDescent="0.25">
      <c r="A18" s="156" t="s">
        <v>91</v>
      </c>
      <c r="B18" s="157">
        <f ca="1">B17*H2_LHV_MJ_p_kg/1000/mmBTU_to_GJ</f>
        <v>53650.852977513299</v>
      </c>
      <c r="D18" s="137" t="s">
        <v>966</v>
      </c>
      <c r="E18" s="138">
        <f ca="1">((E20+1)/(1+B30))-1</f>
        <v>8.0000000000003624E-2</v>
      </c>
    </row>
    <row r="19" spans="1:10" ht="28.5" customHeight="1" x14ac:dyDescent="0.25">
      <c r="A19" s="156" t="s">
        <v>92</v>
      </c>
      <c r="B19" s="157">
        <f ca="1">B17*H2_LHV_MJ_p_kg</f>
        <v>56601649.891276531</v>
      </c>
      <c r="C19" s="134"/>
      <c r="D19" s="137" t="s">
        <v>974</v>
      </c>
      <c r="E19" s="138" t="e">
        <f ca="1">((E21+1)/(1+B30))-1</f>
        <v>#NUM!</v>
      </c>
    </row>
    <row r="20" spans="1:10" ht="15" customHeight="1" x14ac:dyDescent="0.25">
      <c r="A20" s="158" t="s">
        <v>93</v>
      </c>
      <c r="B20" s="157">
        <f ca="1">design_cap</f>
        <v>1500</v>
      </c>
      <c r="D20" s="139" t="s">
        <v>965</v>
      </c>
      <c r="E20" s="140">
        <f ca="1">IRR(AA65:AA113)</f>
        <v>0.1005200000000035</v>
      </c>
    </row>
    <row r="21" spans="1:10" ht="15" customHeight="1" x14ac:dyDescent="0.25">
      <c r="A21" s="158" t="s">
        <v>94</v>
      </c>
      <c r="B21" s="157">
        <f ca="1">B20*365</f>
        <v>547500</v>
      </c>
      <c r="D21" s="139" t="s">
        <v>973</v>
      </c>
      <c r="E21" s="140" t="e">
        <f ca="1">IRR(AC65:AC113)</f>
        <v>#NUM!</v>
      </c>
    </row>
    <row r="22" spans="1:10" ht="15" customHeight="1" x14ac:dyDescent="0.25">
      <c r="A22" s="159" t="s">
        <v>95</v>
      </c>
      <c r="B22" s="160">
        <f ca="1">cap_factor</f>
        <v>0.86</v>
      </c>
      <c r="D22" s="142" t="s">
        <v>65</v>
      </c>
      <c r="E22" s="143">
        <f ca="1">(real_irr*(1+real_irr)^anal_period)/(((1+real_irr)^anal_period)-1)</f>
        <v>0.10185220882315059</v>
      </c>
    </row>
    <row r="23" spans="1:10" ht="15" customHeight="1" x14ac:dyDescent="0.25">
      <c r="A23" s="158"/>
      <c r="B23" s="161"/>
      <c r="D23" s="142" t="s">
        <v>75</v>
      </c>
      <c r="E23" s="143">
        <f ca="1">(nominal_irr*(1+nominal_irr)^anal_period)/(((1+nominal_irr)^anal_period)-1)</f>
        <v>0.11787679477462062</v>
      </c>
    </row>
    <row r="24" spans="1:10" ht="24.75" customHeight="1" x14ac:dyDescent="0.25">
      <c r="A24" s="154" t="s">
        <v>96</v>
      </c>
      <c r="B24" s="155"/>
      <c r="D24" s="139" t="s">
        <v>76</v>
      </c>
      <c r="E24" s="143">
        <f ca="1">(E22*(1-total_tax_rate*INDEX(Depreciation!B12:H37,MATCH("NPV - Real IRR",Depreciation!B12:B37,0),MATCH(depr_length,recovery_period,0))))/(1-total_tax_rate)</f>
        <v>0.11010937660003045</v>
      </c>
    </row>
    <row r="25" spans="1:10" ht="15" customHeight="1" x14ac:dyDescent="0.25">
      <c r="A25" s="137" t="s">
        <v>97</v>
      </c>
      <c r="B25" s="162">
        <f>startup_year</f>
        <v>2015</v>
      </c>
      <c r="D25" s="142" t="s">
        <v>77</v>
      </c>
      <c r="E25" s="143">
        <f ca="1">(E23*(1-total_tax_rate*INDEX(Depreciation!B12:H37,MATCH("NPV - Nominal IRR",Depreciation!B12:B37,0),MATCH(depr_length,recovery_period,0))))/(1-total_tax_rate)</f>
        <v>0.12930300426323382</v>
      </c>
    </row>
    <row r="26" spans="1:10" ht="15" customHeight="1" thickBot="1" x14ac:dyDescent="0.3">
      <c r="A26" s="158" t="s">
        <v>98</v>
      </c>
      <c r="B26" s="152">
        <f ca="1">real_irr</f>
        <v>0.08</v>
      </c>
      <c r="C26" s="163"/>
      <c r="D26" s="144" t="s">
        <v>248</v>
      </c>
      <c r="E26" s="867">
        <f ca="1">NPV(nominal_irr,AA65:AA113)</f>
        <v>2.3007607764836916E-9</v>
      </c>
    </row>
    <row r="27" spans="1:10" ht="15" customHeight="1" thickTop="1" x14ac:dyDescent="0.25">
      <c r="A27" s="137" t="s">
        <v>971</v>
      </c>
      <c r="B27" s="152">
        <f ca="1">((1+B26)*(1+B30))-1</f>
        <v>0.10051999999999994</v>
      </c>
      <c r="C27" s="163"/>
      <c r="D27" s="164"/>
    </row>
    <row r="28" spans="1:10" ht="15" customHeight="1" x14ac:dyDescent="0.25">
      <c r="A28" s="158" t="s">
        <v>99</v>
      </c>
      <c r="B28" s="162">
        <f>anal_period</f>
        <v>20</v>
      </c>
      <c r="C28" s="163"/>
      <c r="D28" s="164"/>
      <c r="F28" s="164"/>
    </row>
    <row r="29" spans="1:10" ht="15" customHeight="1" x14ac:dyDescent="0.25">
      <c r="A29" s="158" t="s">
        <v>100</v>
      </c>
      <c r="B29" s="162">
        <f>plant_life</f>
        <v>20</v>
      </c>
      <c r="C29" s="163"/>
      <c r="D29" s="164"/>
    </row>
    <row r="30" spans="1:10" ht="15" customHeight="1" x14ac:dyDescent="0.25">
      <c r="A30" s="158" t="s">
        <v>101</v>
      </c>
      <c r="B30" s="152">
        <f>inflation_rate</f>
        <v>1.9E-2</v>
      </c>
      <c r="F30" s="866"/>
      <c r="G30" s="865"/>
      <c r="H30" s="865"/>
      <c r="I30" s="865"/>
      <c r="J30" s="865"/>
    </row>
    <row r="31" spans="1:10" ht="15" customHeight="1" x14ac:dyDescent="0.25">
      <c r="A31" s="158" t="s">
        <v>102</v>
      </c>
      <c r="B31" s="165">
        <f>100%-equity</f>
        <v>0.6</v>
      </c>
    </row>
    <row r="32" spans="1:10" ht="15" customHeight="1" x14ac:dyDescent="0.25">
      <c r="A32" s="137" t="s">
        <v>103</v>
      </c>
      <c r="B32" s="166">
        <f>equity</f>
        <v>0.4</v>
      </c>
    </row>
    <row r="33" spans="1:12" ht="15" customHeight="1" x14ac:dyDescent="0.25">
      <c r="A33" s="137" t="s">
        <v>104</v>
      </c>
      <c r="B33" s="152">
        <f>total_tax_rate</f>
        <v>0.25739999999999996</v>
      </c>
    </row>
    <row r="34" spans="1:12" ht="15" customHeight="1" x14ac:dyDescent="0.25">
      <c r="A34" s="137"/>
      <c r="B34" s="167"/>
    </row>
    <row r="35" spans="1:12" ht="28.5" customHeight="1" x14ac:dyDescent="0.25">
      <c r="A35" s="168" t="s">
        <v>105</v>
      </c>
      <c r="B35" s="169"/>
    </row>
    <row r="36" spans="1:12" ht="15" customHeight="1" x14ac:dyDescent="0.25">
      <c r="A36" s="158" t="s">
        <v>106</v>
      </c>
      <c r="B36" s="162">
        <f>debt_period</f>
        <v>0</v>
      </c>
    </row>
    <row r="37" spans="1:12" ht="15" customHeight="1" x14ac:dyDescent="0.25">
      <c r="A37" s="158" t="s">
        <v>107</v>
      </c>
      <c r="B37" s="170">
        <f>debt_interest</f>
        <v>3.6999999999999998E-2</v>
      </c>
      <c r="K37" s="865"/>
    </row>
    <row r="38" spans="1:12" ht="15" customHeight="1" x14ac:dyDescent="0.25">
      <c r="A38" s="137"/>
      <c r="B38" s="155"/>
      <c r="K38" s="865"/>
    </row>
    <row r="39" spans="1:12" ht="28.5" customHeight="1" x14ac:dyDescent="0.25">
      <c r="A39" s="168" t="s">
        <v>108</v>
      </c>
      <c r="B39" s="155"/>
      <c r="F39" s="865"/>
      <c r="G39" s="865"/>
      <c r="H39" s="865"/>
      <c r="I39" s="865"/>
      <c r="J39" s="865"/>
      <c r="K39" s="865"/>
      <c r="L39" s="865"/>
    </row>
    <row r="40" spans="1:12" ht="15" customHeight="1" x14ac:dyDescent="0.25">
      <c r="A40" s="137" t="s">
        <v>109</v>
      </c>
      <c r="B40" s="162">
        <f>construct</f>
        <v>1</v>
      </c>
      <c r="G40" s="865"/>
      <c r="H40" s="865"/>
    </row>
    <row r="41" spans="1:12" ht="15" customHeight="1" x14ac:dyDescent="0.25">
      <c r="A41" s="137" t="s">
        <v>110</v>
      </c>
      <c r="B41" s="160">
        <f>start_time</f>
        <v>0.57999999999999996</v>
      </c>
    </row>
    <row r="42" spans="1:12" ht="15" customHeight="1" x14ac:dyDescent="0.25">
      <c r="A42" s="156" t="s">
        <v>111</v>
      </c>
      <c r="B42" s="165">
        <f>percnt_revs</f>
        <v>0.5</v>
      </c>
    </row>
    <row r="43" spans="1:12" ht="15" customHeight="1" x14ac:dyDescent="0.25">
      <c r="A43" s="156" t="s">
        <v>112</v>
      </c>
      <c r="B43" s="165">
        <f>percnt_var</f>
        <v>0.5</v>
      </c>
    </row>
    <row r="44" spans="1:12" ht="15" customHeight="1" x14ac:dyDescent="0.25">
      <c r="A44" s="156" t="s">
        <v>113</v>
      </c>
      <c r="B44" s="165">
        <f>percnt_fixed</f>
        <v>0.75</v>
      </c>
    </row>
    <row r="45" spans="1:12" ht="15" customHeight="1" x14ac:dyDescent="0.25">
      <c r="A45" s="137"/>
      <c r="B45" s="155"/>
    </row>
    <row r="46" spans="1:12" ht="28.5" customHeight="1" x14ac:dyDescent="0.25">
      <c r="A46" s="168" t="s">
        <v>114</v>
      </c>
      <c r="B46" s="155"/>
      <c r="F46" s="171"/>
    </row>
    <row r="47" spans="1:12" ht="15" customHeight="1" x14ac:dyDescent="0.25">
      <c r="A47" s="137" t="s">
        <v>386</v>
      </c>
      <c r="B47" s="172" t="str">
        <f>depr_type</f>
        <v>MACRS</v>
      </c>
      <c r="F47" s="171"/>
    </row>
    <row r="48" spans="1:12" ht="15" customHeight="1" x14ac:dyDescent="0.25">
      <c r="A48" s="137" t="s">
        <v>52</v>
      </c>
      <c r="B48" s="162">
        <f>depr_length</f>
        <v>7</v>
      </c>
      <c r="F48" s="171"/>
    </row>
    <row r="49" spans="1:32" ht="15" customHeight="1" x14ac:dyDescent="0.25">
      <c r="A49" s="137"/>
      <c r="B49" s="155"/>
      <c r="F49" s="171"/>
    </row>
    <row r="50" spans="1:32" ht="28.5" customHeight="1" x14ac:dyDescent="0.25">
      <c r="A50" s="168" t="s">
        <v>115</v>
      </c>
      <c r="B50" s="155"/>
    </row>
    <row r="51" spans="1:32" ht="30.75" customHeight="1" x14ac:dyDescent="0.25">
      <c r="A51" s="136" t="s">
        <v>962</v>
      </c>
      <c r="B51" s="173">
        <f ca="1">(total_cap-non_dep_cap)*INFLATION_FACTOR</f>
        <v>1727318.271559783</v>
      </c>
      <c r="F51" s="171"/>
    </row>
    <row r="52" spans="1:32" ht="30" customHeight="1" thickBot="1" x14ac:dyDescent="0.3">
      <c r="A52" s="136" t="s">
        <v>964</v>
      </c>
      <c r="B52" s="173">
        <f ca="1">non_dep_cap*INFLATION_FACTOR</f>
        <v>0</v>
      </c>
      <c r="F52" s="171"/>
    </row>
    <row r="53" spans="1:32" ht="15" customHeight="1" thickBot="1" x14ac:dyDescent="0.35">
      <c r="A53" s="136" t="s">
        <v>116</v>
      </c>
      <c r="B53" s="173">
        <f ca="1">SUM(B51:B52)</f>
        <v>1727318.271559783</v>
      </c>
      <c r="F53" s="171"/>
      <c r="W53" s="1596" t="s">
        <v>1153</v>
      </c>
      <c r="X53" s="1597"/>
      <c r="Y53" s="915"/>
      <c r="Z53" s="915"/>
      <c r="AA53" s="915"/>
      <c r="AB53" s="915"/>
      <c r="AC53" s="916"/>
    </row>
    <row r="54" spans="1:32" ht="15" customHeight="1" thickTop="1" x14ac:dyDescent="0.25">
      <c r="A54" s="136" t="s">
        <v>967</v>
      </c>
      <c r="B54" s="173">
        <f ca="1">decom_percent*depr_cap_infl</f>
        <v>172731.8271559783</v>
      </c>
      <c r="F54" s="171"/>
      <c r="W54" s="917"/>
      <c r="X54" s="910" t="s">
        <v>82</v>
      </c>
      <c r="Y54" s="911" t="s">
        <v>1103</v>
      </c>
      <c r="Z54" s="911" t="s">
        <v>1104</v>
      </c>
      <c r="AA54" s="910" t="s">
        <v>1105</v>
      </c>
      <c r="AB54" s="911" t="s">
        <v>1110</v>
      </c>
      <c r="AC54" s="918" t="s">
        <v>1106</v>
      </c>
    </row>
    <row r="55" spans="1:32" ht="15" customHeight="1" x14ac:dyDescent="0.25">
      <c r="A55" s="136" t="s">
        <v>976</v>
      </c>
      <c r="B55" s="173">
        <f ca="1">salvage_perct*B53</f>
        <v>172731.8271559783</v>
      </c>
      <c r="F55" s="171"/>
      <c r="W55" s="919" t="s">
        <v>1101</v>
      </c>
      <c r="X55" s="912">
        <f ca="1">-SUM(H116:K116)</f>
        <v>1164218.720870693</v>
      </c>
      <c r="Y55" s="912">
        <f ca="1">-U116</f>
        <v>1555635.6326369543</v>
      </c>
      <c r="Z55" s="912">
        <f ca="1">-Z116</f>
        <v>149758.21104924154</v>
      </c>
      <c r="AA55" s="912">
        <f ca="1">-SUM(L116:S116)</f>
        <v>5276593.2249955582</v>
      </c>
      <c r="AB55" s="912">
        <f ca="1">+AF116</f>
        <v>0</v>
      </c>
      <c r="AC55" s="920">
        <f ca="1">+AE116</f>
        <v>4496442.7623530524</v>
      </c>
    </row>
    <row r="56" spans="1:32" ht="15" customHeight="1" x14ac:dyDescent="0.25">
      <c r="A56" s="158" t="s">
        <v>968</v>
      </c>
      <c r="B56" s="58">
        <f ca="1">fixed*INFLATION_FACTOR</f>
        <v>98913.614725936335</v>
      </c>
      <c r="F56" s="171"/>
      <c r="W56" s="919" t="s">
        <v>1111</v>
      </c>
      <c r="X56" s="913">
        <v>1</v>
      </c>
      <c r="Y56" s="913">
        <f>-total_tax_rate</f>
        <v>-0.25739999999999996</v>
      </c>
      <c r="Z56" s="913">
        <v>1</v>
      </c>
      <c r="AA56" s="913">
        <f>1-total_tax_rate</f>
        <v>0.74260000000000004</v>
      </c>
      <c r="AB56" s="913">
        <v>-1</v>
      </c>
      <c r="AC56" s="921">
        <f>1-total_tax_rate</f>
        <v>0.74260000000000004</v>
      </c>
    </row>
    <row r="57" spans="1:32" ht="15" customHeight="1" x14ac:dyDescent="0.25">
      <c r="A57" s="158" t="s">
        <v>969</v>
      </c>
      <c r="B57" s="58">
        <f ca="1">total_other_raw*INFLATION_FACTOR</f>
        <v>0</v>
      </c>
      <c r="F57" s="171"/>
      <c r="W57" s="919" t="s">
        <v>1102</v>
      </c>
      <c r="X57" s="914">
        <f t="shared" ref="X57:Z57" ca="1" si="0">+X55*X56</f>
        <v>1164218.720870693</v>
      </c>
      <c r="Y57" s="914">
        <f t="shared" ca="1" si="0"/>
        <v>-400420.61184075195</v>
      </c>
      <c r="Z57" s="914">
        <f t="shared" ca="1" si="0"/>
        <v>149758.21104924154</v>
      </c>
      <c r="AA57" s="914">
        <f ca="1">+AA55*AA56</f>
        <v>3918398.1288817017</v>
      </c>
      <c r="AB57" s="914">
        <f ca="1">+AB55*AB56</f>
        <v>0</v>
      </c>
      <c r="AC57" s="922">
        <f ca="1">+AC55*AC56</f>
        <v>3339058.3953233771</v>
      </c>
    </row>
    <row r="58" spans="1:32" ht="45.75" customHeight="1" thickBot="1" x14ac:dyDescent="0.3">
      <c r="A58" s="174" t="s">
        <v>970</v>
      </c>
      <c r="B58" s="60">
        <f ca="1">(var_misc+royalties+operator_profit+CO2_OandMcost+waste_treat+solidwaste_treat)*INFLATION_FACTOR</f>
        <v>2519.0363342095493</v>
      </c>
      <c r="F58" s="171"/>
      <c r="G58" s="1472"/>
      <c r="W58" s="923"/>
      <c r="X58" s="924"/>
      <c r="Y58" s="924"/>
      <c r="Z58" s="924"/>
      <c r="AA58" s="924"/>
      <c r="AB58" s="924"/>
      <c r="AC58" s="925"/>
    </row>
    <row r="59" spans="1:32" ht="15" customHeight="1" thickTop="1" x14ac:dyDescent="0.25">
      <c r="F59" s="171"/>
      <c r="W59" s="926" t="s">
        <v>1100</v>
      </c>
      <c r="X59" s="868">
        <f ca="1">+(1+real_irr)*(1+inflation_rate)-1</f>
        <v>0.10051999999999994</v>
      </c>
      <c r="Y59" s="924"/>
      <c r="Z59" s="924"/>
      <c r="AA59" s="924"/>
      <c r="AB59" s="924"/>
      <c r="AC59" s="925"/>
    </row>
    <row r="60" spans="1:32" ht="15" customHeight="1" thickBot="1" x14ac:dyDescent="0.3">
      <c r="F60" s="171"/>
      <c r="W60" s="927" t="str">
        <f>+D16</f>
        <v>Hydrogen Cost (Year 2016 Real $/kg)</v>
      </c>
      <c r="X60" s="928">
        <f ca="1">+SUM(X57:AB57)/AC57*(1+inflation_rate)^construct/INFLATION_FACTOR</f>
        <v>1.5026131500439246</v>
      </c>
      <c r="Y60" s="929"/>
      <c r="Z60" s="929"/>
      <c r="AA60" s="929"/>
      <c r="AB60" s="929"/>
      <c r="AC60" s="930"/>
    </row>
    <row r="61" spans="1:32" ht="39.75" customHeight="1" x14ac:dyDescent="0.25">
      <c r="F61" s="171"/>
    </row>
    <row r="62" spans="1:32" ht="17.25" customHeight="1" thickBot="1" x14ac:dyDescent="0.3">
      <c r="F62" s="171"/>
    </row>
    <row r="63" spans="1:32" ht="29.25" customHeight="1" thickTop="1" thickBot="1" x14ac:dyDescent="0.35">
      <c r="A63" s="47" t="s">
        <v>117</v>
      </c>
      <c r="B63" s="175"/>
      <c r="C63" s="175"/>
      <c r="D63" s="175"/>
      <c r="E63" s="175"/>
      <c r="F63" s="175"/>
      <c r="G63" s="175"/>
      <c r="H63" s="954"/>
      <c r="I63" s="954"/>
      <c r="J63" s="954"/>
      <c r="K63" s="954"/>
      <c r="L63" s="954"/>
      <c r="M63" s="954"/>
      <c r="N63" s="954"/>
      <c r="O63" s="954"/>
      <c r="P63" s="954"/>
      <c r="Q63" s="954"/>
      <c r="R63" s="954"/>
      <c r="S63" s="954"/>
      <c r="T63" s="954"/>
      <c r="U63" s="954"/>
      <c r="V63" s="954"/>
      <c r="W63" s="954"/>
      <c r="X63" s="954"/>
      <c r="Y63" s="954"/>
      <c r="Z63" s="954"/>
      <c r="AA63" s="954"/>
      <c r="AB63" s="954"/>
      <c r="AC63" s="955"/>
    </row>
    <row r="64" spans="1:32" ht="67.2" thickTop="1" thickBot="1" x14ac:dyDescent="0.3">
      <c r="A64" s="931" t="s">
        <v>1108</v>
      </c>
      <c r="B64" s="932" t="s">
        <v>39</v>
      </c>
      <c r="C64" s="932" t="s">
        <v>55</v>
      </c>
      <c r="D64" s="932" t="s">
        <v>118</v>
      </c>
      <c r="E64" s="933" t="s">
        <v>119</v>
      </c>
      <c r="F64" s="933" t="s">
        <v>1113</v>
      </c>
      <c r="G64" s="934" t="s">
        <v>120</v>
      </c>
      <c r="H64" s="956" t="s">
        <v>121</v>
      </c>
      <c r="I64" s="957" t="s">
        <v>122</v>
      </c>
      <c r="J64" s="957" t="s">
        <v>1107</v>
      </c>
      <c r="K64" s="957" t="s">
        <v>134</v>
      </c>
      <c r="L64" s="957" t="s">
        <v>976</v>
      </c>
      <c r="M64" s="957" t="s">
        <v>83</v>
      </c>
      <c r="N64" s="957" t="s">
        <v>135</v>
      </c>
      <c r="O64" s="957" t="s">
        <v>1112</v>
      </c>
      <c r="P64" s="957" t="s">
        <v>136</v>
      </c>
      <c r="Q64" s="957" t="s">
        <v>1114</v>
      </c>
      <c r="R64" s="957" t="s">
        <v>137</v>
      </c>
      <c r="S64" s="957" t="s">
        <v>138</v>
      </c>
      <c r="T64" s="957" t="s">
        <v>139</v>
      </c>
      <c r="U64" s="957" t="s">
        <v>59</v>
      </c>
      <c r="V64" s="957" t="s">
        <v>140</v>
      </c>
      <c r="W64" s="957" t="s">
        <v>141</v>
      </c>
      <c r="X64" s="957" t="s">
        <v>143</v>
      </c>
      <c r="Y64" s="957" t="s">
        <v>144</v>
      </c>
      <c r="Z64" s="957" t="s">
        <v>44</v>
      </c>
      <c r="AA64" s="958" t="s">
        <v>145</v>
      </c>
      <c r="AB64" s="958" t="s">
        <v>146</v>
      </c>
      <c r="AC64" s="936" t="s">
        <v>147</v>
      </c>
      <c r="AD64" s="176"/>
      <c r="AE64" s="935" t="s">
        <v>1099</v>
      </c>
      <c r="AF64" s="936" t="s">
        <v>1109</v>
      </c>
    </row>
    <row r="65" spans="1:32" ht="13.8" thickTop="1" x14ac:dyDescent="0.25">
      <c r="A65" s="177">
        <f>startup_year-construct</f>
        <v>2014</v>
      </c>
      <c r="B65" s="178">
        <v>1</v>
      </c>
      <c r="C65" s="178">
        <f>IF(construct=0,1,-construct)</f>
        <v>-1</v>
      </c>
      <c r="D65" s="178">
        <f t="shared" ref="D65:D96" si="1">IF(C65="","",IF(C65&lt;=plant_life,C65,IF(D64=plant_life,1,D64+1)))</f>
        <v>-1</v>
      </c>
      <c r="E65" s="179">
        <f t="shared" ref="E65:E96" si="2">IF(C65="","",(1+inflation_rate)^(A65-$B$25))</f>
        <v>0.9813542688910698</v>
      </c>
      <c r="F65" s="180">
        <f t="shared" ref="F65:F96" si="3">IF(C65="","",IF(C65&lt;0,0,IF(AND(C65=1,start_time&lt;1),E65*(H2_price_nominal*output_kgyear*start_time*percnt_revs+H2_price_nominal*output_kgyear*(1-start_time)),IF(C65&lt;=start_time,H2_price_nominal*E65*output_kgyear*percnt_revs,H2_price_nominal*output_kgyear*E65))))</f>
        <v>0</v>
      </c>
      <c r="G65" s="950">
        <f ca="1">-$B$31*depr_cap_infl*E65</f>
        <v>-1017066.6957172423</v>
      </c>
      <c r="H65" s="959">
        <f ca="1">IF(C65&lt;0,-E65*equity*depr_cap_infl*percent_cap1,IF(C65=1,-E65*equity*depr_cap_infl,0))</f>
        <v>-678044.46381149488</v>
      </c>
      <c r="I65" s="181" t="str">
        <f>IF(OR(C65&lt;0,C65=""),"",-E65*INDEX('Replacement Costs'!$A$16:$H$57,MATCH(C65,'Replacement Costs'!$C$16:$C$57,0),MATCH("Total Yearly Replacement Costs",'Replacement Costs'!$A$16:$H$16,0)))</f>
        <v/>
      </c>
      <c r="J65" s="181">
        <f>IF(AND(C65&gt;=1,C65&lt;anal_period),WorkingCap*SUM(N65:R65)-WorkingCap*SUM(N64:R64),0)</f>
        <v>0</v>
      </c>
      <c r="K65" s="181">
        <f t="shared" ref="K65:K96" ca="1" si="4">IF(C65=-construct,-E65*non_dep_infl,"")</f>
        <v>0</v>
      </c>
      <c r="L65" s="181" t="str">
        <f t="shared" ref="L65:L96" si="5">IF(C65=anal_period,salvage*E65,"")</f>
        <v/>
      </c>
      <c r="M65" s="181" t="str">
        <f t="shared" ref="M65:M96" si="6">IF(D65=plant_life,-E65*decom,"")</f>
        <v/>
      </c>
      <c r="N65" s="181">
        <f t="shared" ref="N65:N96" si="7">IF(C65="","",IF(C65&lt;0,0,IF(AND(C65=1,start_time&lt;1),-(inflated_fixed*percnt_fixed*start_time+(inflated_fixed*(1-start_time))),IF(C65&lt;=start_time,-inflated_fixed*percnt_fixed*E65,-inflated_fixed*E65))))</f>
        <v>0</v>
      </c>
      <c r="O65" s="181">
        <f t="shared" ref="O65:O96" si="8">IF(C65="","",IF(C65&lt;0,0,IF(AND(C65=1,start_time&lt;1),-(SUM(B139:E139)*output_kgyear*E65*percnt_var*start_time+SUM(B139:E139)*output_kgyear*E65*(1-start_time)),IF(C65&lt;=start_time,-SUM(B139:E139)*output_kgyear*E65*percnt_var,-SUM(B139:E139)*output_kgyear*E65))))</f>
        <v>0</v>
      </c>
      <c r="P65" s="181">
        <f t="shared" ref="P65:P96" si="9">IF(C65="","",IF(C65&lt;0,0,IF(AND(C65=1,start_time&lt;1),-(inflated_otherraw*E65*percnt_var*start_time+inflated_otherraw*E65*(1-start_time)),IF(C65&lt;=start_time,-inflated_otherraw*E65*percnt_var,-(inflated_otherraw*E65)))))</f>
        <v>0</v>
      </c>
      <c r="Q65" s="181">
        <f t="shared" ref="Q65:Q109" si="10">IF(C65="","",IF(C65&lt;0,0,IF(AND(C65=1,start_time&lt;1),SUM(K139:N139,T139:V139)*output_kgyear*E65*percnt_revs*start_time+SUM(K139:N139,T139:V139)*output_kgyear*E65*(1-start_time),IF(C65&lt;=start_time,SUM(K139:N139,T139:V139)*output_kgyear*E65*percnt_revs,SUM(K139:N139,T139:V139)*output_kgyear*E65))))</f>
        <v>0</v>
      </c>
      <c r="R65" s="181">
        <f t="shared" ref="R65:R96" si="11">IF(C65="","",IF(C65&lt;0,0,IF(AND(C65=1,start_time&lt;1),-((SUM(F139:J139,P139:R139)*output_kgyear+inflated_othervar)*E65*percnt_var*start_time+(SUM(F139:J139,P139:R139)*output_kgyear+inflated_othervar)*E65*(1-start_time)),IF(C65&lt;=start_time,-(SUM(F139:J139,P139:R139)*output_kgyear+inflated_othervar)*E65*percnt_var,-E65*(SUM(F139:J139,P139:R139)*output_kgyear+inflated_othervar)))))</f>
        <v>0</v>
      </c>
      <c r="S65" s="181">
        <f ca="1">IF(B65="","",IF($B$31=0,"",-'Debt Financing Calculations'!E14))</f>
        <v>-37631.467741537963</v>
      </c>
      <c r="T65" s="181">
        <f t="shared" ref="T65:T96" ca="1" si="12">IF(C65="","",F65+SUM(L65:S65))</f>
        <v>-37631.467741537963</v>
      </c>
      <c r="U65" s="181">
        <f>IF(C65="","",IF(C65&lt;-1,0,IF(C65=anal_period,-LOOKUP(C65,depr_yr,depr_cost)-Depreciation!$C$141-Depreciation!$B$166,-LOOKUP(C65,depr_yr,depr_cost))))</f>
        <v>0</v>
      </c>
      <c r="V65" s="181">
        <f t="shared" ref="V65:V96" ca="1" si="13">IF(C65="","",SUM(T65:U65))</f>
        <v>-37631.467741537963</v>
      </c>
      <c r="W65" s="182">
        <f t="shared" ref="W65:W96" si="14">IF(C65="","",$B$33)</f>
        <v>0.25739999999999996</v>
      </c>
      <c r="X65" s="181">
        <f t="shared" ref="X65:X96" ca="1" si="15">IF(C65="","",tax_credit-(V65*W65 +Upstream_CO2_taxpYear + Proc_CO2_taxpYear))</f>
        <v>9686.3397966718694</v>
      </c>
      <c r="Y65" s="181">
        <f t="shared" ref="Y65:Y96" ca="1" si="16">IF(C65="","",SUM(T65,X65))</f>
        <v>-27945.127944866093</v>
      </c>
      <c r="Z65" s="181">
        <f>IF(C65="","",IF($B$31=0,"",-'Debt Financing Calculations'!F14))</f>
        <v>0</v>
      </c>
      <c r="AA65" s="181">
        <f t="shared" ref="AA65:AA96" ca="1" si="17">IF(C65="","",SUM(H65,I65,J65,K65,T65,X65,Z65))</f>
        <v>-705989.59175636095</v>
      </c>
      <c r="AB65" s="181">
        <f ca="1">AA65</f>
        <v>-705989.59175636095</v>
      </c>
      <c r="AC65" s="937">
        <f t="shared" ref="AC65:AC96" ca="1" si="18">IF(C65="","",SUM(H65,I65,J65,K65,T65,Z65))</f>
        <v>-715675.93155303283</v>
      </c>
      <c r="AD65" s="132"/>
      <c r="AE65" s="941">
        <f t="shared" ref="AE65:AE96" si="19">IF(C65="","",IF(C65&lt;0,0,IF(AND(C65=1,start_time&lt;1),(output_kgyear*start_time*percnt_revs+output_kgyear*(1-start_time)),IF(C65&lt;=start_time,output_kgyear*percnt_revs,output_kgyear))))</f>
        <v>0</v>
      </c>
      <c r="AF65" s="937">
        <f t="shared" ref="AF65:AF96" si="20">IF(C65="","",tax_credit)</f>
        <v>0</v>
      </c>
    </row>
    <row r="66" spans="1:32" x14ac:dyDescent="0.25">
      <c r="A66" s="56">
        <f t="shared" ref="A66:A113" si="21">IF(B66&lt;&gt;"",A65+1,"")</f>
        <v>2015</v>
      </c>
      <c r="B66" s="183">
        <f>IF(MAX($B$65:B65)&lt;(construct+anal_period),B65+1,"")</f>
        <v>2</v>
      </c>
      <c r="C66" s="183">
        <f t="shared" ref="C66:C113" si="22">IF(B66="","",IF(C65=-1,1,C65+1))</f>
        <v>1</v>
      </c>
      <c r="D66" s="183">
        <f t="shared" si="1"/>
        <v>1</v>
      </c>
      <c r="E66" s="184">
        <f t="shared" si="2"/>
        <v>1</v>
      </c>
      <c r="F66" s="57">
        <f t="shared" ca="1" si="3"/>
        <v>492962.54681620141</v>
      </c>
      <c r="G66" s="951"/>
      <c r="H66" s="960">
        <f>IF(C66&lt;0,-E66*equity*depr_cap_infl*percent_cap2,0)</f>
        <v>0</v>
      </c>
      <c r="I66" s="185">
        <f ca="1">IF(OR(C66&lt;0,C66=""),"",-E66*INDEX('Replacement Costs'!$A$16:$H$57,MATCH(C66,'Replacement Costs'!$C$16:$C$57,0),MATCH("Total Yearly Replacement Costs",'Replacement Costs'!$A$16:$H$16,0)))</f>
        <v>0</v>
      </c>
      <c r="J66" s="185">
        <f ca="1">IF(AND(C66&gt;=1,C66&lt;anal_period),WorkingCap*SUM(N66:R66)-WorkingCap*SUM(N65:R65),IF(C66&lt;0,0,IF(B66="","",-SUM(J$65:J65))))</f>
        <v>-48139.865960506599</v>
      </c>
      <c r="K66" s="185" t="str">
        <f t="shared" si="4"/>
        <v/>
      </c>
      <c r="L66" s="185" t="str">
        <f t="shared" si="5"/>
        <v/>
      </c>
      <c r="M66" s="185" t="str">
        <f t="shared" si="6"/>
        <v/>
      </c>
      <c r="N66" s="185">
        <f t="shared" ca="1" si="7"/>
        <v>-84571.140590675583</v>
      </c>
      <c r="O66" s="185">
        <f t="shared" ca="1" si="8"/>
        <v>-230077.08437643817</v>
      </c>
      <c r="P66" s="185">
        <f t="shared" ca="1" si="9"/>
        <v>0</v>
      </c>
      <c r="Q66" s="185">
        <f t="shared" ca="1" si="10"/>
        <v>0</v>
      </c>
      <c r="R66" s="185">
        <f t="shared" ca="1" si="11"/>
        <v>-6284.2147695969143</v>
      </c>
      <c r="S66" s="185">
        <f ca="1">IF(B66="","",IF($B$31=0,"",-'Debt Financing Calculations'!E15))</f>
        <v>-37631.467741537963</v>
      </c>
      <c r="T66" s="185">
        <f t="shared" ca="1" si="12"/>
        <v>134398.63933795277</v>
      </c>
      <c r="U66" s="185">
        <f ca="1">IF(C66="","",IF(C66&lt;-1,0,IF(C66=anal_period,-LOOKUP(C66,depr_yr,depr_cost)-Depreciation!$C$141-Depreciation!$B$166,-LOOKUP(C66,depr_yr,depr_cost))))</f>
        <v>-242231.38469665655</v>
      </c>
      <c r="V66" s="185">
        <f t="shared" ca="1" si="13"/>
        <v>-107832.74535870377</v>
      </c>
      <c r="W66" s="186">
        <f t="shared" si="14"/>
        <v>0.25739999999999996</v>
      </c>
      <c r="X66" s="185">
        <f t="shared" ca="1" si="15"/>
        <v>27756.148655330348</v>
      </c>
      <c r="Y66" s="185">
        <f t="shared" ca="1" si="16"/>
        <v>162154.78799328313</v>
      </c>
      <c r="Z66" s="185">
        <f>IF(C66="","",IF($B$31=0,"",-'Debt Financing Calculations'!F15))</f>
        <v>0</v>
      </c>
      <c r="AA66" s="185">
        <f t="shared" ca="1" si="17"/>
        <v>114014.92203277652</v>
      </c>
      <c r="AB66" s="185">
        <f t="shared" ref="AB66:AB113" ca="1" si="23">IF(C66="","",AB65+AA66)</f>
        <v>-591974.66972358443</v>
      </c>
      <c r="AC66" s="938">
        <f t="shared" ca="1" si="18"/>
        <v>86258.773377446167</v>
      </c>
      <c r="AD66" s="132"/>
      <c r="AE66" s="942">
        <f t="shared" ca="1" si="19"/>
        <v>334303.5</v>
      </c>
      <c r="AF66" s="938">
        <f t="shared" si="20"/>
        <v>0</v>
      </c>
    </row>
    <row r="67" spans="1:32" x14ac:dyDescent="0.25">
      <c r="A67" s="56">
        <f t="shared" si="21"/>
        <v>2016</v>
      </c>
      <c r="B67" s="183">
        <f>IF(MAX($B$65:B66)&lt;(construct+anal_period),B66+1,"")</f>
        <v>3</v>
      </c>
      <c r="C67" s="183">
        <f t="shared" si="22"/>
        <v>2</v>
      </c>
      <c r="D67" s="183">
        <f t="shared" si="1"/>
        <v>2</v>
      </c>
      <c r="E67" s="184">
        <f t="shared" si="2"/>
        <v>1.0189999999999999</v>
      </c>
      <c r="F67" s="57">
        <f t="shared" ca="1" si="3"/>
        <v>707505.40169818199</v>
      </c>
      <c r="G67" s="951"/>
      <c r="H67" s="960">
        <f>IF(C67&lt;0,-E67*equity*depr_cap_infl*percent_cap3,0)</f>
        <v>0</v>
      </c>
      <c r="I67" s="185">
        <f ca="1">IF(OR(C67&lt;0,C67=""),"",-E67*INDEX('Replacement Costs'!$A$16:$H$57,MATCH(C67,'Replacement Costs'!$C$16:$C$57,0),MATCH("Total Yearly Replacement Costs",'Replacement Costs'!$A$16:$H$16,0)))</f>
        <v>0</v>
      </c>
      <c r="J67" s="185">
        <f ca="1">IF(AND(C67&gt;=1,C67&lt;anal_period),WorkingCap*SUM(N67:R67)-WorkingCap*SUM(N66:R66),IF(C67&lt;0,0,IF(B67="","",-SUM(J$65:J66))))</f>
        <v>-15013.075140202018</v>
      </c>
      <c r="K67" s="185" t="str">
        <f t="shared" si="4"/>
        <v/>
      </c>
      <c r="L67" s="185" t="str">
        <f t="shared" si="5"/>
        <v/>
      </c>
      <c r="M67" s="185" t="str">
        <f t="shared" si="6"/>
        <v/>
      </c>
      <c r="N67" s="185">
        <f t="shared" ca="1" si="7"/>
        <v>-100792.97340572912</v>
      </c>
      <c r="O67" s="185">
        <f t="shared" ca="1" si="8"/>
        <v>-311207.45808694913</v>
      </c>
      <c r="P67" s="185">
        <f t="shared" ca="1" si="9"/>
        <v>0</v>
      </c>
      <c r="Q67" s="185">
        <f t="shared" ca="1" si="10"/>
        <v>0</v>
      </c>
      <c r="R67" s="185">
        <f t="shared" ca="1" si="11"/>
        <v>-9019.1758453792318</v>
      </c>
      <c r="S67" s="185">
        <f ca="1">IF(B67="","",IF($B$31=0,"",-'Debt Financing Calculations'!E16))</f>
        <v>-37631.467741537963</v>
      </c>
      <c r="T67" s="185">
        <f t="shared" ca="1" si="12"/>
        <v>248854.32661858655</v>
      </c>
      <c r="U67" s="185">
        <f ca="1">IF(C67="","",IF(C67&lt;-1,0,IF(C67=anal_period,-LOOKUP(C67,depr_yr,depr_cost)-Depreciation!$C$141-Depreciation!$B$166,-LOOKUP(C67,depr_yr,depr_cost))))</f>
        <v>-415132.72296858777</v>
      </c>
      <c r="V67" s="185">
        <f t="shared" ca="1" si="13"/>
        <v>-166278.39635000122</v>
      </c>
      <c r="W67" s="186">
        <f t="shared" si="14"/>
        <v>0.25739999999999996</v>
      </c>
      <c r="X67" s="185">
        <f t="shared" ca="1" si="15"/>
        <v>42800.059220490308</v>
      </c>
      <c r="Y67" s="185">
        <f t="shared" ca="1" si="16"/>
        <v>291654.38583907683</v>
      </c>
      <c r="Z67" s="185">
        <f>IF(C67="","",IF($B$31=0,"",-'Debt Financing Calculations'!F16))</f>
        <v>0</v>
      </c>
      <c r="AA67" s="185">
        <f t="shared" ca="1" si="17"/>
        <v>276641.31069887488</v>
      </c>
      <c r="AB67" s="185">
        <f t="shared" ca="1" si="23"/>
        <v>-315333.35902470956</v>
      </c>
      <c r="AC67" s="938">
        <f t="shared" ca="1" si="18"/>
        <v>233841.25147838454</v>
      </c>
      <c r="AD67" s="132"/>
      <c r="AE67" s="942">
        <f t="shared" ca="1" si="19"/>
        <v>470850</v>
      </c>
      <c r="AF67" s="938">
        <f t="shared" si="20"/>
        <v>0</v>
      </c>
    </row>
    <row r="68" spans="1:32" x14ac:dyDescent="0.25">
      <c r="A68" s="873">
        <f t="shared" si="21"/>
        <v>2017</v>
      </c>
      <c r="B68" s="874">
        <f>IF(MAX($B$65:B67)&lt;(construct+anal_period),B67+1,"")</f>
        <v>4</v>
      </c>
      <c r="C68" s="874">
        <f t="shared" si="22"/>
        <v>3</v>
      </c>
      <c r="D68" s="874">
        <f t="shared" si="1"/>
        <v>3</v>
      </c>
      <c r="E68" s="875">
        <f t="shared" si="2"/>
        <v>1.0383609999999999</v>
      </c>
      <c r="F68" s="876">
        <f t="shared" ca="1" si="3"/>
        <v>720948.00433044741</v>
      </c>
      <c r="G68" s="952"/>
      <c r="H68" s="961">
        <f>IF(C68&lt;0,-E68*equity*depr_cap_infl*percent_cap4,0)</f>
        <v>0</v>
      </c>
      <c r="I68" s="877">
        <f ca="1">IF(OR(C68&lt;0,C68=""),"",-E68*INDEX('Replacement Costs'!$A$16:$H$57,MATCH(C68,'Replacement Costs'!$C$16:$C$57,0),MATCH("Total Yearly Replacement Costs",'Replacement Costs'!$A$16:$H$16,0)))</f>
        <v>0</v>
      </c>
      <c r="J68" s="877">
        <f ca="1">IF(AND(C68&gt;=1,C68&lt;anal_period),WorkingCap*SUM(N68:R68)-WorkingCap*SUM(N67:R67),IF(C68&lt;0,0,IF(B68="","",-SUM(J$65:J67))))</f>
        <v>-7772.3940894414991</v>
      </c>
      <c r="K68" s="877" t="str">
        <f t="shared" si="4"/>
        <v/>
      </c>
      <c r="L68" s="877" t="str">
        <f t="shared" si="5"/>
        <v/>
      </c>
      <c r="M68" s="877" t="str">
        <f t="shared" si="6"/>
        <v/>
      </c>
      <c r="N68" s="877">
        <f t="shared" ca="1" si="7"/>
        <v>-102708.03990043797</v>
      </c>
      <c r="O68" s="877">
        <f t="shared" ca="1" si="8"/>
        <v>-360936.98784745473</v>
      </c>
      <c r="P68" s="877">
        <f t="shared" ca="1" si="9"/>
        <v>0</v>
      </c>
      <c r="Q68" s="877">
        <f t="shared" ca="1" si="10"/>
        <v>0</v>
      </c>
      <c r="R68" s="877">
        <f t="shared" ca="1" si="11"/>
        <v>-9190.5401864414362</v>
      </c>
      <c r="S68" s="877">
        <f ca="1">IF(B68="","",IF($B$31=0,"",-'Debt Financing Calculations'!E17))</f>
        <v>-37631.467741537963</v>
      </c>
      <c r="T68" s="877">
        <f t="shared" ca="1" si="12"/>
        <v>210480.96865457529</v>
      </c>
      <c r="U68" s="877">
        <f ca="1">IF(C68="","",IF(C68&lt;-1,0,IF(C68=anal_period,-LOOKUP(C68,depr_yr,depr_cost)-Depreciation!$C$141-Depreciation!$B$166,-LOOKUP(C68,depr_yr,depr_cost))))</f>
        <v>-296474.94180157612</v>
      </c>
      <c r="V68" s="877">
        <f t="shared" ca="1" si="13"/>
        <v>-85993.973147000826</v>
      </c>
      <c r="W68" s="878">
        <f t="shared" si="14"/>
        <v>0.25739999999999996</v>
      </c>
      <c r="X68" s="877">
        <f t="shared" ca="1" si="15"/>
        <v>22134.848688038008</v>
      </c>
      <c r="Y68" s="877">
        <f ca="1">IF(C68="","",SUM(T68,X68))</f>
        <v>232615.8173426133</v>
      </c>
      <c r="Z68" s="877">
        <f>IF(C68="","",IF($B$31=0,"",-'Debt Financing Calculations'!F17))</f>
        <v>0</v>
      </c>
      <c r="AA68" s="877">
        <f t="shared" ca="1" si="17"/>
        <v>224843.42325317179</v>
      </c>
      <c r="AB68" s="877">
        <f t="shared" ca="1" si="23"/>
        <v>-90489.93577153777</v>
      </c>
      <c r="AC68" s="939">
        <f t="shared" ca="1" si="18"/>
        <v>202708.57456513378</v>
      </c>
      <c r="AD68" s="869"/>
      <c r="AE68" s="943">
        <f t="shared" ca="1" si="19"/>
        <v>470850</v>
      </c>
      <c r="AF68" s="939">
        <f t="shared" si="20"/>
        <v>0</v>
      </c>
    </row>
    <row r="69" spans="1:32" x14ac:dyDescent="0.25">
      <c r="A69" s="56">
        <f t="shared" si="21"/>
        <v>2018</v>
      </c>
      <c r="B69" s="183">
        <f>IF(MAX($B$65:B68)&lt;(construct+anal_period),B68+1,"")</f>
        <v>5</v>
      </c>
      <c r="C69" s="183">
        <f t="shared" si="22"/>
        <v>4</v>
      </c>
      <c r="D69" s="183">
        <f t="shared" si="1"/>
        <v>4</v>
      </c>
      <c r="E69" s="184">
        <f t="shared" si="2"/>
        <v>1.0580898589999999</v>
      </c>
      <c r="F69" s="57">
        <f t="shared" ca="1" si="3"/>
        <v>734646.0164127259</v>
      </c>
      <c r="G69" s="951"/>
      <c r="H69" s="960">
        <f t="shared" ref="H69:H113" si="24">IF(C69="","",0)</f>
        <v>0</v>
      </c>
      <c r="I69" s="185">
        <f ca="1">IF(OR(C69&lt;0,C69=""),"",-E69*INDEX('Replacement Costs'!$A$16:$H$57,MATCH(C69,'Replacement Costs'!$C$16:$C$57,0),MATCH("Total Yearly Replacement Costs",'Replacement Costs'!$A$16:$H$16,0)))</f>
        <v>0</v>
      </c>
      <c r="J69" s="185">
        <f ca="1">IF(AND(C69&gt;=1,C69&lt;anal_period),WorkingCap*SUM(N69:R69)-WorkingCap*SUM(N68:R68),IF(C69&lt;0,0,IF(B69="","",-SUM(J$65:J68))))</f>
        <v>-5669.510785374805</v>
      </c>
      <c r="K69" s="185" t="str">
        <f t="shared" si="4"/>
        <v/>
      </c>
      <c r="L69" s="185" t="str">
        <f t="shared" si="5"/>
        <v/>
      </c>
      <c r="M69" s="185" t="str">
        <f t="shared" si="6"/>
        <v/>
      </c>
      <c r="N69" s="185">
        <f t="shared" ca="1" si="7"/>
        <v>-104659.49265854628</v>
      </c>
      <c r="O69" s="185">
        <f t="shared" ca="1" si="8"/>
        <v>-396607.6533949693</v>
      </c>
      <c r="P69" s="185">
        <f t="shared" ca="1" si="9"/>
        <v>0</v>
      </c>
      <c r="Q69" s="185">
        <f t="shared" ca="1" si="10"/>
        <v>0</v>
      </c>
      <c r="R69" s="185">
        <f t="shared" ca="1" si="11"/>
        <v>-9365.1604499838231</v>
      </c>
      <c r="S69" s="185">
        <f ca="1">IF(B69="","",IF($B$31=0,"",-'Debt Financing Calculations'!E18))</f>
        <v>-37631.467741537963</v>
      </c>
      <c r="T69" s="185">
        <f t="shared" ca="1" si="12"/>
        <v>186382.24216768844</v>
      </c>
      <c r="U69" s="185">
        <f ca="1">IF(C69="","",IF(C69&lt;-1,0,IF(C69=anal_period,-LOOKUP(C69,depr_yr,depr_cost)-Depreciation!$C$141-Depreciation!$B$166,-LOOKUP(C69,depr_yr,depr_cost))))</f>
        <v>-211719.38382513926</v>
      </c>
      <c r="V69" s="185">
        <f t="shared" ca="1" si="13"/>
        <v>-25337.141657450818</v>
      </c>
      <c r="W69" s="186">
        <f t="shared" si="14"/>
        <v>0.25739999999999996</v>
      </c>
      <c r="X69" s="185">
        <f t="shared" ca="1" si="15"/>
        <v>6521.7802626278399</v>
      </c>
      <c r="Y69" s="185">
        <f t="shared" ca="1" si="16"/>
        <v>192904.02243031628</v>
      </c>
      <c r="Z69" s="185">
        <f>IF(C69="","",IF($B$31=0,"",-'Debt Financing Calculations'!F18))</f>
        <v>0</v>
      </c>
      <c r="AA69" s="185">
        <f t="shared" ca="1" si="17"/>
        <v>187234.51164494149</v>
      </c>
      <c r="AB69" s="185">
        <f t="shared" ca="1" si="23"/>
        <v>96744.575873403723</v>
      </c>
      <c r="AC69" s="938">
        <f t="shared" ca="1" si="18"/>
        <v>180712.73138231365</v>
      </c>
      <c r="AD69" s="132"/>
      <c r="AE69" s="942">
        <f t="shared" ca="1" si="19"/>
        <v>470850</v>
      </c>
      <c r="AF69" s="938">
        <f t="shared" si="20"/>
        <v>0</v>
      </c>
    </row>
    <row r="70" spans="1:32" x14ac:dyDescent="0.25">
      <c r="A70" s="56">
        <f t="shared" si="21"/>
        <v>2019</v>
      </c>
      <c r="B70" s="183">
        <f>IF(MAX($B$65:B69)&lt;(construct+anal_period),B69+1,"")</f>
        <v>6</v>
      </c>
      <c r="C70" s="183">
        <f t="shared" si="22"/>
        <v>5</v>
      </c>
      <c r="D70" s="183">
        <f t="shared" si="1"/>
        <v>5</v>
      </c>
      <c r="E70" s="184">
        <f t="shared" si="2"/>
        <v>1.0781935663209998</v>
      </c>
      <c r="F70" s="57">
        <f t="shared" ca="1" si="3"/>
        <v>748604.29072456772</v>
      </c>
      <c r="G70" s="951"/>
      <c r="H70" s="960">
        <f t="shared" si="24"/>
        <v>0</v>
      </c>
      <c r="I70" s="185">
        <f ca="1">IF(OR(C70&lt;0,C70=""),"",-E70*INDEX('Replacement Costs'!$A$16:$H$57,MATCH(C70,'Replacement Costs'!$C$16:$C$57,0),MATCH("Total Yearly Replacement Costs",'Replacement Costs'!$A$16:$H$16,0)))</f>
        <v>0</v>
      </c>
      <c r="J70" s="185">
        <f ca="1">IF(AND(C70&gt;=1,C70&lt;anal_period),WorkingCap*SUM(N70:R70)-WorkingCap*SUM(N69:R69),IF(C70&lt;0,0,IF(B70="","",-SUM(J$65:J69))))</f>
        <v>-6574.4983706237399</v>
      </c>
      <c r="K70" s="185" t="str">
        <f t="shared" si="4"/>
        <v/>
      </c>
      <c r="L70" s="185" t="str">
        <f t="shared" si="5"/>
        <v/>
      </c>
      <c r="M70" s="185" t="str">
        <f t="shared" si="6"/>
        <v/>
      </c>
      <c r="N70" s="185">
        <f t="shared" ca="1" si="7"/>
        <v>-106648.02301905866</v>
      </c>
      <c r="O70" s="185">
        <f t="shared" ca="1" si="8"/>
        <v>-438271.1741233989</v>
      </c>
      <c r="P70" s="185">
        <f t="shared" ca="1" si="9"/>
        <v>0</v>
      </c>
      <c r="Q70" s="185">
        <f t="shared" ca="1" si="10"/>
        <v>0</v>
      </c>
      <c r="R70" s="185">
        <f t="shared" ca="1" si="11"/>
        <v>-9543.0984985335162</v>
      </c>
      <c r="S70" s="185">
        <f ca="1">IF(B70="","",IF($B$31=0,"",-'Debt Financing Calculations'!E19))</f>
        <v>-37631.467741537963</v>
      </c>
      <c r="T70" s="185">
        <f t="shared" ca="1" si="12"/>
        <v>156510.52734203869</v>
      </c>
      <c r="U70" s="185">
        <f ca="1">IF(C70="","",IF(C70&lt;-1,0,IF(C70=anal_period,-LOOKUP(C70,depr_yr,depr_cost)-Depreciation!$C$141-Depreciation!$B$166,-LOOKUP(C70,depr_yr,depr_cost))))</f>
        <v>-151373.42654591624</v>
      </c>
      <c r="V70" s="185">
        <f t="shared" ca="1" si="13"/>
        <v>5137.1007961224532</v>
      </c>
      <c r="W70" s="186">
        <f t="shared" si="14"/>
        <v>0.25739999999999996</v>
      </c>
      <c r="X70" s="185">
        <f t="shared" ca="1" si="15"/>
        <v>-1322.2897449219192</v>
      </c>
      <c r="Y70" s="185">
        <f t="shared" ca="1" si="16"/>
        <v>155188.23759711676</v>
      </c>
      <c r="Z70" s="185">
        <f>IF(C70="","",IF($B$31=0,"",-'Debt Financing Calculations'!F19))</f>
        <v>0</v>
      </c>
      <c r="AA70" s="185">
        <f t="shared" ca="1" si="17"/>
        <v>148613.73922649302</v>
      </c>
      <c r="AB70" s="185">
        <f t="shared" ca="1" si="23"/>
        <v>245358.31509989675</v>
      </c>
      <c r="AC70" s="938">
        <f t="shared" ca="1" si="18"/>
        <v>149936.02897141495</v>
      </c>
      <c r="AD70" s="132"/>
      <c r="AE70" s="942">
        <f t="shared" ca="1" si="19"/>
        <v>470850</v>
      </c>
      <c r="AF70" s="938">
        <f t="shared" si="20"/>
        <v>0</v>
      </c>
    </row>
    <row r="71" spans="1:32" x14ac:dyDescent="0.25">
      <c r="A71" s="56">
        <f t="shared" si="21"/>
        <v>2020</v>
      </c>
      <c r="B71" s="183">
        <f>IF(MAX($B$65:B70)&lt;(construct+anal_period),B70+1,"")</f>
        <v>7</v>
      </c>
      <c r="C71" s="183">
        <f t="shared" si="22"/>
        <v>6</v>
      </c>
      <c r="D71" s="183">
        <f t="shared" si="1"/>
        <v>6</v>
      </c>
      <c r="E71" s="184">
        <f t="shared" si="2"/>
        <v>1.0986792440810986</v>
      </c>
      <c r="F71" s="57">
        <f t="shared" ca="1" si="3"/>
        <v>762827.77224833437</v>
      </c>
      <c r="G71" s="951"/>
      <c r="H71" s="960">
        <f t="shared" si="24"/>
        <v>0</v>
      </c>
      <c r="I71" s="185">
        <f ca="1">IF(OR(C71&lt;0,C71=""),"",-E71*INDEX('Replacement Costs'!$A$16:$H$57,MATCH(C71,'Replacement Costs'!$C$16:$C$57,0),MATCH("Total Yearly Replacement Costs",'Replacement Costs'!$A$16:$H$16,0)))</f>
        <v>-200171.13723500582</v>
      </c>
      <c r="J71" s="185">
        <f ca="1">IF(AND(C71&gt;=1,C71&lt;anal_period),WorkingCap*SUM(N71:R71)-WorkingCap*SUM(N70:R70),IF(C71&lt;0,0,IF(B71="","",-SUM(J$65:J70))))</f>
        <v>-6766.1619136304798</v>
      </c>
      <c r="K71" s="185" t="str">
        <f t="shared" si="4"/>
        <v/>
      </c>
      <c r="L71" s="185" t="str">
        <f t="shared" si="5"/>
        <v/>
      </c>
      <c r="M71" s="185" t="str">
        <f t="shared" si="6"/>
        <v/>
      </c>
      <c r="N71" s="185">
        <f t="shared" ca="1" si="7"/>
        <v>-108674.33545642075</v>
      </c>
      <c r="O71" s="185">
        <f t="shared" ca="1" si="8"/>
        <v>-481171.28890543454</v>
      </c>
      <c r="P71" s="185">
        <f t="shared" ca="1" si="9"/>
        <v>0</v>
      </c>
      <c r="Q71" s="185">
        <f t="shared" ca="1" si="10"/>
        <v>0</v>
      </c>
      <c r="R71" s="185">
        <f t="shared" ca="1" si="11"/>
        <v>-9724.4173700056508</v>
      </c>
      <c r="S71" s="185">
        <f ca="1">IF(B71="","",IF($B$31=0,"",-'Debt Financing Calculations'!E20))</f>
        <v>-37631.467741537963</v>
      </c>
      <c r="T71" s="185">
        <f t="shared" ca="1" si="12"/>
        <v>125626.26277493546</v>
      </c>
      <c r="U71" s="185">
        <f ca="1">IF(C71="","",IF(C71&lt;-1,0,IF(C71=anal_period,-LOOKUP(C71,depr_yr,depr_cost)-Depreciation!$C$141-Depreciation!$B$166,-LOOKUP(C71,depr_yr,depr_cost))))</f>
        <v>-179808.37094084569</v>
      </c>
      <c r="V71" s="185">
        <f t="shared" ca="1" si="13"/>
        <v>-54182.108165910235</v>
      </c>
      <c r="W71" s="186">
        <f t="shared" si="14"/>
        <v>0.25739999999999996</v>
      </c>
      <c r="X71" s="185">
        <f t="shared" ca="1" si="15"/>
        <v>13946.474641905292</v>
      </c>
      <c r="Y71" s="185">
        <f t="shared" ca="1" si="16"/>
        <v>139572.73741684074</v>
      </c>
      <c r="Z71" s="185">
        <f>IF(C71="","",IF($B$31=0,"",-'Debt Financing Calculations'!F20))</f>
        <v>0</v>
      </c>
      <c r="AA71" s="185">
        <f t="shared" ca="1" si="17"/>
        <v>-67364.561731795533</v>
      </c>
      <c r="AB71" s="185">
        <f t="shared" ca="1" si="23"/>
        <v>177993.7533681012</v>
      </c>
      <c r="AC71" s="938">
        <f t="shared" ca="1" si="18"/>
        <v>-81311.03637370083</v>
      </c>
      <c r="AD71" s="132"/>
      <c r="AE71" s="942">
        <f t="shared" ca="1" si="19"/>
        <v>470850</v>
      </c>
      <c r="AF71" s="938">
        <f t="shared" si="20"/>
        <v>0</v>
      </c>
    </row>
    <row r="72" spans="1:32" x14ac:dyDescent="0.25">
      <c r="A72" s="56">
        <f t="shared" si="21"/>
        <v>2021</v>
      </c>
      <c r="B72" s="183">
        <f>IF(MAX($B$65:B71)&lt;(construct+anal_period),B71+1,"")</f>
        <v>8</v>
      </c>
      <c r="C72" s="183">
        <f t="shared" si="22"/>
        <v>7</v>
      </c>
      <c r="D72" s="183">
        <f t="shared" si="1"/>
        <v>7</v>
      </c>
      <c r="E72" s="184">
        <f t="shared" si="2"/>
        <v>1.1195541497186396</v>
      </c>
      <c r="F72" s="57">
        <f t="shared" ca="1" si="3"/>
        <v>777321.49992105283</v>
      </c>
      <c r="G72" s="951"/>
      <c r="H72" s="960">
        <f t="shared" si="24"/>
        <v>0</v>
      </c>
      <c r="I72" s="185">
        <f ca="1">IF(OR(C72&lt;0,C72=""),"",-E72*INDEX('Replacement Costs'!$A$16:$H$57,MATCH(C72,'Replacement Costs'!$C$16:$C$57,0),MATCH("Total Yearly Replacement Costs",'Replacement Costs'!$A$16:$H$16,0)))</f>
        <v>0</v>
      </c>
      <c r="J72" s="185">
        <f ca="1">IF(AND(C72&gt;=1,C72&lt;anal_period),WorkingCap*SUM(N72:R72)-WorkingCap*SUM(N71:R71),IF(C72&lt;0,0,IF(B72="","",-SUM(J$65:J71))))</f>
        <v>-1839.9218225524091</v>
      </c>
      <c r="K72" s="185" t="str">
        <f t="shared" si="4"/>
        <v/>
      </c>
      <c r="L72" s="185" t="str">
        <f t="shared" si="5"/>
        <v/>
      </c>
      <c r="M72" s="185" t="str">
        <f t="shared" si="6"/>
        <v/>
      </c>
      <c r="N72" s="185">
        <f t="shared" ca="1" si="7"/>
        <v>-110739.14783009277</v>
      </c>
      <c r="O72" s="185">
        <f t="shared" ca="1" si="8"/>
        <v>-491187.85808541509</v>
      </c>
      <c r="P72" s="185">
        <f t="shared" ca="1" si="9"/>
        <v>0</v>
      </c>
      <c r="Q72" s="185">
        <f t="shared" ca="1" si="10"/>
        <v>0</v>
      </c>
      <c r="R72" s="185">
        <f t="shared" ca="1" si="11"/>
        <v>-9909.1813000357597</v>
      </c>
      <c r="S72" s="185">
        <f ca="1">IF(B72="","",IF($B$31=0,"",-'Debt Financing Calculations'!E21))</f>
        <v>-37631.467741537963</v>
      </c>
      <c r="T72" s="185">
        <f t="shared" ca="1" si="12"/>
        <v>127853.84496397118</v>
      </c>
      <c r="U72" s="185">
        <f ca="1">IF(C72="","",IF(C72&lt;-1,0,IF(C72=anal_period,-LOOKUP(C72,depr_yr,depr_cost)-Depreciation!$C$141-Depreciation!$B$166,-LOOKUP(C72,depr_yr,depr_cost))))</f>
        <v>-200395.33805476918</v>
      </c>
      <c r="V72" s="185">
        <f t="shared" ca="1" si="13"/>
        <v>-72541.493090798002</v>
      </c>
      <c r="W72" s="186">
        <f t="shared" si="14"/>
        <v>0.25739999999999996</v>
      </c>
      <c r="X72" s="185">
        <f t="shared" ca="1" si="15"/>
        <v>18672.180321571403</v>
      </c>
      <c r="Y72" s="185">
        <f t="shared" ca="1" si="16"/>
        <v>146526.02528554259</v>
      </c>
      <c r="Z72" s="185">
        <f>IF(C72="","",IF($B$31=0,"",-'Debt Financing Calculations'!F21))</f>
        <v>0</v>
      </c>
      <c r="AA72" s="185">
        <f t="shared" ca="1" si="17"/>
        <v>144686.10346299017</v>
      </c>
      <c r="AB72" s="185">
        <f t="shared" ca="1" si="23"/>
        <v>322679.85683109134</v>
      </c>
      <c r="AC72" s="938">
        <f t="shared" ca="1" si="18"/>
        <v>126013.92314141877</v>
      </c>
      <c r="AD72" s="132"/>
      <c r="AE72" s="942">
        <f t="shared" ca="1" si="19"/>
        <v>470850</v>
      </c>
      <c r="AF72" s="938">
        <f t="shared" si="20"/>
        <v>0</v>
      </c>
    </row>
    <row r="73" spans="1:32" x14ac:dyDescent="0.25">
      <c r="A73" s="56">
        <f t="shared" si="21"/>
        <v>2022</v>
      </c>
      <c r="B73" s="183">
        <f>IF(MAX($B$65:B72)&lt;(construct+anal_period),B72+1,"")</f>
        <v>9</v>
      </c>
      <c r="C73" s="183">
        <f t="shared" si="22"/>
        <v>8</v>
      </c>
      <c r="D73" s="183">
        <f t="shared" si="1"/>
        <v>8</v>
      </c>
      <c r="E73" s="184">
        <f t="shared" si="2"/>
        <v>1.1408256785632938</v>
      </c>
      <c r="F73" s="57">
        <f t="shared" ca="1" si="3"/>
        <v>792090.60841955279</v>
      </c>
      <c r="G73" s="951"/>
      <c r="H73" s="960">
        <f t="shared" si="24"/>
        <v>0</v>
      </c>
      <c r="I73" s="185">
        <f ca="1">IF(OR(C73&lt;0,C73=""),"",-E73*INDEX('Replacement Costs'!$A$16:$H$57,MATCH(C73,'Replacement Costs'!$C$16:$C$57,0),MATCH("Total Yearly Replacement Costs",'Replacement Costs'!$A$16:$H$16,0)))</f>
        <v>0</v>
      </c>
      <c r="J73" s="185">
        <f ca="1">IF(AND(C73&gt;=1,C73&lt;anal_period),WorkingCap*SUM(N73:R73)-WorkingCap*SUM(N72:R72),IF(C73&lt;0,0,IF(B73="","",-SUM(J$65:J72))))</f>
        <v>-1332.4923039673013</v>
      </c>
      <c r="K73" s="185" t="str">
        <f t="shared" si="4"/>
        <v/>
      </c>
      <c r="L73" s="185" t="str">
        <f t="shared" si="5"/>
        <v/>
      </c>
      <c r="M73" s="185" t="str">
        <f t="shared" si="6"/>
        <v/>
      </c>
      <c r="N73" s="185">
        <f t="shared" ca="1" si="7"/>
        <v>-112843.19163886452</v>
      </c>
      <c r="O73" s="185">
        <f t="shared" ca="1" si="8"/>
        <v>-497778.82185839134</v>
      </c>
      <c r="P73" s="185">
        <f t="shared" ca="1" si="9"/>
        <v>0</v>
      </c>
      <c r="Q73" s="185">
        <f t="shared" ca="1" si="10"/>
        <v>0</v>
      </c>
      <c r="R73" s="185">
        <f t="shared" ca="1" si="11"/>
        <v>-10097.455744736439</v>
      </c>
      <c r="S73" s="185">
        <f ca="1">IF(B73="","",IF($B$31=0,"",-'Debt Financing Calculations'!E22))</f>
        <v>-37631.467741537963</v>
      </c>
      <c r="T73" s="185">
        <f t="shared" ca="1" si="12"/>
        <v>133739.6714360225</v>
      </c>
      <c r="U73" s="185">
        <f ca="1">IF(C73="","",IF(C73&lt;-1,0,IF(C73=anal_period,-LOOKUP(C73,depr_yr,depr_cost)-Depreciation!$C$141-Depreciation!$B$166,-LOOKUP(C73,depr_yr,depr_cost))))</f>
        <v>-110611.88961738419</v>
      </c>
      <c r="V73" s="185">
        <f t="shared" ca="1" si="13"/>
        <v>23127.781818638308</v>
      </c>
      <c r="W73" s="186">
        <f t="shared" si="14"/>
        <v>0.25739999999999996</v>
      </c>
      <c r="X73" s="185">
        <f t="shared" ca="1" si="15"/>
        <v>-5953.0910401174997</v>
      </c>
      <c r="Y73" s="185">
        <f t="shared" ca="1" si="16"/>
        <v>127786.580395905</v>
      </c>
      <c r="Z73" s="185">
        <f>IF(C73="","",IF($B$31=0,"",-'Debt Financing Calculations'!F22))</f>
        <v>0</v>
      </c>
      <c r="AA73" s="185">
        <f t="shared" ca="1" si="17"/>
        <v>126454.08809193769</v>
      </c>
      <c r="AB73" s="185">
        <f t="shared" ca="1" si="23"/>
        <v>449133.94492302905</v>
      </c>
      <c r="AC73" s="938">
        <f t="shared" ca="1" si="18"/>
        <v>132407.1791320552</v>
      </c>
      <c r="AD73" s="132"/>
      <c r="AE73" s="942">
        <f t="shared" ca="1" si="19"/>
        <v>470850</v>
      </c>
      <c r="AF73" s="938">
        <f t="shared" si="20"/>
        <v>0</v>
      </c>
    </row>
    <row r="74" spans="1:32" x14ac:dyDescent="0.25">
      <c r="A74" s="56">
        <f t="shared" si="21"/>
        <v>2023</v>
      </c>
      <c r="B74" s="183">
        <f>IF(MAX($B$65:B73)&lt;(construct+anal_period),B73+1,"")</f>
        <v>10</v>
      </c>
      <c r="C74" s="183">
        <f t="shared" si="22"/>
        <v>9</v>
      </c>
      <c r="D74" s="183">
        <f t="shared" si="1"/>
        <v>9</v>
      </c>
      <c r="E74" s="184">
        <f t="shared" si="2"/>
        <v>1.1625013664559962</v>
      </c>
      <c r="F74" s="57">
        <f t="shared" ca="1" si="3"/>
        <v>807140.32997952425</v>
      </c>
      <c r="G74" s="951"/>
      <c r="H74" s="960">
        <f t="shared" si="24"/>
        <v>0</v>
      </c>
      <c r="I74" s="185">
        <f ca="1">IF(OR(C74&lt;0,C74=""),"",-E74*INDEX('Replacement Costs'!$A$16:$H$57,MATCH(C74,'Replacement Costs'!$C$16:$C$57,0),MATCH("Total Yearly Replacement Costs",'Replacement Costs'!$A$16:$H$16,0)))</f>
        <v>0</v>
      </c>
      <c r="J74" s="185">
        <f ca="1">IF(AND(C74&gt;=1,C74&lt;anal_period),WorkingCap*SUM(N74:R74)-WorkingCap*SUM(N73:R73),IF(C74&lt;0,0,IF(B74="","",-SUM(J$65:J73))))</f>
        <v>-2022.9617208772979</v>
      </c>
      <c r="K74" s="185" t="str">
        <f t="shared" si="4"/>
        <v/>
      </c>
      <c r="L74" s="185" t="str">
        <f t="shared" si="5"/>
        <v/>
      </c>
      <c r="M74" s="185" t="str">
        <f t="shared" si="6"/>
        <v/>
      </c>
      <c r="N74" s="185">
        <f t="shared" ca="1" si="7"/>
        <v>-114987.21228000295</v>
      </c>
      <c r="O74" s="185">
        <f t="shared" ca="1" si="8"/>
        <v>-508929.36103061825</v>
      </c>
      <c r="P74" s="185">
        <f t="shared" ca="1" si="9"/>
        <v>0</v>
      </c>
      <c r="Q74" s="185">
        <f t="shared" ca="1" si="10"/>
        <v>0</v>
      </c>
      <c r="R74" s="185">
        <f t="shared" ca="1" si="11"/>
        <v>-10289.307403886431</v>
      </c>
      <c r="S74" s="185">
        <f ca="1">IF(B74="","",IF($B$31=0,"",-'Debt Financing Calculations'!E23))</f>
        <v>-37631.467741537963</v>
      </c>
      <c r="T74" s="185">
        <f t="shared" ca="1" si="12"/>
        <v>135302.98152347864</v>
      </c>
      <c r="U74" s="185">
        <f ca="1">IF(C74="","",IF(C74&lt;-1,0,IF(C74=anal_period,-LOOKUP(C74,depr_yr,depr_cost)-Depreciation!$C$141-Depreciation!$B$166,-LOOKUP(C74,depr_yr,depr_cost))))</f>
        <v>-25001.375040652227</v>
      </c>
      <c r="V74" s="185">
        <f t="shared" ca="1" si="13"/>
        <v>110301.60648282641</v>
      </c>
      <c r="W74" s="186">
        <f t="shared" si="14"/>
        <v>0.25739999999999996</v>
      </c>
      <c r="X74" s="185">
        <f t="shared" ca="1" si="15"/>
        <v>-28391.633508679512</v>
      </c>
      <c r="Y74" s="185">
        <f t="shared" ca="1" si="16"/>
        <v>106911.34801479912</v>
      </c>
      <c r="Z74" s="185">
        <f>IF(C74="","",IF($B$31=0,"",-'Debt Financing Calculations'!F23))</f>
        <v>0</v>
      </c>
      <c r="AA74" s="185">
        <f t="shared" ca="1" si="17"/>
        <v>104888.38629392182</v>
      </c>
      <c r="AB74" s="185">
        <f t="shared" ca="1" si="23"/>
        <v>554022.3312169509</v>
      </c>
      <c r="AC74" s="938">
        <f t="shared" ca="1" si="18"/>
        <v>133280.01980260134</v>
      </c>
      <c r="AD74" s="132"/>
      <c r="AE74" s="942">
        <f t="shared" ca="1" si="19"/>
        <v>470850</v>
      </c>
      <c r="AF74" s="938">
        <f t="shared" si="20"/>
        <v>0</v>
      </c>
    </row>
    <row r="75" spans="1:32" x14ac:dyDescent="0.25">
      <c r="A75" s="56">
        <f t="shared" si="21"/>
        <v>2024</v>
      </c>
      <c r="B75" s="183">
        <f>IF(MAX($B$65:B74)&lt;(construct+anal_period),B74+1,"")</f>
        <v>11</v>
      </c>
      <c r="C75" s="183">
        <f t="shared" si="22"/>
        <v>10</v>
      </c>
      <c r="D75" s="183">
        <f t="shared" si="1"/>
        <v>10</v>
      </c>
      <c r="E75" s="184">
        <f t="shared" si="2"/>
        <v>1.1845888924186601</v>
      </c>
      <c r="F75" s="57">
        <f t="shared" ca="1" si="3"/>
        <v>822475.99624913512</v>
      </c>
      <c r="G75" s="951"/>
      <c r="H75" s="960">
        <f t="shared" si="24"/>
        <v>0</v>
      </c>
      <c r="I75" s="185">
        <f ca="1">IF(OR(C75&lt;0,C75=""),"",-E75*INDEX('Replacement Costs'!$A$16:$H$57,MATCH(C75,'Replacement Costs'!$C$16:$C$57,0),MATCH("Total Yearly Replacement Costs",'Replacement Costs'!$A$16:$H$16,0)))</f>
        <v>0</v>
      </c>
      <c r="J75" s="185">
        <f ca="1">IF(AND(C75&gt;=1,C75&lt;anal_period),WorkingCap*SUM(N75:R75)-WorkingCap*SUM(N74:R74),IF(C75&lt;0,0,IF(B75="","",-SUM(J$65:J74))))</f>
        <v>-2944.4988359843119</v>
      </c>
      <c r="K75" s="185" t="str">
        <f t="shared" si="4"/>
        <v/>
      </c>
      <c r="L75" s="185" t="str">
        <f t="shared" si="5"/>
        <v/>
      </c>
      <c r="M75" s="185" t="str">
        <f t="shared" si="6"/>
        <v/>
      </c>
      <c r="N75" s="185">
        <f t="shared" ca="1" si="7"/>
        <v>-117171.96931332299</v>
      </c>
      <c r="O75" s="185">
        <f t="shared" ca="1" si="8"/>
        <v>-526179.09939651971</v>
      </c>
      <c r="P75" s="185">
        <f t="shared" ca="1" si="9"/>
        <v>0</v>
      </c>
      <c r="Q75" s="185">
        <f t="shared" ca="1" si="10"/>
        <v>0</v>
      </c>
      <c r="R75" s="185">
        <f t="shared" ca="1" si="11"/>
        <v>-10484.804244560271</v>
      </c>
      <c r="S75" s="185">
        <f ca="1">IF(B75="","",IF($B$31=0,"",-'Debt Financing Calculations'!E24))</f>
        <v>-37631.467741537963</v>
      </c>
      <c r="T75" s="185">
        <f t="shared" ca="1" si="12"/>
        <v>131008.65555319411</v>
      </c>
      <c r="U75" s="185">
        <f ca="1">IF(C75="","",IF(C75&lt;-1,0,IF(C75=anal_period,-LOOKUP(C75,depr_yr,depr_cost)-Depreciation!$C$141-Depreciation!$B$166,-LOOKUP(C75,depr_yr,depr_cost))))</f>
        <v>-17875.282555086022</v>
      </c>
      <c r="V75" s="185">
        <f t="shared" ca="1" si="13"/>
        <v>113133.3729981081</v>
      </c>
      <c r="W75" s="186">
        <f t="shared" si="14"/>
        <v>0.25739999999999996</v>
      </c>
      <c r="X75" s="185">
        <f t="shared" ca="1" si="15"/>
        <v>-29120.530209713019</v>
      </c>
      <c r="Y75" s="185">
        <f t="shared" ca="1" si="16"/>
        <v>101888.12534348109</v>
      </c>
      <c r="Z75" s="185">
        <f>IF(C75="","",IF($B$31=0,"",-'Debt Financing Calculations'!F24))</f>
        <v>0</v>
      </c>
      <c r="AA75" s="185">
        <f t="shared" ca="1" si="17"/>
        <v>98943.626507496781</v>
      </c>
      <c r="AB75" s="185">
        <f t="shared" ca="1" si="23"/>
        <v>652965.95772444771</v>
      </c>
      <c r="AC75" s="938">
        <f t="shared" ca="1" si="18"/>
        <v>128064.1567172098</v>
      </c>
      <c r="AD75" s="132"/>
      <c r="AE75" s="942">
        <f t="shared" ca="1" si="19"/>
        <v>470850</v>
      </c>
      <c r="AF75" s="938">
        <f t="shared" si="20"/>
        <v>0</v>
      </c>
    </row>
    <row r="76" spans="1:32" x14ac:dyDescent="0.25">
      <c r="A76" s="56">
        <f t="shared" si="21"/>
        <v>2025</v>
      </c>
      <c r="B76" s="183">
        <f>IF(MAX($B$65:B75)&lt;(construct+anal_period),B75+1,"")</f>
        <v>12</v>
      </c>
      <c r="C76" s="183">
        <f t="shared" si="22"/>
        <v>11</v>
      </c>
      <c r="D76" s="183">
        <f t="shared" si="1"/>
        <v>11</v>
      </c>
      <c r="E76" s="184">
        <f t="shared" si="2"/>
        <v>1.2070960813746145</v>
      </c>
      <c r="F76" s="57">
        <f t="shared" ca="1" si="3"/>
        <v>838103.04017786868</v>
      </c>
      <c r="G76" s="951"/>
      <c r="H76" s="960">
        <f t="shared" si="24"/>
        <v>0</v>
      </c>
      <c r="I76" s="185">
        <f ca="1">IF(OR(C76&lt;0,C76=""),"",-E76*INDEX('Replacement Costs'!$A$16:$H$57,MATCH(C76,'Replacement Costs'!$C$16:$C$57,0),MATCH("Total Yearly Replacement Costs",'Replacement Costs'!$A$16:$H$16,0)))</f>
        <v>-733079.57914736692</v>
      </c>
      <c r="J76" s="185">
        <f ca="1">IF(AND(C76&gt;=1,C76&lt;anal_period),WorkingCap*SUM(N76:R76)-WorkingCap*SUM(N75:R75),IF(C76&lt;0,0,IF(B76="","",-SUM(J$65:J75))))</f>
        <v>-3575.1026246997062</v>
      </c>
      <c r="K76" s="185" t="str">
        <f t="shared" si="4"/>
        <v/>
      </c>
      <c r="L76" s="185" t="str">
        <f t="shared" si="5"/>
        <v/>
      </c>
      <c r="M76" s="185" t="str">
        <f t="shared" si="6"/>
        <v/>
      </c>
      <c r="N76" s="185">
        <f t="shared" ca="1" si="7"/>
        <v>-119398.23673027611</v>
      </c>
      <c r="O76" s="185">
        <f t="shared" ca="1" si="8"/>
        <v>-547587.63819691807</v>
      </c>
      <c r="P76" s="185">
        <f t="shared" ca="1" si="9"/>
        <v>0</v>
      </c>
      <c r="Q76" s="185">
        <f t="shared" ca="1" si="10"/>
        <v>0</v>
      </c>
      <c r="R76" s="185">
        <f t="shared" ca="1" si="11"/>
        <v>-10684.015525206916</v>
      </c>
      <c r="S76" s="185">
        <f ca="1">IF(B76="","",IF($B$31=0,"",-'Debt Financing Calculations'!E25))</f>
        <v>-37631.467741537963</v>
      </c>
      <c r="T76" s="185">
        <f t="shared" ca="1" si="12"/>
        <v>122801.68198392959</v>
      </c>
      <c r="U76" s="185">
        <f ca="1">IF(C76="","",IF(C76&lt;-1,0,IF(C76=anal_period,-LOOKUP(C76,depr_yr,depr_cost)-Depreciation!$C$141-Depreciation!$B$166,-LOOKUP(C76,depr_yr,depr_cost))))</f>
        <v>-122612.33730152124</v>
      </c>
      <c r="V76" s="185">
        <f t="shared" ca="1" si="13"/>
        <v>189.34468240835122</v>
      </c>
      <c r="W76" s="186">
        <f t="shared" si="14"/>
        <v>0.25739999999999996</v>
      </c>
      <c r="X76" s="185">
        <f t="shared" ca="1" si="15"/>
        <v>-48.737321251909599</v>
      </c>
      <c r="Y76" s="185">
        <f t="shared" ca="1" si="16"/>
        <v>122752.94466267768</v>
      </c>
      <c r="Z76" s="185">
        <f>IF(C76="","",IF($B$31=0,"",-'Debt Financing Calculations'!F25))</f>
        <v>0</v>
      </c>
      <c r="AA76" s="185">
        <f t="shared" ca="1" si="17"/>
        <v>-613901.73710938892</v>
      </c>
      <c r="AB76" s="185">
        <f t="shared" ca="1" si="23"/>
        <v>39064.220615058788</v>
      </c>
      <c r="AC76" s="938">
        <f t="shared" ca="1" si="18"/>
        <v>-613852.99978813704</v>
      </c>
      <c r="AD76" s="132"/>
      <c r="AE76" s="942">
        <f t="shared" ca="1" si="19"/>
        <v>470850</v>
      </c>
      <c r="AF76" s="938">
        <f t="shared" si="20"/>
        <v>0</v>
      </c>
    </row>
    <row r="77" spans="1:32" x14ac:dyDescent="0.25">
      <c r="A77" s="56">
        <f t="shared" si="21"/>
        <v>2026</v>
      </c>
      <c r="B77" s="183">
        <f>IF(MAX($B$65:B76)&lt;(construct+anal_period),B76+1,"")</f>
        <v>13</v>
      </c>
      <c r="C77" s="183">
        <f t="shared" si="22"/>
        <v>12</v>
      </c>
      <c r="D77" s="183">
        <f t="shared" si="1"/>
        <v>12</v>
      </c>
      <c r="E77" s="184">
        <f t="shared" si="2"/>
        <v>1.2300309069207322</v>
      </c>
      <c r="F77" s="57">
        <f t="shared" ca="1" si="3"/>
        <v>854026.99794124812</v>
      </c>
      <c r="G77" s="951"/>
      <c r="H77" s="960">
        <f t="shared" si="24"/>
        <v>0</v>
      </c>
      <c r="I77" s="185">
        <f ca="1">IF(OR(C77&lt;0,C77=""),"",-E77*INDEX('Replacement Costs'!$A$16:$H$57,MATCH(C77,'Replacement Costs'!$C$16:$C$57,0),MATCH("Total Yearly Replacement Costs",'Replacement Costs'!$A$16:$H$16,0)))</f>
        <v>0</v>
      </c>
      <c r="J77" s="185">
        <f ca="1">IF(AND(C77&gt;=1,C77&lt;anal_period),WorkingCap*SUM(N77:R77)-WorkingCap*SUM(N76:R76),IF(C77&lt;0,0,IF(B77="","",-SUM(J$65:J76))))</f>
        <v>-3667.1907555522921</v>
      </c>
      <c r="K77" s="185" t="str">
        <f t="shared" si="4"/>
        <v/>
      </c>
      <c r="L77" s="185" t="str">
        <f t="shared" si="5"/>
        <v/>
      </c>
      <c r="M77" s="185" t="str">
        <f t="shared" si="6"/>
        <v/>
      </c>
      <c r="N77" s="185">
        <f t="shared" ca="1" si="7"/>
        <v>-121666.80322815137</v>
      </c>
      <c r="O77" s="185">
        <f t="shared" ca="1" si="8"/>
        <v>-569564.01377441257</v>
      </c>
      <c r="P77" s="185">
        <f t="shared" ca="1" si="9"/>
        <v>0</v>
      </c>
      <c r="Q77" s="185">
        <f t="shared" ca="1" si="10"/>
        <v>0</v>
      </c>
      <c r="R77" s="185">
        <f t="shared" ca="1" si="11"/>
        <v>-10887.011820185848</v>
      </c>
      <c r="S77" s="185">
        <f ca="1">IF(B77="","",IF($B$31=0,"",-'Debt Financing Calculations'!E26))</f>
        <v>-37631.467741537963</v>
      </c>
      <c r="T77" s="185">
        <f t="shared" ca="1" si="12"/>
        <v>114277.70137696038</v>
      </c>
      <c r="U77" s="185">
        <f ca="1">IF(C77="","",IF(C77&lt;-1,0,IF(C77=anal_period,-LOOKUP(C77,depr_yr,depr_cost)-Depreciation!$C$141-Depreciation!$B$166,-LOOKUP(C77,depr_yr,depr_cost))))</f>
        <v>-197406.47148827618</v>
      </c>
      <c r="V77" s="185">
        <f t="shared" ca="1" si="13"/>
        <v>-83128.770111315796</v>
      </c>
      <c r="W77" s="186">
        <f t="shared" si="14"/>
        <v>0.25739999999999996</v>
      </c>
      <c r="X77" s="185">
        <f t="shared" ca="1" si="15"/>
        <v>21397.345426652682</v>
      </c>
      <c r="Y77" s="185">
        <f t="shared" ca="1" si="16"/>
        <v>135675.04680361308</v>
      </c>
      <c r="Z77" s="185">
        <f>IF(C77="","",IF($B$31=0,"",-'Debt Financing Calculations'!F26))</f>
        <v>0</v>
      </c>
      <c r="AA77" s="185">
        <f t="shared" ca="1" si="17"/>
        <v>132007.85604806076</v>
      </c>
      <c r="AB77" s="185">
        <f t="shared" ca="1" si="23"/>
        <v>171072.07666311954</v>
      </c>
      <c r="AC77" s="938">
        <f t="shared" ca="1" si="18"/>
        <v>110610.51062140809</v>
      </c>
      <c r="AD77" s="132"/>
      <c r="AE77" s="942">
        <f t="shared" ca="1" si="19"/>
        <v>470850</v>
      </c>
      <c r="AF77" s="938">
        <f t="shared" si="20"/>
        <v>0</v>
      </c>
    </row>
    <row r="78" spans="1:32" x14ac:dyDescent="0.25">
      <c r="A78" s="56">
        <f t="shared" si="21"/>
        <v>2027</v>
      </c>
      <c r="B78" s="183">
        <f>IF(MAX($B$65:B77)&lt;(construct+anal_period),B77+1,"")</f>
        <v>14</v>
      </c>
      <c r="C78" s="183">
        <f t="shared" si="22"/>
        <v>13</v>
      </c>
      <c r="D78" s="183">
        <f t="shared" si="1"/>
        <v>13</v>
      </c>
      <c r="E78" s="184">
        <f t="shared" si="2"/>
        <v>1.253401494152226</v>
      </c>
      <c r="F78" s="57">
        <f t="shared" ca="1" si="3"/>
        <v>870253.51090213179</v>
      </c>
      <c r="G78" s="951"/>
      <c r="H78" s="960">
        <f t="shared" si="24"/>
        <v>0</v>
      </c>
      <c r="I78" s="185">
        <f ca="1">IF(OR(C78&lt;0,C78=""),"",-E78*INDEX('Replacement Costs'!$A$16:$H$57,MATCH(C78,'Replacement Costs'!$C$16:$C$57,0),MATCH("Total Yearly Replacement Costs",'Replacement Costs'!$A$16:$H$16,0)))</f>
        <v>0</v>
      </c>
      <c r="J78" s="185">
        <f ca="1">IF(AND(C78&gt;=1,C78&lt;anal_period),WorkingCap*SUM(N78:R78)-WorkingCap*SUM(N77:R77),IF(C78&lt;0,0,IF(B78="","",-SUM(J$65:J77))))</f>
        <v>-3354.1438955007325</v>
      </c>
      <c r="K78" s="185" t="str">
        <f t="shared" si="4"/>
        <v/>
      </c>
      <c r="L78" s="185" t="str">
        <f t="shared" si="5"/>
        <v/>
      </c>
      <c r="M78" s="185" t="str">
        <f t="shared" si="6"/>
        <v/>
      </c>
      <c r="N78" s="185">
        <f t="shared" ca="1" si="7"/>
        <v>-123978.47248948623</v>
      </c>
      <c r="O78" s="185">
        <f t="shared" ca="1" si="8"/>
        <v>-589406.4505918324</v>
      </c>
      <c r="P78" s="185">
        <f t="shared" ca="1" si="9"/>
        <v>0</v>
      </c>
      <c r="Q78" s="185">
        <f t="shared" ca="1" si="10"/>
        <v>0</v>
      </c>
      <c r="R78" s="185">
        <f t="shared" ca="1" si="11"/>
        <v>-11093.865044769378</v>
      </c>
      <c r="S78" s="185">
        <f ca="1">IF(B78="","",IF($B$31=0,"",-'Debt Financing Calculations'!E27))</f>
        <v>-37631.467741537963</v>
      </c>
      <c r="T78" s="185">
        <f t="shared" ca="1" si="12"/>
        <v>108143.25503450586</v>
      </c>
      <c r="U78" s="185">
        <f ca="1">IF(C78="","",IF(C78&lt;-1,0,IF(C78=anal_period,-LOOKUP(C78,depr_yr,depr_cost)-Depreciation!$C$141-Depreciation!$B$166,-LOOKUP(C78,depr_yr,depr_cost))))</f>
        <v>-137143.25111355574</v>
      </c>
      <c r="V78" s="185">
        <f t="shared" ca="1" si="13"/>
        <v>-28999.996079049888</v>
      </c>
      <c r="W78" s="186">
        <f t="shared" si="14"/>
        <v>0.25739999999999996</v>
      </c>
      <c r="X78" s="185">
        <f t="shared" ca="1" si="15"/>
        <v>7464.5989907474404</v>
      </c>
      <c r="Y78" s="185">
        <f t="shared" ca="1" si="16"/>
        <v>115607.8540252533</v>
      </c>
      <c r="Z78" s="185">
        <f>IF(C78="","",IF($B$31=0,"",-'Debt Financing Calculations'!F27))</f>
        <v>0</v>
      </c>
      <c r="AA78" s="185">
        <f t="shared" ca="1" si="17"/>
        <v>112253.71012975257</v>
      </c>
      <c r="AB78" s="185">
        <f t="shared" ca="1" si="23"/>
        <v>283325.78679287212</v>
      </c>
      <c r="AC78" s="938">
        <f t="shared" ca="1" si="18"/>
        <v>104789.11113900512</v>
      </c>
      <c r="AD78" s="132"/>
      <c r="AE78" s="942">
        <f t="shared" ca="1" si="19"/>
        <v>470850</v>
      </c>
      <c r="AF78" s="938">
        <f t="shared" si="20"/>
        <v>0</v>
      </c>
    </row>
    <row r="79" spans="1:32" x14ac:dyDescent="0.25">
      <c r="A79" s="56">
        <f t="shared" si="21"/>
        <v>2028</v>
      </c>
      <c r="B79" s="183">
        <f>IF(MAX($B$65:B78)&lt;(construct+anal_period),B78+1,"")</f>
        <v>15</v>
      </c>
      <c r="C79" s="183">
        <f t="shared" si="22"/>
        <v>14</v>
      </c>
      <c r="D79" s="183">
        <f t="shared" si="1"/>
        <v>14</v>
      </c>
      <c r="E79" s="184">
        <f t="shared" si="2"/>
        <v>1.277216122541118</v>
      </c>
      <c r="F79" s="57">
        <f t="shared" ca="1" si="3"/>
        <v>886788.32760927209</v>
      </c>
      <c r="G79" s="951"/>
      <c r="H79" s="960">
        <f t="shared" si="24"/>
        <v>0</v>
      </c>
      <c r="I79" s="185">
        <f ca="1">IF(OR(C79&lt;0,C79=""),"",-E79*INDEX('Replacement Costs'!$A$16:$H$57,MATCH(C79,'Replacement Costs'!$C$16:$C$57,0),MATCH("Total Yearly Replacement Costs",'Replacement Costs'!$A$16:$H$16,0)))</f>
        <v>0</v>
      </c>
      <c r="J79" s="185">
        <f ca="1">IF(AND(C79&gt;=1,C79&lt;anal_period),WorkingCap*SUM(N79:R79)-WorkingCap*SUM(N78:R78),IF(C79&lt;0,0,IF(B79="","",-SUM(J$65:J78))))</f>
        <v>-3427.6569081636408</v>
      </c>
      <c r="K79" s="185" t="str">
        <f t="shared" si="4"/>
        <v/>
      </c>
      <c r="L79" s="185" t="str">
        <f t="shared" si="5"/>
        <v/>
      </c>
      <c r="M79" s="185" t="str">
        <f t="shared" si="6"/>
        <v/>
      </c>
      <c r="N79" s="185">
        <f t="shared" ca="1" si="7"/>
        <v>-126334.06346678644</v>
      </c>
      <c r="O79" s="185">
        <f t="shared" ca="1" si="8"/>
        <v>-609691.12223310582</v>
      </c>
      <c r="P79" s="185">
        <f t="shared" ca="1" si="9"/>
        <v>0</v>
      </c>
      <c r="Q79" s="185">
        <f t="shared" ca="1" si="10"/>
        <v>0</v>
      </c>
      <c r="R79" s="185">
        <f t="shared" ca="1" si="11"/>
        <v>-11304.648480619993</v>
      </c>
      <c r="S79" s="185">
        <f ca="1">IF(B79="","",IF($B$31=0,"",-'Debt Financing Calculations'!E28))</f>
        <v>-37631.467741537963</v>
      </c>
      <c r="T79" s="185">
        <f t="shared" ca="1" si="12"/>
        <v>101827.0256872219</v>
      </c>
      <c r="U79" s="185">
        <f ca="1">IF(C79="","",IF(C79&lt;-1,0,IF(C79=anal_period,-LOOKUP(C79,depr_yr,depr_cost)-Depreciation!$C$141-Depreciation!$B$166,-LOOKUP(C79,depr_yr,depr_cost))))</f>
        <v>-91561.63943550612</v>
      </c>
      <c r="V79" s="185">
        <f t="shared" ca="1" si="13"/>
        <v>10265.386251715783</v>
      </c>
      <c r="W79" s="186">
        <f t="shared" si="14"/>
        <v>0.25739999999999996</v>
      </c>
      <c r="X79" s="185">
        <f t="shared" ca="1" si="15"/>
        <v>-2642.310421191642</v>
      </c>
      <c r="Y79" s="185">
        <f t="shared" ca="1" si="16"/>
        <v>99184.715266030267</v>
      </c>
      <c r="Z79" s="185">
        <f>IF(C79="","",IF($B$31=0,"",-'Debt Financing Calculations'!F28))</f>
        <v>0</v>
      </c>
      <c r="AA79" s="185">
        <f t="shared" ca="1" si="17"/>
        <v>95757.058357866626</v>
      </c>
      <c r="AB79" s="185">
        <f t="shared" ca="1" si="23"/>
        <v>379082.84515073872</v>
      </c>
      <c r="AC79" s="938">
        <f t="shared" ca="1" si="18"/>
        <v>98399.368779058263</v>
      </c>
      <c r="AD79" s="132"/>
      <c r="AE79" s="942">
        <f t="shared" ca="1" si="19"/>
        <v>470850</v>
      </c>
      <c r="AF79" s="938">
        <f t="shared" si="20"/>
        <v>0</v>
      </c>
    </row>
    <row r="80" spans="1:32" x14ac:dyDescent="0.25">
      <c r="A80" s="56">
        <f t="shared" si="21"/>
        <v>2029</v>
      </c>
      <c r="B80" s="183">
        <f>IF(MAX($B$65:B79)&lt;(construct+anal_period),B79+1,"")</f>
        <v>16</v>
      </c>
      <c r="C80" s="183">
        <f t="shared" si="22"/>
        <v>15</v>
      </c>
      <c r="D80" s="183">
        <f t="shared" si="1"/>
        <v>15</v>
      </c>
      <c r="E80" s="184">
        <f t="shared" si="2"/>
        <v>1.3014832288693996</v>
      </c>
      <c r="F80" s="57">
        <f t="shared" ca="1" si="3"/>
        <v>903637.30583384843</v>
      </c>
      <c r="G80" s="951"/>
      <c r="H80" s="960">
        <f t="shared" si="24"/>
        <v>0</v>
      </c>
      <c r="I80" s="185">
        <f ca="1">IF(OR(C80&lt;0,C80=""),"",-E80*INDEX('Replacement Costs'!$A$16:$H$57,MATCH(C80,'Replacement Costs'!$C$16:$C$57,0),MATCH("Total Yearly Replacement Costs",'Replacement Costs'!$A$16:$H$16,0)))</f>
        <v>0</v>
      </c>
      <c r="J80" s="185">
        <f ca="1">IF(AND(C80&gt;=1,C80&lt;anal_period),WorkingCap*SUM(N80:R80)-WorkingCap*SUM(N79:R79),IF(C80&lt;0,0,IF(B80="","",-SUM(J$65:J79))))</f>
        <v>-3293.351208098713</v>
      </c>
      <c r="K80" s="185" t="str">
        <f t="shared" si="4"/>
        <v/>
      </c>
      <c r="L80" s="185" t="str">
        <f t="shared" si="5"/>
        <v/>
      </c>
      <c r="M80" s="185" t="str">
        <f t="shared" si="6"/>
        <v/>
      </c>
      <c r="N80" s="185">
        <f t="shared" ca="1" si="7"/>
        <v>-128734.41067265542</v>
      </c>
      <c r="O80" s="185">
        <f t="shared" ca="1" si="8"/>
        <v>-629031.66142676317</v>
      </c>
      <c r="P80" s="185">
        <f t="shared" ca="1" si="9"/>
        <v>0</v>
      </c>
      <c r="Q80" s="185">
        <f t="shared" ca="1" si="10"/>
        <v>0</v>
      </c>
      <c r="R80" s="185">
        <f t="shared" ca="1" si="11"/>
        <v>-11519.436801751775</v>
      </c>
      <c r="S80" s="185">
        <f ca="1">IF(B80="","",IF($B$31=0,"",-'Debt Financing Calculations'!E29))</f>
        <v>-37631.467741537963</v>
      </c>
      <c r="T80" s="185">
        <f t="shared" ca="1" si="12"/>
        <v>96720.329191140132</v>
      </c>
      <c r="U80" s="185">
        <f ca="1">IF(C80="","",IF(C80&lt;-1,0,IF(C80=anal_period,-LOOKUP(C80,depr_yr,depr_cost)-Depreciation!$C$141-Depreciation!$B$166,-LOOKUP(C80,depr_yr,depr_cost))))</f>
        <v>-65464.00641785987</v>
      </c>
      <c r="V80" s="185">
        <f t="shared" ca="1" si="13"/>
        <v>31256.322773280262</v>
      </c>
      <c r="W80" s="186">
        <f t="shared" si="14"/>
        <v>0.25739999999999996</v>
      </c>
      <c r="X80" s="185">
        <f t="shared" ca="1" si="15"/>
        <v>-8045.3774818423381</v>
      </c>
      <c r="Y80" s="185">
        <f t="shared" ca="1" si="16"/>
        <v>88674.951709297791</v>
      </c>
      <c r="Z80" s="185">
        <f>IF(C80="","",IF($B$31=0,"",-'Debt Financing Calculations'!F29))</f>
        <v>0</v>
      </c>
      <c r="AA80" s="185">
        <f t="shared" ca="1" si="17"/>
        <v>85381.600501199078</v>
      </c>
      <c r="AB80" s="185">
        <f t="shared" ca="1" si="23"/>
        <v>464464.4456519378</v>
      </c>
      <c r="AC80" s="938">
        <f t="shared" ca="1" si="18"/>
        <v>93426.977983041419</v>
      </c>
      <c r="AD80" s="132"/>
      <c r="AE80" s="942">
        <f t="shared" ca="1" si="19"/>
        <v>470850</v>
      </c>
      <c r="AF80" s="938">
        <f t="shared" si="20"/>
        <v>0</v>
      </c>
    </row>
    <row r="81" spans="1:32" x14ac:dyDescent="0.25">
      <c r="A81" s="56">
        <f t="shared" si="21"/>
        <v>2030</v>
      </c>
      <c r="B81" s="183">
        <f>IF(MAX($B$65:B80)&lt;(construct+anal_period),B80+1,"")</f>
        <v>17</v>
      </c>
      <c r="C81" s="183">
        <f t="shared" si="22"/>
        <v>16</v>
      </c>
      <c r="D81" s="183">
        <f t="shared" si="1"/>
        <v>16</v>
      </c>
      <c r="E81" s="184">
        <f t="shared" si="2"/>
        <v>1.3262114102179181</v>
      </c>
      <c r="F81" s="57">
        <f t="shared" ca="1" si="3"/>
        <v>920806.41464469151</v>
      </c>
      <c r="G81" s="951"/>
      <c r="H81" s="960">
        <f t="shared" si="24"/>
        <v>0</v>
      </c>
      <c r="I81" s="185">
        <f ca="1">IF(OR(C81&lt;0,C81=""),"",-E81*INDEX('Replacement Costs'!$A$16:$H$57,MATCH(C81,'Replacement Costs'!$C$16:$C$57,0),MATCH("Total Yearly Replacement Costs",'Replacement Costs'!$A$16:$H$16,0)))</f>
        <v>-241625.79536067578</v>
      </c>
      <c r="J81" s="185">
        <f ca="1">IF(AND(C81&gt;=1,C81&lt;anal_period),WorkingCap*SUM(N81:R81)-WorkingCap*SUM(N80:R80),IF(C81&lt;0,0,IF(B81="","",-SUM(J$65:J80))))</f>
        <v>-2511.4763585283799</v>
      </c>
      <c r="K81" s="185" t="str">
        <f t="shared" si="4"/>
        <v/>
      </c>
      <c r="L81" s="185" t="str">
        <f t="shared" si="5"/>
        <v/>
      </c>
      <c r="M81" s="185" t="str">
        <f t="shared" si="6"/>
        <v/>
      </c>
      <c r="N81" s="185">
        <f t="shared" ca="1" si="7"/>
        <v>-131180.36447543587</v>
      </c>
      <c r="O81" s="185">
        <f t="shared" ca="1" si="8"/>
        <v>-643110.01404827205</v>
      </c>
      <c r="P81" s="185">
        <f t="shared" ca="1" si="9"/>
        <v>0</v>
      </c>
      <c r="Q81" s="185">
        <f t="shared" ca="1" si="10"/>
        <v>0</v>
      </c>
      <c r="R81" s="185">
        <f t="shared" ca="1" si="11"/>
        <v>-11738.306100985059</v>
      </c>
      <c r="S81" s="185">
        <f ca="1">IF(B81="","",IF($B$31=0,"",-'Debt Financing Calculations'!E30))</f>
        <v>-37631.467741537963</v>
      </c>
      <c r="T81" s="185">
        <f t="shared" ca="1" si="12"/>
        <v>97146.262278460665</v>
      </c>
      <c r="U81" s="185">
        <f ca="1">IF(C81="","",IF(C81&lt;-1,0,IF(C81=anal_period,-LOOKUP(C81,depr_yr,depr_cost)-Depreciation!$C$141-Depreciation!$B$166,-LOOKUP(C81,depr_yr,depr_cost))))</f>
        <v>-99919.024616985698</v>
      </c>
      <c r="V81" s="185">
        <f t="shared" ca="1" si="13"/>
        <v>-2772.7623385250336</v>
      </c>
      <c r="W81" s="186">
        <f t="shared" si="14"/>
        <v>0.25739999999999996</v>
      </c>
      <c r="X81" s="185">
        <f t="shared" ca="1" si="15"/>
        <v>713.70902593634355</v>
      </c>
      <c r="Y81" s="185">
        <f t="shared" ca="1" si="16"/>
        <v>97859.971304397011</v>
      </c>
      <c r="Z81" s="185">
        <f>IF(C81="","",IF($B$31=0,"",-'Debt Financing Calculations'!F30))</f>
        <v>0</v>
      </c>
      <c r="AA81" s="185">
        <f t="shared" ca="1" si="17"/>
        <v>-146277.30041480713</v>
      </c>
      <c r="AB81" s="185">
        <f t="shared" ca="1" si="23"/>
        <v>318187.1452371307</v>
      </c>
      <c r="AC81" s="938">
        <f t="shared" ca="1" si="18"/>
        <v>-146991.00944074348</v>
      </c>
      <c r="AD81" s="132"/>
      <c r="AE81" s="942">
        <f t="shared" ca="1" si="19"/>
        <v>470850</v>
      </c>
      <c r="AF81" s="938">
        <f t="shared" si="20"/>
        <v>0</v>
      </c>
    </row>
    <row r="82" spans="1:32" x14ac:dyDescent="0.25">
      <c r="A82" s="56">
        <f t="shared" si="21"/>
        <v>2031</v>
      </c>
      <c r="B82" s="183">
        <f>IF(MAX($B$65:B81)&lt;(construct+anal_period),B81+1,"")</f>
        <v>18</v>
      </c>
      <c r="C82" s="183">
        <f t="shared" si="22"/>
        <v>17</v>
      </c>
      <c r="D82" s="183">
        <f t="shared" si="1"/>
        <v>17</v>
      </c>
      <c r="E82" s="184">
        <f t="shared" si="2"/>
        <v>1.3514094270120585</v>
      </c>
      <c r="F82" s="57">
        <f t="shared" ca="1" si="3"/>
        <v>938301.73652294057</v>
      </c>
      <c r="G82" s="951"/>
      <c r="H82" s="960">
        <f t="shared" si="24"/>
        <v>0</v>
      </c>
      <c r="I82" s="185">
        <f ca="1">IF(OR(C82&lt;0,C82=""),"",-E82*INDEX('Replacement Costs'!$A$16:$H$57,MATCH(C82,'Replacement Costs'!$C$16:$C$57,0),MATCH("Total Yearly Replacement Costs",'Replacement Costs'!$A$16:$H$16,0)))</f>
        <v>0</v>
      </c>
      <c r="J82" s="185">
        <f ca="1">IF(AND(C82&gt;=1,C82&lt;anal_period),WorkingCap*SUM(N82:R82)-WorkingCap*SUM(N81:R81),IF(C82&lt;0,0,IF(B82="","",-SUM(J$65:J81))))</f>
        <v>-2591.6094147870899</v>
      </c>
      <c r="K82" s="185" t="str">
        <f t="shared" si="4"/>
        <v/>
      </c>
      <c r="L82" s="185" t="str">
        <f t="shared" si="5"/>
        <v/>
      </c>
      <c r="M82" s="185" t="str">
        <f t="shared" si="6"/>
        <v/>
      </c>
      <c r="N82" s="185">
        <f t="shared" ca="1" si="7"/>
        <v>-133672.79140046914</v>
      </c>
      <c r="O82" s="185">
        <f t="shared" ca="1" si="8"/>
        <v>-657671.95540590049</v>
      </c>
      <c r="P82" s="185">
        <f t="shared" ca="1" si="9"/>
        <v>0</v>
      </c>
      <c r="Q82" s="185">
        <f t="shared" ca="1" si="10"/>
        <v>0</v>
      </c>
      <c r="R82" s="185">
        <f t="shared" ca="1" si="11"/>
        <v>-11961.333916903774</v>
      </c>
      <c r="S82" s="185">
        <f ca="1">IF(B82="","",IF($B$31=0,"",-'Debt Financing Calculations'!E31))</f>
        <v>-37631.467741537963</v>
      </c>
      <c r="T82" s="185">
        <f t="shared" ca="1" si="12"/>
        <v>97364.188058129163</v>
      </c>
      <c r="U82" s="185">
        <f ca="1">IF(C82="","",IF(C82&lt;-1,0,IF(C82=anal_period,-LOOKUP(C82,depr_yr,depr_cost)-Depreciation!$C$141-Depreciation!$B$166,-LOOKUP(C82,depr_yr,depr_cost))))</f>
        <v>-124638.16370168937</v>
      </c>
      <c r="V82" s="185">
        <f t="shared" ca="1" si="13"/>
        <v>-27273.975643560203</v>
      </c>
      <c r="W82" s="186">
        <f t="shared" si="14"/>
        <v>0.25739999999999996</v>
      </c>
      <c r="X82" s="185">
        <f t="shared" ca="1" si="15"/>
        <v>7020.3213306523949</v>
      </c>
      <c r="Y82" s="185">
        <f t="shared" ca="1" si="16"/>
        <v>104384.50938878156</v>
      </c>
      <c r="Z82" s="185">
        <f>IF(C82="","",IF($B$31=0,"",-'Debt Financing Calculations'!F31))</f>
        <v>0</v>
      </c>
      <c r="AA82" s="185">
        <f t="shared" ca="1" si="17"/>
        <v>101792.89997399447</v>
      </c>
      <c r="AB82" s="185">
        <f t="shared" ca="1" si="23"/>
        <v>419980.04521112517</v>
      </c>
      <c r="AC82" s="938">
        <f t="shared" ca="1" si="18"/>
        <v>94772.578643342073</v>
      </c>
      <c r="AD82" s="132"/>
      <c r="AE82" s="942">
        <f t="shared" ca="1" si="19"/>
        <v>470850</v>
      </c>
      <c r="AF82" s="938">
        <f t="shared" si="20"/>
        <v>0</v>
      </c>
    </row>
    <row r="83" spans="1:32" x14ac:dyDescent="0.25">
      <c r="A83" s="56">
        <f t="shared" si="21"/>
        <v>2032</v>
      </c>
      <c r="B83" s="183">
        <f>IF(MAX($B$65:B82)&lt;(construct+anal_period),B82+1,"")</f>
        <v>19</v>
      </c>
      <c r="C83" s="183">
        <f t="shared" si="22"/>
        <v>18</v>
      </c>
      <c r="D83" s="183">
        <f t="shared" si="1"/>
        <v>18</v>
      </c>
      <c r="E83" s="184">
        <f t="shared" si="2"/>
        <v>1.3770862061252875</v>
      </c>
      <c r="F83" s="57">
        <f t="shared" ca="1" si="3"/>
        <v>956129.4695168765</v>
      </c>
      <c r="G83" s="951"/>
      <c r="H83" s="960">
        <f t="shared" si="24"/>
        <v>0</v>
      </c>
      <c r="I83" s="185">
        <f ca="1">IF(OR(C83&lt;0,C83=""),"",-E83*INDEX('Replacement Costs'!$A$16:$H$57,MATCH(C83,'Replacement Costs'!$C$16:$C$57,0),MATCH("Total Yearly Replacement Costs",'Replacement Costs'!$A$16:$H$16,0)))</f>
        <v>0</v>
      </c>
      <c r="J83" s="185">
        <f ca="1">IF(AND(C83&gt;=1,C83&lt;anal_period),WorkingCap*SUM(N83:R83)-WorkingCap*SUM(N82:R82),IF(C83&lt;0,0,IF(B83="","",-SUM(J$65:J82))))</f>
        <v>-2035.1598891869216</v>
      </c>
      <c r="K83" s="185" t="str">
        <f t="shared" si="4"/>
        <v/>
      </c>
      <c r="L83" s="185" t="str">
        <f t="shared" si="5"/>
        <v/>
      </c>
      <c r="M83" s="185" t="str">
        <f t="shared" si="6"/>
        <v/>
      </c>
      <c r="N83" s="185">
        <f t="shared" ca="1" si="7"/>
        <v>-136212.57443707803</v>
      </c>
      <c r="O83" s="185">
        <f t="shared" ca="1" si="8"/>
        <v>-668472.63961944997</v>
      </c>
      <c r="P83" s="185">
        <f t="shared" ca="1" si="9"/>
        <v>0</v>
      </c>
      <c r="Q83" s="185">
        <f t="shared" ca="1" si="10"/>
        <v>0</v>
      </c>
      <c r="R83" s="185">
        <f t="shared" ca="1" si="11"/>
        <v>-12188.599261324945</v>
      </c>
      <c r="S83" s="185">
        <f ca="1">IF(B83="","",IF($B$31=0,"",-'Debt Financing Calculations'!E32))</f>
        <v>-37631.467741537963</v>
      </c>
      <c r="T83" s="185">
        <f t="shared" ca="1" si="12"/>
        <v>101624.18845748564</v>
      </c>
      <c r="U83" s="185">
        <f ca="1">IF(C83="","",IF(C83&lt;-1,0,IF(C83=anal_period,-LOOKUP(C83,depr_yr,depr_cost)-Depreciation!$C$141-Depreciation!$B$166,-LOOKUP(C83,depr_yr,depr_cost))))</f>
        <v>-74955.700838554767</v>
      </c>
      <c r="V83" s="185">
        <f t="shared" ca="1" si="13"/>
        <v>26668.487618930871</v>
      </c>
      <c r="W83" s="186">
        <f t="shared" si="14"/>
        <v>0.25739999999999996</v>
      </c>
      <c r="X83" s="185">
        <f t="shared" ca="1" si="15"/>
        <v>-6864.4687131128048</v>
      </c>
      <c r="Y83" s="185">
        <f t="shared" ca="1" si="16"/>
        <v>94759.719744372836</v>
      </c>
      <c r="Z83" s="185">
        <f>IF(C83="","",IF($B$31=0,"",-'Debt Financing Calculations'!F32))</f>
        <v>0</v>
      </c>
      <c r="AA83" s="185">
        <f t="shared" ca="1" si="17"/>
        <v>92724.559855185915</v>
      </c>
      <c r="AB83" s="185">
        <f t="shared" ca="1" si="23"/>
        <v>512704.60506631108</v>
      </c>
      <c r="AC83" s="938">
        <f t="shared" ca="1" si="18"/>
        <v>99589.028568298716</v>
      </c>
      <c r="AD83" s="132"/>
      <c r="AE83" s="942">
        <f t="shared" ca="1" si="19"/>
        <v>470850</v>
      </c>
      <c r="AF83" s="938">
        <f t="shared" si="20"/>
        <v>0</v>
      </c>
    </row>
    <row r="84" spans="1:32" x14ac:dyDescent="0.25">
      <c r="A84" s="56">
        <f t="shared" si="21"/>
        <v>2033</v>
      </c>
      <c r="B84" s="183">
        <f>IF(MAX($B$65:B83)&lt;(construct+anal_period),B83+1,"")</f>
        <v>20</v>
      </c>
      <c r="C84" s="183">
        <f t="shared" si="22"/>
        <v>19</v>
      </c>
      <c r="D84" s="183">
        <f t="shared" si="1"/>
        <v>19</v>
      </c>
      <c r="E84" s="184">
        <f t="shared" si="2"/>
        <v>1.4032508440416678</v>
      </c>
      <c r="F84" s="57">
        <f t="shared" ca="1" si="3"/>
        <v>974295.92943769693</v>
      </c>
      <c r="G84" s="951"/>
      <c r="H84" s="960">
        <f t="shared" si="24"/>
        <v>0</v>
      </c>
      <c r="I84" s="185">
        <f ca="1">IF(OR(C84&lt;0,C84=""),"",-E84*INDEX('Replacement Costs'!$A$16:$H$57,MATCH(C84,'Replacement Costs'!$C$16:$C$57,0),MATCH("Total Yearly Replacement Costs",'Replacement Costs'!$A$16:$H$16,0)))</f>
        <v>0</v>
      </c>
      <c r="J84" s="185">
        <f ca="1">IF(AND(C84&gt;=1,C84&lt;anal_period),WorkingCap*SUM(N84:R84)-WorkingCap*SUM(N83:R83),IF(C84&lt;0,0,IF(B84="","",-SUM(J$65:J83))))</f>
        <v>-1390.1954798057704</v>
      </c>
      <c r="K84" s="185" t="str">
        <f t="shared" si="4"/>
        <v/>
      </c>
      <c r="L84" s="185" t="str">
        <f t="shared" si="5"/>
        <v/>
      </c>
      <c r="M84" s="185" t="str">
        <f t="shared" si="6"/>
        <v/>
      </c>
      <c r="N84" s="185">
        <f t="shared" ca="1" si="7"/>
        <v>-138800.61335138249</v>
      </c>
      <c r="O84" s="185">
        <f t="shared" ca="1" si="8"/>
        <v>-674920.98718455213</v>
      </c>
      <c r="P84" s="185">
        <f t="shared" ca="1" si="9"/>
        <v>0</v>
      </c>
      <c r="Q84" s="185">
        <f t="shared" ca="1" si="10"/>
        <v>0</v>
      </c>
      <c r="R84" s="185">
        <f t="shared" ca="1" si="11"/>
        <v>-12420.182647290118</v>
      </c>
      <c r="S84" s="185">
        <f ca="1">IF(B84="","",IF($B$31=0,"",-'Debt Financing Calculations'!E33))</f>
        <v>-37631.467741537963</v>
      </c>
      <c r="T84" s="185">
        <f t="shared" ca="1" si="12"/>
        <v>110522.67851293425</v>
      </c>
      <c r="U84" s="185">
        <f ca="1">IF(C84="","",IF(C84&lt;-1,0,IF(C84=anal_period,-LOOKUP(C84,depr_yr,depr_cost)-Depreciation!$C$141-Depreciation!$B$166,-LOOKUP(C84,depr_yr,depr_cost))))</f>
        <v>-30179.061840548406</v>
      </c>
      <c r="V84" s="185">
        <f t="shared" ca="1" si="13"/>
        <v>80343.616672385833</v>
      </c>
      <c r="W84" s="186">
        <f t="shared" si="14"/>
        <v>0.25739999999999996</v>
      </c>
      <c r="X84" s="185">
        <f t="shared" ca="1" si="15"/>
        <v>-20680.44693147211</v>
      </c>
      <c r="Y84" s="185">
        <f t="shared" ca="1" si="16"/>
        <v>89842.23158146214</v>
      </c>
      <c r="Z84" s="185">
        <f>IF(C84="","",IF($B$31=0,"",-'Debt Financing Calculations'!F33))</f>
        <v>0</v>
      </c>
      <c r="AA84" s="185">
        <f t="shared" ca="1" si="17"/>
        <v>88452.036101656369</v>
      </c>
      <c r="AB84" s="185">
        <f t="shared" ca="1" si="23"/>
        <v>601156.64116796746</v>
      </c>
      <c r="AC84" s="938">
        <f t="shared" ca="1" si="18"/>
        <v>109132.48303312848</v>
      </c>
      <c r="AD84" s="132"/>
      <c r="AE84" s="942">
        <f t="shared" ca="1" si="19"/>
        <v>470850</v>
      </c>
      <c r="AF84" s="938">
        <f t="shared" si="20"/>
        <v>0</v>
      </c>
    </row>
    <row r="85" spans="1:32" x14ac:dyDescent="0.25">
      <c r="A85" s="56">
        <f t="shared" si="21"/>
        <v>2034</v>
      </c>
      <c r="B85" s="183">
        <f>IF(MAX($B$65:B84)&lt;(construct+anal_period),B84+1,"")</f>
        <v>21</v>
      </c>
      <c r="C85" s="183">
        <f t="shared" si="22"/>
        <v>20</v>
      </c>
      <c r="D85" s="183">
        <f t="shared" si="1"/>
        <v>20</v>
      </c>
      <c r="E85" s="184">
        <f t="shared" si="2"/>
        <v>1.4299126100784596</v>
      </c>
      <c r="F85" s="57">
        <f t="shared" ca="1" si="3"/>
        <v>992807.55209701334</v>
      </c>
      <c r="G85" s="951"/>
      <c r="H85" s="960">
        <f t="shared" si="24"/>
        <v>0</v>
      </c>
      <c r="I85" s="185">
        <f ca="1">IF(OR(C85&lt;0,C85=""),"",-E85*INDEX('Replacement Costs'!$A$16:$H$57,MATCH(C85,'Replacement Costs'!$C$16:$C$57,0),MATCH("Total Yearly Replacement Costs",'Replacement Costs'!$A$16:$H$16,0)))</f>
        <v>0</v>
      </c>
      <c r="J85" s="185">
        <f ca="1">IF(AND(C85&gt;=1,C85&lt;anal_period),WorkingCap*SUM(N85:R85)-WorkingCap*SUM(N84:R84),IF(C85&lt;0,0,IF(B85="","",-SUM(J$65:J84))))</f>
        <v>123921.26747748371</v>
      </c>
      <c r="K85" s="185" t="str">
        <f t="shared" si="4"/>
        <v/>
      </c>
      <c r="L85" s="185">
        <f t="shared" ca="1" si="5"/>
        <v>246991.41781222628</v>
      </c>
      <c r="M85" s="185">
        <f t="shared" ca="1" si="6"/>
        <v>-246991.41781222628</v>
      </c>
      <c r="N85" s="185">
        <f t="shared" ca="1" si="7"/>
        <v>-141437.82500505878</v>
      </c>
      <c r="O85" s="185">
        <f t="shared" ca="1" si="8"/>
        <v>-687352.01958297868</v>
      </c>
      <c r="P85" s="185">
        <f t="shared" ca="1" si="9"/>
        <v>0</v>
      </c>
      <c r="Q85" s="185">
        <f t="shared" ca="1" si="10"/>
        <v>0</v>
      </c>
      <c r="R85" s="185">
        <f t="shared" ca="1" si="11"/>
        <v>-12656.166117588631</v>
      </c>
      <c r="S85" s="185">
        <f ca="1">IF(B85="","",IF($B$31=0,"",-'Debt Financing Calculations'!E34))</f>
        <v>-37631.467741537963</v>
      </c>
      <c r="T85" s="185">
        <f t="shared" ca="1" si="12"/>
        <v>113730.07364984928</v>
      </c>
      <c r="U85" s="185">
        <f ca="1">IF(C85="","",IF(C85&lt;-1,0,IF(C85=anal_period,-LOOKUP(C85,depr_yr,depr_cost)-Depreciation!$C$141-Depreciation!$B$166,-LOOKUP(C85,depr_yr,depr_cost))))</f>
        <v>-75483.898470675122</v>
      </c>
      <c r="V85" s="185">
        <f t="shared" ca="1" si="13"/>
        <v>38246.175179174155</v>
      </c>
      <c r="W85" s="186">
        <f t="shared" si="14"/>
        <v>0.25739999999999996</v>
      </c>
      <c r="X85" s="185">
        <f t="shared" ca="1" si="15"/>
        <v>-9844.565491119427</v>
      </c>
      <c r="Y85" s="185">
        <f t="shared" ca="1" si="16"/>
        <v>103885.50815872985</v>
      </c>
      <c r="Z85" s="185">
        <f ca="1">IF(C85="","",IF($B$31=0,"",-'Debt Financing Calculations'!F34))</f>
        <v>-1017066.6957172423</v>
      </c>
      <c r="AA85" s="185">
        <f t="shared" ca="1" si="17"/>
        <v>-789259.92008102871</v>
      </c>
      <c r="AB85" s="185">
        <f t="shared" ca="1" si="23"/>
        <v>-188103.27891306125</v>
      </c>
      <c r="AC85" s="938">
        <f t="shared" ca="1" si="18"/>
        <v>-779415.35458990932</v>
      </c>
      <c r="AD85" s="132"/>
      <c r="AE85" s="942">
        <f t="shared" ca="1" si="19"/>
        <v>470850</v>
      </c>
      <c r="AF85" s="938">
        <f t="shared" si="20"/>
        <v>0</v>
      </c>
    </row>
    <row r="86" spans="1:32" x14ac:dyDescent="0.25">
      <c r="A86" s="56" t="str">
        <f t="shared" si="21"/>
        <v/>
      </c>
      <c r="B86" s="183" t="str">
        <f>IF(MAX($B$65:B85)&lt;(construct+anal_period),B85+1,"")</f>
        <v/>
      </c>
      <c r="C86" s="183" t="str">
        <f t="shared" si="22"/>
        <v/>
      </c>
      <c r="D86" s="183" t="str">
        <f t="shared" si="1"/>
        <v/>
      </c>
      <c r="E86" s="184" t="str">
        <f t="shared" si="2"/>
        <v/>
      </c>
      <c r="F86" s="57" t="str">
        <f t="shared" si="3"/>
        <v/>
      </c>
      <c r="G86" s="951"/>
      <c r="H86" s="960" t="str">
        <f t="shared" si="24"/>
        <v/>
      </c>
      <c r="I86" s="185" t="str">
        <f>IF(OR(C86&lt;0,C86=""),"",-E86*INDEX('Replacement Costs'!$A$16:$H$57,MATCH(C86,'Replacement Costs'!$C$16:$C$57,0),MATCH("Total Yearly Replacement Costs",'Replacement Costs'!$A$16:$H$16,0)))</f>
        <v/>
      </c>
      <c r="J86" s="185" t="str">
        <f>IF(AND(C86&gt;=1,C86&lt;anal_period),WorkingCap*SUM(N86:R86)-WorkingCap*SUM(N85:R85),IF(C86&lt;0,0,IF(B86="","",-SUM(J$65:J85))))</f>
        <v/>
      </c>
      <c r="K86" s="185" t="str">
        <f t="shared" si="4"/>
        <v/>
      </c>
      <c r="L86" s="185" t="str">
        <f t="shared" si="5"/>
        <v/>
      </c>
      <c r="M86" s="185" t="str">
        <f t="shared" si="6"/>
        <v/>
      </c>
      <c r="N86" s="185" t="str">
        <f t="shared" si="7"/>
        <v/>
      </c>
      <c r="O86" s="185" t="str">
        <f t="shared" si="8"/>
        <v/>
      </c>
      <c r="P86" s="185" t="str">
        <f t="shared" si="9"/>
        <v/>
      </c>
      <c r="Q86" s="185" t="str">
        <f t="shared" si="10"/>
        <v/>
      </c>
      <c r="R86" s="185" t="str">
        <f t="shared" si="11"/>
        <v/>
      </c>
      <c r="S86" s="185" t="str">
        <f>IF(B86="","",IF($B$31=0,"",-'Debt Financing Calculations'!E35))</f>
        <v/>
      </c>
      <c r="T86" s="185" t="str">
        <f t="shared" si="12"/>
        <v/>
      </c>
      <c r="U86" s="185" t="str">
        <f>IF(C86="","",IF(C86&lt;-1,0,IF(C86=anal_period,-LOOKUP(C86,depr_yr,depr_cost)-Depreciation!$C$141-Depreciation!$B$166,-LOOKUP(C86,depr_yr,depr_cost))))</f>
        <v/>
      </c>
      <c r="V86" s="185" t="str">
        <f t="shared" si="13"/>
        <v/>
      </c>
      <c r="W86" s="186" t="str">
        <f t="shared" si="14"/>
        <v/>
      </c>
      <c r="X86" s="185" t="str">
        <f t="shared" si="15"/>
        <v/>
      </c>
      <c r="Y86" s="185" t="str">
        <f t="shared" si="16"/>
        <v/>
      </c>
      <c r="Z86" s="185" t="str">
        <f>IF(C86="","",IF($B$31=0,"",-'Debt Financing Calculations'!F35))</f>
        <v/>
      </c>
      <c r="AA86" s="185" t="str">
        <f t="shared" si="17"/>
        <v/>
      </c>
      <c r="AB86" s="185" t="str">
        <f t="shared" si="23"/>
        <v/>
      </c>
      <c r="AC86" s="938" t="str">
        <f t="shared" si="18"/>
        <v/>
      </c>
      <c r="AD86" s="132"/>
      <c r="AE86" s="942" t="str">
        <f t="shared" si="19"/>
        <v/>
      </c>
      <c r="AF86" s="938" t="str">
        <f t="shared" si="20"/>
        <v/>
      </c>
    </row>
    <row r="87" spans="1:32" x14ac:dyDescent="0.25">
      <c r="A87" s="56" t="str">
        <f t="shared" si="21"/>
        <v/>
      </c>
      <c r="B87" s="183" t="str">
        <f>IF(MAX($B$65:B86)&lt;(construct+anal_period),B86+1,"")</f>
        <v/>
      </c>
      <c r="C87" s="183" t="str">
        <f t="shared" si="22"/>
        <v/>
      </c>
      <c r="D87" s="183" t="str">
        <f t="shared" si="1"/>
        <v/>
      </c>
      <c r="E87" s="184" t="str">
        <f t="shared" si="2"/>
        <v/>
      </c>
      <c r="F87" s="57" t="str">
        <f t="shared" si="3"/>
        <v/>
      </c>
      <c r="G87" s="951"/>
      <c r="H87" s="960" t="str">
        <f t="shared" si="24"/>
        <v/>
      </c>
      <c r="I87" s="185" t="str">
        <f>IF(OR(C87&lt;0,C87=""),"",-E87*INDEX('Replacement Costs'!$A$16:$H$57,MATCH(C87,'Replacement Costs'!$C$16:$C$57,0),MATCH("Total Yearly Replacement Costs",'Replacement Costs'!$A$16:$H$16,0)))</f>
        <v/>
      </c>
      <c r="J87" s="185" t="str">
        <f>IF(AND(C87&gt;=1,C87&lt;anal_period),WorkingCap*SUM(N87:R87)-WorkingCap*SUM(N86:R86),IF(C87&lt;0,0,IF(B87="","",-SUM(J$65:J86))))</f>
        <v/>
      </c>
      <c r="K87" s="185" t="str">
        <f t="shared" si="4"/>
        <v/>
      </c>
      <c r="L87" s="185" t="str">
        <f t="shared" si="5"/>
        <v/>
      </c>
      <c r="M87" s="185" t="str">
        <f t="shared" si="6"/>
        <v/>
      </c>
      <c r="N87" s="185" t="str">
        <f t="shared" si="7"/>
        <v/>
      </c>
      <c r="O87" s="185" t="str">
        <f t="shared" si="8"/>
        <v/>
      </c>
      <c r="P87" s="185" t="str">
        <f t="shared" si="9"/>
        <v/>
      </c>
      <c r="Q87" s="185" t="str">
        <f t="shared" si="10"/>
        <v/>
      </c>
      <c r="R87" s="185" t="str">
        <f t="shared" si="11"/>
        <v/>
      </c>
      <c r="S87" s="185" t="str">
        <f>IF(B87="","",IF($B$31=0,"",-'Debt Financing Calculations'!E36))</f>
        <v/>
      </c>
      <c r="T87" s="185" t="str">
        <f t="shared" si="12"/>
        <v/>
      </c>
      <c r="U87" s="185" t="str">
        <f>IF(C87="","",IF(C87&lt;-1,0,IF(C87=anal_period,-LOOKUP(C87,depr_yr,depr_cost)-Depreciation!$C$141-Depreciation!$B$166,-LOOKUP(C87,depr_yr,depr_cost))))</f>
        <v/>
      </c>
      <c r="V87" s="185" t="str">
        <f t="shared" si="13"/>
        <v/>
      </c>
      <c r="W87" s="186" t="str">
        <f t="shared" si="14"/>
        <v/>
      </c>
      <c r="X87" s="185" t="str">
        <f t="shared" si="15"/>
        <v/>
      </c>
      <c r="Y87" s="185" t="str">
        <f t="shared" si="16"/>
        <v/>
      </c>
      <c r="Z87" s="185" t="str">
        <f>IF(C87="","",IF($B$31=0,"",-'Debt Financing Calculations'!F36))</f>
        <v/>
      </c>
      <c r="AA87" s="185" t="str">
        <f t="shared" si="17"/>
        <v/>
      </c>
      <c r="AB87" s="185" t="str">
        <f t="shared" si="23"/>
        <v/>
      </c>
      <c r="AC87" s="938" t="str">
        <f t="shared" si="18"/>
        <v/>
      </c>
      <c r="AD87" s="132"/>
      <c r="AE87" s="942" t="str">
        <f t="shared" si="19"/>
        <v/>
      </c>
      <c r="AF87" s="938" t="str">
        <f t="shared" si="20"/>
        <v/>
      </c>
    </row>
    <row r="88" spans="1:32" x14ac:dyDescent="0.25">
      <c r="A88" s="56" t="str">
        <f t="shared" si="21"/>
        <v/>
      </c>
      <c r="B88" s="183" t="str">
        <f>IF(MAX($B$65:B87)&lt;(construct+anal_period),B87+1,"")</f>
        <v/>
      </c>
      <c r="C88" s="183" t="str">
        <f t="shared" si="22"/>
        <v/>
      </c>
      <c r="D88" s="183" t="str">
        <f t="shared" si="1"/>
        <v/>
      </c>
      <c r="E88" s="184" t="str">
        <f t="shared" si="2"/>
        <v/>
      </c>
      <c r="F88" s="57" t="str">
        <f t="shared" si="3"/>
        <v/>
      </c>
      <c r="G88" s="951"/>
      <c r="H88" s="960" t="str">
        <f t="shared" si="24"/>
        <v/>
      </c>
      <c r="I88" s="185" t="str">
        <f>IF(OR(C88&lt;0,C88=""),"",-E88*INDEX('Replacement Costs'!$A$16:$H$57,MATCH(C88,'Replacement Costs'!$C$16:$C$57,0),MATCH("Total Yearly Replacement Costs",'Replacement Costs'!$A$16:$H$16,0)))</f>
        <v/>
      </c>
      <c r="J88" s="185" t="str">
        <f>IF(AND(C88&gt;=1,C88&lt;anal_period),WorkingCap*SUM(N88:R88)-WorkingCap*SUM(N87:R87),IF(C88&lt;0,0,IF(B88="","",-SUM(J$65:J87))))</f>
        <v/>
      </c>
      <c r="K88" s="185" t="str">
        <f t="shared" si="4"/>
        <v/>
      </c>
      <c r="L88" s="185" t="str">
        <f t="shared" si="5"/>
        <v/>
      </c>
      <c r="M88" s="185" t="str">
        <f t="shared" si="6"/>
        <v/>
      </c>
      <c r="N88" s="185" t="str">
        <f t="shared" si="7"/>
        <v/>
      </c>
      <c r="O88" s="185" t="str">
        <f t="shared" si="8"/>
        <v/>
      </c>
      <c r="P88" s="185" t="str">
        <f t="shared" si="9"/>
        <v/>
      </c>
      <c r="Q88" s="185" t="str">
        <f t="shared" si="10"/>
        <v/>
      </c>
      <c r="R88" s="185" t="str">
        <f t="shared" si="11"/>
        <v/>
      </c>
      <c r="S88" s="185" t="str">
        <f>IF(B88="","",IF($B$31=0,"",-'Debt Financing Calculations'!E37))</f>
        <v/>
      </c>
      <c r="T88" s="185" t="str">
        <f t="shared" si="12"/>
        <v/>
      </c>
      <c r="U88" s="185" t="str">
        <f>IF(C88="","",IF(C88&lt;-1,0,IF(C88=anal_period,-LOOKUP(C88,depr_yr,depr_cost)-Depreciation!$C$141-Depreciation!$B$166,-LOOKUP(C88,depr_yr,depr_cost))))</f>
        <v/>
      </c>
      <c r="V88" s="185" t="str">
        <f t="shared" si="13"/>
        <v/>
      </c>
      <c r="W88" s="186" t="str">
        <f t="shared" si="14"/>
        <v/>
      </c>
      <c r="X88" s="185" t="str">
        <f t="shared" si="15"/>
        <v/>
      </c>
      <c r="Y88" s="185" t="str">
        <f t="shared" si="16"/>
        <v/>
      </c>
      <c r="Z88" s="185" t="str">
        <f>IF(C88="","",IF($B$31=0,"",-'Debt Financing Calculations'!F37))</f>
        <v/>
      </c>
      <c r="AA88" s="185" t="str">
        <f t="shared" si="17"/>
        <v/>
      </c>
      <c r="AB88" s="185" t="str">
        <f t="shared" si="23"/>
        <v/>
      </c>
      <c r="AC88" s="938" t="str">
        <f t="shared" si="18"/>
        <v/>
      </c>
      <c r="AD88" s="132"/>
      <c r="AE88" s="942" t="str">
        <f t="shared" si="19"/>
        <v/>
      </c>
      <c r="AF88" s="938" t="str">
        <f t="shared" si="20"/>
        <v/>
      </c>
    </row>
    <row r="89" spans="1:32" x14ac:dyDescent="0.25">
      <c r="A89" s="56" t="str">
        <f t="shared" si="21"/>
        <v/>
      </c>
      <c r="B89" s="183" t="str">
        <f>IF(MAX($B$65:B88)&lt;(construct+anal_period),B88+1,"")</f>
        <v/>
      </c>
      <c r="C89" s="183" t="str">
        <f t="shared" si="22"/>
        <v/>
      </c>
      <c r="D89" s="183" t="str">
        <f t="shared" si="1"/>
        <v/>
      </c>
      <c r="E89" s="184" t="str">
        <f t="shared" si="2"/>
        <v/>
      </c>
      <c r="F89" s="57" t="str">
        <f t="shared" si="3"/>
        <v/>
      </c>
      <c r="G89" s="951"/>
      <c r="H89" s="960" t="str">
        <f t="shared" si="24"/>
        <v/>
      </c>
      <c r="I89" s="185" t="str">
        <f>IF(OR(C89&lt;0,C89=""),"",-E89*INDEX('Replacement Costs'!$A$16:$H$57,MATCH(C89,'Replacement Costs'!$C$16:$C$57,0),MATCH("Total Yearly Replacement Costs",'Replacement Costs'!$A$16:$H$16,0)))</f>
        <v/>
      </c>
      <c r="J89" s="185" t="str">
        <f>IF(AND(C89&gt;=1,C89&lt;anal_period),WorkingCap*SUM(N89:R89)-WorkingCap*SUM(N88:R88),IF(C89&lt;0,0,IF(B89="","",-SUM(J$65:J88))))</f>
        <v/>
      </c>
      <c r="K89" s="185" t="str">
        <f t="shared" si="4"/>
        <v/>
      </c>
      <c r="L89" s="185" t="str">
        <f t="shared" si="5"/>
        <v/>
      </c>
      <c r="M89" s="185" t="str">
        <f t="shared" si="6"/>
        <v/>
      </c>
      <c r="N89" s="185" t="str">
        <f t="shared" si="7"/>
        <v/>
      </c>
      <c r="O89" s="185" t="str">
        <f t="shared" si="8"/>
        <v/>
      </c>
      <c r="P89" s="185" t="str">
        <f t="shared" si="9"/>
        <v/>
      </c>
      <c r="Q89" s="185" t="str">
        <f t="shared" si="10"/>
        <v/>
      </c>
      <c r="R89" s="185" t="str">
        <f t="shared" si="11"/>
        <v/>
      </c>
      <c r="S89" s="185" t="str">
        <f>IF(B89="","",IF($B$31=0,"",-'Debt Financing Calculations'!E38))</f>
        <v/>
      </c>
      <c r="T89" s="185" t="str">
        <f t="shared" si="12"/>
        <v/>
      </c>
      <c r="U89" s="185" t="str">
        <f>IF(C89="","",IF(C89&lt;-1,0,IF(C89=anal_period,-LOOKUP(C89,depr_yr,depr_cost)-Depreciation!$C$141-Depreciation!$B$166,-LOOKUP(C89,depr_yr,depr_cost))))</f>
        <v/>
      </c>
      <c r="V89" s="185" t="str">
        <f t="shared" si="13"/>
        <v/>
      </c>
      <c r="W89" s="186" t="str">
        <f t="shared" si="14"/>
        <v/>
      </c>
      <c r="X89" s="185" t="str">
        <f t="shared" si="15"/>
        <v/>
      </c>
      <c r="Y89" s="185" t="str">
        <f t="shared" si="16"/>
        <v/>
      </c>
      <c r="Z89" s="185" t="str">
        <f>IF(C89="","",IF($B$31=0,"",-'Debt Financing Calculations'!F38))</f>
        <v/>
      </c>
      <c r="AA89" s="185" t="str">
        <f t="shared" si="17"/>
        <v/>
      </c>
      <c r="AB89" s="185" t="str">
        <f t="shared" si="23"/>
        <v/>
      </c>
      <c r="AC89" s="938" t="str">
        <f t="shared" si="18"/>
        <v/>
      </c>
      <c r="AD89" s="132"/>
      <c r="AE89" s="942" t="str">
        <f t="shared" si="19"/>
        <v/>
      </c>
      <c r="AF89" s="938" t="str">
        <f t="shared" si="20"/>
        <v/>
      </c>
    </row>
    <row r="90" spans="1:32" x14ac:dyDescent="0.25">
      <c r="A90" s="56" t="str">
        <f t="shared" si="21"/>
        <v/>
      </c>
      <c r="B90" s="183" t="str">
        <f>IF(MAX($B$65:B89)&lt;(construct+anal_period),B89+1,"")</f>
        <v/>
      </c>
      <c r="C90" s="183" t="str">
        <f t="shared" si="22"/>
        <v/>
      </c>
      <c r="D90" s="183" t="str">
        <f t="shared" si="1"/>
        <v/>
      </c>
      <c r="E90" s="184" t="str">
        <f t="shared" si="2"/>
        <v/>
      </c>
      <c r="F90" s="57" t="str">
        <f t="shared" si="3"/>
        <v/>
      </c>
      <c r="G90" s="951"/>
      <c r="H90" s="960" t="str">
        <f t="shared" si="24"/>
        <v/>
      </c>
      <c r="I90" s="185" t="str">
        <f>IF(OR(C90&lt;0,C90=""),"",-E90*INDEX('Replacement Costs'!$A$16:$H$57,MATCH(C90,'Replacement Costs'!$C$16:$C$57,0),MATCH("Total Yearly Replacement Costs",'Replacement Costs'!$A$16:$H$16,0)))</f>
        <v/>
      </c>
      <c r="J90" s="185" t="str">
        <f>IF(AND(C90&gt;=1,C90&lt;anal_period),WorkingCap*SUM(N90:R90)-WorkingCap*SUM(N89:R89),IF(C90&lt;0,0,IF(B90="","",-SUM(J$65:J89))))</f>
        <v/>
      </c>
      <c r="K90" s="185" t="str">
        <f t="shared" si="4"/>
        <v/>
      </c>
      <c r="L90" s="185" t="str">
        <f t="shared" si="5"/>
        <v/>
      </c>
      <c r="M90" s="185" t="str">
        <f t="shared" si="6"/>
        <v/>
      </c>
      <c r="N90" s="185" t="str">
        <f t="shared" si="7"/>
        <v/>
      </c>
      <c r="O90" s="185" t="str">
        <f t="shared" si="8"/>
        <v/>
      </c>
      <c r="P90" s="185" t="str">
        <f t="shared" si="9"/>
        <v/>
      </c>
      <c r="Q90" s="185" t="str">
        <f t="shared" si="10"/>
        <v/>
      </c>
      <c r="R90" s="185" t="str">
        <f t="shared" si="11"/>
        <v/>
      </c>
      <c r="S90" s="185" t="str">
        <f>IF(B90="","",IF($B$31=0,"",-'Debt Financing Calculations'!E39))</f>
        <v/>
      </c>
      <c r="T90" s="185" t="str">
        <f t="shared" si="12"/>
        <v/>
      </c>
      <c r="U90" s="185" t="str">
        <f>IF(C90="","",IF(C90&lt;-1,0,IF(C90=anal_period,-LOOKUP(C90,depr_yr,depr_cost)-Depreciation!$C$141-Depreciation!$B$166,-LOOKUP(C90,depr_yr,depr_cost))))</f>
        <v/>
      </c>
      <c r="V90" s="185" t="str">
        <f t="shared" si="13"/>
        <v/>
      </c>
      <c r="W90" s="186" t="str">
        <f t="shared" si="14"/>
        <v/>
      </c>
      <c r="X90" s="185" t="str">
        <f t="shared" si="15"/>
        <v/>
      </c>
      <c r="Y90" s="185" t="str">
        <f t="shared" si="16"/>
        <v/>
      </c>
      <c r="Z90" s="185" t="str">
        <f>IF(C90="","",IF($B$31=0,"",-'Debt Financing Calculations'!F39))</f>
        <v/>
      </c>
      <c r="AA90" s="185" t="str">
        <f t="shared" si="17"/>
        <v/>
      </c>
      <c r="AB90" s="185" t="str">
        <f t="shared" si="23"/>
        <v/>
      </c>
      <c r="AC90" s="938" t="str">
        <f t="shared" si="18"/>
        <v/>
      </c>
      <c r="AD90" s="132"/>
      <c r="AE90" s="942" t="str">
        <f t="shared" si="19"/>
        <v/>
      </c>
      <c r="AF90" s="938" t="str">
        <f t="shared" si="20"/>
        <v/>
      </c>
    </row>
    <row r="91" spans="1:32" x14ac:dyDescent="0.25">
      <c r="A91" s="56" t="str">
        <f t="shared" si="21"/>
        <v/>
      </c>
      <c r="B91" s="183" t="str">
        <f>IF(MAX($B$65:B90)&lt;(construct+anal_period),B90+1,"")</f>
        <v/>
      </c>
      <c r="C91" s="183" t="str">
        <f t="shared" si="22"/>
        <v/>
      </c>
      <c r="D91" s="183" t="str">
        <f t="shared" si="1"/>
        <v/>
      </c>
      <c r="E91" s="184" t="str">
        <f t="shared" si="2"/>
        <v/>
      </c>
      <c r="F91" s="57" t="str">
        <f t="shared" si="3"/>
        <v/>
      </c>
      <c r="G91" s="951"/>
      <c r="H91" s="960" t="str">
        <f t="shared" si="24"/>
        <v/>
      </c>
      <c r="I91" s="185" t="str">
        <f>IF(OR(C91&lt;0,C91=""),"",-E91*INDEX('Replacement Costs'!$A$16:$H$57,MATCH(C91,'Replacement Costs'!$C$16:$C$57,0),MATCH("Total Yearly Replacement Costs",'Replacement Costs'!$A$16:$H$16,0)))</f>
        <v/>
      </c>
      <c r="J91" s="185" t="str">
        <f>IF(AND(C91&gt;=1,C91&lt;anal_period),WorkingCap*SUM(N91:R91)-WorkingCap*SUM(N90:R90),IF(C91&lt;0,0,IF(B91="","",-SUM(J$65:J90))))</f>
        <v/>
      </c>
      <c r="K91" s="185" t="str">
        <f t="shared" si="4"/>
        <v/>
      </c>
      <c r="L91" s="185" t="str">
        <f t="shared" si="5"/>
        <v/>
      </c>
      <c r="M91" s="185" t="str">
        <f t="shared" si="6"/>
        <v/>
      </c>
      <c r="N91" s="185" t="str">
        <f t="shared" si="7"/>
        <v/>
      </c>
      <c r="O91" s="185" t="str">
        <f t="shared" si="8"/>
        <v/>
      </c>
      <c r="P91" s="185" t="str">
        <f t="shared" si="9"/>
        <v/>
      </c>
      <c r="Q91" s="185" t="str">
        <f t="shared" si="10"/>
        <v/>
      </c>
      <c r="R91" s="185" t="str">
        <f t="shared" si="11"/>
        <v/>
      </c>
      <c r="S91" s="185" t="str">
        <f>IF(B91="","",IF($B$31=0,"",-'Debt Financing Calculations'!E40))</f>
        <v/>
      </c>
      <c r="T91" s="185" t="str">
        <f t="shared" si="12"/>
        <v/>
      </c>
      <c r="U91" s="185" t="str">
        <f>IF(C91="","",IF(C91&lt;-1,0,IF(C91=anal_period,-LOOKUP(C91,depr_yr,depr_cost)-Depreciation!$C$141-Depreciation!$B$166,-LOOKUP(C91,depr_yr,depr_cost))))</f>
        <v/>
      </c>
      <c r="V91" s="185" t="str">
        <f t="shared" si="13"/>
        <v/>
      </c>
      <c r="W91" s="186" t="str">
        <f t="shared" si="14"/>
        <v/>
      </c>
      <c r="X91" s="185" t="str">
        <f t="shared" si="15"/>
        <v/>
      </c>
      <c r="Y91" s="185" t="str">
        <f t="shared" si="16"/>
        <v/>
      </c>
      <c r="Z91" s="185" t="str">
        <f>IF(C91="","",IF($B$31=0,"",-'Debt Financing Calculations'!F40))</f>
        <v/>
      </c>
      <c r="AA91" s="185" t="str">
        <f t="shared" si="17"/>
        <v/>
      </c>
      <c r="AB91" s="185" t="str">
        <f t="shared" si="23"/>
        <v/>
      </c>
      <c r="AC91" s="938" t="str">
        <f t="shared" si="18"/>
        <v/>
      </c>
      <c r="AD91" s="132"/>
      <c r="AE91" s="942" t="str">
        <f t="shared" si="19"/>
        <v/>
      </c>
      <c r="AF91" s="938" t="str">
        <f t="shared" si="20"/>
        <v/>
      </c>
    </row>
    <row r="92" spans="1:32" x14ac:dyDescent="0.25">
      <c r="A92" s="56" t="str">
        <f t="shared" si="21"/>
        <v/>
      </c>
      <c r="B92" s="183" t="str">
        <f>IF(MAX($B$65:B91)&lt;(construct+anal_period),B91+1,"")</f>
        <v/>
      </c>
      <c r="C92" s="183" t="str">
        <f t="shared" si="22"/>
        <v/>
      </c>
      <c r="D92" s="183" t="str">
        <f t="shared" si="1"/>
        <v/>
      </c>
      <c r="E92" s="184" t="str">
        <f t="shared" si="2"/>
        <v/>
      </c>
      <c r="F92" s="57" t="str">
        <f t="shared" si="3"/>
        <v/>
      </c>
      <c r="G92" s="951"/>
      <c r="H92" s="960" t="str">
        <f t="shared" si="24"/>
        <v/>
      </c>
      <c r="I92" s="185" t="str">
        <f>IF(OR(C92&lt;0,C92=""),"",-E92*INDEX('Replacement Costs'!$A$16:$H$57,MATCH(C92,'Replacement Costs'!$C$16:$C$57,0),MATCH("Total Yearly Replacement Costs",'Replacement Costs'!$A$16:$H$16,0)))</f>
        <v/>
      </c>
      <c r="J92" s="185" t="str">
        <f>IF(AND(C92&gt;=1,C92&lt;anal_period),WorkingCap*SUM(N92:R92)-WorkingCap*SUM(N91:R91),IF(C92&lt;0,0,IF(B92="","",-SUM(J$65:J91))))</f>
        <v/>
      </c>
      <c r="K92" s="185" t="str">
        <f t="shared" si="4"/>
        <v/>
      </c>
      <c r="L92" s="185" t="str">
        <f t="shared" si="5"/>
        <v/>
      </c>
      <c r="M92" s="185" t="str">
        <f t="shared" si="6"/>
        <v/>
      </c>
      <c r="N92" s="185" t="str">
        <f t="shared" si="7"/>
        <v/>
      </c>
      <c r="O92" s="185" t="str">
        <f t="shared" si="8"/>
        <v/>
      </c>
      <c r="P92" s="185" t="str">
        <f t="shared" si="9"/>
        <v/>
      </c>
      <c r="Q92" s="185" t="str">
        <f t="shared" si="10"/>
        <v/>
      </c>
      <c r="R92" s="185" t="str">
        <f t="shared" si="11"/>
        <v/>
      </c>
      <c r="S92" s="185" t="str">
        <f>IF(B92="","",IF($B$31=0,"",-'Debt Financing Calculations'!E41))</f>
        <v/>
      </c>
      <c r="T92" s="185" t="str">
        <f t="shared" si="12"/>
        <v/>
      </c>
      <c r="U92" s="185" t="str">
        <f>IF(C92="","",IF(C92&lt;-1,0,IF(C92=anal_period,-LOOKUP(C92,depr_yr,depr_cost)-Depreciation!$C$141-Depreciation!$B$166,-LOOKUP(C92,depr_yr,depr_cost))))</f>
        <v/>
      </c>
      <c r="V92" s="185" t="str">
        <f t="shared" si="13"/>
        <v/>
      </c>
      <c r="W92" s="186" t="str">
        <f t="shared" si="14"/>
        <v/>
      </c>
      <c r="X92" s="185" t="str">
        <f t="shared" si="15"/>
        <v/>
      </c>
      <c r="Y92" s="185" t="str">
        <f t="shared" si="16"/>
        <v/>
      </c>
      <c r="Z92" s="185" t="str">
        <f>IF(C92="","",IF($B$31=0,"",-'Debt Financing Calculations'!F41))</f>
        <v/>
      </c>
      <c r="AA92" s="185" t="str">
        <f t="shared" si="17"/>
        <v/>
      </c>
      <c r="AB92" s="185" t="str">
        <f t="shared" si="23"/>
        <v/>
      </c>
      <c r="AC92" s="938" t="str">
        <f t="shared" si="18"/>
        <v/>
      </c>
      <c r="AD92" s="132"/>
      <c r="AE92" s="942" t="str">
        <f t="shared" si="19"/>
        <v/>
      </c>
      <c r="AF92" s="938" t="str">
        <f t="shared" si="20"/>
        <v/>
      </c>
    </row>
    <row r="93" spans="1:32" x14ac:dyDescent="0.25">
      <c r="A93" s="56" t="str">
        <f t="shared" si="21"/>
        <v/>
      </c>
      <c r="B93" s="183" t="str">
        <f>IF(MAX($B$65:B92)&lt;(construct+anal_period),B92+1,"")</f>
        <v/>
      </c>
      <c r="C93" s="183" t="str">
        <f t="shared" si="22"/>
        <v/>
      </c>
      <c r="D93" s="183" t="str">
        <f t="shared" si="1"/>
        <v/>
      </c>
      <c r="E93" s="184" t="str">
        <f t="shared" si="2"/>
        <v/>
      </c>
      <c r="F93" s="57" t="str">
        <f t="shared" si="3"/>
        <v/>
      </c>
      <c r="G93" s="951"/>
      <c r="H93" s="960" t="str">
        <f t="shared" si="24"/>
        <v/>
      </c>
      <c r="I93" s="185" t="str">
        <f>IF(OR(C93&lt;0,C93=""),"",-E93*INDEX('Replacement Costs'!$A$16:$H$57,MATCH(C93,'Replacement Costs'!$C$16:$C$57,0),MATCH("Total Yearly Replacement Costs",'Replacement Costs'!$A$16:$H$16,0)))</f>
        <v/>
      </c>
      <c r="J93" s="185" t="str">
        <f>IF(AND(C93&gt;=1,C93&lt;anal_period),WorkingCap*SUM(N93:R93)-WorkingCap*SUM(N92:R92),IF(C93&lt;0,0,IF(B93="","",-SUM(J$65:J92))))</f>
        <v/>
      </c>
      <c r="K93" s="185" t="str">
        <f t="shared" si="4"/>
        <v/>
      </c>
      <c r="L93" s="185" t="str">
        <f t="shared" si="5"/>
        <v/>
      </c>
      <c r="M93" s="185" t="str">
        <f t="shared" si="6"/>
        <v/>
      </c>
      <c r="N93" s="185" t="str">
        <f t="shared" si="7"/>
        <v/>
      </c>
      <c r="O93" s="185" t="str">
        <f t="shared" si="8"/>
        <v/>
      </c>
      <c r="P93" s="185" t="str">
        <f t="shared" si="9"/>
        <v/>
      </c>
      <c r="Q93" s="185" t="str">
        <f t="shared" si="10"/>
        <v/>
      </c>
      <c r="R93" s="185" t="str">
        <f t="shared" si="11"/>
        <v/>
      </c>
      <c r="S93" s="185" t="str">
        <f>IF(B93="","",IF($B$31=0,"",-'Debt Financing Calculations'!E42))</f>
        <v/>
      </c>
      <c r="T93" s="185" t="str">
        <f t="shared" si="12"/>
        <v/>
      </c>
      <c r="U93" s="185" t="str">
        <f>IF(C93="","",IF(C93&lt;-1,0,IF(C93=anal_period,-LOOKUP(C93,depr_yr,depr_cost)-Depreciation!$C$141-Depreciation!$B$166,-LOOKUP(C93,depr_yr,depr_cost))))</f>
        <v/>
      </c>
      <c r="V93" s="185" t="str">
        <f t="shared" si="13"/>
        <v/>
      </c>
      <c r="W93" s="186" t="str">
        <f t="shared" si="14"/>
        <v/>
      </c>
      <c r="X93" s="185" t="str">
        <f t="shared" si="15"/>
        <v/>
      </c>
      <c r="Y93" s="185" t="str">
        <f t="shared" si="16"/>
        <v/>
      </c>
      <c r="Z93" s="185" t="str">
        <f>IF(C93="","",IF($B$31=0,"",-'Debt Financing Calculations'!F42))</f>
        <v/>
      </c>
      <c r="AA93" s="185" t="str">
        <f t="shared" si="17"/>
        <v/>
      </c>
      <c r="AB93" s="185" t="str">
        <f t="shared" si="23"/>
        <v/>
      </c>
      <c r="AC93" s="938" t="str">
        <f t="shared" si="18"/>
        <v/>
      </c>
      <c r="AD93" s="132"/>
      <c r="AE93" s="942" t="str">
        <f t="shared" si="19"/>
        <v/>
      </c>
      <c r="AF93" s="938" t="str">
        <f t="shared" si="20"/>
        <v/>
      </c>
    </row>
    <row r="94" spans="1:32" x14ac:dyDescent="0.25">
      <c r="A94" s="56" t="str">
        <f t="shared" si="21"/>
        <v/>
      </c>
      <c r="B94" s="183" t="str">
        <f>IF(MAX($B$65:B93)&lt;(construct+anal_period),B93+1,"")</f>
        <v/>
      </c>
      <c r="C94" s="183" t="str">
        <f t="shared" si="22"/>
        <v/>
      </c>
      <c r="D94" s="183" t="str">
        <f t="shared" si="1"/>
        <v/>
      </c>
      <c r="E94" s="184" t="str">
        <f t="shared" si="2"/>
        <v/>
      </c>
      <c r="F94" s="57" t="str">
        <f t="shared" si="3"/>
        <v/>
      </c>
      <c r="G94" s="951"/>
      <c r="H94" s="960" t="str">
        <f t="shared" si="24"/>
        <v/>
      </c>
      <c r="I94" s="185" t="str">
        <f>IF(OR(C94&lt;0,C94=""),"",-E94*INDEX('Replacement Costs'!$A$16:$H$57,MATCH(C94,'Replacement Costs'!$C$16:$C$57,0),MATCH("Total Yearly Replacement Costs",'Replacement Costs'!$A$16:$H$16,0)))</f>
        <v/>
      </c>
      <c r="J94" s="185" t="str">
        <f>IF(AND(C94&gt;=1,C94&lt;anal_period),WorkingCap*SUM(N94:R94)-WorkingCap*SUM(N93:R93),IF(C94&lt;0,0,IF(B94="","",-SUM(J$65:J93))))</f>
        <v/>
      </c>
      <c r="K94" s="185" t="str">
        <f t="shared" si="4"/>
        <v/>
      </c>
      <c r="L94" s="185" t="str">
        <f t="shared" si="5"/>
        <v/>
      </c>
      <c r="M94" s="185" t="str">
        <f t="shared" si="6"/>
        <v/>
      </c>
      <c r="N94" s="185" t="str">
        <f t="shared" si="7"/>
        <v/>
      </c>
      <c r="O94" s="185" t="str">
        <f t="shared" si="8"/>
        <v/>
      </c>
      <c r="P94" s="185" t="str">
        <f t="shared" si="9"/>
        <v/>
      </c>
      <c r="Q94" s="185" t="str">
        <f t="shared" si="10"/>
        <v/>
      </c>
      <c r="R94" s="185" t="str">
        <f t="shared" si="11"/>
        <v/>
      </c>
      <c r="S94" s="185" t="str">
        <f>IF(B94="","",IF($B$31=0,"",-'Debt Financing Calculations'!E43))</f>
        <v/>
      </c>
      <c r="T94" s="185" t="str">
        <f t="shared" si="12"/>
        <v/>
      </c>
      <c r="U94" s="185" t="str">
        <f>IF(C94="","",IF(C94&lt;-1,0,IF(C94=anal_period,-LOOKUP(C94,depr_yr,depr_cost)-Depreciation!$C$141-Depreciation!$B$166,-LOOKUP(C94,depr_yr,depr_cost))))</f>
        <v/>
      </c>
      <c r="V94" s="185" t="str">
        <f t="shared" si="13"/>
        <v/>
      </c>
      <c r="W94" s="186" t="str">
        <f t="shared" si="14"/>
        <v/>
      </c>
      <c r="X94" s="185" t="str">
        <f t="shared" si="15"/>
        <v/>
      </c>
      <c r="Y94" s="185" t="str">
        <f t="shared" si="16"/>
        <v/>
      </c>
      <c r="Z94" s="185" t="str">
        <f>IF(C94="","",IF($B$31=0,"",-'Debt Financing Calculations'!F43))</f>
        <v/>
      </c>
      <c r="AA94" s="185" t="str">
        <f t="shared" si="17"/>
        <v/>
      </c>
      <c r="AB94" s="185" t="str">
        <f t="shared" si="23"/>
        <v/>
      </c>
      <c r="AC94" s="938" t="str">
        <f t="shared" si="18"/>
        <v/>
      </c>
      <c r="AD94" s="132"/>
      <c r="AE94" s="942" t="str">
        <f t="shared" si="19"/>
        <v/>
      </c>
      <c r="AF94" s="938" t="str">
        <f t="shared" si="20"/>
        <v/>
      </c>
    </row>
    <row r="95" spans="1:32" x14ac:dyDescent="0.25">
      <c r="A95" s="56" t="str">
        <f t="shared" si="21"/>
        <v/>
      </c>
      <c r="B95" s="183" t="str">
        <f>IF(MAX($B$65:B94)&lt;(construct+anal_period),B94+1,"")</f>
        <v/>
      </c>
      <c r="C95" s="183" t="str">
        <f t="shared" si="22"/>
        <v/>
      </c>
      <c r="D95" s="183" t="str">
        <f t="shared" si="1"/>
        <v/>
      </c>
      <c r="E95" s="184" t="str">
        <f t="shared" si="2"/>
        <v/>
      </c>
      <c r="F95" s="57" t="str">
        <f t="shared" si="3"/>
        <v/>
      </c>
      <c r="G95" s="951"/>
      <c r="H95" s="960" t="str">
        <f t="shared" si="24"/>
        <v/>
      </c>
      <c r="I95" s="185" t="str">
        <f>IF(OR(C95&lt;0,C95=""),"",-E95*INDEX('Replacement Costs'!$A$16:$H$57,MATCH(C95,'Replacement Costs'!$C$16:$C$57,0),MATCH("Total Yearly Replacement Costs",'Replacement Costs'!$A$16:$H$16,0)))</f>
        <v/>
      </c>
      <c r="J95" s="185" t="str">
        <f>IF(AND(C95&gt;=1,C95&lt;anal_period),WorkingCap*SUM(N95:R95)-WorkingCap*SUM(N94:R94),IF(C95&lt;0,0,IF(B95="","",-SUM(J$65:J94))))</f>
        <v/>
      </c>
      <c r="K95" s="185" t="str">
        <f t="shared" si="4"/>
        <v/>
      </c>
      <c r="L95" s="185" t="str">
        <f t="shared" si="5"/>
        <v/>
      </c>
      <c r="M95" s="185" t="str">
        <f t="shared" si="6"/>
        <v/>
      </c>
      <c r="N95" s="185" t="str">
        <f t="shared" si="7"/>
        <v/>
      </c>
      <c r="O95" s="185" t="str">
        <f t="shared" si="8"/>
        <v/>
      </c>
      <c r="P95" s="185" t="str">
        <f t="shared" si="9"/>
        <v/>
      </c>
      <c r="Q95" s="185" t="str">
        <f t="shared" si="10"/>
        <v/>
      </c>
      <c r="R95" s="185" t="str">
        <f t="shared" si="11"/>
        <v/>
      </c>
      <c r="S95" s="185" t="str">
        <f>IF(B95="","",IF($B$31=0,"",-'Debt Financing Calculations'!E44))</f>
        <v/>
      </c>
      <c r="T95" s="185" t="str">
        <f t="shared" si="12"/>
        <v/>
      </c>
      <c r="U95" s="185" t="str">
        <f>IF(C95="","",IF(C95&lt;-1,0,IF(C95=anal_period,-LOOKUP(C95,depr_yr,depr_cost)-Depreciation!$C$141-Depreciation!$B$166,-LOOKUP(C95,depr_yr,depr_cost))))</f>
        <v/>
      </c>
      <c r="V95" s="185" t="str">
        <f t="shared" si="13"/>
        <v/>
      </c>
      <c r="W95" s="186" t="str">
        <f t="shared" si="14"/>
        <v/>
      </c>
      <c r="X95" s="185" t="str">
        <f t="shared" si="15"/>
        <v/>
      </c>
      <c r="Y95" s="185" t="str">
        <f t="shared" si="16"/>
        <v/>
      </c>
      <c r="Z95" s="185" t="str">
        <f>IF(C95="","",IF($B$31=0,"",-'Debt Financing Calculations'!F44))</f>
        <v/>
      </c>
      <c r="AA95" s="185" t="str">
        <f t="shared" si="17"/>
        <v/>
      </c>
      <c r="AB95" s="185" t="str">
        <f t="shared" si="23"/>
        <v/>
      </c>
      <c r="AC95" s="938" t="str">
        <f t="shared" si="18"/>
        <v/>
      </c>
      <c r="AD95" s="132"/>
      <c r="AE95" s="942" t="str">
        <f t="shared" si="19"/>
        <v/>
      </c>
      <c r="AF95" s="938" t="str">
        <f t="shared" si="20"/>
        <v/>
      </c>
    </row>
    <row r="96" spans="1:32" x14ac:dyDescent="0.25">
      <c r="A96" s="56" t="str">
        <f t="shared" si="21"/>
        <v/>
      </c>
      <c r="B96" s="183" t="str">
        <f>IF(MAX($B$65:B95)&lt;(construct+anal_period),B95+1,"")</f>
        <v/>
      </c>
      <c r="C96" s="183" t="str">
        <f t="shared" si="22"/>
        <v/>
      </c>
      <c r="D96" s="183" t="str">
        <f t="shared" si="1"/>
        <v/>
      </c>
      <c r="E96" s="184" t="str">
        <f t="shared" si="2"/>
        <v/>
      </c>
      <c r="F96" s="57" t="str">
        <f t="shared" si="3"/>
        <v/>
      </c>
      <c r="G96" s="951"/>
      <c r="H96" s="960" t="str">
        <f t="shared" si="24"/>
        <v/>
      </c>
      <c r="I96" s="185" t="str">
        <f>IF(OR(C96&lt;0,C96=""),"",-E96*INDEX('Replacement Costs'!$A$16:$H$57,MATCH(C96,'Replacement Costs'!$C$16:$C$57,0),MATCH("Total Yearly Replacement Costs",'Replacement Costs'!$A$16:$H$16,0)))</f>
        <v/>
      </c>
      <c r="J96" s="185" t="str">
        <f>IF(AND(C96&gt;=1,C96&lt;anal_period),WorkingCap*SUM(N96:R96)-WorkingCap*SUM(N95:R95),IF(C96&lt;0,0,IF(B96="","",-SUM(J$65:J95))))</f>
        <v/>
      </c>
      <c r="K96" s="185" t="str">
        <f t="shared" si="4"/>
        <v/>
      </c>
      <c r="L96" s="185" t="str">
        <f t="shared" si="5"/>
        <v/>
      </c>
      <c r="M96" s="185" t="str">
        <f t="shared" si="6"/>
        <v/>
      </c>
      <c r="N96" s="185" t="str">
        <f t="shared" si="7"/>
        <v/>
      </c>
      <c r="O96" s="185" t="str">
        <f t="shared" si="8"/>
        <v/>
      </c>
      <c r="P96" s="185" t="str">
        <f t="shared" si="9"/>
        <v/>
      </c>
      <c r="Q96" s="185" t="str">
        <f t="shared" si="10"/>
        <v/>
      </c>
      <c r="R96" s="185" t="str">
        <f t="shared" si="11"/>
        <v/>
      </c>
      <c r="S96" s="185" t="str">
        <f>IF(B96="","",IF($B$31=0,"",-'Debt Financing Calculations'!E45))</f>
        <v/>
      </c>
      <c r="T96" s="185" t="str">
        <f t="shared" si="12"/>
        <v/>
      </c>
      <c r="U96" s="185" t="str">
        <f>IF(C96="","",IF(C96&lt;-1,0,IF(C96=anal_period,-LOOKUP(C96,depr_yr,depr_cost)-Depreciation!$C$141-Depreciation!$B$166,-LOOKUP(C96,depr_yr,depr_cost))))</f>
        <v/>
      </c>
      <c r="V96" s="185" t="str">
        <f t="shared" si="13"/>
        <v/>
      </c>
      <c r="W96" s="186" t="str">
        <f t="shared" si="14"/>
        <v/>
      </c>
      <c r="X96" s="185" t="str">
        <f t="shared" si="15"/>
        <v/>
      </c>
      <c r="Y96" s="185" t="str">
        <f t="shared" si="16"/>
        <v/>
      </c>
      <c r="Z96" s="185" t="str">
        <f>IF(C96="","",IF($B$31=0,"",-'Debt Financing Calculations'!F45))</f>
        <v/>
      </c>
      <c r="AA96" s="185" t="str">
        <f t="shared" si="17"/>
        <v/>
      </c>
      <c r="AB96" s="185" t="str">
        <f t="shared" si="23"/>
        <v/>
      </c>
      <c r="AC96" s="938" t="str">
        <f t="shared" si="18"/>
        <v/>
      </c>
      <c r="AD96" s="132"/>
      <c r="AE96" s="942" t="str">
        <f t="shared" si="19"/>
        <v/>
      </c>
      <c r="AF96" s="938" t="str">
        <f t="shared" si="20"/>
        <v/>
      </c>
    </row>
    <row r="97" spans="1:32" x14ac:dyDescent="0.25">
      <c r="A97" s="56" t="str">
        <f t="shared" si="21"/>
        <v/>
      </c>
      <c r="B97" s="183" t="str">
        <f>IF(MAX($B$65:B96)&lt;(construct+anal_period),B96+1,"")</f>
        <v/>
      </c>
      <c r="C97" s="183" t="str">
        <f t="shared" si="22"/>
        <v/>
      </c>
      <c r="D97" s="183" t="str">
        <f t="shared" ref="D97:D113" si="25">IF(C97="","",IF(C97&lt;=plant_life,C97,IF(D96=plant_life,1,D96+1)))</f>
        <v/>
      </c>
      <c r="E97" s="184" t="str">
        <f t="shared" ref="E97:E113" si="26">IF(C97="","",(1+inflation_rate)^(A97-$B$25))</f>
        <v/>
      </c>
      <c r="F97" s="57" t="str">
        <f t="shared" ref="F97:F113" si="27">IF(C97="","",IF(C97&lt;0,0,IF(AND(C97=1,start_time&lt;1),E97*(H2_price_nominal*output_kgyear*start_time*percnt_revs+H2_price_nominal*output_kgyear*(1-start_time)),IF(C97&lt;=start_time,H2_price_nominal*E97*output_kgyear*percnt_revs,H2_price_nominal*output_kgyear*E97))))</f>
        <v/>
      </c>
      <c r="G97" s="951"/>
      <c r="H97" s="960" t="str">
        <f t="shared" si="24"/>
        <v/>
      </c>
      <c r="I97" s="185" t="str">
        <f>IF(OR(C97&lt;0,C97=""),"",-E97*INDEX('Replacement Costs'!$A$16:$H$57,MATCH(C97,'Replacement Costs'!$C$16:$C$57,0),MATCH("Total Yearly Replacement Costs",'Replacement Costs'!$A$16:$H$16,0)))</f>
        <v/>
      </c>
      <c r="J97" s="185" t="str">
        <f>IF(AND(C97&gt;=1,C97&lt;anal_period),WorkingCap*SUM(N97:R97)-WorkingCap*SUM(N96:R96),IF(C97&lt;0,0,IF(B97="","",-SUM(J$65:J96))))</f>
        <v/>
      </c>
      <c r="K97" s="185" t="str">
        <f t="shared" ref="K97:K113" si="28">IF(C97=-construct,-E97*non_dep_infl,"")</f>
        <v/>
      </c>
      <c r="L97" s="185" t="str">
        <f t="shared" ref="L97:L113" si="29">IF(C97=anal_period,salvage*E97,"")</f>
        <v/>
      </c>
      <c r="M97" s="185" t="str">
        <f t="shared" ref="M97:M113" si="30">IF(D97=plant_life,-E97*decom,"")</f>
        <v/>
      </c>
      <c r="N97" s="185" t="str">
        <f t="shared" ref="N97:N113" si="31">IF(C97="","",IF(C97&lt;0,0,IF(AND(C97=1,start_time&lt;1),-(inflated_fixed*percnt_fixed*start_time+(inflated_fixed*(1-start_time))),IF(C97&lt;=start_time,-inflated_fixed*percnt_fixed*E97,-inflated_fixed*E97))))</f>
        <v/>
      </c>
      <c r="O97" s="185" t="str">
        <f t="shared" ref="O97:O109" si="32">IF(C97="","",IF(C97&lt;0,0,IF(AND(C97=1,start_time&lt;1),-(SUM(B171:E171)*output_kgyear*E97*percnt_var*start_time+SUM(B171:E171)*output_kgyear*E97*(1-start_time)),IF(C97&lt;=start_time,-SUM(B171:E171)*output_kgyear*E97*percnt_var,-SUM(B171:E171)*output_kgyear*E97))))</f>
        <v/>
      </c>
      <c r="P97" s="185" t="str">
        <f t="shared" ref="P97:P113" si="33">IF(C97="","",IF(C97&lt;0,0,IF(AND(C97=1,start_time&lt;1),-(inflated_otherraw*E97*percnt_var*start_time+inflated_otherraw*E97*(1-start_time)),IF(C97&lt;=start_time,-inflated_otherraw*E97*percnt_var,-(inflated_otherraw*E97)))))</f>
        <v/>
      </c>
      <c r="Q97" s="185" t="str">
        <f t="shared" si="10"/>
        <v/>
      </c>
      <c r="R97" s="185" t="str">
        <f t="shared" ref="R97:R109" si="34">IF(C97="","",IF(C97&lt;0,0,IF(AND(C97=1,start_time&lt;1),-((SUM(F171:J171,P171:R171)*output_kgyear+inflated_othervar)*E97*percnt_var*start_time+(SUM(F171:J171,P171:R171)*output_kgyear+inflated_othervar)*E97*(1-start_time)),IF(C97&lt;=start_time,-(SUM(F171:J171,P171:R171)*output_kgyear+inflated_othervar)*E97*percnt_var,-E97*(SUM(F171:J171,P171:R171)*output_kgyear+inflated_othervar)))))</f>
        <v/>
      </c>
      <c r="S97" s="185" t="str">
        <f>IF(B97="","",IF($B$31=0,"",-'Debt Financing Calculations'!E46))</f>
        <v/>
      </c>
      <c r="T97" s="185" t="str">
        <f t="shared" ref="T97:T113" si="35">IF(C97="","",F97+SUM(L97:S97))</f>
        <v/>
      </c>
      <c r="U97" s="185" t="str">
        <f>IF(C97="","",IF(C97&lt;-1,0,IF(C97=anal_period,-LOOKUP(C97,depr_yr,depr_cost)-Depreciation!$C$141-Depreciation!$B$166,-LOOKUP(C97,depr_yr,depr_cost))))</f>
        <v/>
      </c>
      <c r="V97" s="185" t="str">
        <f t="shared" ref="V97:V113" si="36">IF(C97="","",SUM(T97:U97))</f>
        <v/>
      </c>
      <c r="W97" s="186" t="str">
        <f t="shared" ref="W97:W113" si="37">IF(C97="","",$B$33)</f>
        <v/>
      </c>
      <c r="X97" s="185" t="str">
        <f t="shared" ref="X97:X113" si="38">IF(C97="","",tax_credit-(V97*W97 +Upstream_CO2_taxpYear + Proc_CO2_taxpYear))</f>
        <v/>
      </c>
      <c r="Y97" s="185" t="str">
        <f t="shared" ref="Y97:Y113" si="39">IF(C97="","",SUM(T97,X97))</f>
        <v/>
      </c>
      <c r="Z97" s="185" t="str">
        <f>IF(C97="","",IF($B$31=0,"",-'Debt Financing Calculations'!F46))</f>
        <v/>
      </c>
      <c r="AA97" s="185" t="str">
        <f t="shared" ref="AA97:AA113" si="40">IF(C97="","",SUM(H97,I97,J97,K97,T97,X97,Z97))</f>
        <v/>
      </c>
      <c r="AB97" s="185" t="str">
        <f t="shared" si="23"/>
        <v/>
      </c>
      <c r="AC97" s="938" t="str">
        <f t="shared" ref="AC97:AC113" si="41">IF(C97="","",SUM(H97,I97,J97,K97,T97,Z97))</f>
        <v/>
      </c>
      <c r="AD97" s="132"/>
      <c r="AE97" s="942" t="str">
        <f t="shared" ref="AE97:AE113" si="42">IF(C97="","",IF(C97&lt;0,0,IF(AND(C97=1,start_time&lt;1),(output_kgyear*start_time*percnt_revs+output_kgyear*(1-start_time)),IF(C97&lt;=start_time,output_kgyear*percnt_revs,output_kgyear))))</f>
        <v/>
      </c>
      <c r="AF97" s="938" t="str">
        <f t="shared" ref="AF97:AF113" si="43">IF(C97="","",tax_credit)</f>
        <v/>
      </c>
    </row>
    <row r="98" spans="1:32" x14ac:dyDescent="0.25">
      <c r="A98" s="56" t="str">
        <f t="shared" si="21"/>
        <v/>
      </c>
      <c r="B98" s="183" t="str">
        <f>IF(MAX($B$65:B97)&lt;(construct+anal_period),B97+1,"")</f>
        <v/>
      </c>
      <c r="C98" s="183" t="str">
        <f t="shared" si="22"/>
        <v/>
      </c>
      <c r="D98" s="183" t="str">
        <f t="shared" si="25"/>
        <v/>
      </c>
      <c r="E98" s="184" t="str">
        <f t="shared" si="26"/>
        <v/>
      </c>
      <c r="F98" s="57" t="str">
        <f t="shared" si="27"/>
        <v/>
      </c>
      <c r="G98" s="951"/>
      <c r="H98" s="960" t="str">
        <f t="shared" si="24"/>
        <v/>
      </c>
      <c r="I98" s="185" t="str">
        <f>IF(OR(C98&lt;0,C98=""),"",-E98*INDEX('Replacement Costs'!$A$16:$H$57,MATCH(C98,'Replacement Costs'!$C$16:$C$57,0),MATCH("Total Yearly Replacement Costs",'Replacement Costs'!$A$16:$H$16,0)))</f>
        <v/>
      </c>
      <c r="J98" s="185" t="str">
        <f>IF(AND(C98&gt;=1,C98&lt;anal_period),WorkingCap*SUM(N98:R98)-WorkingCap*SUM(N97:R97),IF(C98&lt;0,0,IF(B98="","",-SUM(J$65:J97))))</f>
        <v/>
      </c>
      <c r="K98" s="185" t="str">
        <f t="shared" si="28"/>
        <v/>
      </c>
      <c r="L98" s="185" t="str">
        <f t="shared" si="29"/>
        <v/>
      </c>
      <c r="M98" s="185" t="str">
        <f t="shared" si="30"/>
        <v/>
      </c>
      <c r="N98" s="185" t="str">
        <f t="shared" si="31"/>
        <v/>
      </c>
      <c r="O98" s="185" t="str">
        <f t="shared" si="32"/>
        <v/>
      </c>
      <c r="P98" s="185" t="str">
        <f t="shared" si="33"/>
        <v/>
      </c>
      <c r="Q98" s="185" t="str">
        <f t="shared" si="10"/>
        <v/>
      </c>
      <c r="R98" s="185" t="str">
        <f t="shared" si="34"/>
        <v/>
      </c>
      <c r="S98" s="185" t="str">
        <f>IF(B98="","",IF($B$31=0,"",-'Debt Financing Calculations'!E47))</f>
        <v/>
      </c>
      <c r="T98" s="185" t="str">
        <f t="shared" si="35"/>
        <v/>
      </c>
      <c r="U98" s="185" t="str">
        <f>IF(C98="","",IF(C98&lt;-1,0,IF(C98=anal_period,-LOOKUP(C98,depr_yr,depr_cost)-Depreciation!$C$141-Depreciation!$B$166,-LOOKUP(C98,depr_yr,depr_cost))))</f>
        <v/>
      </c>
      <c r="V98" s="185" t="str">
        <f t="shared" si="36"/>
        <v/>
      </c>
      <c r="W98" s="186" t="str">
        <f t="shared" si="37"/>
        <v/>
      </c>
      <c r="X98" s="185" t="str">
        <f t="shared" si="38"/>
        <v/>
      </c>
      <c r="Y98" s="185" t="str">
        <f t="shared" si="39"/>
        <v/>
      </c>
      <c r="Z98" s="185" t="str">
        <f>IF(C98="","",IF($B$31=0,"",-'Debt Financing Calculations'!F47))</f>
        <v/>
      </c>
      <c r="AA98" s="185" t="str">
        <f t="shared" si="40"/>
        <v/>
      </c>
      <c r="AB98" s="185" t="str">
        <f t="shared" si="23"/>
        <v/>
      </c>
      <c r="AC98" s="938" t="str">
        <f t="shared" si="41"/>
        <v/>
      </c>
      <c r="AD98" s="132"/>
      <c r="AE98" s="942" t="str">
        <f t="shared" si="42"/>
        <v/>
      </c>
      <c r="AF98" s="938" t="str">
        <f t="shared" si="43"/>
        <v/>
      </c>
    </row>
    <row r="99" spans="1:32" x14ac:dyDescent="0.25">
      <c r="A99" s="56" t="str">
        <f t="shared" si="21"/>
        <v/>
      </c>
      <c r="B99" s="183" t="str">
        <f>IF(MAX($B$65:B98)&lt;(construct+anal_period),B98+1,"")</f>
        <v/>
      </c>
      <c r="C99" s="183" t="str">
        <f t="shared" si="22"/>
        <v/>
      </c>
      <c r="D99" s="183" t="str">
        <f t="shared" si="25"/>
        <v/>
      </c>
      <c r="E99" s="184" t="str">
        <f t="shared" si="26"/>
        <v/>
      </c>
      <c r="F99" s="57" t="str">
        <f t="shared" si="27"/>
        <v/>
      </c>
      <c r="G99" s="951"/>
      <c r="H99" s="960" t="str">
        <f t="shared" si="24"/>
        <v/>
      </c>
      <c r="I99" s="185" t="str">
        <f>IF(OR(C99&lt;0,C99=""),"",-E99*INDEX('Replacement Costs'!$A$16:$H$57,MATCH(C99,'Replacement Costs'!$C$16:$C$57,0),MATCH("Total Yearly Replacement Costs",'Replacement Costs'!$A$16:$H$16,0)))</f>
        <v/>
      </c>
      <c r="J99" s="185" t="str">
        <f>IF(AND(C99&gt;=1,C99&lt;anal_period),WorkingCap*SUM(N99:R99)-WorkingCap*SUM(N98:R98),IF(C99&lt;0,0,IF(B99="","",-SUM(J$65:J98))))</f>
        <v/>
      </c>
      <c r="K99" s="185" t="str">
        <f t="shared" si="28"/>
        <v/>
      </c>
      <c r="L99" s="185" t="str">
        <f t="shared" si="29"/>
        <v/>
      </c>
      <c r="M99" s="185" t="str">
        <f t="shared" si="30"/>
        <v/>
      </c>
      <c r="N99" s="185" t="str">
        <f t="shared" si="31"/>
        <v/>
      </c>
      <c r="O99" s="185" t="str">
        <f t="shared" si="32"/>
        <v/>
      </c>
      <c r="P99" s="185" t="str">
        <f t="shared" si="33"/>
        <v/>
      </c>
      <c r="Q99" s="185" t="str">
        <f t="shared" si="10"/>
        <v/>
      </c>
      <c r="R99" s="185" t="str">
        <f t="shared" si="34"/>
        <v/>
      </c>
      <c r="S99" s="185" t="str">
        <f>IF(B99="","",IF($B$31=0,"",-'Debt Financing Calculations'!E48))</f>
        <v/>
      </c>
      <c r="T99" s="185" t="str">
        <f t="shared" si="35"/>
        <v/>
      </c>
      <c r="U99" s="185" t="str">
        <f>IF(C99="","",IF(C99&lt;-1,0,IF(C99=anal_period,-LOOKUP(C99,depr_yr,depr_cost)-Depreciation!$C$141-Depreciation!$B$166,-LOOKUP(C99,depr_yr,depr_cost))))</f>
        <v/>
      </c>
      <c r="V99" s="185" t="str">
        <f t="shared" si="36"/>
        <v/>
      </c>
      <c r="W99" s="186" t="str">
        <f t="shared" si="37"/>
        <v/>
      </c>
      <c r="X99" s="185" t="str">
        <f t="shared" si="38"/>
        <v/>
      </c>
      <c r="Y99" s="185" t="str">
        <f t="shared" si="39"/>
        <v/>
      </c>
      <c r="Z99" s="185" t="str">
        <f>IF(C99="","",IF($B$31=0,"",-'Debt Financing Calculations'!F48))</f>
        <v/>
      </c>
      <c r="AA99" s="185" t="str">
        <f t="shared" si="40"/>
        <v/>
      </c>
      <c r="AB99" s="185" t="str">
        <f t="shared" si="23"/>
        <v/>
      </c>
      <c r="AC99" s="938" t="str">
        <f t="shared" si="41"/>
        <v/>
      </c>
      <c r="AD99" s="132"/>
      <c r="AE99" s="942" t="str">
        <f t="shared" si="42"/>
        <v/>
      </c>
      <c r="AF99" s="938" t="str">
        <f t="shared" si="43"/>
        <v/>
      </c>
    </row>
    <row r="100" spans="1:32" x14ac:dyDescent="0.25">
      <c r="A100" s="56" t="str">
        <f t="shared" si="21"/>
        <v/>
      </c>
      <c r="B100" s="183" t="str">
        <f>IF(MAX($B$65:B99)&lt;(construct+anal_period),B99+1,"")</f>
        <v/>
      </c>
      <c r="C100" s="183" t="str">
        <f t="shared" si="22"/>
        <v/>
      </c>
      <c r="D100" s="183" t="str">
        <f t="shared" si="25"/>
        <v/>
      </c>
      <c r="E100" s="184" t="str">
        <f t="shared" si="26"/>
        <v/>
      </c>
      <c r="F100" s="57" t="str">
        <f t="shared" si="27"/>
        <v/>
      </c>
      <c r="G100" s="951"/>
      <c r="H100" s="960" t="str">
        <f t="shared" si="24"/>
        <v/>
      </c>
      <c r="I100" s="185" t="str">
        <f>IF(OR(C100&lt;0,C100=""),"",-E100*INDEX('Replacement Costs'!$A$16:$H$57,MATCH(C100,'Replacement Costs'!$C$16:$C$57,0),MATCH("Total Yearly Replacement Costs",'Replacement Costs'!$A$16:$H$16,0)))</f>
        <v/>
      </c>
      <c r="J100" s="185" t="str">
        <f>IF(AND(C100&gt;=1,C100&lt;anal_period),WorkingCap*SUM(N100:R100)-WorkingCap*SUM(N99:R99),IF(C100&lt;0,0,IF(B100="","",-SUM(J$65:J99))))</f>
        <v/>
      </c>
      <c r="K100" s="185" t="str">
        <f t="shared" si="28"/>
        <v/>
      </c>
      <c r="L100" s="185" t="str">
        <f t="shared" si="29"/>
        <v/>
      </c>
      <c r="M100" s="185" t="str">
        <f t="shared" si="30"/>
        <v/>
      </c>
      <c r="N100" s="185" t="str">
        <f t="shared" si="31"/>
        <v/>
      </c>
      <c r="O100" s="185" t="str">
        <f t="shared" si="32"/>
        <v/>
      </c>
      <c r="P100" s="185" t="str">
        <f t="shared" si="33"/>
        <v/>
      </c>
      <c r="Q100" s="185" t="str">
        <f t="shared" si="10"/>
        <v/>
      </c>
      <c r="R100" s="185" t="str">
        <f t="shared" si="34"/>
        <v/>
      </c>
      <c r="S100" s="185" t="str">
        <f>IF(B100="","",IF($B$31=0,"",-'Debt Financing Calculations'!E49))</f>
        <v/>
      </c>
      <c r="T100" s="185" t="str">
        <f t="shared" si="35"/>
        <v/>
      </c>
      <c r="U100" s="185" t="str">
        <f>IF(C100="","",IF(C100&lt;-1,0,IF(C100=anal_period,-LOOKUP(C100,depr_yr,depr_cost)-Depreciation!$C$141-Depreciation!$B$166,-LOOKUP(C100,depr_yr,depr_cost))))</f>
        <v/>
      </c>
      <c r="V100" s="185" t="str">
        <f t="shared" si="36"/>
        <v/>
      </c>
      <c r="W100" s="186" t="str">
        <f t="shared" si="37"/>
        <v/>
      </c>
      <c r="X100" s="185" t="str">
        <f t="shared" si="38"/>
        <v/>
      </c>
      <c r="Y100" s="185" t="str">
        <f t="shared" si="39"/>
        <v/>
      </c>
      <c r="Z100" s="185" t="str">
        <f>IF(C100="","",IF($B$31=0,"",-'Debt Financing Calculations'!F49))</f>
        <v/>
      </c>
      <c r="AA100" s="185" t="str">
        <f t="shared" si="40"/>
        <v/>
      </c>
      <c r="AB100" s="185" t="str">
        <f t="shared" si="23"/>
        <v/>
      </c>
      <c r="AC100" s="938" t="str">
        <f t="shared" si="41"/>
        <v/>
      </c>
      <c r="AD100" s="132"/>
      <c r="AE100" s="942" t="str">
        <f t="shared" si="42"/>
        <v/>
      </c>
      <c r="AF100" s="938" t="str">
        <f t="shared" si="43"/>
        <v/>
      </c>
    </row>
    <row r="101" spans="1:32" x14ac:dyDescent="0.25">
      <c r="A101" s="56" t="str">
        <f t="shared" si="21"/>
        <v/>
      </c>
      <c r="B101" s="183" t="str">
        <f>IF(MAX($B$65:B100)&lt;(construct+anal_period),B100+1,"")</f>
        <v/>
      </c>
      <c r="C101" s="183" t="str">
        <f t="shared" si="22"/>
        <v/>
      </c>
      <c r="D101" s="183" t="str">
        <f t="shared" si="25"/>
        <v/>
      </c>
      <c r="E101" s="184" t="str">
        <f t="shared" si="26"/>
        <v/>
      </c>
      <c r="F101" s="57" t="str">
        <f t="shared" si="27"/>
        <v/>
      </c>
      <c r="G101" s="951"/>
      <c r="H101" s="960" t="str">
        <f t="shared" si="24"/>
        <v/>
      </c>
      <c r="I101" s="185" t="str">
        <f>IF(OR(C101&lt;0,C101=""),"",-E101*INDEX('Replacement Costs'!$A$16:$H$57,MATCH(C101,'Replacement Costs'!$C$16:$C$57,0),MATCH("Total Yearly Replacement Costs",'Replacement Costs'!$A$16:$H$16,0)))</f>
        <v/>
      </c>
      <c r="J101" s="185" t="str">
        <f>IF(AND(C101&gt;=1,C101&lt;anal_period),WorkingCap*SUM(N101:R101)-WorkingCap*SUM(N100:R100),IF(C101&lt;0,0,IF(B101="","",-SUM(J$65:J100))))</f>
        <v/>
      </c>
      <c r="K101" s="185" t="str">
        <f t="shared" si="28"/>
        <v/>
      </c>
      <c r="L101" s="185" t="str">
        <f t="shared" si="29"/>
        <v/>
      </c>
      <c r="M101" s="185" t="str">
        <f t="shared" si="30"/>
        <v/>
      </c>
      <c r="N101" s="185" t="str">
        <f t="shared" si="31"/>
        <v/>
      </c>
      <c r="O101" s="185" t="str">
        <f t="shared" si="32"/>
        <v/>
      </c>
      <c r="P101" s="185" t="str">
        <f t="shared" si="33"/>
        <v/>
      </c>
      <c r="Q101" s="185" t="str">
        <f t="shared" si="10"/>
        <v/>
      </c>
      <c r="R101" s="185" t="str">
        <f t="shared" si="34"/>
        <v/>
      </c>
      <c r="S101" s="185" t="str">
        <f>IF(B101="","",IF($B$31=0,"",-'Debt Financing Calculations'!E50))</f>
        <v/>
      </c>
      <c r="T101" s="185" t="str">
        <f t="shared" si="35"/>
        <v/>
      </c>
      <c r="U101" s="185" t="str">
        <f>IF(C101="","",IF(C101&lt;-1,0,IF(C101=anal_period,-LOOKUP(C101,depr_yr,depr_cost)-Depreciation!$C$141-Depreciation!$B$166,-LOOKUP(C101,depr_yr,depr_cost))))</f>
        <v/>
      </c>
      <c r="V101" s="185" t="str">
        <f t="shared" si="36"/>
        <v/>
      </c>
      <c r="W101" s="186" t="str">
        <f t="shared" si="37"/>
        <v/>
      </c>
      <c r="X101" s="185" t="str">
        <f t="shared" si="38"/>
        <v/>
      </c>
      <c r="Y101" s="185" t="str">
        <f t="shared" si="39"/>
        <v/>
      </c>
      <c r="Z101" s="185" t="str">
        <f>IF(C101="","",IF($B$31=0,"",-'Debt Financing Calculations'!F50))</f>
        <v/>
      </c>
      <c r="AA101" s="185" t="str">
        <f t="shared" si="40"/>
        <v/>
      </c>
      <c r="AB101" s="185" t="str">
        <f t="shared" si="23"/>
        <v/>
      </c>
      <c r="AC101" s="938" t="str">
        <f t="shared" si="41"/>
        <v/>
      </c>
      <c r="AD101" s="132"/>
      <c r="AE101" s="942" t="str">
        <f t="shared" si="42"/>
        <v/>
      </c>
      <c r="AF101" s="938" t="str">
        <f t="shared" si="43"/>
        <v/>
      </c>
    </row>
    <row r="102" spans="1:32" x14ac:dyDescent="0.25">
      <c r="A102" s="56" t="str">
        <f t="shared" si="21"/>
        <v/>
      </c>
      <c r="B102" s="183" t="str">
        <f>IF(MAX($B$65:B101)&lt;(construct+anal_period),B101+1,"")</f>
        <v/>
      </c>
      <c r="C102" s="183" t="str">
        <f t="shared" si="22"/>
        <v/>
      </c>
      <c r="D102" s="183" t="str">
        <f t="shared" si="25"/>
        <v/>
      </c>
      <c r="E102" s="184" t="str">
        <f t="shared" si="26"/>
        <v/>
      </c>
      <c r="F102" s="57" t="str">
        <f t="shared" si="27"/>
        <v/>
      </c>
      <c r="G102" s="951"/>
      <c r="H102" s="960" t="str">
        <f t="shared" si="24"/>
        <v/>
      </c>
      <c r="I102" s="185" t="str">
        <f>IF(OR(C102&lt;0,C102=""),"",-E102*INDEX('Replacement Costs'!$A$16:$H$57,MATCH(C102,'Replacement Costs'!$C$16:$C$57,0),MATCH("Total Yearly Replacement Costs",'Replacement Costs'!$A$16:$H$16,0)))</f>
        <v/>
      </c>
      <c r="J102" s="185" t="str">
        <f>IF(AND(C102&gt;=1,C102&lt;anal_period),WorkingCap*SUM(N102:R102)-WorkingCap*SUM(N101:R101),IF(C102&lt;0,0,IF(B102="","",-SUM(J$65:J101))))</f>
        <v/>
      </c>
      <c r="K102" s="185" t="str">
        <f t="shared" si="28"/>
        <v/>
      </c>
      <c r="L102" s="185" t="str">
        <f t="shared" si="29"/>
        <v/>
      </c>
      <c r="M102" s="185" t="str">
        <f t="shared" si="30"/>
        <v/>
      </c>
      <c r="N102" s="185" t="str">
        <f t="shared" si="31"/>
        <v/>
      </c>
      <c r="O102" s="185" t="str">
        <f t="shared" si="32"/>
        <v/>
      </c>
      <c r="P102" s="185" t="str">
        <f t="shared" si="33"/>
        <v/>
      </c>
      <c r="Q102" s="185" t="str">
        <f t="shared" si="10"/>
        <v/>
      </c>
      <c r="R102" s="185" t="str">
        <f t="shared" si="34"/>
        <v/>
      </c>
      <c r="S102" s="185" t="str">
        <f>IF(B102="","",IF($B$31=0,"",-'Debt Financing Calculations'!E51))</f>
        <v/>
      </c>
      <c r="T102" s="185" t="str">
        <f t="shared" si="35"/>
        <v/>
      </c>
      <c r="U102" s="185" t="str">
        <f>IF(C102="","",IF(C102&lt;-1,0,IF(C102=anal_period,-LOOKUP(C102,depr_yr,depr_cost)-Depreciation!$C$141-Depreciation!$B$166,-LOOKUP(C102,depr_yr,depr_cost))))</f>
        <v/>
      </c>
      <c r="V102" s="185" t="str">
        <f t="shared" si="36"/>
        <v/>
      </c>
      <c r="W102" s="186" t="str">
        <f t="shared" si="37"/>
        <v/>
      </c>
      <c r="X102" s="185" t="str">
        <f t="shared" si="38"/>
        <v/>
      </c>
      <c r="Y102" s="185" t="str">
        <f t="shared" si="39"/>
        <v/>
      </c>
      <c r="Z102" s="185" t="str">
        <f>IF(C102="","",IF($B$31=0,"",-'Debt Financing Calculations'!F51))</f>
        <v/>
      </c>
      <c r="AA102" s="185" t="str">
        <f t="shared" si="40"/>
        <v/>
      </c>
      <c r="AB102" s="185" t="str">
        <f t="shared" si="23"/>
        <v/>
      </c>
      <c r="AC102" s="938" t="str">
        <f t="shared" si="41"/>
        <v/>
      </c>
      <c r="AD102" s="132"/>
      <c r="AE102" s="942" t="str">
        <f t="shared" si="42"/>
        <v/>
      </c>
      <c r="AF102" s="938" t="str">
        <f t="shared" si="43"/>
        <v/>
      </c>
    </row>
    <row r="103" spans="1:32" x14ac:dyDescent="0.25">
      <c r="A103" s="56" t="str">
        <f t="shared" si="21"/>
        <v/>
      </c>
      <c r="B103" s="183" t="str">
        <f>IF(MAX($B$65:B102)&lt;(construct+anal_period),B102+1,"")</f>
        <v/>
      </c>
      <c r="C103" s="183" t="str">
        <f t="shared" si="22"/>
        <v/>
      </c>
      <c r="D103" s="183" t="str">
        <f t="shared" si="25"/>
        <v/>
      </c>
      <c r="E103" s="184" t="str">
        <f t="shared" si="26"/>
        <v/>
      </c>
      <c r="F103" s="57" t="str">
        <f t="shared" si="27"/>
        <v/>
      </c>
      <c r="G103" s="951"/>
      <c r="H103" s="960" t="str">
        <f t="shared" si="24"/>
        <v/>
      </c>
      <c r="I103" s="185" t="str">
        <f>IF(OR(C103&lt;0,C103=""),"",-E103*INDEX('Replacement Costs'!$A$16:$H$57,MATCH(C103,'Replacement Costs'!$C$16:$C$57,0),MATCH("Total Yearly Replacement Costs",'Replacement Costs'!$A$16:$H$16,0)))</f>
        <v/>
      </c>
      <c r="J103" s="185" t="str">
        <f>IF(AND(C103&gt;=1,C103&lt;anal_period),WorkingCap*SUM(N103:R103)-WorkingCap*SUM(N102:R102),IF(C103&lt;0,0,IF(B103="","",-SUM(J$65:J102))))</f>
        <v/>
      </c>
      <c r="K103" s="185" t="str">
        <f t="shared" si="28"/>
        <v/>
      </c>
      <c r="L103" s="185" t="str">
        <f t="shared" si="29"/>
        <v/>
      </c>
      <c r="M103" s="185" t="str">
        <f t="shared" si="30"/>
        <v/>
      </c>
      <c r="N103" s="185" t="str">
        <f t="shared" si="31"/>
        <v/>
      </c>
      <c r="O103" s="185" t="str">
        <f t="shared" si="32"/>
        <v/>
      </c>
      <c r="P103" s="185" t="str">
        <f t="shared" si="33"/>
        <v/>
      </c>
      <c r="Q103" s="185" t="str">
        <f t="shared" si="10"/>
        <v/>
      </c>
      <c r="R103" s="185" t="str">
        <f t="shared" si="34"/>
        <v/>
      </c>
      <c r="S103" s="185" t="str">
        <f>IF(B103="","",IF($B$31=0,"",-'Debt Financing Calculations'!E52))</f>
        <v/>
      </c>
      <c r="T103" s="185" t="str">
        <f t="shared" si="35"/>
        <v/>
      </c>
      <c r="U103" s="185" t="str">
        <f>IF(C103="","",IF(C103&lt;-1,0,IF(C103=anal_period,-LOOKUP(C103,depr_yr,depr_cost)-Depreciation!$C$141-Depreciation!$B$166,-LOOKUP(C103,depr_yr,depr_cost))))</f>
        <v/>
      </c>
      <c r="V103" s="185" t="str">
        <f t="shared" si="36"/>
        <v/>
      </c>
      <c r="W103" s="186" t="str">
        <f t="shared" si="37"/>
        <v/>
      </c>
      <c r="X103" s="185" t="str">
        <f t="shared" si="38"/>
        <v/>
      </c>
      <c r="Y103" s="185" t="str">
        <f t="shared" si="39"/>
        <v/>
      </c>
      <c r="Z103" s="185" t="str">
        <f>IF(C103="","",IF($B$31=0,"",-'Debt Financing Calculations'!F52))</f>
        <v/>
      </c>
      <c r="AA103" s="185" t="str">
        <f t="shared" si="40"/>
        <v/>
      </c>
      <c r="AB103" s="185" t="str">
        <f t="shared" si="23"/>
        <v/>
      </c>
      <c r="AC103" s="938" t="str">
        <f t="shared" si="41"/>
        <v/>
      </c>
      <c r="AD103" s="132"/>
      <c r="AE103" s="942" t="str">
        <f t="shared" si="42"/>
        <v/>
      </c>
      <c r="AF103" s="938" t="str">
        <f t="shared" si="43"/>
        <v/>
      </c>
    </row>
    <row r="104" spans="1:32" x14ac:dyDescent="0.25">
      <c r="A104" s="56" t="str">
        <f t="shared" si="21"/>
        <v/>
      </c>
      <c r="B104" s="183" t="str">
        <f>IF(MAX($B$65:B103)&lt;(construct+anal_period),B103+1,"")</f>
        <v/>
      </c>
      <c r="C104" s="183" t="str">
        <f t="shared" si="22"/>
        <v/>
      </c>
      <c r="D104" s="183" t="str">
        <f t="shared" si="25"/>
        <v/>
      </c>
      <c r="E104" s="184" t="str">
        <f t="shared" si="26"/>
        <v/>
      </c>
      <c r="F104" s="57" t="str">
        <f t="shared" si="27"/>
        <v/>
      </c>
      <c r="G104" s="951"/>
      <c r="H104" s="960" t="str">
        <f t="shared" si="24"/>
        <v/>
      </c>
      <c r="I104" s="185" t="str">
        <f>IF(OR(C104&lt;0,C104=""),"",-E104*INDEX('Replacement Costs'!$A$16:$H$57,MATCH(C104,'Replacement Costs'!$C$16:$C$57,0),MATCH("Total Yearly Replacement Costs",'Replacement Costs'!$A$16:$H$16,0)))</f>
        <v/>
      </c>
      <c r="J104" s="185" t="str">
        <f>IF(AND(C104&gt;=1,C104&lt;anal_period),WorkingCap*SUM(N104:R104)-WorkingCap*SUM(N103:R103),IF(C104&lt;0,0,IF(B104="","",-SUM(J$65:J103))))</f>
        <v/>
      </c>
      <c r="K104" s="185" t="str">
        <f t="shared" si="28"/>
        <v/>
      </c>
      <c r="L104" s="185" t="str">
        <f t="shared" si="29"/>
        <v/>
      </c>
      <c r="M104" s="185" t="str">
        <f t="shared" si="30"/>
        <v/>
      </c>
      <c r="N104" s="185" t="str">
        <f t="shared" si="31"/>
        <v/>
      </c>
      <c r="O104" s="185" t="str">
        <f t="shared" si="32"/>
        <v/>
      </c>
      <c r="P104" s="185" t="str">
        <f t="shared" si="33"/>
        <v/>
      </c>
      <c r="Q104" s="185" t="str">
        <f t="shared" si="10"/>
        <v/>
      </c>
      <c r="R104" s="185" t="str">
        <f t="shared" si="34"/>
        <v/>
      </c>
      <c r="S104" s="185" t="str">
        <f>IF(B104="","",IF($B$31=0,"",-'Debt Financing Calculations'!E53))</f>
        <v/>
      </c>
      <c r="T104" s="185" t="str">
        <f t="shared" si="35"/>
        <v/>
      </c>
      <c r="U104" s="185" t="str">
        <f>IF(C104="","",IF(C104&lt;-1,0,IF(C104=anal_period,-LOOKUP(C104,depr_yr,depr_cost)-Depreciation!$C$141-Depreciation!$B$166,-LOOKUP(C104,depr_yr,depr_cost))))</f>
        <v/>
      </c>
      <c r="V104" s="185" t="str">
        <f t="shared" si="36"/>
        <v/>
      </c>
      <c r="W104" s="186" t="str">
        <f t="shared" si="37"/>
        <v/>
      </c>
      <c r="X104" s="185" t="str">
        <f t="shared" si="38"/>
        <v/>
      </c>
      <c r="Y104" s="185" t="str">
        <f t="shared" si="39"/>
        <v/>
      </c>
      <c r="Z104" s="185" t="str">
        <f>IF(C104="","",IF($B$31=0,"",-'Debt Financing Calculations'!F53))</f>
        <v/>
      </c>
      <c r="AA104" s="185" t="str">
        <f t="shared" si="40"/>
        <v/>
      </c>
      <c r="AB104" s="185" t="str">
        <f t="shared" si="23"/>
        <v/>
      </c>
      <c r="AC104" s="938" t="str">
        <f t="shared" si="41"/>
        <v/>
      </c>
      <c r="AD104" s="132"/>
      <c r="AE104" s="942" t="str">
        <f t="shared" si="42"/>
        <v/>
      </c>
      <c r="AF104" s="938" t="str">
        <f t="shared" si="43"/>
        <v/>
      </c>
    </row>
    <row r="105" spans="1:32" x14ac:dyDescent="0.25">
      <c r="A105" s="56" t="str">
        <f t="shared" si="21"/>
        <v/>
      </c>
      <c r="B105" s="183" t="str">
        <f>IF(MAX($B$65:B104)&lt;(construct+anal_period),B104+1,"")</f>
        <v/>
      </c>
      <c r="C105" s="183" t="str">
        <f t="shared" si="22"/>
        <v/>
      </c>
      <c r="D105" s="183" t="str">
        <f t="shared" si="25"/>
        <v/>
      </c>
      <c r="E105" s="184" t="str">
        <f t="shared" si="26"/>
        <v/>
      </c>
      <c r="F105" s="57" t="str">
        <f t="shared" si="27"/>
        <v/>
      </c>
      <c r="G105" s="951"/>
      <c r="H105" s="960" t="str">
        <f t="shared" si="24"/>
        <v/>
      </c>
      <c r="I105" s="185" t="str">
        <f>IF(OR(C105&lt;0,C105=""),"",-E105*INDEX('Replacement Costs'!$A$16:$H$57,MATCH(C105,'Replacement Costs'!$C$16:$C$57,0),MATCH("Total Yearly Replacement Costs",'Replacement Costs'!$A$16:$H$16,0)))</f>
        <v/>
      </c>
      <c r="J105" s="185" t="str">
        <f>IF(AND(C105&gt;=1,C105&lt;anal_period),WorkingCap*SUM(N105:R105)-WorkingCap*SUM(N104:R104),IF(C105&lt;0,0,IF(B105="","",-SUM(J$65:J104))))</f>
        <v/>
      </c>
      <c r="K105" s="185" t="str">
        <f t="shared" si="28"/>
        <v/>
      </c>
      <c r="L105" s="185" t="str">
        <f t="shared" si="29"/>
        <v/>
      </c>
      <c r="M105" s="185" t="str">
        <f t="shared" si="30"/>
        <v/>
      </c>
      <c r="N105" s="185" t="str">
        <f t="shared" si="31"/>
        <v/>
      </c>
      <c r="O105" s="185" t="str">
        <f t="shared" si="32"/>
        <v/>
      </c>
      <c r="P105" s="185" t="str">
        <f t="shared" si="33"/>
        <v/>
      </c>
      <c r="Q105" s="185" t="str">
        <f t="shared" si="10"/>
        <v/>
      </c>
      <c r="R105" s="185" t="str">
        <f t="shared" si="34"/>
        <v/>
      </c>
      <c r="S105" s="185" t="str">
        <f>IF(B105="","",IF($B$31=0,"",-'Debt Financing Calculations'!E54))</f>
        <v/>
      </c>
      <c r="T105" s="185" t="str">
        <f t="shared" si="35"/>
        <v/>
      </c>
      <c r="U105" s="185" t="str">
        <f>IF(C105="","",IF(C105&lt;-1,0,IF(C105=anal_period,-LOOKUP(C105,depr_yr,depr_cost)-Depreciation!$C$141-Depreciation!$B$166,-LOOKUP(C105,depr_yr,depr_cost))))</f>
        <v/>
      </c>
      <c r="V105" s="185" t="str">
        <f t="shared" si="36"/>
        <v/>
      </c>
      <c r="W105" s="186" t="str">
        <f t="shared" si="37"/>
        <v/>
      </c>
      <c r="X105" s="185" t="str">
        <f t="shared" si="38"/>
        <v/>
      </c>
      <c r="Y105" s="185" t="str">
        <f t="shared" si="39"/>
        <v/>
      </c>
      <c r="Z105" s="185" t="str">
        <f>IF(C105="","",IF($B$31=0,"",-'Debt Financing Calculations'!F54))</f>
        <v/>
      </c>
      <c r="AA105" s="185" t="str">
        <f t="shared" si="40"/>
        <v/>
      </c>
      <c r="AB105" s="185" t="str">
        <f t="shared" si="23"/>
        <v/>
      </c>
      <c r="AC105" s="938" t="str">
        <f t="shared" si="41"/>
        <v/>
      </c>
      <c r="AD105" s="132"/>
      <c r="AE105" s="942" t="str">
        <f t="shared" si="42"/>
        <v/>
      </c>
      <c r="AF105" s="938" t="str">
        <f t="shared" si="43"/>
        <v/>
      </c>
    </row>
    <row r="106" spans="1:32" x14ac:dyDescent="0.25">
      <c r="A106" s="56" t="str">
        <f t="shared" si="21"/>
        <v/>
      </c>
      <c r="B106" s="183" t="str">
        <f>IF(MAX($B$65:B105)&lt;(construct+anal_period),B105+1,"")</f>
        <v/>
      </c>
      <c r="C106" s="183" t="str">
        <f t="shared" si="22"/>
        <v/>
      </c>
      <c r="D106" s="183" t="str">
        <f t="shared" si="25"/>
        <v/>
      </c>
      <c r="E106" s="184" t="str">
        <f t="shared" si="26"/>
        <v/>
      </c>
      <c r="F106" s="57" t="str">
        <f t="shared" si="27"/>
        <v/>
      </c>
      <c r="G106" s="951"/>
      <c r="H106" s="960" t="str">
        <f t="shared" si="24"/>
        <v/>
      </c>
      <c r="I106" s="185" t="str">
        <f>IF(OR(C106&lt;0,C106=""),"",-E106*INDEX('Replacement Costs'!$A$16:$H$57,MATCH(C106,'Replacement Costs'!$C$16:$C$57,0),MATCH("Total Yearly Replacement Costs",'Replacement Costs'!$A$16:$H$16,0)))</f>
        <v/>
      </c>
      <c r="J106" s="185" t="str">
        <f>IF(AND(C106&gt;=1,C106&lt;anal_period),WorkingCap*SUM(N106:R106)-WorkingCap*SUM(N105:R105),IF(C106&lt;0,0,IF(B106="","",-SUM(J$65:J105))))</f>
        <v/>
      </c>
      <c r="K106" s="185" t="str">
        <f t="shared" si="28"/>
        <v/>
      </c>
      <c r="L106" s="185" t="str">
        <f t="shared" si="29"/>
        <v/>
      </c>
      <c r="M106" s="185" t="str">
        <f t="shared" si="30"/>
        <v/>
      </c>
      <c r="N106" s="185" t="str">
        <f t="shared" si="31"/>
        <v/>
      </c>
      <c r="O106" s="185" t="str">
        <f t="shared" si="32"/>
        <v/>
      </c>
      <c r="P106" s="185" t="str">
        <f t="shared" si="33"/>
        <v/>
      </c>
      <c r="Q106" s="185" t="str">
        <f t="shared" si="10"/>
        <v/>
      </c>
      <c r="R106" s="185" t="str">
        <f t="shared" si="34"/>
        <v/>
      </c>
      <c r="S106" s="185" t="str">
        <f>IF(B106="","",IF($B$31=0,"",-'Debt Financing Calculations'!E55))</f>
        <v/>
      </c>
      <c r="T106" s="185" t="str">
        <f>IF(C106="","",F106+SUM(L106:S106))</f>
        <v/>
      </c>
      <c r="U106" s="185" t="str">
        <f>IF(C106="","",IF(C106&lt;-1,0,IF(C106=anal_period,-LOOKUP(C106,depr_yr,depr_cost)-Depreciation!$C$141-Depreciation!$B$166,-LOOKUP(C106,depr_yr,depr_cost))))</f>
        <v/>
      </c>
      <c r="V106" s="185" t="str">
        <f t="shared" si="36"/>
        <v/>
      </c>
      <c r="W106" s="186" t="str">
        <f t="shared" si="37"/>
        <v/>
      </c>
      <c r="X106" s="185" t="str">
        <f t="shared" si="38"/>
        <v/>
      </c>
      <c r="Y106" s="185" t="str">
        <f t="shared" si="39"/>
        <v/>
      </c>
      <c r="Z106" s="185" t="str">
        <f>IF(C106="","",IF($B$31=0,"",-'Debt Financing Calculations'!F55))</f>
        <v/>
      </c>
      <c r="AA106" s="185" t="str">
        <f t="shared" si="40"/>
        <v/>
      </c>
      <c r="AB106" s="185" t="str">
        <f t="shared" si="23"/>
        <v/>
      </c>
      <c r="AC106" s="938" t="str">
        <f>IF(C106="","",SUM(H106,I106,J106,K106,T106,Z106))</f>
        <v/>
      </c>
      <c r="AD106" s="132"/>
      <c r="AE106" s="942" t="str">
        <f t="shared" si="42"/>
        <v/>
      </c>
      <c r="AF106" s="938" t="str">
        <f t="shared" si="43"/>
        <v/>
      </c>
    </row>
    <row r="107" spans="1:32" x14ac:dyDescent="0.25">
      <c r="A107" s="56" t="str">
        <f t="shared" si="21"/>
        <v/>
      </c>
      <c r="B107" s="183" t="str">
        <f>IF(MAX($B$65:B106)&lt;(construct+anal_period),B106+1,"")</f>
        <v/>
      </c>
      <c r="C107" s="183" t="str">
        <f t="shared" si="22"/>
        <v/>
      </c>
      <c r="D107" s="183" t="str">
        <f t="shared" si="25"/>
        <v/>
      </c>
      <c r="E107" s="184" t="str">
        <f t="shared" si="26"/>
        <v/>
      </c>
      <c r="F107" s="57" t="str">
        <f t="shared" si="27"/>
        <v/>
      </c>
      <c r="G107" s="951"/>
      <c r="H107" s="960" t="str">
        <f t="shared" si="24"/>
        <v/>
      </c>
      <c r="I107" s="185" t="str">
        <f>IF(OR(C107&lt;0,C107=""),"",-E107*INDEX('Replacement Costs'!$A$16:$H$57,MATCH(C107,'Replacement Costs'!$C$16:$C$57,0),MATCH("Total Yearly Replacement Costs",'Replacement Costs'!$A$16:$H$16,0)))</f>
        <v/>
      </c>
      <c r="J107" s="185" t="str">
        <f>IF(AND(C107&gt;=1,C107&lt;anal_period),WorkingCap*SUM(N107:R107)-WorkingCap*SUM(N106:R106),IF(C107&lt;0,0,IF(B107="","",-SUM(J$65:J106))))</f>
        <v/>
      </c>
      <c r="K107" s="185" t="str">
        <f t="shared" si="28"/>
        <v/>
      </c>
      <c r="L107" s="185" t="str">
        <f t="shared" si="29"/>
        <v/>
      </c>
      <c r="M107" s="185" t="str">
        <f t="shared" si="30"/>
        <v/>
      </c>
      <c r="N107" s="185" t="str">
        <f t="shared" si="31"/>
        <v/>
      </c>
      <c r="O107" s="185" t="str">
        <f t="shared" si="32"/>
        <v/>
      </c>
      <c r="P107" s="185" t="str">
        <f t="shared" si="33"/>
        <v/>
      </c>
      <c r="Q107" s="185" t="str">
        <f t="shared" si="10"/>
        <v/>
      </c>
      <c r="R107" s="185" t="str">
        <f t="shared" si="34"/>
        <v/>
      </c>
      <c r="S107" s="185" t="str">
        <f>IF(B107="","",IF($B$31=0,"",-'Debt Financing Calculations'!E56))</f>
        <v/>
      </c>
      <c r="T107" s="185" t="str">
        <f t="shared" si="35"/>
        <v/>
      </c>
      <c r="U107" s="185" t="str">
        <f>IF(C107="","",IF(C107&lt;-1,0,IF(C107=anal_period,-LOOKUP(C107,depr_yr,depr_cost)-Depreciation!$C$141-Depreciation!$B$166,-LOOKUP(C107,depr_yr,depr_cost))))</f>
        <v/>
      </c>
      <c r="V107" s="185" t="str">
        <f t="shared" si="36"/>
        <v/>
      </c>
      <c r="W107" s="186" t="str">
        <f t="shared" si="37"/>
        <v/>
      </c>
      <c r="X107" s="185" t="str">
        <f t="shared" si="38"/>
        <v/>
      </c>
      <c r="Y107" s="185" t="str">
        <f t="shared" si="39"/>
        <v/>
      </c>
      <c r="Z107" s="185" t="str">
        <f>IF(C107="","",IF($B$31=0,"",-'Debt Financing Calculations'!F56))</f>
        <v/>
      </c>
      <c r="AA107" s="185" t="str">
        <f t="shared" si="40"/>
        <v/>
      </c>
      <c r="AB107" s="185" t="str">
        <f t="shared" si="23"/>
        <v/>
      </c>
      <c r="AC107" s="938" t="str">
        <f t="shared" si="41"/>
        <v/>
      </c>
      <c r="AD107" s="132"/>
      <c r="AE107" s="942" t="str">
        <f t="shared" si="42"/>
        <v/>
      </c>
      <c r="AF107" s="938" t="str">
        <f t="shared" si="43"/>
        <v/>
      </c>
    </row>
    <row r="108" spans="1:32" x14ac:dyDescent="0.25">
      <c r="A108" s="56" t="str">
        <f t="shared" si="21"/>
        <v/>
      </c>
      <c r="B108" s="183" t="str">
        <f>IF(MAX($B$65:B107)&lt;(construct+anal_period),B107+1,"")</f>
        <v/>
      </c>
      <c r="C108" s="183" t="str">
        <f t="shared" si="22"/>
        <v/>
      </c>
      <c r="D108" s="183" t="str">
        <f t="shared" si="25"/>
        <v/>
      </c>
      <c r="E108" s="184" t="str">
        <f t="shared" si="26"/>
        <v/>
      </c>
      <c r="F108" s="57" t="str">
        <f t="shared" si="27"/>
        <v/>
      </c>
      <c r="G108" s="951"/>
      <c r="H108" s="960" t="str">
        <f t="shared" si="24"/>
        <v/>
      </c>
      <c r="I108" s="185" t="str">
        <f>IF(OR(C108&lt;0,C108=""),"",-E108*INDEX('Replacement Costs'!$A$16:$H$57,MATCH(C108,'Replacement Costs'!$C$16:$C$57,0),MATCH("Total Yearly Replacement Costs",'Replacement Costs'!$A$16:$H$16,0)))</f>
        <v/>
      </c>
      <c r="J108" s="185" t="str">
        <f>IF(AND(C108&gt;=1,C108&lt;anal_period),WorkingCap*SUM(N108:R108)-WorkingCap*SUM(N107:R107),IF(C108&lt;0,0,IF(B108="","",-SUM(J$65:J107))))</f>
        <v/>
      </c>
      <c r="K108" s="185" t="str">
        <f t="shared" si="28"/>
        <v/>
      </c>
      <c r="L108" s="185" t="str">
        <f t="shared" si="29"/>
        <v/>
      </c>
      <c r="M108" s="185" t="str">
        <f t="shared" si="30"/>
        <v/>
      </c>
      <c r="N108" s="185" t="str">
        <f t="shared" si="31"/>
        <v/>
      </c>
      <c r="O108" s="185" t="str">
        <f t="shared" si="32"/>
        <v/>
      </c>
      <c r="P108" s="185" t="str">
        <f t="shared" si="33"/>
        <v/>
      </c>
      <c r="Q108" s="185" t="str">
        <f t="shared" si="10"/>
        <v/>
      </c>
      <c r="R108" s="185" t="str">
        <f t="shared" si="34"/>
        <v/>
      </c>
      <c r="S108" s="185" t="str">
        <f>IF(B108="","",IF($B$31=0,"",-'Debt Financing Calculations'!E57))</f>
        <v/>
      </c>
      <c r="T108" s="185" t="str">
        <f t="shared" si="35"/>
        <v/>
      </c>
      <c r="U108" s="185" t="str">
        <f>IF(C108="","",IF(C108&lt;-1,0,IF(C108=anal_period,-LOOKUP(C108,depr_yr,depr_cost)-Depreciation!$C$141-Depreciation!$B$166,-LOOKUP(C108,depr_yr,depr_cost))))</f>
        <v/>
      </c>
      <c r="V108" s="185" t="str">
        <f t="shared" si="36"/>
        <v/>
      </c>
      <c r="W108" s="186" t="str">
        <f t="shared" si="37"/>
        <v/>
      </c>
      <c r="X108" s="185" t="str">
        <f t="shared" si="38"/>
        <v/>
      </c>
      <c r="Y108" s="185" t="str">
        <f t="shared" si="39"/>
        <v/>
      </c>
      <c r="Z108" s="185" t="str">
        <f>IF(C108="","",IF($B$31=0,"",-'Debt Financing Calculations'!F57))</f>
        <v/>
      </c>
      <c r="AA108" s="185" t="str">
        <f t="shared" si="40"/>
        <v/>
      </c>
      <c r="AB108" s="185" t="str">
        <f t="shared" si="23"/>
        <v/>
      </c>
      <c r="AC108" s="938" t="str">
        <f t="shared" si="41"/>
        <v/>
      </c>
      <c r="AD108" s="132"/>
      <c r="AE108" s="942" t="str">
        <f t="shared" si="42"/>
        <v/>
      </c>
      <c r="AF108" s="938" t="str">
        <f t="shared" si="43"/>
        <v/>
      </c>
    </row>
    <row r="109" spans="1:32" x14ac:dyDescent="0.25">
      <c r="A109" s="56" t="str">
        <f t="shared" si="21"/>
        <v/>
      </c>
      <c r="B109" s="183" t="str">
        <f>IF(MAX($B$65:B108)&lt;(construct+anal_period),B108+1,"")</f>
        <v/>
      </c>
      <c r="C109" s="183" t="str">
        <f t="shared" si="22"/>
        <v/>
      </c>
      <c r="D109" s="183" t="str">
        <f t="shared" si="25"/>
        <v/>
      </c>
      <c r="E109" s="184" t="str">
        <f t="shared" si="26"/>
        <v/>
      </c>
      <c r="F109" s="57" t="str">
        <f t="shared" si="27"/>
        <v/>
      </c>
      <c r="G109" s="951"/>
      <c r="H109" s="960" t="str">
        <f t="shared" si="24"/>
        <v/>
      </c>
      <c r="I109" s="185" t="str">
        <f>IF(OR(C109&lt;0,C109=""),"",-E109*INDEX('Replacement Costs'!$A$16:$H$57,MATCH(C109,'Replacement Costs'!$C$16:$C$57,0),MATCH("Total Yearly Replacement Costs",'Replacement Costs'!$A$16:$H$16,0)))</f>
        <v/>
      </c>
      <c r="J109" s="185" t="str">
        <f>IF(AND(C109&gt;=1,C109&lt;anal_period),WorkingCap*SUM(N109:R109)-WorkingCap*SUM(N108:R108),IF(C109&lt;0,0,IF(B109="","",-SUM(J$65:J108))))</f>
        <v/>
      </c>
      <c r="K109" s="185" t="str">
        <f t="shared" si="28"/>
        <v/>
      </c>
      <c r="L109" s="185" t="str">
        <f t="shared" si="29"/>
        <v/>
      </c>
      <c r="M109" s="185" t="str">
        <f t="shared" si="30"/>
        <v/>
      </c>
      <c r="N109" s="185" t="str">
        <f t="shared" si="31"/>
        <v/>
      </c>
      <c r="O109" s="185" t="str">
        <f t="shared" si="32"/>
        <v/>
      </c>
      <c r="P109" s="185" t="str">
        <f t="shared" si="33"/>
        <v/>
      </c>
      <c r="Q109" s="185" t="str">
        <f t="shared" si="10"/>
        <v/>
      </c>
      <c r="R109" s="185" t="str">
        <f t="shared" si="34"/>
        <v/>
      </c>
      <c r="S109" s="185" t="str">
        <f>IF(B109="","",IF($B$31=0,"",-'Debt Financing Calculations'!E58))</f>
        <v/>
      </c>
      <c r="T109" s="185" t="str">
        <f t="shared" si="35"/>
        <v/>
      </c>
      <c r="U109" s="185" t="str">
        <f>IF(C109="","",IF(C109&lt;-1,0,IF(C109=anal_period,-LOOKUP(C109,depr_yr,depr_cost)-Depreciation!$C$141-Depreciation!$B$166,-LOOKUP(C109,depr_yr,depr_cost))))</f>
        <v/>
      </c>
      <c r="V109" s="185" t="str">
        <f t="shared" si="36"/>
        <v/>
      </c>
      <c r="W109" s="186" t="str">
        <f t="shared" si="37"/>
        <v/>
      </c>
      <c r="X109" s="185" t="str">
        <f t="shared" si="38"/>
        <v/>
      </c>
      <c r="Y109" s="185" t="str">
        <f t="shared" si="39"/>
        <v/>
      </c>
      <c r="Z109" s="185" t="str">
        <f>IF(C109="","",IF($B$31=0,"",-'Debt Financing Calculations'!F58))</f>
        <v/>
      </c>
      <c r="AA109" s="185" t="str">
        <f t="shared" si="40"/>
        <v/>
      </c>
      <c r="AB109" s="185" t="str">
        <f t="shared" si="23"/>
        <v/>
      </c>
      <c r="AC109" s="938" t="str">
        <f t="shared" si="41"/>
        <v/>
      </c>
      <c r="AD109" s="132"/>
      <c r="AE109" s="942" t="str">
        <f t="shared" si="42"/>
        <v/>
      </c>
      <c r="AF109" s="938" t="str">
        <f t="shared" si="43"/>
        <v/>
      </c>
    </row>
    <row r="110" spans="1:32" x14ac:dyDescent="0.25">
      <c r="A110" s="56" t="str">
        <f t="shared" si="21"/>
        <v/>
      </c>
      <c r="B110" s="183" t="str">
        <f>IF(MAX($B$65:B109)&lt;(construct+anal_period),B109+1,"")</f>
        <v/>
      </c>
      <c r="C110" s="183" t="str">
        <f t="shared" si="22"/>
        <v/>
      </c>
      <c r="D110" s="183" t="str">
        <f t="shared" si="25"/>
        <v/>
      </c>
      <c r="E110" s="184" t="str">
        <f t="shared" si="26"/>
        <v/>
      </c>
      <c r="F110" s="57" t="str">
        <f t="shared" si="27"/>
        <v/>
      </c>
      <c r="G110" s="951"/>
      <c r="H110" s="960" t="str">
        <f t="shared" si="24"/>
        <v/>
      </c>
      <c r="I110" s="185" t="str">
        <f>IF(OR(C110&lt;0,C110=""),"",-E110*INDEX('Replacement Costs'!$A$16:$H$57,MATCH(C110,'Replacement Costs'!$C$16:$C$57,0),MATCH("Total Yearly Replacement Costs",'Replacement Costs'!$A$16:$H$16,0)))</f>
        <v/>
      </c>
      <c r="J110" s="185" t="str">
        <f>IF(AND(C110&gt;=1,C110&lt;anal_period),WorkingCap*SUM(N110:R110)-WorkingCap*SUM(N109:R109),IF(C110&lt;0,0,IF(B110="","",-SUM(J$65:J109))))</f>
        <v/>
      </c>
      <c r="K110" s="185" t="str">
        <f t="shared" si="28"/>
        <v/>
      </c>
      <c r="L110" s="185" t="str">
        <f t="shared" si="29"/>
        <v/>
      </c>
      <c r="M110" s="185" t="str">
        <f t="shared" si="30"/>
        <v/>
      </c>
      <c r="N110" s="185" t="str">
        <f t="shared" si="31"/>
        <v/>
      </c>
      <c r="O110" s="185" t="str">
        <f>IF(C110="","",IF(C110&lt;0,0,IF(AND(C110=1,start_time&lt;1),-(SUM(B185:E185)*output_kgyear*E110*percnt_var*start_time+SUM(B185:E185)*output_kgyear*E110*(1-start_time)),IF(C110&lt;=start_time,-SUM(B185:E185)*output_kgyear*E110*percnt_var,-SUM(B185:E185)*output_kgyear*E110))))</f>
        <v/>
      </c>
      <c r="P110" s="185" t="str">
        <f t="shared" si="33"/>
        <v/>
      </c>
      <c r="Q110" s="185" t="str">
        <f>IF(C110="","",IF(C110&lt;0,0,IF(AND(C110=1,start_time&lt;1),SUM(K185:N185,T185:V185)*output_kgyear*E110*percnt_revs*start_time+SUM(K185:N185,T185:V185)*output_kgyear*E110*(1-start_time),IF(C110&lt;=start_time,SUM(K185:N185,T185:V185)*output_kgyear*E110*percnt_revs,SUM(K185:N185,T185:V185)*output_kgyear*E110))))</f>
        <v/>
      </c>
      <c r="R110" s="185" t="str">
        <f>IF(C110="","",IF(C110&lt;0,0,IF(AND(C110=1,start_time&lt;1),-((SUM(F185:J185,P185:R185)*output_kgyear+inflated_othervar)*E110*percnt_var*start_time+(SUM(F185:J185,P185:R185)*output_kgyear+inflated_othervar)*E110*(1-start_time)),IF(C110&lt;=start_time,-(SUM(F185:J185,P185:R185)*output_kgyear+inflated_othervar)*E110*percnt_var,-E110*(SUM(F185:J185,P185:R185)*output_kgyear+inflated_othervar)))))</f>
        <v/>
      </c>
      <c r="S110" s="185" t="str">
        <f>IF(B110="","",IF($B$31=0,"",-'Debt Financing Calculations'!E59))</f>
        <v/>
      </c>
      <c r="T110" s="185" t="str">
        <f t="shared" si="35"/>
        <v/>
      </c>
      <c r="U110" s="185" t="str">
        <f>IF(C110="","",IF(C110&lt;-1,0,IF(C110=anal_period,-LOOKUP(C110,depr_yr,depr_cost)-Depreciation!$C$141-Depreciation!$B$166,-LOOKUP(C110,depr_yr,depr_cost))))</f>
        <v/>
      </c>
      <c r="V110" s="185" t="str">
        <f t="shared" si="36"/>
        <v/>
      </c>
      <c r="W110" s="186" t="str">
        <f t="shared" si="37"/>
        <v/>
      </c>
      <c r="X110" s="185" t="str">
        <f t="shared" si="38"/>
        <v/>
      </c>
      <c r="Y110" s="185" t="str">
        <f t="shared" si="39"/>
        <v/>
      </c>
      <c r="Z110" s="185" t="str">
        <f>IF(C110="","",IF($B$31=0,"",-'Debt Financing Calculations'!F59))</f>
        <v/>
      </c>
      <c r="AA110" s="185" t="str">
        <f t="shared" si="40"/>
        <v/>
      </c>
      <c r="AB110" s="185" t="str">
        <f t="shared" si="23"/>
        <v/>
      </c>
      <c r="AC110" s="938" t="str">
        <f t="shared" si="41"/>
        <v/>
      </c>
      <c r="AD110" s="132"/>
      <c r="AE110" s="942" t="str">
        <f t="shared" si="42"/>
        <v/>
      </c>
      <c r="AF110" s="938" t="str">
        <f t="shared" si="43"/>
        <v/>
      </c>
    </row>
    <row r="111" spans="1:32" x14ac:dyDescent="0.25">
      <c r="A111" s="56" t="str">
        <f t="shared" si="21"/>
        <v/>
      </c>
      <c r="B111" s="183" t="str">
        <f>IF(MAX($B$65:B110)&lt;(construct+anal_period),B110+1,"")</f>
        <v/>
      </c>
      <c r="C111" s="183" t="str">
        <f t="shared" si="22"/>
        <v/>
      </c>
      <c r="D111" s="183" t="str">
        <f t="shared" si="25"/>
        <v/>
      </c>
      <c r="E111" s="184" t="str">
        <f t="shared" si="26"/>
        <v/>
      </c>
      <c r="F111" s="57" t="str">
        <f t="shared" si="27"/>
        <v/>
      </c>
      <c r="G111" s="951"/>
      <c r="H111" s="960" t="str">
        <f t="shared" si="24"/>
        <v/>
      </c>
      <c r="I111" s="185" t="str">
        <f>IF(OR(C111&lt;0,C111=""),"",-E111*INDEX('Replacement Costs'!$A$16:$H$57,MATCH(C111,'Replacement Costs'!$C$16:$C$57,0),MATCH("Total Yearly Replacement Costs",'Replacement Costs'!$A$16:$H$16,0)))</f>
        <v/>
      </c>
      <c r="J111" s="185" t="str">
        <f>IF(AND(C111&gt;=1,C111&lt;anal_period),WorkingCap*SUM(N111:R111)-WorkingCap*SUM(N110:R110),IF(C111&lt;0,0,IF(B111="","",-SUM(J$65:J110))))</f>
        <v/>
      </c>
      <c r="K111" s="185" t="str">
        <f t="shared" si="28"/>
        <v/>
      </c>
      <c r="L111" s="185" t="str">
        <f t="shared" si="29"/>
        <v/>
      </c>
      <c r="M111" s="185" t="str">
        <f t="shared" si="30"/>
        <v/>
      </c>
      <c r="N111" s="185" t="str">
        <f t="shared" si="31"/>
        <v/>
      </c>
      <c r="O111" s="185" t="str">
        <f>IF(C111="","",IF(C111&lt;0,0,IF(AND(C111=1,start_time&lt;1),-(SUM(B278:E278)*output_kgyear*E111*percnt_var*start_time+SUM(B278:E278)*output_kgyear*E111*(1-start_time)),IF(C111&lt;=start_time,-SUM(B278:E278)*output_kgyear*E111*percnt_var,-SUM(B278:E278)*output_kgyear*E111))))</f>
        <v/>
      </c>
      <c r="P111" s="185" t="str">
        <f t="shared" si="33"/>
        <v/>
      </c>
      <c r="Q111" s="185" t="str">
        <f>IF(C111="","",IF(C111&lt;0,0,IF(AND(C111=1,start_time&lt;1),SUM(K278:N278,T278:V278)*output_kgyear*E111*percnt_revs*start_time+SUM(K278:N278,T278:V278)*output_kgyear*E111*(1-start_time),IF(C111&lt;=start_time,SUM(K278:N278,T278:V278)*output_kgyear*E111*percnt_revs,SUM(K278:N278,T278:V278)*output_kgyear*E111))))</f>
        <v/>
      </c>
      <c r="R111" s="185" t="str">
        <f>IF(C111="","",IF(C111&lt;0,0,IF(AND(C111=1,start_time&lt;1),-((SUM(F278:J278,P278:R278)*output_kgyear+inflated_othervar)*E111*percnt_var*start_time+(SUM(F278:J278,P278:R278)*output_kgyear+inflated_othervar)*E111*(1-start_time)),IF(C111&lt;=start_time,-(SUM(F278:J278,P278:R278)*output_kgyear+inflated_othervar)*E111*percnt_var,-E111*(SUM(F278:J278,P278:R278)*output_kgyear+inflated_othervar)))))</f>
        <v/>
      </c>
      <c r="S111" s="185" t="str">
        <f>IF(B111="","",IF($B$31=0,"",-'Debt Financing Calculations'!E60))</f>
        <v/>
      </c>
      <c r="T111" s="185" t="str">
        <f t="shared" si="35"/>
        <v/>
      </c>
      <c r="U111" s="185" t="str">
        <f>IF(C111="","",IF(C111&lt;-1,0,IF(C111=anal_period,-LOOKUP(C111,depr_yr,depr_cost)-Depreciation!$C$141-Depreciation!$B$166,-LOOKUP(C111,depr_yr,depr_cost))))</f>
        <v/>
      </c>
      <c r="V111" s="185" t="str">
        <f t="shared" si="36"/>
        <v/>
      </c>
      <c r="W111" s="186" t="str">
        <f t="shared" si="37"/>
        <v/>
      </c>
      <c r="X111" s="185" t="str">
        <f t="shared" si="38"/>
        <v/>
      </c>
      <c r="Y111" s="185" t="str">
        <f t="shared" si="39"/>
        <v/>
      </c>
      <c r="Z111" s="185" t="str">
        <f>IF(C111="","",IF($B$31=0,"",-'Debt Financing Calculations'!F60))</f>
        <v/>
      </c>
      <c r="AA111" s="185" t="str">
        <f t="shared" si="40"/>
        <v/>
      </c>
      <c r="AB111" s="185" t="str">
        <f t="shared" si="23"/>
        <v/>
      </c>
      <c r="AC111" s="938" t="str">
        <f t="shared" si="41"/>
        <v/>
      </c>
      <c r="AD111" s="132"/>
      <c r="AE111" s="942" t="str">
        <f t="shared" si="42"/>
        <v/>
      </c>
      <c r="AF111" s="938" t="str">
        <f t="shared" si="43"/>
        <v/>
      </c>
    </row>
    <row r="112" spans="1:32" x14ac:dyDescent="0.25">
      <c r="A112" s="56" t="str">
        <f t="shared" si="21"/>
        <v/>
      </c>
      <c r="B112" s="183" t="str">
        <f>IF(MAX($B$65:B111)&lt;(construct+anal_period),B111+1,"")</f>
        <v/>
      </c>
      <c r="C112" s="183" t="str">
        <f t="shared" si="22"/>
        <v/>
      </c>
      <c r="D112" s="183" t="str">
        <f t="shared" si="25"/>
        <v/>
      </c>
      <c r="E112" s="184" t="str">
        <f t="shared" si="26"/>
        <v/>
      </c>
      <c r="F112" s="57" t="str">
        <f t="shared" si="27"/>
        <v/>
      </c>
      <c r="G112" s="951"/>
      <c r="H112" s="960" t="str">
        <f t="shared" si="24"/>
        <v/>
      </c>
      <c r="I112" s="185" t="str">
        <f>IF(OR(C112&lt;0,C112=""),"",-E112*INDEX('Replacement Costs'!$A$16:$H$57,MATCH(C112,'Replacement Costs'!$C$16:$C$57,0),MATCH("Total Yearly Replacement Costs",'Replacement Costs'!$A$16:$H$16,0)))</f>
        <v/>
      </c>
      <c r="J112" s="185" t="str">
        <f>IF(AND(C112&gt;=1,C112&lt;anal_period),WorkingCap*SUM(N112:R112)-WorkingCap*SUM(N111:R111),IF(C112&lt;0,0,IF(B112="","",-SUM(J$65:J111))))</f>
        <v/>
      </c>
      <c r="K112" s="185" t="str">
        <f t="shared" si="28"/>
        <v/>
      </c>
      <c r="L112" s="185" t="str">
        <f t="shared" si="29"/>
        <v/>
      </c>
      <c r="M112" s="185" t="str">
        <f t="shared" si="30"/>
        <v/>
      </c>
      <c r="N112" s="185" t="str">
        <f t="shared" si="31"/>
        <v/>
      </c>
      <c r="O112" s="185" t="str">
        <f>IF(C112="","",IF(C112&lt;0,0,IF(AND(C112=1,start_time&lt;1),-(SUM(B279:E279)*output_kgyear*E112*percnt_var*start_time+SUM(B279:E279)*output_kgyear*E112*(1-start_time)),IF(C112&lt;=start_time,-SUM(B279:E279)*output_kgyear*E112*percnt_var,-SUM(B279:E279)*output_kgyear*E112))))</f>
        <v/>
      </c>
      <c r="P112" s="185" t="str">
        <f t="shared" si="33"/>
        <v/>
      </c>
      <c r="Q112" s="185" t="str">
        <f>IF(C112="","",IF(C112&lt;0,0,IF(AND(C112=1,start_time&lt;1),SUM(K279:N279,T279:V279)*output_kgyear*E112*percnt_revs*start_time+SUM(K279:N279,T279:V279)*output_kgyear*E112*(1-start_time),IF(C112&lt;=start_time,SUM(K279:N279,T279:V279)*output_kgyear*E112*percnt_revs,SUM(K279:N279,T279:V279)*output_kgyear*E112))))</f>
        <v/>
      </c>
      <c r="R112" s="185" t="str">
        <f>IF(C112="","",IF(C112&lt;0,0,IF(AND(C112=1,start_time&lt;1),-((SUM(F279:J279,P279:R279)*output_kgyear+inflated_othervar)*E112*percnt_var*start_time+(SUM(F279:J279,P279:R279)*output_kgyear+inflated_othervar)*E112*(1-start_time)),IF(C112&lt;=start_time,-(SUM(F279:J279,P279:R279)*output_kgyear+inflated_othervar)*E112*percnt_var,-E112*(SUM(F279:J279,P279:R279)*output_kgyear+inflated_othervar)))))</f>
        <v/>
      </c>
      <c r="S112" s="185" t="str">
        <f>IF(B112="","",IF($B$31=0,"",-'Debt Financing Calculations'!E61))</f>
        <v/>
      </c>
      <c r="T112" s="185" t="str">
        <f t="shared" si="35"/>
        <v/>
      </c>
      <c r="U112" s="185" t="str">
        <f>IF(C112="","",IF(C112&lt;-1,0,IF(C112=anal_period,-LOOKUP(C112,depr_yr,depr_cost)-Depreciation!$C$141-Depreciation!$B$166,-LOOKUP(C112,depr_yr,depr_cost))))</f>
        <v/>
      </c>
      <c r="V112" s="185" t="str">
        <f t="shared" si="36"/>
        <v/>
      </c>
      <c r="W112" s="186" t="str">
        <f t="shared" si="37"/>
        <v/>
      </c>
      <c r="X112" s="185" t="str">
        <f t="shared" si="38"/>
        <v/>
      </c>
      <c r="Y112" s="185" t="str">
        <f t="shared" si="39"/>
        <v/>
      </c>
      <c r="Z112" s="185" t="str">
        <f>IF(C112="","",IF($B$31=0,"",-'Debt Financing Calculations'!F61))</f>
        <v/>
      </c>
      <c r="AA112" s="185" t="str">
        <f t="shared" si="40"/>
        <v/>
      </c>
      <c r="AB112" s="185" t="str">
        <f t="shared" si="23"/>
        <v/>
      </c>
      <c r="AC112" s="938" t="str">
        <f t="shared" si="41"/>
        <v/>
      </c>
      <c r="AD112" s="132"/>
      <c r="AE112" s="942" t="str">
        <f t="shared" si="42"/>
        <v/>
      </c>
      <c r="AF112" s="938" t="str">
        <f t="shared" si="43"/>
        <v/>
      </c>
    </row>
    <row r="113" spans="1:33" ht="13.8" thickBot="1" x14ac:dyDescent="0.3">
      <c r="A113" s="59" t="str">
        <f t="shared" si="21"/>
        <v/>
      </c>
      <c r="B113" s="187" t="str">
        <f>IF(MAX($B$65:B112)&lt;(construct+anal_period),B112+1,"")</f>
        <v/>
      </c>
      <c r="C113" s="187" t="str">
        <f t="shared" si="22"/>
        <v/>
      </c>
      <c r="D113" s="187" t="str">
        <f t="shared" si="25"/>
        <v/>
      </c>
      <c r="E113" s="945" t="str">
        <f t="shared" si="26"/>
        <v/>
      </c>
      <c r="F113" s="946" t="str">
        <f t="shared" si="27"/>
        <v/>
      </c>
      <c r="G113" s="953"/>
      <c r="H113" s="962" t="str">
        <f t="shared" si="24"/>
        <v/>
      </c>
      <c r="I113" s="947" t="str">
        <f>IF(OR(C113&lt;0,C113=""),"",-E113*INDEX('Replacement Costs'!$A$16:$H$57,MATCH(C113,'Replacement Costs'!$C$16:$C$57,0),MATCH("Total Yearly Replacement Costs",'Replacement Costs'!$A$16:$H$16,0)))</f>
        <v/>
      </c>
      <c r="J113" s="947" t="str">
        <f>IF(AND(C113&gt;=1,C113&lt;anal_period),WorkingCap*SUM(N113:R113)-WorkingCap*SUM(N112:R112),IF(C113&lt;0,0,IF(B113="","",-SUM(J$65:J112))))</f>
        <v/>
      </c>
      <c r="K113" s="947" t="str">
        <f t="shared" si="28"/>
        <v/>
      </c>
      <c r="L113" s="947" t="str">
        <f t="shared" si="29"/>
        <v/>
      </c>
      <c r="M113" s="947" t="str">
        <f t="shared" si="30"/>
        <v/>
      </c>
      <c r="N113" s="947" t="str">
        <f t="shared" si="31"/>
        <v/>
      </c>
      <c r="O113" s="947" t="str">
        <f>IF(C113="","",IF(C113&lt;0,0,IF(AND(C113=1,start_time&lt;1),-(SUM(B280:E280)*output_kgyear*E113*percnt_var*start_time+SUM(B280:E280)*output_kgyear*E113*(1-start_time)),IF(C113&lt;=start_time,-SUM(B280:E280)*output_kgyear*E113*percnt_var,-SUM(B280:E280)*output_kgyear*E113))))</f>
        <v/>
      </c>
      <c r="P113" s="947" t="str">
        <f t="shared" si="33"/>
        <v/>
      </c>
      <c r="Q113" s="947" t="str">
        <f>IF(C113="","",IF(C113&lt;0,0,IF(AND(C113=1,start_time&lt;1),SUM(K280:N280,T280:V280)*output_kgyear*E113*percnt_revs*start_time+SUM(K280:N280,T280:V280)*output_kgyear*E113*(1-start_time),IF(C113&lt;=start_time,SUM(K280:N280,T280:V280)*output_kgyear*E113*percnt_revs,SUM(K280:N280,T280:V280)*output_kgyear*E113))))</f>
        <v/>
      </c>
      <c r="R113" s="947" t="str">
        <f>IF(C113="","",IF(C113&lt;0,0,IF(AND(C113=1,start_time&lt;1),-((SUM(F280:J280,P280:R280)*output_kgyear+inflated_othervar)*E113*percnt_var*start_time+(SUM(F280:J280,P280:R280)*output_kgyear+inflated_othervar)*E113*(1-start_time)),IF(C113&lt;=start_time,-(SUM(F280:J280,P280:R280)*output_kgyear+inflated_othervar)*E113*percnt_var,-E113*(SUM(F280:J280,P280:R280)*output_kgyear+inflated_othervar)))))</f>
        <v/>
      </c>
      <c r="S113" s="947" t="str">
        <f>IF(B113="","",IF($B$31=0,"",-'Debt Financing Calculations'!E62))</f>
        <v/>
      </c>
      <c r="T113" s="947" t="str">
        <f t="shared" si="35"/>
        <v/>
      </c>
      <c r="U113" s="947" t="str">
        <f>IF(C113="","",IF(C113&lt;-1,0,IF(C113=anal_period,-LOOKUP(C113,depr_yr,depr_cost)-Depreciation!$C$141-Depreciation!$B$166,-LOOKUP(C113,depr_yr,depr_cost))))</f>
        <v/>
      </c>
      <c r="V113" s="947" t="str">
        <f t="shared" si="36"/>
        <v/>
      </c>
      <c r="W113" s="948" t="str">
        <f t="shared" si="37"/>
        <v/>
      </c>
      <c r="X113" s="947" t="str">
        <f t="shared" si="38"/>
        <v/>
      </c>
      <c r="Y113" s="947" t="str">
        <f t="shared" si="39"/>
        <v/>
      </c>
      <c r="Z113" s="947" t="str">
        <f>IF(C113="","",IF($B$31=0,"",-'Debt Financing Calculations'!F62))</f>
        <v/>
      </c>
      <c r="AA113" s="947" t="str">
        <f t="shared" si="40"/>
        <v/>
      </c>
      <c r="AB113" s="947" t="str">
        <f t="shared" si="23"/>
        <v/>
      </c>
      <c r="AC113" s="949" t="str">
        <f t="shared" si="41"/>
        <v/>
      </c>
      <c r="AD113" s="132"/>
      <c r="AE113" s="944" t="str">
        <f t="shared" si="42"/>
        <v/>
      </c>
      <c r="AF113" s="940" t="str">
        <f t="shared" si="43"/>
        <v/>
      </c>
    </row>
    <row r="114" spans="1:33" ht="13.8" thickTop="1" x14ac:dyDescent="0.25">
      <c r="A114" s="132"/>
      <c r="B114" s="132"/>
      <c r="C114" s="132"/>
      <c r="D114" s="132"/>
      <c r="E114" s="963" t="s">
        <v>148</v>
      </c>
      <c r="F114" s="964">
        <f t="shared" ref="F114:AC114" ca="1" si="44">SUM(F65:F113)</f>
        <v>16501672.751483312</v>
      </c>
      <c r="G114" s="964">
        <f t="shared" ca="1" si="44"/>
        <v>-1017066.6957172423</v>
      </c>
      <c r="H114" s="964">
        <f t="shared" ca="1" si="44"/>
        <v>-678044.46381149488</v>
      </c>
      <c r="I114" s="964">
        <f t="shared" ca="1" si="44"/>
        <v>-1174876.5117430487</v>
      </c>
      <c r="J114" s="964">
        <f t="shared" ca="1" si="44"/>
        <v>0</v>
      </c>
      <c r="K114" s="964">
        <f t="shared" ca="1" si="44"/>
        <v>0</v>
      </c>
      <c r="L114" s="964">
        <f t="shared" ca="1" si="44"/>
        <v>246991.41781222628</v>
      </c>
      <c r="M114" s="964">
        <f t="shared" ca="1" si="44"/>
        <v>-246991.41781222628</v>
      </c>
      <c r="N114" s="964">
        <f t="shared" ca="1" si="44"/>
        <v>-2365211.6813499313</v>
      </c>
      <c r="O114" s="964">
        <f t="shared" ca="1" si="44"/>
        <v>-10519155.289169775</v>
      </c>
      <c r="P114" s="964">
        <f t="shared" ca="1" si="44"/>
        <v>0</v>
      </c>
      <c r="Q114" s="964">
        <f t="shared" ca="1" si="44"/>
        <v>0</v>
      </c>
      <c r="R114" s="964">
        <f t="shared" ca="1" si="44"/>
        <v>-210360.9215297859</v>
      </c>
      <c r="S114" s="964">
        <f t="shared" ca="1" si="44"/>
        <v>-790260.82257229718</v>
      </c>
      <c r="T114" s="964">
        <f t="shared" ca="1" si="44"/>
        <v>2616684.0368615221</v>
      </c>
      <c r="U114" s="964">
        <f t="shared" ca="1" si="44"/>
        <v>-2869987.6712717852</v>
      </c>
      <c r="V114" s="964">
        <f t="shared" ca="1" si="44"/>
        <v>-253303.63441026316</v>
      </c>
      <c r="W114" s="964">
        <f t="shared" si="44"/>
        <v>5.4053999999999984</v>
      </c>
      <c r="X114" s="964">
        <f t="shared" ca="1" si="44"/>
        <v>65200.355497201774</v>
      </c>
      <c r="Y114" s="964">
        <f t="shared" ca="1" si="44"/>
        <v>2681884.392358724</v>
      </c>
      <c r="Z114" s="964">
        <f t="shared" ca="1" si="44"/>
        <v>-1017066.6957172423</v>
      </c>
      <c r="AA114" s="964">
        <f t="shared" ca="1" si="44"/>
        <v>-188103.27891306125</v>
      </c>
      <c r="AB114" s="964">
        <f t="shared" ca="1" si="44"/>
        <v>3796045.7114039282</v>
      </c>
      <c r="AC114" s="965">
        <f t="shared" ca="1" si="44"/>
        <v>-253303.63441026316</v>
      </c>
      <c r="AD114" s="132"/>
    </row>
    <row r="115" spans="1:33" ht="13.8" thickBot="1" x14ac:dyDescent="0.3">
      <c r="E115" s="966" t="s">
        <v>149</v>
      </c>
      <c r="F115" s="947">
        <f t="shared" ref="F115:AC115" ca="1" si="45">NPV(nominal_irr,F65:F113)</f>
        <v>5912483.5731999725</v>
      </c>
      <c r="G115" s="947">
        <f t="shared" ca="1" si="45"/>
        <v>-924169.20702689851</v>
      </c>
      <c r="H115" s="947">
        <f t="shared" ca="1" si="45"/>
        <v>-616112.80468459905</v>
      </c>
      <c r="I115" s="947">
        <f t="shared" ca="1" si="45"/>
        <v>-382062.77243907208</v>
      </c>
      <c r="J115" s="947">
        <f t="shared" ca="1" si="45"/>
        <v>-59704.989218324401</v>
      </c>
      <c r="K115" s="947">
        <f t="shared" ca="1" si="45"/>
        <v>0</v>
      </c>
      <c r="L115" s="947">
        <f t="shared" ca="1" si="45"/>
        <v>33046.474450941627</v>
      </c>
      <c r="M115" s="947">
        <f t="shared" ca="1" si="45"/>
        <v>-33046.474450941627</v>
      </c>
      <c r="N115" s="947">
        <f t="shared" ca="1" si="45"/>
        <v>-854149.15227613726</v>
      </c>
      <c r="O115" s="947">
        <f t="shared" ca="1" si="45"/>
        <v>-3540836.7327963882</v>
      </c>
      <c r="P115" s="947">
        <f t="shared" ca="1" si="45"/>
        <v>0</v>
      </c>
      <c r="Q115" s="947">
        <f t="shared" ca="1" si="45"/>
        <v>0</v>
      </c>
      <c r="R115" s="947">
        <f t="shared" ca="1" si="45"/>
        <v>-75371.479711126114</v>
      </c>
      <c r="S115" s="947">
        <f t="shared" ca="1" si="45"/>
        <v>-324279.01165254106</v>
      </c>
      <c r="T115" s="947">
        <f t="shared" ca="1" si="45"/>
        <v>1117847.1967637781</v>
      </c>
      <c r="U115" s="947">
        <f t="shared" ca="1" si="45"/>
        <v>-1413545.9897475329</v>
      </c>
      <c r="V115" s="947">
        <f t="shared" ca="1" si="45"/>
        <v>-295698.79298375407</v>
      </c>
      <c r="W115" s="947">
        <f t="shared" ca="1" si="45"/>
        <v>2.2180749943810913</v>
      </c>
      <c r="X115" s="947">
        <f t="shared" ca="1" si="45"/>
        <v>76112.869314018273</v>
      </c>
      <c r="Y115" s="947">
        <f t="shared" ca="1" si="45"/>
        <v>1193960.0660777963</v>
      </c>
      <c r="Z115" s="947">
        <f t="shared" ca="1" si="45"/>
        <v>-136079.49973579904</v>
      </c>
      <c r="AA115" s="947">
        <f t="shared" ca="1" si="45"/>
        <v>2.3007607764836916E-9</v>
      </c>
      <c r="AB115" s="947">
        <f t="shared" ca="1" si="45"/>
        <v>250372.80605350606</v>
      </c>
      <c r="AC115" s="949">
        <f t="shared" ca="1" si="45"/>
        <v>-76112.869314016032</v>
      </c>
      <c r="AD115" s="132"/>
    </row>
    <row r="116" spans="1:33" ht="13.8" thickBot="1" x14ac:dyDescent="0.3">
      <c r="D116" s="189"/>
      <c r="E116" s="967" t="s">
        <v>1098</v>
      </c>
      <c r="F116" s="968">
        <f t="shared" ref="F116:AC116" ca="1" si="46">+F65+NPV($X$59,F66:F113)</f>
        <v>6506806.4219780322</v>
      </c>
      <c r="G116" s="968">
        <f t="shared" ca="1" si="46"/>
        <v>-1017066.6957172423</v>
      </c>
      <c r="H116" s="968">
        <f ca="1">+H65+NPV($X$59,H66:H113)</f>
        <v>-678044.46381149488</v>
      </c>
      <c r="I116" s="968">
        <f t="shared" ca="1" si="46"/>
        <v>-420467.72232464765</v>
      </c>
      <c r="J116" s="968">
        <f t="shared" ca="1" si="46"/>
        <v>-65706.53473455034</v>
      </c>
      <c r="K116" s="968">
        <f t="shared" ca="1" si="46"/>
        <v>0</v>
      </c>
      <c r="L116" s="968">
        <f t="shared" ca="1" si="46"/>
        <v>36368.306062750278</v>
      </c>
      <c r="M116" s="968">
        <f t="shared" ca="1" si="46"/>
        <v>-36368.306062750278</v>
      </c>
      <c r="N116" s="968">
        <f t="shared" ca="1" si="46"/>
        <v>-940008.22506293422</v>
      </c>
      <c r="O116" s="968">
        <f t="shared" ca="1" si="46"/>
        <v>-3896761.6411770806</v>
      </c>
      <c r="P116" s="968">
        <f t="shared" ca="1" si="46"/>
        <v>0</v>
      </c>
      <c r="Q116" s="968">
        <f t="shared" ca="1" si="46"/>
        <v>0</v>
      </c>
      <c r="R116" s="968">
        <f t="shared" ca="1" si="46"/>
        <v>-82947.820851688535</v>
      </c>
      <c r="S116" s="968">
        <f t="shared" ca="1" si="46"/>
        <v>-356875.53790385445</v>
      </c>
      <c r="T116" s="968">
        <f t="shared" ca="1" si="46"/>
        <v>1230213.1969824731</v>
      </c>
      <c r="U116" s="968">
        <f t="shared" ca="1" si="46"/>
        <v>-1555635.6326369543</v>
      </c>
      <c r="V116" s="968">
        <f t="shared" ca="1" si="46"/>
        <v>-325422.43565448106</v>
      </c>
      <c r="W116" s="968">
        <f t="shared" ca="1" si="46"/>
        <v>2.441035892816279</v>
      </c>
      <c r="X116" s="968">
        <f t="shared" ca="1" si="46"/>
        <v>83763.734937463421</v>
      </c>
      <c r="Y116" s="968">
        <f t="shared" ca="1" si="46"/>
        <v>1313976.931919937</v>
      </c>
      <c r="Z116" s="968">
        <f t="shared" ca="1" si="46"/>
        <v>-149758.21104924154</v>
      </c>
      <c r="AA116" s="968">
        <f t="shared" ca="1" si="46"/>
        <v>2.7939677238464355E-9</v>
      </c>
      <c r="AB116" s="968">
        <f t="shared" ca="1" si="46"/>
        <v>275540.28051800467</v>
      </c>
      <c r="AC116" s="969">
        <f t="shared" ca="1" si="46"/>
        <v>-83763.73493746086</v>
      </c>
      <c r="AD116" s="970"/>
      <c r="AE116" s="971">
        <f ca="1">+AE65+NPV(real_irr,AE66:AE113)</f>
        <v>4496442.7623530524</v>
      </c>
      <c r="AF116" s="972">
        <f ca="1">+AF65+NPV($X$59,AF66:AF113)</f>
        <v>0</v>
      </c>
      <c r="AG116" s="973"/>
    </row>
    <row r="117" spans="1:33" ht="16.8" thickTop="1" thickBot="1" x14ac:dyDescent="0.35">
      <c r="A117" s="47" t="s">
        <v>78</v>
      </c>
      <c r="B117" s="147"/>
      <c r="C117" s="147"/>
      <c r="D117" s="147"/>
      <c r="E117" s="974" t="s">
        <v>1154</v>
      </c>
      <c r="F117" s="984"/>
      <c r="G117" s="984"/>
      <c r="H117" s="984">
        <f ca="1">-H116/$AE$116*(1+inflation_rate)^construct/INFLATION_FACTOR</f>
        <v>0.15658042695050911</v>
      </c>
      <c r="I117" s="984">
        <f ca="1">-I116/$AE$116*(1+inflation_rate)^construct/INFLATION_FACTOR</f>
        <v>9.7098374803344725E-2</v>
      </c>
      <c r="J117" s="984">
        <f ca="1">-J116/$AE$116*(1+inflation_rate)^construct/INFLATION_FACTOR</f>
        <v>1.5173573137579138E-2</v>
      </c>
      <c r="K117" s="984">
        <f ca="1">-K116/$AE$116*(1+inflation_rate)^construct/INFLATION_FACTOR</f>
        <v>0</v>
      </c>
      <c r="L117" s="984"/>
      <c r="M117" s="984">
        <f ca="1">-M116/$AE$116*(1+inflation_rate)^construct/INFLATION_FACTOR</f>
        <v>8.3985124791984E-3</v>
      </c>
      <c r="N117" s="984">
        <f ca="1">-N116/$AE$116*(1+inflation_rate)^construct/INFLATION_FACTOR</f>
        <v>0.21707557110629894</v>
      </c>
      <c r="O117" s="984">
        <f ca="1">-O116/$AE$116*(1+inflation_rate)^construct/INFLATION_FACTOR</f>
        <v>0.89987697572220759</v>
      </c>
      <c r="P117" s="984">
        <f ca="1">-P116/$AE$116*(1+inflation_rate)^construct/INFLATION_FACTOR</f>
        <v>0</v>
      </c>
      <c r="Q117" s="984"/>
      <c r="R117" s="984">
        <f ca="1">-R116/$AE$116*(1+inflation_rate)^construct/INFLATION_FACTOR</f>
        <v>1.9155093650587738E-2</v>
      </c>
      <c r="S117" s="984">
        <f ca="1">-S116/$AE$116*(1+inflation_rate)^construct/INFLATION_FACTOR</f>
        <v>8.2413067395405215E-2</v>
      </c>
      <c r="T117" s="984"/>
      <c r="U117" s="984"/>
      <c r="V117" s="984"/>
      <c r="W117" s="984"/>
      <c r="X117" s="984">
        <f ca="1">-X116/$AE$116*(1+inflation_rate)^construct/INFLATION_FACTOR</f>
        <v>-1.934351223185217E-2</v>
      </c>
      <c r="Y117" s="984"/>
      <c r="Z117" s="984">
        <f ca="1">-Z116/$AE$116*(1+inflation_rate)^construct/INFLATION_FACTOR</f>
        <v>3.4583579509844455E-2</v>
      </c>
      <c r="AA117" s="984"/>
      <c r="AB117" s="984"/>
      <c r="AC117" s="985"/>
      <c r="AD117" s="986"/>
      <c r="AE117" s="987"/>
      <c r="AF117" s="987"/>
      <c r="AG117" s="985">
        <f ca="1">+SUM(F117:AC117)</f>
        <v>1.5110116625231231</v>
      </c>
    </row>
    <row r="118" spans="1:33" ht="15" customHeight="1" thickTop="1" thickBot="1" x14ac:dyDescent="0.3">
      <c r="A118" s="52" t="s">
        <v>79</v>
      </c>
      <c r="B118" s="54" t="s">
        <v>150</v>
      </c>
      <c r="C118" s="54" t="s">
        <v>151</v>
      </c>
      <c r="D118" s="872" t="s">
        <v>152</v>
      </c>
      <c r="E118" s="975" t="s">
        <v>1155</v>
      </c>
      <c r="F118" s="988">
        <f ca="1">F116/$AE$116*(1+inflation_rate)^construct/INFLATION_FACTOR</f>
        <v>1.5026131500439255</v>
      </c>
      <c r="G118" s="988"/>
      <c r="H118" s="988"/>
      <c r="I118" s="988"/>
      <c r="J118" s="988"/>
      <c r="K118" s="988"/>
      <c r="L118" s="988">
        <f ca="1">L116/$AE$116*(1+inflation_rate)^construct/INFLATION_FACTOR</f>
        <v>8.3985124791984E-3</v>
      </c>
      <c r="M118" s="988"/>
      <c r="N118" s="988"/>
      <c r="O118" s="988"/>
      <c r="P118" s="988"/>
      <c r="Q118" s="988">
        <f ca="1">Q116/$AE$116*(1+inflation_rate)^construct/INFLATION_FACTOR</f>
        <v>0</v>
      </c>
      <c r="R118" s="988"/>
      <c r="S118" s="988"/>
      <c r="T118" s="988"/>
      <c r="U118" s="988"/>
      <c r="V118" s="988"/>
      <c r="W118" s="988"/>
      <c r="X118" s="988"/>
      <c r="Y118" s="988"/>
      <c r="Z118" s="988"/>
      <c r="AA118" s="988"/>
      <c r="AB118" s="988"/>
      <c r="AC118" s="989"/>
      <c r="AD118" s="990"/>
      <c r="AE118" s="991"/>
      <c r="AF118" s="991"/>
      <c r="AG118" s="989">
        <f ca="1">+SUM(F118:AC118)</f>
        <v>1.5110116625231238</v>
      </c>
    </row>
    <row r="119" spans="1:33" ht="15" customHeight="1" x14ac:dyDescent="0.25">
      <c r="A119" s="192" t="s">
        <v>153</v>
      </c>
      <c r="B119" s="185">
        <f ca="1">(SUM(H115:K115)+L115*(1-total_tax_rate)+S115*(1-total_tax_rate)+U115*(-total_tax_rate)+Z115)/(1-total_tax_rate)</f>
        <v>-1409079.7339653748</v>
      </c>
      <c r="C119" s="193">
        <f t="shared" ref="C119:C125" ca="1" si="47">B119/SUM($B$118:$B$125)</f>
        <v>0.23832281587257742</v>
      </c>
      <c r="D119" s="194">
        <f t="shared" ref="D119:D125" ca="1" si="48">H2_price_real*C119</f>
        <v>0.35810699708563176</v>
      </c>
      <c r="E119" s="190"/>
    </row>
    <row r="120" spans="1:33" ht="15" customHeight="1" x14ac:dyDescent="0.25">
      <c r="A120" s="192" t="s">
        <v>83</v>
      </c>
      <c r="B120" s="185">
        <f ca="1">M115</f>
        <v>-33046.474450941627</v>
      </c>
      <c r="C120" s="193">
        <f t="shared" ca="1" si="47"/>
        <v>5.5892712498575503E-3</v>
      </c>
      <c r="D120" s="194">
        <f t="shared" ca="1" si="48"/>
        <v>8.3985124791983966E-3</v>
      </c>
      <c r="E120" s="190"/>
      <c r="V120" s="149"/>
      <c r="W120" s="132"/>
      <c r="X120" s="132"/>
      <c r="Y120" s="132"/>
    </row>
    <row r="121" spans="1:33" ht="15" customHeight="1" x14ac:dyDescent="0.25">
      <c r="A121" s="192" t="s">
        <v>84</v>
      </c>
      <c r="B121" s="185">
        <f ca="1">N115</f>
        <v>-854149.15227613726</v>
      </c>
      <c r="C121" s="193">
        <f t="shared" ca="1" si="47"/>
        <v>0.14446537427145062</v>
      </c>
      <c r="D121" s="194">
        <f t="shared" ca="1" si="48"/>
        <v>0.21707557110629896</v>
      </c>
      <c r="E121" s="190"/>
      <c r="V121" s="149"/>
      <c r="W121" s="132"/>
      <c r="X121" s="132"/>
      <c r="Y121" s="132"/>
    </row>
    <row r="122" spans="1:33" ht="15" customHeight="1" x14ac:dyDescent="0.25">
      <c r="A122" s="192" t="s">
        <v>986</v>
      </c>
      <c r="B122" s="185">
        <f ca="1">O115</f>
        <v>-3540836.7327963882</v>
      </c>
      <c r="C122" s="193">
        <f t="shared" ca="1" si="47"/>
        <v>0.59887468420990608</v>
      </c>
      <c r="D122" s="194">
        <f t="shared" ca="1" si="48"/>
        <v>0.89987697572220759</v>
      </c>
      <c r="E122" s="190"/>
      <c r="V122" s="149"/>
      <c r="W122" s="132"/>
      <c r="X122" s="132"/>
      <c r="Y122" s="132"/>
    </row>
    <row r="123" spans="1:33" ht="15" customHeight="1" x14ac:dyDescent="0.25">
      <c r="A123" s="192" t="s">
        <v>85</v>
      </c>
      <c r="B123" s="185">
        <f ca="1">P115</f>
        <v>0</v>
      </c>
      <c r="C123" s="193">
        <f t="shared" ca="1" si="47"/>
        <v>0</v>
      </c>
      <c r="D123" s="194">
        <f t="shared" ca="1" si="48"/>
        <v>0</v>
      </c>
      <c r="E123" s="190"/>
      <c r="V123" s="149"/>
      <c r="W123" s="132"/>
      <c r="X123" s="132"/>
      <c r="Y123" s="132"/>
    </row>
    <row r="124" spans="1:33" ht="15" customHeight="1" x14ac:dyDescent="0.25">
      <c r="A124" s="192" t="s">
        <v>86</v>
      </c>
      <c r="B124" s="185">
        <f ca="1">Q115</f>
        <v>0</v>
      </c>
      <c r="C124" s="193">
        <f t="shared" ca="1" si="47"/>
        <v>0</v>
      </c>
      <c r="D124" s="194">
        <f t="shared" ca="1" si="48"/>
        <v>0</v>
      </c>
      <c r="E124" s="190"/>
      <c r="V124" s="149"/>
      <c r="W124" s="132"/>
      <c r="X124" s="132"/>
      <c r="Y124" s="132"/>
    </row>
    <row r="125" spans="1:33" ht="29.25" customHeight="1" thickBot="1" x14ac:dyDescent="0.3">
      <c r="A125" s="195" t="s">
        <v>87</v>
      </c>
      <c r="B125" s="188">
        <f ca="1">R115</f>
        <v>-75371.479711126114</v>
      </c>
      <c r="C125" s="196">
        <f t="shared" ca="1" si="47"/>
        <v>1.2747854396208222E-2</v>
      </c>
      <c r="D125" s="197">
        <f t="shared" ca="1" si="48"/>
        <v>1.9155093650587728E-2</v>
      </c>
      <c r="E125" s="190"/>
      <c r="V125" s="149"/>
      <c r="W125" s="132"/>
      <c r="X125" s="132"/>
      <c r="Y125" s="132"/>
    </row>
    <row r="126" spans="1:33" ht="15" customHeight="1" thickTop="1" x14ac:dyDescent="0.25">
      <c r="D126" s="189"/>
      <c r="E126" s="190"/>
      <c r="K126"/>
      <c r="L126"/>
      <c r="M126"/>
      <c r="V126" s="149"/>
      <c r="W126" s="132"/>
      <c r="X126" s="132"/>
      <c r="Y126" s="132"/>
    </row>
    <row r="127" spans="1:33" ht="15" customHeight="1" x14ac:dyDescent="0.25">
      <c r="D127" s="189"/>
      <c r="E127" s="190"/>
      <c r="K127"/>
      <c r="L127"/>
      <c r="M127"/>
      <c r="V127" s="149"/>
      <c r="W127" s="132"/>
      <c r="X127" s="132"/>
      <c r="Y127" s="132"/>
    </row>
    <row r="128" spans="1:33" ht="42.75" customHeight="1" thickBot="1" x14ac:dyDescent="0.3">
      <c r="A128" s="226" t="s">
        <v>260</v>
      </c>
      <c r="B128" s="397">
        <f>(1+inflation_rate)^(startup_year-ref_year)</f>
        <v>0.9813542688910698</v>
      </c>
      <c r="P128" s="703"/>
    </row>
    <row r="129" spans="1:22" ht="51.75" customHeight="1" thickBot="1" x14ac:dyDescent="0.35">
      <c r="A129" s="198" t="s">
        <v>154</v>
      </c>
      <c r="B129" s="199"/>
      <c r="C129" s="199"/>
      <c r="D129" s="199"/>
      <c r="E129" s="199"/>
      <c r="F129" s="199"/>
      <c r="G129" s="199"/>
      <c r="H129" s="199"/>
      <c r="I129" s="199"/>
      <c r="J129" s="199"/>
      <c r="K129" s="199"/>
      <c r="L129" s="199"/>
      <c r="M129" s="199"/>
      <c r="N129" s="199"/>
      <c r="O129" s="199"/>
      <c r="P129" s="702"/>
      <c r="Q129" s="199"/>
      <c r="R129" s="199"/>
      <c r="S129" s="199"/>
      <c r="T129" s="199"/>
      <c r="U129" s="199"/>
      <c r="V129" s="234"/>
    </row>
    <row r="130" spans="1:22" ht="31.95" customHeight="1" thickTop="1" thickBot="1" x14ac:dyDescent="0.35">
      <c r="A130" s="354"/>
      <c r="B130" s="200" t="s">
        <v>66</v>
      </c>
      <c r="C130" s="228"/>
      <c r="D130" s="228"/>
      <c r="E130" s="147"/>
      <c r="F130" s="201" t="s">
        <v>67</v>
      </c>
      <c r="G130" s="228"/>
      <c r="H130" s="228"/>
      <c r="I130" s="229"/>
      <c r="J130" s="507" t="s">
        <v>984</v>
      </c>
      <c r="K130" s="231" t="s">
        <v>68</v>
      </c>
      <c r="L130" s="147"/>
      <c r="M130" s="147"/>
      <c r="N130" s="191"/>
      <c r="O130" s="375" t="s">
        <v>69</v>
      </c>
      <c r="P130" s="380"/>
      <c r="Q130" s="380"/>
      <c r="R130" s="381"/>
      <c r="S130" s="200" t="s">
        <v>72</v>
      </c>
      <c r="T130" s="391"/>
      <c r="U130" s="391"/>
      <c r="V130" s="392"/>
    </row>
    <row r="131" spans="1:22" ht="30.75" customHeight="1" thickTop="1" thickBot="1" x14ac:dyDescent="0.35">
      <c r="A131" s="355" t="s">
        <v>262</v>
      </c>
      <c r="B131" s="357" t="str">
        <f>Input_Sheet_Template!$B$75</f>
        <v>Industrial Natural Gas</v>
      </c>
      <c r="C131" s="358" t="str">
        <f>Input_Sheet_Template!$B$77</f>
        <v>Commercial Electricity</v>
      </c>
      <c r="D131" s="358"/>
      <c r="E131" s="358"/>
      <c r="F131" s="359"/>
      <c r="G131" s="358"/>
      <c r="H131" s="358"/>
      <c r="I131" s="360"/>
      <c r="J131" s="515" t="str">
        <f>IF(CO2_CashFlow_eUse&gt;0,'HyARC Physical Property Data'!A77,"")</f>
        <v/>
      </c>
      <c r="K131" s="509"/>
      <c r="L131" s="361"/>
      <c r="M131" s="361"/>
      <c r="N131" s="362"/>
      <c r="O131" s="376" t="s">
        <v>70</v>
      </c>
      <c r="P131" s="382" t="str">
        <f>Input_Sheet_Template!$B$138</f>
        <v>Process Water</v>
      </c>
      <c r="Q131" s="382"/>
      <c r="R131" s="383"/>
      <c r="S131" s="376" t="s">
        <v>70</v>
      </c>
      <c r="T131" s="382"/>
      <c r="U131" s="382"/>
      <c r="V131" s="383"/>
    </row>
    <row r="132" spans="1:22" ht="31.5" customHeight="1" thickBot="1" x14ac:dyDescent="0.35">
      <c r="A132" s="356" t="s">
        <v>920</v>
      </c>
      <c r="B132" s="363">
        <f>Input_Sheet_Template!$C$75</f>
        <v>1.0549999999999999</v>
      </c>
      <c r="C132" s="364">
        <f>Input_Sheet_Template!$C$77</f>
        <v>3.5999999999999995E-3</v>
      </c>
      <c r="D132" s="364"/>
      <c r="E132" s="364"/>
      <c r="F132" s="365"/>
      <c r="G132" s="364"/>
      <c r="H132" s="364"/>
      <c r="I132" s="366"/>
      <c r="J132" s="516">
        <f>IF(J131="",0,VLOOKUP(J131,MASTER_PROPERTY_TABLE,9,FALSE))</f>
        <v>0</v>
      </c>
      <c r="K132" s="510"/>
      <c r="L132" s="367"/>
      <c r="M132" s="367"/>
      <c r="N132" s="368"/>
      <c r="O132" s="377" t="s">
        <v>263</v>
      </c>
      <c r="P132" s="704">
        <f>Input_Sheet_Template!$D$138</f>
        <v>5.77</v>
      </c>
      <c r="Q132" s="704"/>
      <c r="R132" s="705"/>
      <c r="S132" s="377" t="s">
        <v>263</v>
      </c>
      <c r="T132" s="384"/>
      <c r="U132" s="384"/>
      <c r="V132" s="385"/>
    </row>
    <row r="133" spans="1:22" ht="16.5" customHeight="1" thickBot="1" x14ac:dyDescent="0.35">
      <c r="A133" s="356" t="s">
        <v>263</v>
      </c>
      <c r="B133" s="363">
        <f>feedstockIndustrial_Natural_Gas_Usage</f>
        <v>0.15579701239747201</v>
      </c>
      <c r="C133" s="364">
        <f>feedstockCommercial_Electricity_Usage</f>
        <v>1.1100000000000001</v>
      </c>
      <c r="D133" s="364"/>
      <c r="E133" s="364"/>
      <c r="F133" s="365"/>
      <c r="G133" s="364"/>
      <c r="H133" s="364"/>
      <c r="I133" s="366"/>
      <c r="J133" s="516"/>
      <c r="K133" s="510"/>
      <c r="L133" s="367"/>
      <c r="M133" s="367"/>
      <c r="N133" s="368"/>
      <c r="O133" s="377" t="s">
        <v>71</v>
      </c>
      <c r="P133" s="384">
        <f>Input_Sheet_Template!$C$138</f>
        <v>2.374951094500801E-3</v>
      </c>
      <c r="Q133" s="384"/>
      <c r="R133" s="385"/>
      <c r="S133" s="377" t="s">
        <v>73</v>
      </c>
      <c r="T133" s="384"/>
      <c r="U133" s="384"/>
      <c r="V133" s="385"/>
    </row>
    <row r="134" spans="1:22" ht="16.5" customHeight="1" thickBot="1" x14ac:dyDescent="0.35">
      <c r="A134" s="356" t="s">
        <v>264</v>
      </c>
      <c r="B134" s="363">
        <f>feedstockIndustrial_Natural_Gas_Price</f>
        <v>3.7336748144174337</v>
      </c>
      <c r="C134" s="364">
        <f>feedstockCommercial_Electricity_Price</f>
        <v>0.10775596291985907</v>
      </c>
      <c r="D134" s="364"/>
      <c r="E134" s="364"/>
      <c r="F134" s="365"/>
      <c r="G134" s="364"/>
      <c r="H134" s="364"/>
      <c r="I134" s="366"/>
      <c r="J134" s="516">
        <f>IF(J131="",0,CO2_eCost)</f>
        <v>0</v>
      </c>
      <c r="K134" s="510"/>
      <c r="L134" s="367"/>
      <c r="M134" s="367"/>
      <c r="N134" s="368"/>
      <c r="O134" s="378" t="s">
        <v>265</v>
      </c>
      <c r="P134" s="386" t="str">
        <f>Input_Sheet_Template!$F$138</f>
        <v>Yes</v>
      </c>
      <c r="Q134" s="386"/>
      <c r="R134" s="387"/>
      <c r="S134" s="378" t="s">
        <v>265</v>
      </c>
      <c r="T134" s="393"/>
      <c r="U134" s="393"/>
      <c r="V134" s="394"/>
    </row>
    <row r="135" spans="1:22" ht="16.5" customHeight="1" thickBot="1" x14ac:dyDescent="0.35">
      <c r="A135" s="398" t="s">
        <v>265</v>
      </c>
      <c r="B135" s="369" t="str">
        <f>Input_Sheet_Template!$G$75</f>
        <v>yes</v>
      </c>
      <c r="C135" s="370" t="str">
        <f>Input_Sheet_Template!$G$77</f>
        <v>yes</v>
      </c>
      <c r="D135" s="370"/>
      <c r="E135" s="370"/>
      <c r="F135" s="371"/>
      <c r="G135" s="370"/>
      <c r="H135" s="370"/>
      <c r="I135" s="372"/>
      <c r="J135" s="517" t="str">
        <f>IF(J131="","","yes")</f>
        <v/>
      </c>
      <c r="K135" s="511"/>
      <c r="L135" s="373"/>
      <c r="M135" s="373"/>
      <c r="N135" s="374"/>
      <c r="O135" s="379"/>
      <c r="P135" s="388"/>
      <c r="Q135" s="388"/>
      <c r="R135" s="389"/>
      <c r="S135" s="390"/>
      <c r="T135" s="395"/>
      <c r="U135" s="395"/>
      <c r="V135" s="396"/>
    </row>
    <row r="136" spans="1:22" ht="30" customHeight="1" thickBot="1" x14ac:dyDescent="0.35">
      <c r="A136" s="356" t="s">
        <v>520</v>
      </c>
      <c r="B136" s="461">
        <f ca="1">IF(B131="",0,VLOOKUP(B131,MASTER_PROPERTY_TABLE,11,FALSE)*B132*B133)</f>
        <v>9.2563183954344801</v>
      </c>
      <c r="C136" s="462">
        <f ca="1">IF(C131="",0,VLOOKUP(C131,MASTER_PROPERTY_TABLE,11,FALSE)*C132*C133)</f>
        <v>0</v>
      </c>
      <c r="D136" s="462">
        <f>IF(D131="",0,VLOOKUP(D131,MASTER_PROPERTY_TABLE,11,FALSE)*D132*D133)</f>
        <v>0</v>
      </c>
      <c r="E136" s="463">
        <f>IF(E131="",0,VLOOKUP(E131,MASTER_PROPERTY_TABLE,11,FALSE)*E132*E133)</f>
        <v>0</v>
      </c>
      <c r="F136" s="461">
        <f>IF(F131="",,VLOOKUP(F131,MASTER_PROPERTY_TABLE,11,FALSE)*F132*F133)</f>
        <v>0</v>
      </c>
      <c r="G136" s="462">
        <f>IF(G131="",,VLOOKUP(G131,MASTER_PROPERTY_TABLE,11,FALSE)*G132*G133)</f>
        <v>0</v>
      </c>
      <c r="H136" s="462">
        <f>IF(H131="",,VLOOKUP(H131,MASTER_PROPERTY_TABLE,11,FALSE)*H132*H133)</f>
        <v>0</v>
      </c>
      <c r="I136" s="462">
        <f>IF(I131="",,VLOOKUP(I131,MASTER_PROPERTY_TABLE,11,FALSE)*I132*I133)</f>
        <v>0</v>
      </c>
      <c r="J136" s="463">
        <f>IF($J$131="",0,VLOOKUP($J$131,MASTER_PROPERTY_TABLE,12,FALSE)*$J$132*$J$133)</f>
        <v>0</v>
      </c>
      <c r="K136" s="364"/>
      <c r="L136" s="367"/>
      <c r="M136" s="367"/>
      <c r="N136" s="368"/>
      <c r="O136" s="401"/>
      <c r="P136" s="399"/>
      <c r="Q136" s="399"/>
      <c r="R136" s="400"/>
      <c r="S136" s="402"/>
      <c r="T136" s="403"/>
      <c r="U136" s="403"/>
      <c r="V136" s="404"/>
    </row>
    <row r="137" spans="1:22" ht="30" customHeight="1" thickBot="1" x14ac:dyDescent="0.35">
      <c r="A137" s="460" t="s">
        <v>921</v>
      </c>
      <c r="B137" s="405">
        <f ca="1">IF(B131="",0,IF(VLOOKUP(B131,MASTER_PROPERTY_TABLE,12,FALSE)="English",mmBTU_to_GJ,1))</f>
        <v>1</v>
      </c>
      <c r="C137" s="406">
        <f ca="1">IF(C131="",0,IF(VLOOKUP(C131,MASTER_PROPERTY_TABLE,12,FALSE)="English",mmBTU_to_GJ,1))</f>
        <v>1</v>
      </c>
      <c r="D137" s="406">
        <f>IF(D131="",0,IF(VLOOKUP(D131,MASTER_PROPERTY_TABLE,12,FALSE)="English",mmBTU_to_GJ,1))</f>
        <v>0</v>
      </c>
      <c r="E137" s="407">
        <f>IF(E131="",,IF(VLOOKUP(E131,MASTER_PROPERTY_TABLE,12,FALSE)="English",mmBTU_to_GJ,1))</f>
        <v>0</v>
      </c>
      <c r="F137" s="405">
        <f>IF(F131="",,IF(VLOOKUP(F131,MASTER_PROPERTY_TABLE,12,FALSE)="English",mmBTU_to_GJ,1))</f>
        <v>0</v>
      </c>
      <c r="G137" s="406">
        <f>IF(G131="",,IF(VLOOKUP(G131,MASTER_PROPERTY_TABLE,12,FALSE)="English",mmBTU_to_GJ,1))</f>
        <v>0</v>
      </c>
      <c r="H137" s="406">
        <f>IF(H131="",,IF(VLOOKUP(H131,MASTER_PROPERTY_TABLE,12,FALSE)="English",mmBTU_to_GJ,1))</f>
        <v>0</v>
      </c>
      <c r="I137" s="406">
        <f>IF(I131="",,IF(VLOOKUP(I131,MASTER_PROPERTY_TABLE,12,FALSE)="English",mmBTU_to_GJ,1))</f>
        <v>0</v>
      </c>
      <c r="J137" s="407">
        <f>IF($J$131="",0,IF(VLOOKUP($J$131,MASTER_PROPERTY_TABLE,12,FALSE)="English",mmBTU_to_GJ,1))</f>
        <v>0</v>
      </c>
      <c r="K137" s="406">
        <f>IF(K131="",,IF(VLOOKUP(K131,MASTER_PROPERTY_TABLE,12,FALSE)="English",mmBTU_to_GJ,1))</f>
        <v>0</v>
      </c>
      <c r="L137" s="406">
        <f>IF(L131="",,IF(VLOOKUP(L131,MASTER_PROPERTY_TABLE,12,FALSE)="English",mmBTU_to_GJ,1))</f>
        <v>0</v>
      </c>
      <c r="M137" s="406">
        <f>IF(M131="",,IF(VLOOKUP(M131,MASTER_PROPERTY_TABLE,12,FALSE)="English",mmBTU_to_GJ,1))</f>
        <v>0</v>
      </c>
      <c r="N137" s="406">
        <f>IF(N131="",,IF(VLOOKUP(N131,MASTER_PROPERTY_TABLE,12,FALSE)="English",mmBTU_to_GJ,1))</f>
        <v>0</v>
      </c>
      <c r="O137" s="459"/>
      <c r="P137" s="457"/>
      <c r="Q137" s="457"/>
      <c r="R137" s="458"/>
      <c r="S137" s="390"/>
      <c r="T137" s="395"/>
      <c r="U137" s="395"/>
      <c r="V137" s="396"/>
    </row>
    <row r="138" spans="1:22" ht="38.25" customHeight="1" thickTop="1" x14ac:dyDescent="0.25">
      <c r="A138" s="202" t="s">
        <v>1016</v>
      </c>
      <c r="B138" s="235" t="str">
        <f t="shared" ref="B138:N138" si="49">IF(B$131="","",B$131&amp;" ($/kg of H2)")</f>
        <v>Industrial Natural Gas ($/kg of H2)</v>
      </c>
      <c r="C138" s="235" t="str">
        <f t="shared" si="49"/>
        <v>Commercial Electricity ($/kg of H2)</v>
      </c>
      <c r="D138" s="235" t="str">
        <f t="shared" si="49"/>
        <v/>
      </c>
      <c r="E138" s="235" t="str">
        <f t="shared" si="49"/>
        <v/>
      </c>
      <c r="F138" s="235" t="str">
        <f t="shared" si="49"/>
        <v/>
      </c>
      <c r="G138" s="235" t="str">
        <f t="shared" si="49"/>
        <v/>
      </c>
      <c r="H138" s="235" t="str">
        <f t="shared" si="49"/>
        <v/>
      </c>
      <c r="I138" s="508" t="str">
        <f t="shared" si="49"/>
        <v/>
      </c>
      <c r="J138" s="514"/>
      <c r="K138" s="512" t="str">
        <f t="shared" si="49"/>
        <v/>
      </c>
      <c r="L138" s="235" t="str">
        <f t="shared" si="49"/>
        <v/>
      </c>
      <c r="M138" s="235" t="str">
        <f t="shared" si="49"/>
        <v/>
      </c>
      <c r="N138" s="235" t="str">
        <f t="shared" si="49"/>
        <v/>
      </c>
      <c r="O138" s="235"/>
      <c r="P138" s="235" t="str">
        <f>IF(P$131="","",P$131&amp;" ($/kg of H2)")</f>
        <v>Process Water ($/kg of H2)</v>
      </c>
      <c r="Q138" s="235" t="str">
        <f>IF(Q$131="","",Q$131&amp;" ($/kg of H2)")</f>
        <v/>
      </c>
      <c r="R138" s="235" t="str">
        <f>IF(R$131="","",R$131&amp;" ($/kg of H2)")</f>
        <v/>
      </c>
      <c r="S138" s="236"/>
      <c r="T138" s="235" t="str">
        <f>IF(T$131="","",T$131&amp;" ($/kg of H2)")</f>
        <v/>
      </c>
      <c r="U138" s="235" t="str">
        <f>IF(U$131="","",U$131&amp;" ($/kg of H2)")</f>
        <v/>
      </c>
      <c r="V138" s="235" t="str">
        <f>IF(V$131="","",V$131&amp;" ($/kg of H2)")</f>
        <v/>
      </c>
    </row>
    <row r="139" spans="1:22" ht="15" customHeight="1" x14ac:dyDescent="0.25">
      <c r="A139" s="203">
        <f t="shared" ref="A139:A182" si="50">IF(A65="","",A65)</f>
        <v>2014</v>
      </c>
      <c r="B139" s="205">
        <f ca="1">IF($A139="","",IF($B$131="","",IF($B$135="no",INFLATION_FACTOR*$B$133*$B$134,INFLATION_FACTOR*$B$133*$B$132*INDEX(FEEDPRICETABLE,MATCH($B$131,List_Energy_Feedstocks,0),MATCH($A139,Feedstock_Year,0)))))</f>
        <v>0.9394400896016788</v>
      </c>
      <c r="C139" s="205">
        <f t="shared" ref="C139:C182" ca="1" si="51">IF($A139="","",IF($C$131="","",IF($C$135="no",INFLATION_FACTOR*$C$133*$C$134,INFLATION_FACTOR*$C$133*$C$132*INDEX(FEEDPRICETABLE,MATCH($C$131,List_Energy_Feedstocks,0),MATCH($A139,Feedstock_Year,0)))))</f>
        <v>0.11977006017479257</v>
      </c>
      <c r="D139" s="205" t="str">
        <f t="shared" ref="D139:D182" si="52">IF($A139="","",IF($D$131="","",IF($D$135="no",INFLATION_FACTOR*$D$133*$D$134,INFLATION_FACTOR*$D$133*$D$132*INDEX(FEEDPRICETABLE,MATCH($D$131,List_Energy_Feedstocks,0),MATCH($A139,Feedstock_Year,0)))))</f>
        <v/>
      </c>
      <c r="E139" s="232" t="str">
        <f t="shared" ref="E139:E182" si="53">IF($A139="","",IF($E$131="","",IF($E$135="no",INFLATION_FACTOR*$E$133*$E$134,INFLATION_FACTOR*$E$133*$E$132*INDEX(FEEDPRICETABLE,MATCH($E$131,List_Energy_Feedstocks,0),MATCH($A139,Feedstock_Year,0)))))</f>
        <v/>
      </c>
      <c r="F139" s="204" t="str">
        <f>IF($A139="","",IF($F$131="","",IF($F$135="no",INFLATION_FACTOR*$F$133*$F$134,INFLATION_FACTOR*$F$133*$F$132*INDEX(FEEDPRICETABLE,MATCH($F$131,List_Energy_Feedstocks,0),MATCH($A139,Feedstock_Year,0)))))</f>
        <v/>
      </c>
      <c r="G139" s="205" t="str">
        <f t="shared" ref="G139:G182" si="54">IF($A139="","",IF($G$131="","",IF($G$135="no",INFLATION_FACTOR*$G$133*$G$134,INFLATION_FACTOR*$G$133*$G$132*INDEX(FEEDPRICETABLE,MATCH($G$131,List_Energy_Feedstocks,0),MATCH($A139,Feedstock_Year,0)))))</f>
        <v/>
      </c>
      <c r="H139" s="205" t="str">
        <f t="shared" ref="H139:H182" si="55">IF($A139="","",IF($H$131="","",IF($H$135="no",INFLATION_FACTOR*$H$133*$H$134,INFLATION_FACTOR*$H$133*$H$132*INDEX(FEEDPRICETABLE,MATCH(H$131,List_Energy_Feedstocks,0),MATCH($A139,Feedstock_Year,0)))))</f>
        <v/>
      </c>
      <c r="I139" s="232" t="str">
        <f t="shared" ref="I139:I182" si="56">IF($A139="","",IF($I$131="","",IF($I$135="no",INFLATION_FACTOR*$I$133*$I$134,INFLATION_FACTOR*$I$133*$I$132*INDEX(FEEDPRICETABLE,MATCH($I$131,List_Energy_Feedstocks,0),MATCH($A139,Feedstock_Year,0)))))</f>
        <v/>
      </c>
      <c r="J139" s="513" t="str">
        <f t="shared" ref="J139:J182" si="57">IF($A139="","",IF($J$131="","",IF($J$135="no",INFLATION_FACTOR*$J$133*$J$134,INFLATION_FACTOR*$J$133*$J$132*INDEX(FEEDPRICETABLE,MATCH($J$131,List_Energy_Feedstocks,0),MATCH($A139,Feedstock_Year,0)))))</f>
        <v/>
      </c>
      <c r="K139" s="230" t="str">
        <f t="shared" ref="K139:K182" si="58">IF($A139="","",IF($K$131="","",IF($K$135="no",INFLATION_FACTOR*$K$133*$K$134,INFLATION_FACTOR*$K$133*$K$132*INDEX(FEEDPRICETABLE,MATCH($K$131,List_Energy_Feedstocks,0),MATCH($A139,Feedstock_Year,0)))))</f>
        <v/>
      </c>
      <c r="L139" s="230" t="str">
        <f t="shared" ref="L139:L182" si="59">IF($A139="","",IF($L$131="","",IF($L$135="no",INFLATION_FACTOR*$L$133*$L$134,INFLATION_FACTOR*$L$133*$L$132*INDEX(FEEDPRICETABLE,MATCH($L$131,List_Energy_Feedstocks,0),MATCH($A139,Feedstock_Year,0)))))</f>
        <v/>
      </c>
      <c r="M139" s="205" t="str">
        <f t="shared" ref="M139:M182" si="60">IF($A139="","",IF(M$131="","",IF($M$135="no",INFLATION_FACTOR*$M$133*$M$134,INFLATION_FACTOR*$M$133*$M$132*INDEX(FEEDPRICETABLE,MATCH($M$131,List_Energy_Feedstocks,0),MATCH($A139,Feedstock_Year,0)))))</f>
        <v/>
      </c>
      <c r="N139" s="233" t="str">
        <f t="shared" ref="N139:N182" si="61">IF($A139="","",IF($N$131="","",IF($N$135="no",INFLATION_FACTOR*$N$133*$N$134,INFLATION_FACTOR*$N$133*$N$132*INDEX(FEEDPRICETABLE,MATCH($N$131,List_Energy_Feedstocks,0),MATCH($A139,Feedstock_Year,0)))))</f>
        <v/>
      </c>
      <c r="O139" s="237"/>
      <c r="P139" s="227">
        <f ca="1">IF(OR($A139="",$P$131=""),"",IF($P$134="No",INFLATION_FACTOR*$P$132*$P$133,INFLATION_FACTOR*$P$132*INDEX(Tbl_Other_Inputs_and_Byproducts,MATCH($P$131,Other_Inputs_List,0),MATCH($A139,Other_Inputs_years,0))))</f>
        <v>1.3447956639126223E-2</v>
      </c>
      <c r="Q139" s="227" t="str">
        <f>IF(OR($A139="",$Q$131=""),"",IF($Q$134="No",INFLATION_FACTOR*$Q$132*$Q$133,INFLATION_FACTOR*$Q$132*INDEX(Tbl_Other_Inputs_and_Byproducts,MATCH($Q$131,Other_Inputs_List,0),MATCH($A139,Other_Inputs_years,0))))</f>
        <v/>
      </c>
      <c r="R139" s="227" t="str">
        <f t="shared" ref="R139:R182" si="62">IF(OR($A139="",$R$131=""),"",IF($R$134="No",INFLATION_FACTOR*$R$132*$R$133,INFLATION_FACTOR*$R$132*INDEX(Tbl_Other_Inputs_and_Byproducts,MATCH($R$131,Other_Inputs_List,0),MATCH($A139,Other_Inputs_years,0))))</f>
        <v/>
      </c>
      <c r="S139" s="237"/>
      <c r="T139" s="227" t="str">
        <f t="shared" ref="T139:T182" si="63">IF(OR($A139="",$T$131=""),"",IF($T$134="No",INFLATION_FACTOR*$T$132*$T$133,INFLATION_FACTOR*$T$132*INDEX(Tbl_Other_Inputs_and_Byproducts,MATCH($T$131,Other_Inputs_List,0),MATCH($A139,Other_Inputs_years,0))))</f>
        <v/>
      </c>
      <c r="U139" s="227" t="str">
        <f t="shared" ref="U139:U182" si="64">IF(OR($A139="",$U$131=""),"",IF($U$134="No",INFLATION_FACTOR*$U$132*$U$133,INFLATION_FACTOR*$U$132*INDEX(Tbl_Other_Inputs_and_Byproducts,MATCH($U$131,Other_Inputs_List,0),MATCH($A139,Other_Inputs_years,0))))</f>
        <v/>
      </c>
      <c r="V139" s="227" t="str">
        <f t="shared" ref="V139:V182" si="65">IF(OR($A139="",$V$131=""),"",IF($V$134="No",INFLATION_FACTOR*$V$132*$V$133,INFLATION_FACTOR*$V$132*INDEX(Tbl_Other_Inputs_and_Byproducts,MATCH($V$131,Other_Inputs_List,0),MATCH($A139,Other_Inputs_years,0))))</f>
        <v/>
      </c>
    </row>
    <row r="140" spans="1:22" ht="15" customHeight="1" x14ac:dyDescent="0.25">
      <c r="A140" s="203">
        <f t="shared" si="50"/>
        <v>2015</v>
      </c>
      <c r="B140" s="205">
        <f t="shared" ref="B140:B182" ca="1" si="66">IF($A140="","",IF($B$131="","",IF($B$135="no",INFLATION_FACTOR*$B$133*$B$134,INFLATION_FACTOR*$B$133*$B$132*INDEX(FEEDPRICETABLE,MATCH($B$131,List_Energy_Feedstocks,0),MATCH($A140,Feedstock_Year,0)))))</f>
        <v>0.57084924568196471</v>
      </c>
      <c r="C140" s="205">
        <f t="shared" ca="1" si="51"/>
        <v>0.11737891937295739</v>
      </c>
      <c r="D140" s="205" t="str">
        <f t="shared" si="52"/>
        <v/>
      </c>
      <c r="E140" s="232" t="str">
        <f t="shared" si="53"/>
        <v/>
      </c>
      <c r="F140" s="204" t="str">
        <f t="shared" ref="F140:F182" si="67">IF($A140="","",IF($F$131="","",IF($F$135="no",INFLATION_FACTOR*$F$133*$F$134,INFLATION_FACTOR*$F$133*$F$132*INDEX(FEEDPRICETABLE,MATCH($F$131,List_Energy_Feedstocks,0),MATCH($A140,Feedstock_Year,0)))))</f>
        <v/>
      </c>
      <c r="G140" s="205" t="str">
        <f t="shared" si="54"/>
        <v/>
      </c>
      <c r="H140" s="205" t="str">
        <f t="shared" si="55"/>
        <v/>
      </c>
      <c r="I140" s="232" t="str">
        <f t="shared" si="56"/>
        <v/>
      </c>
      <c r="J140" s="513" t="str">
        <f t="shared" si="57"/>
        <v/>
      </c>
      <c r="K140" s="230" t="str">
        <f t="shared" si="58"/>
        <v/>
      </c>
      <c r="L140" s="230" t="str">
        <f t="shared" si="59"/>
        <v/>
      </c>
      <c r="M140" s="205" t="str">
        <f t="shared" si="60"/>
        <v/>
      </c>
      <c r="N140" s="233" t="str">
        <f t="shared" si="61"/>
        <v/>
      </c>
      <c r="O140" s="238"/>
      <c r="P140" s="227">
        <f t="shared" ref="P140:P182" ca="1" si="68">IF(OR($A140="",$P$131=""),"",IF($P$134="No",INFLATION_FACTOR*$P$132*$P$133,INFLATION_FACTOR*$P$132*INDEX(Tbl_Other_Inputs_and_Byproducts,MATCH($P$131,Other_Inputs_List,0),MATCH($A140,Other_Inputs_years,0))))</f>
        <v>1.3447956639126223E-2</v>
      </c>
      <c r="Q140" s="227" t="str">
        <f t="shared" ref="Q140:Q182" si="69">IF(OR($A140="",$Q$131=""),"",IF($Q$134="No",INFLATION_FACTOR*$Q$132*$Q$133,INFLATION_FACTOR*$Q$132*INDEX(Tbl_Other_Inputs_and_Byproducts,MATCH($Q$131,Other_Inputs_List,0),MATCH($A140,Other_Inputs_years,0))))</f>
        <v/>
      </c>
      <c r="R140" s="227" t="str">
        <f t="shared" si="62"/>
        <v/>
      </c>
      <c r="S140" s="237"/>
      <c r="T140" s="227" t="str">
        <f t="shared" si="63"/>
        <v/>
      </c>
      <c r="U140" s="227" t="str">
        <f t="shared" si="64"/>
        <v/>
      </c>
      <c r="V140" s="227" t="str">
        <f t="shared" si="65"/>
        <v/>
      </c>
    </row>
    <row r="141" spans="1:22" ht="15" customHeight="1" x14ac:dyDescent="0.25">
      <c r="A141" s="203">
        <f t="shared" si="50"/>
        <v>2016</v>
      </c>
      <c r="B141" s="205">
        <f t="shared" ca="1" si="66"/>
        <v>0.53501003770086519</v>
      </c>
      <c r="C141" s="205">
        <f t="shared" ca="1" si="51"/>
        <v>0.11361429596031403</v>
      </c>
      <c r="D141" s="205" t="str">
        <f t="shared" si="52"/>
        <v/>
      </c>
      <c r="E141" s="232" t="str">
        <f t="shared" si="53"/>
        <v/>
      </c>
      <c r="F141" s="204" t="str">
        <f t="shared" si="67"/>
        <v/>
      </c>
      <c r="G141" s="205" t="str">
        <f t="shared" si="54"/>
        <v/>
      </c>
      <c r="H141" s="205" t="str">
        <f t="shared" si="55"/>
        <v/>
      </c>
      <c r="I141" s="232" t="str">
        <f t="shared" si="56"/>
        <v/>
      </c>
      <c r="J141" s="513" t="str">
        <f t="shared" si="57"/>
        <v/>
      </c>
      <c r="K141" s="230" t="str">
        <f t="shared" si="58"/>
        <v/>
      </c>
      <c r="L141" s="230" t="str">
        <f t="shared" si="59"/>
        <v/>
      </c>
      <c r="M141" s="205" t="str">
        <f t="shared" si="60"/>
        <v/>
      </c>
      <c r="N141" s="233" t="str">
        <f t="shared" si="61"/>
        <v/>
      </c>
      <c r="O141" s="238"/>
      <c r="P141" s="227">
        <f t="shared" ca="1" si="68"/>
        <v>1.3447956639126223E-2</v>
      </c>
      <c r="Q141" s="227" t="str">
        <f t="shared" si="69"/>
        <v/>
      </c>
      <c r="R141" s="227" t="str">
        <f t="shared" si="62"/>
        <v/>
      </c>
      <c r="S141" s="237"/>
      <c r="T141" s="227" t="str">
        <f t="shared" si="63"/>
        <v/>
      </c>
      <c r="U141" s="227" t="str">
        <f t="shared" si="64"/>
        <v/>
      </c>
      <c r="V141" s="227" t="str">
        <f t="shared" si="65"/>
        <v/>
      </c>
    </row>
    <row r="142" spans="1:22" ht="15" customHeight="1" x14ac:dyDescent="0.25">
      <c r="A142" s="203">
        <f t="shared" si="50"/>
        <v>2017</v>
      </c>
      <c r="B142" s="205">
        <f t="shared" ca="1" si="66"/>
        <v>0.62401876647593302</v>
      </c>
      <c r="C142" s="205">
        <f t="shared" ca="1" si="51"/>
        <v>0.1142261190338483</v>
      </c>
      <c r="D142" s="205" t="str">
        <f t="shared" si="52"/>
        <v/>
      </c>
      <c r="E142" s="232" t="str">
        <f t="shared" si="53"/>
        <v/>
      </c>
      <c r="F142" s="204" t="str">
        <f t="shared" si="67"/>
        <v/>
      </c>
      <c r="G142" s="205" t="str">
        <f t="shared" si="54"/>
        <v/>
      </c>
      <c r="H142" s="205" t="str">
        <f t="shared" si="55"/>
        <v/>
      </c>
      <c r="I142" s="232" t="str">
        <f t="shared" si="56"/>
        <v/>
      </c>
      <c r="J142" s="513" t="str">
        <f t="shared" si="57"/>
        <v/>
      </c>
      <c r="K142" s="230" t="str">
        <f t="shared" si="58"/>
        <v/>
      </c>
      <c r="L142" s="230" t="str">
        <f t="shared" si="59"/>
        <v/>
      </c>
      <c r="M142" s="205" t="str">
        <f t="shared" si="60"/>
        <v/>
      </c>
      <c r="N142" s="233" t="str">
        <f t="shared" si="61"/>
        <v/>
      </c>
      <c r="O142" s="238"/>
      <c r="P142" s="227">
        <f t="shared" ca="1" si="68"/>
        <v>1.3447956639126223E-2</v>
      </c>
      <c r="Q142" s="227" t="str">
        <f t="shared" si="69"/>
        <v/>
      </c>
      <c r="R142" s="227" t="str">
        <f t="shared" si="62"/>
        <v/>
      </c>
      <c r="S142" s="237"/>
      <c r="T142" s="227" t="str">
        <f t="shared" si="63"/>
        <v/>
      </c>
      <c r="U142" s="227" t="str">
        <f t="shared" si="64"/>
        <v/>
      </c>
      <c r="V142" s="227" t="str">
        <f t="shared" si="65"/>
        <v/>
      </c>
    </row>
    <row r="143" spans="1:22" ht="15" customHeight="1" x14ac:dyDescent="0.25">
      <c r="A143" s="203">
        <f t="shared" si="50"/>
        <v>2018</v>
      </c>
      <c r="B143" s="205">
        <f t="shared" ca="1" si="66"/>
        <v>0.68237227617969654</v>
      </c>
      <c r="C143" s="205">
        <f t="shared" ca="1" si="51"/>
        <v>0.11370635011635509</v>
      </c>
      <c r="D143" s="205" t="str">
        <f t="shared" si="52"/>
        <v/>
      </c>
      <c r="E143" s="232" t="str">
        <f t="shared" si="53"/>
        <v/>
      </c>
      <c r="F143" s="204" t="str">
        <f t="shared" si="67"/>
        <v/>
      </c>
      <c r="G143" s="205" t="str">
        <f t="shared" si="54"/>
        <v/>
      </c>
      <c r="H143" s="205" t="str">
        <f t="shared" si="55"/>
        <v/>
      </c>
      <c r="I143" s="232" t="str">
        <f t="shared" si="56"/>
        <v/>
      </c>
      <c r="J143" s="513" t="str">
        <f t="shared" si="57"/>
        <v/>
      </c>
      <c r="K143" s="230" t="str">
        <f t="shared" si="58"/>
        <v/>
      </c>
      <c r="L143" s="230" t="str">
        <f t="shared" si="59"/>
        <v/>
      </c>
      <c r="M143" s="205" t="str">
        <f t="shared" si="60"/>
        <v/>
      </c>
      <c r="N143" s="233" t="str">
        <f t="shared" si="61"/>
        <v/>
      </c>
      <c r="O143" s="238"/>
      <c r="P143" s="227">
        <f t="shared" ca="1" si="68"/>
        <v>1.3447956639126223E-2</v>
      </c>
      <c r="Q143" s="227" t="str">
        <f t="shared" si="69"/>
        <v/>
      </c>
      <c r="R143" s="227" t="str">
        <f t="shared" si="62"/>
        <v/>
      </c>
      <c r="S143" s="237"/>
      <c r="T143" s="227" t="str">
        <f t="shared" si="63"/>
        <v/>
      </c>
      <c r="U143" s="227" t="str">
        <f t="shared" si="64"/>
        <v/>
      </c>
      <c r="V143" s="227" t="str">
        <f t="shared" si="65"/>
        <v/>
      </c>
    </row>
    <row r="144" spans="1:22" ht="15" customHeight="1" x14ac:dyDescent="0.25">
      <c r="A144" s="203">
        <f t="shared" si="50"/>
        <v>2019</v>
      </c>
      <c r="B144" s="205">
        <f t="shared" ca="1" si="66"/>
        <v>0.74803241552770139</v>
      </c>
      <c r="C144" s="205">
        <f t="shared" ca="1" si="51"/>
        <v>0.11527127303887308</v>
      </c>
      <c r="D144" s="205" t="str">
        <f t="shared" si="52"/>
        <v/>
      </c>
      <c r="E144" s="232" t="str">
        <f t="shared" si="53"/>
        <v/>
      </c>
      <c r="F144" s="204" t="str">
        <f t="shared" si="67"/>
        <v/>
      </c>
      <c r="G144" s="205" t="str">
        <f t="shared" si="54"/>
        <v/>
      </c>
      <c r="H144" s="205" t="str">
        <f t="shared" si="55"/>
        <v/>
      </c>
      <c r="I144" s="232" t="str">
        <f t="shared" si="56"/>
        <v/>
      </c>
      <c r="J144" s="513" t="str">
        <f t="shared" si="57"/>
        <v/>
      </c>
      <c r="K144" s="230" t="str">
        <f t="shared" si="58"/>
        <v/>
      </c>
      <c r="L144" s="230" t="str">
        <f t="shared" si="59"/>
        <v/>
      </c>
      <c r="M144" s="205" t="str">
        <f t="shared" si="60"/>
        <v/>
      </c>
      <c r="N144" s="233" t="str">
        <f t="shared" si="61"/>
        <v/>
      </c>
      <c r="O144" s="238"/>
      <c r="P144" s="227">
        <f t="shared" ca="1" si="68"/>
        <v>1.3447956639126223E-2</v>
      </c>
      <c r="Q144" s="227" t="str">
        <f t="shared" si="69"/>
        <v/>
      </c>
      <c r="R144" s="227" t="str">
        <f t="shared" si="62"/>
        <v/>
      </c>
      <c r="S144" s="237"/>
      <c r="T144" s="227" t="str">
        <f t="shared" si="63"/>
        <v/>
      </c>
      <c r="U144" s="227" t="str">
        <f t="shared" si="64"/>
        <v/>
      </c>
      <c r="V144" s="227" t="str">
        <f t="shared" si="65"/>
        <v/>
      </c>
    </row>
    <row r="145" spans="1:22" ht="15" customHeight="1" x14ac:dyDescent="0.25">
      <c r="A145" s="203">
        <f t="shared" si="50"/>
        <v>2020</v>
      </c>
      <c r="B145" s="205">
        <f t="shared" ca="1" si="66"/>
        <v>0.81293791970823115</v>
      </c>
      <c r="C145" s="205">
        <f t="shared" ca="1" si="51"/>
        <v>0.11719755989232292</v>
      </c>
      <c r="D145" s="205" t="str">
        <f t="shared" si="52"/>
        <v/>
      </c>
      <c r="E145" s="232" t="str">
        <f t="shared" si="53"/>
        <v/>
      </c>
      <c r="F145" s="204" t="str">
        <f t="shared" si="67"/>
        <v/>
      </c>
      <c r="G145" s="205" t="str">
        <f t="shared" si="54"/>
        <v/>
      </c>
      <c r="H145" s="205" t="str">
        <f t="shared" si="55"/>
        <v/>
      </c>
      <c r="I145" s="232" t="str">
        <f t="shared" si="56"/>
        <v/>
      </c>
      <c r="J145" s="513" t="str">
        <f t="shared" si="57"/>
        <v/>
      </c>
      <c r="K145" s="230" t="str">
        <f t="shared" si="58"/>
        <v/>
      </c>
      <c r="L145" s="230" t="str">
        <f t="shared" si="59"/>
        <v/>
      </c>
      <c r="M145" s="205" t="str">
        <f t="shared" si="60"/>
        <v/>
      </c>
      <c r="N145" s="233" t="str">
        <f t="shared" si="61"/>
        <v/>
      </c>
      <c r="O145" s="238"/>
      <c r="P145" s="227">
        <f t="shared" ca="1" si="68"/>
        <v>1.3447956639126223E-2</v>
      </c>
      <c r="Q145" s="227" t="str">
        <f t="shared" si="69"/>
        <v/>
      </c>
      <c r="R145" s="227" t="str">
        <f t="shared" si="62"/>
        <v/>
      </c>
      <c r="S145" s="237"/>
      <c r="T145" s="227" t="str">
        <f t="shared" si="63"/>
        <v/>
      </c>
      <c r="U145" s="227" t="str">
        <f t="shared" si="64"/>
        <v/>
      </c>
      <c r="V145" s="227" t="str">
        <f t="shared" si="65"/>
        <v/>
      </c>
    </row>
    <row r="146" spans="1:22" ht="15" customHeight="1" x14ac:dyDescent="0.25">
      <c r="A146" s="203">
        <f t="shared" si="50"/>
        <v>2021</v>
      </c>
      <c r="B146" s="205">
        <f t="shared" ca="1" si="66"/>
        <v>0.81380003229117137</v>
      </c>
      <c r="C146" s="205">
        <f t="shared" ca="1" si="51"/>
        <v>0.11799404133596751</v>
      </c>
      <c r="D146" s="205" t="str">
        <f t="shared" si="52"/>
        <v/>
      </c>
      <c r="E146" s="232" t="str">
        <f t="shared" si="53"/>
        <v/>
      </c>
      <c r="F146" s="204" t="str">
        <f t="shared" si="67"/>
        <v/>
      </c>
      <c r="G146" s="205" t="str">
        <f t="shared" si="54"/>
        <v/>
      </c>
      <c r="H146" s="205" t="str">
        <f t="shared" si="55"/>
        <v/>
      </c>
      <c r="I146" s="232" t="str">
        <f t="shared" si="56"/>
        <v/>
      </c>
      <c r="J146" s="513" t="str">
        <f t="shared" si="57"/>
        <v/>
      </c>
      <c r="K146" s="230" t="str">
        <f t="shared" si="58"/>
        <v/>
      </c>
      <c r="L146" s="230" t="str">
        <f t="shared" si="59"/>
        <v/>
      </c>
      <c r="M146" s="205" t="str">
        <f t="shared" si="60"/>
        <v/>
      </c>
      <c r="N146" s="233" t="str">
        <f t="shared" si="61"/>
        <v/>
      </c>
      <c r="O146" s="238"/>
      <c r="P146" s="227">
        <f t="shared" ca="1" si="68"/>
        <v>1.3447956639126223E-2</v>
      </c>
      <c r="Q146" s="227" t="str">
        <f t="shared" si="69"/>
        <v/>
      </c>
      <c r="R146" s="227" t="str">
        <f t="shared" si="62"/>
        <v/>
      </c>
      <c r="S146" s="237"/>
      <c r="T146" s="227" t="str">
        <f t="shared" si="63"/>
        <v/>
      </c>
      <c r="U146" s="227" t="str">
        <f t="shared" si="64"/>
        <v/>
      </c>
      <c r="V146" s="227" t="str">
        <f t="shared" si="65"/>
        <v/>
      </c>
    </row>
    <row r="147" spans="1:22" ht="15" customHeight="1" x14ac:dyDescent="0.25">
      <c r="A147" s="203">
        <f t="shared" si="50"/>
        <v>2022</v>
      </c>
      <c r="B147" s="205">
        <f t="shared" ca="1" si="66"/>
        <v>0.8048035763693564</v>
      </c>
      <c r="C147" s="205">
        <f t="shared" ca="1" si="51"/>
        <v>0.12188658611672054</v>
      </c>
      <c r="D147" s="205" t="str">
        <f t="shared" si="52"/>
        <v/>
      </c>
      <c r="E147" s="232" t="str">
        <f t="shared" si="53"/>
        <v/>
      </c>
      <c r="F147" s="204" t="str">
        <f t="shared" si="67"/>
        <v/>
      </c>
      <c r="G147" s="205" t="str">
        <f t="shared" si="54"/>
        <v/>
      </c>
      <c r="H147" s="205" t="str">
        <f t="shared" si="55"/>
        <v/>
      </c>
      <c r="I147" s="232" t="str">
        <f t="shared" si="56"/>
        <v/>
      </c>
      <c r="J147" s="513" t="str">
        <f t="shared" si="57"/>
        <v/>
      </c>
      <c r="K147" s="230" t="str">
        <f t="shared" si="58"/>
        <v/>
      </c>
      <c r="L147" s="230" t="str">
        <f t="shared" si="59"/>
        <v/>
      </c>
      <c r="M147" s="205" t="str">
        <f t="shared" si="60"/>
        <v/>
      </c>
      <c r="N147" s="233" t="str">
        <f t="shared" si="61"/>
        <v/>
      </c>
      <c r="O147" s="238"/>
      <c r="P147" s="227">
        <f t="shared" ca="1" si="68"/>
        <v>1.3447956639126223E-2</v>
      </c>
      <c r="Q147" s="227" t="str">
        <f t="shared" si="69"/>
        <v/>
      </c>
      <c r="R147" s="227" t="str">
        <f t="shared" si="62"/>
        <v/>
      </c>
      <c r="S147" s="237"/>
      <c r="T147" s="227" t="str">
        <f t="shared" si="63"/>
        <v/>
      </c>
      <c r="U147" s="227" t="str">
        <f t="shared" si="64"/>
        <v/>
      </c>
      <c r="V147" s="227" t="str">
        <f t="shared" si="65"/>
        <v/>
      </c>
    </row>
    <row r="148" spans="1:22" ht="15" customHeight="1" x14ac:dyDescent="0.25">
      <c r="A148" s="203">
        <f t="shared" si="50"/>
        <v>2023</v>
      </c>
      <c r="B148" s="205">
        <f t="shared" ca="1" si="66"/>
        <v>0.80664689813075185</v>
      </c>
      <c r="C148" s="205">
        <f t="shared" ca="1" si="51"/>
        <v>0.12313579925561373</v>
      </c>
      <c r="D148" s="205" t="str">
        <f t="shared" si="52"/>
        <v/>
      </c>
      <c r="E148" s="232" t="str">
        <f t="shared" si="53"/>
        <v/>
      </c>
      <c r="F148" s="204" t="str">
        <f t="shared" si="67"/>
        <v/>
      </c>
      <c r="G148" s="205" t="str">
        <f t="shared" si="54"/>
        <v/>
      </c>
      <c r="H148" s="205" t="str">
        <f t="shared" si="55"/>
        <v/>
      </c>
      <c r="I148" s="232" t="str">
        <f t="shared" si="56"/>
        <v/>
      </c>
      <c r="J148" s="513" t="str">
        <f t="shared" si="57"/>
        <v/>
      </c>
      <c r="K148" s="230" t="str">
        <f t="shared" si="58"/>
        <v/>
      </c>
      <c r="L148" s="230" t="str">
        <f t="shared" si="59"/>
        <v/>
      </c>
      <c r="M148" s="205" t="str">
        <f t="shared" si="60"/>
        <v/>
      </c>
      <c r="N148" s="233" t="str">
        <f t="shared" si="61"/>
        <v/>
      </c>
      <c r="O148" s="238"/>
      <c r="P148" s="227">
        <f t="shared" ca="1" si="68"/>
        <v>1.3447956639126223E-2</v>
      </c>
      <c r="Q148" s="227" t="str">
        <f t="shared" si="69"/>
        <v/>
      </c>
      <c r="R148" s="227" t="str">
        <f t="shared" si="62"/>
        <v/>
      </c>
      <c r="S148" s="237"/>
      <c r="T148" s="227" t="str">
        <f t="shared" si="63"/>
        <v/>
      </c>
      <c r="U148" s="227" t="str">
        <f t="shared" si="64"/>
        <v/>
      </c>
      <c r="V148" s="227" t="str">
        <f t="shared" si="65"/>
        <v/>
      </c>
    </row>
    <row r="149" spans="1:22" ht="15" customHeight="1" x14ac:dyDescent="0.25">
      <c r="A149" s="203">
        <f t="shared" si="50"/>
        <v>2024</v>
      </c>
      <c r="B149" s="205">
        <f t="shared" ca="1" si="66"/>
        <v>0.8204812137040226</v>
      </c>
      <c r="C149" s="205">
        <f t="shared" ca="1" si="51"/>
        <v>0.12289161293992268</v>
      </c>
      <c r="D149" s="205" t="str">
        <f t="shared" si="52"/>
        <v/>
      </c>
      <c r="E149" s="232" t="str">
        <f t="shared" si="53"/>
        <v/>
      </c>
      <c r="F149" s="204" t="str">
        <f t="shared" si="67"/>
        <v/>
      </c>
      <c r="G149" s="205" t="str">
        <f t="shared" si="54"/>
        <v/>
      </c>
      <c r="H149" s="205" t="str">
        <f t="shared" si="55"/>
        <v/>
      </c>
      <c r="I149" s="232" t="str">
        <f t="shared" si="56"/>
        <v/>
      </c>
      <c r="J149" s="513" t="str">
        <f t="shared" si="57"/>
        <v/>
      </c>
      <c r="K149" s="230" t="str">
        <f t="shared" si="58"/>
        <v/>
      </c>
      <c r="L149" s="230" t="str">
        <f t="shared" si="59"/>
        <v/>
      </c>
      <c r="M149" s="205" t="str">
        <f t="shared" si="60"/>
        <v/>
      </c>
      <c r="N149" s="233" t="str">
        <f t="shared" si="61"/>
        <v/>
      </c>
      <c r="O149" s="238"/>
      <c r="P149" s="227">
        <f t="shared" ca="1" si="68"/>
        <v>1.3447956639126223E-2</v>
      </c>
      <c r="Q149" s="227" t="str">
        <f t="shared" si="69"/>
        <v/>
      </c>
      <c r="R149" s="227" t="str">
        <f t="shared" si="62"/>
        <v/>
      </c>
      <c r="S149" s="237"/>
      <c r="T149" s="227" t="str">
        <f t="shared" si="63"/>
        <v/>
      </c>
      <c r="U149" s="227" t="str">
        <f t="shared" si="64"/>
        <v/>
      </c>
      <c r="V149" s="227" t="str">
        <f t="shared" si="65"/>
        <v/>
      </c>
    </row>
    <row r="150" spans="1:22" ht="15" customHeight="1" x14ac:dyDescent="0.25">
      <c r="A150" s="203">
        <f t="shared" si="50"/>
        <v>2025</v>
      </c>
      <c r="B150" s="205">
        <f t="shared" ca="1" si="66"/>
        <v>0.83853268009974802</v>
      </c>
      <c r="C150" s="205">
        <f t="shared" ca="1" si="51"/>
        <v>0.12491740747323128</v>
      </c>
      <c r="D150" s="205" t="str">
        <f t="shared" si="52"/>
        <v/>
      </c>
      <c r="E150" s="232" t="str">
        <f t="shared" si="53"/>
        <v/>
      </c>
      <c r="F150" s="204" t="str">
        <f t="shared" si="67"/>
        <v/>
      </c>
      <c r="G150" s="205" t="str">
        <f t="shared" si="54"/>
        <v/>
      </c>
      <c r="H150" s="205" t="str">
        <f t="shared" si="55"/>
        <v/>
      </c>
      <c r="I150" s="232" t="str">
        <f t="shared" si="56"/>
        <v/>
      </c>
      <c r="J150" s="513" t="str">
        <f t="shared" si="57"/>
        <v/>
      </c>
      <c r="K150" s="230" t="str">
        <f t="shared" si="58"/>
        <v/>
      </c>
      <c r="L150" s="230" t="str">
        <f t="shared" si="59"/>
        <v/>
      </c>
      <c r="M150" s="205" t="str">
        <f t="shared" si="60"/>
        <v/>
      </c>
      <c r="N150" s="233" t="str">
        <f t="shared" si="61"/>
        <v/>
      </c>
      <c r="O150" s="238"/>
      <c r="P150" s="227">
        <f t="shared" ca="1" si="68"/>
        <v>1.3447956639126223E-2</v>
      </c>
      <c r="Q150" s="227" t="str">
        <f t="shared" si="69"/>
        <v/>
      </c>
      <c r="R150" s="227" t="str">
        <f t="shared" si="62"/>
        <v/>
      </c>
      <c r="S150" s="237"/>
      <c r="T150" s="227" t="str">
        <f t="shared" si="63"/>
        <v/>
      </c>
      <c r="U150" s="227" t="str">
        <f t="shared" si="64"/>
        <v/>
      </c>
      <c r="V150" s="227" t="str">
        <f t="shared" si="65"/>
        <v/>
      </c>
    </row>
    <row r="151" spans="1:22" ht="15" customHeight="1" x14ac:dyDescent="0.25">
      <c r="A151" s="203">
        <f t="shared" si="50"/>
        <v>2026</v>
      </c>
      <c r="B151" s="205">
        <f t="shared" ca="1" si="66"/>
        <v>0.85719843419865738</v>
      </c>
      <c r="C151" s="205">
        <f t="shared" ca="1" si="51"/>
        <v>0.12623267658427637</v>
      </c>
      <c r="D151" s="205" t="str">
        <f t="shared" si="52"/>
        <v/>
      </c>
      <c r="E151" s="232" t="str">
        <f t="shared" si="53"/>
        <v/>
      </c>
      <c r="F151" s="204" t="str">
        <f t="shared" si="67"/>
        <v/>
      </c>
      <c r="G151" s="205" t="str">
        <f t="shared" si="54"/>
        <v/>
      </c>
      <c r="H151" s="205" t="str">
        <f t="shared" si="55"/>
        <v/>
      </c>
      <c r="I151" s="232" t="str">
        <f t="shared" si="56"/>
        <v/>
      </c>
      <c r="J151" s="513" t="str">
        <f t="shared" si="57"/>
        <v/>
      </c>
      <c r="K151" s="230" t="str">
        <f t="shared" si="58"/>
        <v/>
      </c>
      <c r="L151" s="230" t="str">
        <f t="shared" si="59"/>
        <v/>
      </c>
      <c r="M151" s="205" t="str">
        <f t="shared" si="60"/>
        <v/>
      </c>
      <c r="N151" s="233" t="str">
        <f t="shared" si="61"/>
        <v/>
      </c>
      <c r="O151" s="238"/>
      <c r="P151" s="227">
        <f t="shared" ca="1" si="68"/>
        <v>1.3447956639126223E-2</v>
      </c>
      <c r="Q151" s="227" t="str">
        <f t="shared" si="69"/>
        <v/>
      </c>
      <c r="R151" s="227" t="str">
        <f t="shared" si="62"/>
        <v/>
      </c>
      <c r="S151" s="237"/>
      <c r="T151" s="227" t="str">
        <f t="shared" si="63"/>
        <v/>
      </c>
      <c r="U151" s="227" t="str">
        <f t="shared" si="64"/>
        <v/>
      </c>
      <c r="V151" s="227" t="str">
        <f t="shared" si="65"/>
        <v/>
      </c>
    </row>
    <row r="152" spans="1:22" ht="15" customHeight="1" x14ac:dyDescent="0.25">
      <c r="A152" s="203">
        <f t="shared" si="50"/>
        <v>2027</v>
      </c>
      <c r="B152" s="205">
        <f t="shared" ca="1" si="66"/>
        <v>0.87215140161966243</v>
      </c>
      <c r="C152" s="205">
        <f t="shared" ca="1" si="51"/>
        <v>0.12656481487324164</v>
      </c>
      <c r="D152" s="205" t="str">
        <f t="shared" si="52"/>
        <v/>
      </c>
      <c r="E152" s="232" t="str">
        <f t="shared" si="53"/>
        <v/>
      </c>
      <c r="F152" s="204" t="str">
        <f t="shared" si="67"/>
        <v/>
      </c>
      <c r="G152" s="205" t="str">
        <f t="shared" si="54"/>
        <v/>
      </c>
      <c r="H152" s="205" t="str">
        <f t="shared" si="55"/>
        <v/>
      </c>
      <c r="I152" s="232" t="str">
        <f t="shared" si="56"/>
        <v/>
      </c>
      <c r="J152" s="513" t="str">
        <f t="shared" si="57"/>
        <v/>
      </c>
      <c r="K152" s="230" t="str">
        <f t="shared" si="58"/>
        <v/>
      </c>
      <c r="L152" s="230" t="str">
        <f t="shared" si="59"/>
        <v/>
      </c>
      <c r="M152" s="205" t="str">
        <f t="shared" si="60"/>
        <v/>
      </c>
      <c r="N152" s="233" t="str">
        <f t="shared" si="61"/>
        <v/>
      </c>
      <c r="O152" s="238"/>
      <c r="P152" s="227">
        <f t="shared" ca="1" si="68"/>
        <v>1.3447956639126223E-2</v>
      </c>
      <c r="Q152" s="227" t="str">
        <f t="shared" si="69"/>
        <v/>
      </c>
      <c r="R152" s="227" t="str">
        <f t="shared" si="62"/>
        <v/>
      </c>
      <c r="S152" s="237"/>
      <c r="T152" s="227" t="str">
        <f t="shared" si="63"/>
        <v/>
      </c>
      <c r="U152" s="227" t="str">
        <f t="shared" si="64"/>
        <v/>
      </c>
      <c r="V152" s="227" t="str">
        <f t="shared" si="65"/>
        <v/>
      </c>
    </row>
    <row r="153" spans="1:22" ht="15" customHeight="1" x14ac:dyDescent="0.25">
      <c r="A153" s="203">
        <f t="shared" si="50"/>
        <v>2028</v>
      </c>
      <c r="B153" s="205">
        <f t="shared" ca="1" si="66"/>
        <v>0.88697609940827049</v>
      </c>
      <c r="C153" s="205">
        <f t="shared" ca="1" si="51"/>
        <v>0.12684868606484231</v>
      </c>
      <c r="D153" s="205" t="str">
        <f t="shared" si="52"/>
        <v/>
      </c>
      <c r="E153" s="232" t="str">
        <f t="shared" si="53"/>
        <v/>
      </c>
      <c r="F153" s="204" t="str">
        <f t="shared" si="67"/>
        <v/>
      </c>
      <c r="G153" s="205" t="str">
        <f t="shared" si="54"/>
        <v/>
      </c>
      <c r="H153" s="205" t="str">
        <f t="shared" si="55"/>
        <v/>
      </c>
      <c r="I153" s="232" t="str">
        <f t="shared" si="56"/>
        <v/>
      </c>
      <c r="J153" s="513" t="str">
        <f t="shared" si="57"/>
        <v/>
      </c>
      <c r="K153" s="230" t="str">
        <f t="shared" si="58"/>
        <v/>
      </c>
      <c r="L153" s="230" t="str">
        <f t="shared" si="59"/>
        <v/>
      </c>
      <c r="M153" s="205" t="str">
        <f t="shared" si="60"/>
        <v/>
      </c>
      <c r="N153" s="233" t="str">
        <f t="shared" si="61"/>
        <v/>
      </c>
      <c r="O153" s="238"/>
      <c r="P153" s="227">
        <f t="shared" ca="1" si="68"/>
        <v>1.3447956639126223E-2</v>
      </c>
      <c r="Q153" s="227" t="str">
        <f t="shared" si="69"/>
        <v/>
      </c>
      <c r="R153" s="227" t="str">
        <f t="shared" si="62"/>
        <v/>
      </c>
      <c r="S153" s="237"/>
      <c r="T153" s="227" t="str">
        <f t="shared" si="63"/>
        <v/>
      </c>
      <c r="U153" s="227" t="str">
        <f t="shared" si="64"/>
        <v/>
      </c>
      <c r="V153" s="227" t="str">
        <f t="shared" si="65"/>
        <v/>
      </c>
    </row>
    <row r="154" spans="1:22" ht="15" customHeight="1" x14ac:dyDescent="0.25">
      <c r="A154" s="203">
        <f t="shared" si="50"/>
        <v>2029</v>
      </c>
      <c r="B154" s="205">
        <f t="shared" ca="1" si="66"/>
        <v>0.8994324719579484</v>
      </c>
      <c r="C154" s="205">
        <f t="shared" ca="1" si="51"/>
        <v>0.12704956728647859</v>
      </c>
      <c r="D154" s="205" t="str">
        <f t="shared" si="52"/>
        <v/>
      </c>
      <c r="E154" s="232" t="str">
        <f t="shared" si="53"/>
        <v/>
      </c>
      <c r="F154" s="204" t="str">
        <f t="shared" si="67"/>
        <v/>
      </c>
      <c r="G154" s="205" t="str">
        <f t="shared" si="54"/>
        <v/>
      </c>
      <c r="H154" s="205" t="str">
        <f t="shared" si="55"/>
        <v/>
      </c>
      <c r="I154" s="232" t="str">
        <f t="shared" si="56"/>
        <v/>
      </c>
      <c r="J154" s="513" t="str">
        <f t="shared" si="57"/>
        <v/>
      </c>
      <c r="K154" s="230" t="str">
        <f t="shared" si="58"/>
        <v/>
      </c>
      <c r="L154" s="230" t="str">
        <f t="shared" si="59"/>
        <v/>
      </c>
      <c r="M154" s="205" t="str">
        <f t="shared" si="60"/>
        <v/>
      </c>
      <c r="N154" s="233" t="str">
        <f t="shared" si="61"/>
        <v/>
      </c>
      <c r="O154" s="238"/>
      <c r="P154" s="227">
        <f t="shared" ca="1" si="68"/>
        <v>1.3447956639126223E-2</v>
      </c>
      <c r="Q154" s="227" t="str">
        <f t="shared" si="69"/>
        <v/>
      </c>
      <c r="R154" s="227" t="str">
        <f t="shared" si="62"/>
        <v/>
      </c>
      <c r="S154" s="237"/>
      <c r="T154" s="227" t="str">
        <f t="shared" si="63"/>
        <v/>
      </c>
      <c r="U154" s="227" t="str">
        <f t="shared" si="64"/>
        <v/>
      </c>
      <c r="V154" s="227" t="str">
        <f t="shared" si="65"/>
        <v/>
      </c>
    </row>
    <row r="155" spans="1:22" ht="15" customHeight="1" x14ac:dyDescent="0.25">
      <c r="A155" s="203">
        <f t="shared" si="50"/>
        <v>2030</v>
      </c>
      <c r="B155" s="205">
        <f t="shared" ca="1" si="66"/>
        <v>0.90254396606825138</v>
      </c>
      <c r="C155" s="205">
        <f t="shared" ca="1" si="51"/>
        <v>0.12734389027830942</v>
      </c>
      <c r="D155" s="205" t="str">
        <f t="shared" si="52"/>
        <v/>
      </c>
      <c r="E155" s="232" t="str">
        <f t="shared" si="53"/>
        <v/>
      </c>
      <c r="F155" s="204" t="str">
        <f t="shared" si="67"/>
        <v/>
      </c>
      <c r="G155" s="205" t="str">
        <f t="shared" si="54"/>
        <v/>
      </c>
      <c r="H155" s="205" t="str">
        <f t="shared" si="55"/>
        <v/>
      </c>
      <c r="I155" s="232" t="str">
        <f t="shared" si="56"/>
        <v/>
      </c>
      <c r="J155" s="513" t="str">
        <f t="shared" si="57"/>
        <v/>
      </c>
      <c r="K155" s="230" t="str">
        <f t="shared" si="58"/>
        <v/>
      </c>
      <c r="L155" s="230" t="str">
        <f t="shared" si="59"/>
        <v/>
      </c>
      <c r="M155" s="205" t="str">
        <f t="shared" si="60"/>
        <v/>
      </c>
      <c r="N155" s="233" t="str">
        <f t="shared" si="61"/>
        <v/>
      </c>
      <c r="O155" s="238"/>
      <c r="P155" s="227">
        <f t="shared" ca="1" si="68"/>
        <v>1.3447956639126223E-2</v>
      </c>
      <c r="Q155" s="227" t="str">
        <f t="shared" si="69"/>
        <v/>
      </c>
      <c r="R155" s="227" t="str">
        <f t="shared" si="62"/>
        <v/>
      </c>
      <c r="S155" s="237"/>
      <c r="T155" s="227" t="str">
        <f t="shared" si="63"/>
        <v/>
      </c>
      <c r="U155" s="227" t="str">
        <f t="shared" si="64"/>
        <v/>
      </c>
      <c r="V155" s="227" t="str">
        <f t="shared" si="65"/>
        <v/>
      </c>
    </row>
    <row r="156" spans="1:22" ht="15" customHeight="1" x14ac:dyDescent="0.25">
      <c r="A156" s="203">
        <f t="shared" si="50"/>
        <v>2031</v>
      </c>
      <c r="B156" s="205">
        <f t="shared" ca="1" si="66"/>
        <v>0.90641743377553496</v>
      </c>
      <c r="C156" s="205">
        <f t="shared" ca="1" si="51"/>
        <v>0.12715234951683618</v>
      </c>
      <c r="D156" s="205" t="str">
        <f t="shared" si="52"/>
        <v/>
      </c>
      <c r="E156" s="232" t="str">
        <f t="shared" si="53"/>
        <v/>
      </c>
      <c r="F156" s="204" t="str">
        <f t="shared" si="67"/>
        <v/>
      </c>
      <c r="G156" s="205" t="str">
        <f t="shared" si="54"/>
        <v/>
      </c>
      <c r="H156" s="205" t="str">
        <f t="shared" si="55"/>
        <v/>
      </c>
      <c r="I156" s="232" t="str">
        <f t="shared" si="56"/>
        <v/>
      </c>
      <c r="J156" s="513" t="str">
        <f t="shared" si="57"/>
        <v/>
      </c>
      <c r="K156" s="230" t="str">
        <f t="shared" si="58"/>
        <v/>
      </c>
      <c r="L156" s="230" t="str">
        <f t="shared" si="59"/>
        <v/>
      </c>
      <c r="M156" s="205" t="str">
        <f t="shared" si="60"/>
        <v/>
      </c>
      <c r="N156" s="233" t="str">
        <f t="shared" si="61"/>
        <v/>
      </c>
      <c r="O156" s="238"/>
      <c r="P156" s="227">
        <f t="shared" ca="1" si="68"/>
        <v>1.3447956639126223E-2</v>
      </c>
      <c r="Q156" s="227" t="str">
        <f t="shared" si="69"/>
        <v/>
      </c>
      <c r="R156" s="227" t="str">
        <f t="shared" si="62"/>
        <v/>
      </c>
      <c r="S156" s="237"/>
      <c r="T156" s="227" t="str">
        <f t="shared" si="63"/>
        <v/>
      </c>
      <c r="U156" s="227" t="str">
        <f t="shared" si="64"/>
        <v/>
      </c>
      <c r="V156" s="227" t="str">
        <f t="shared" si="65"/>
        <v/>
      </c>
    </row>
    <row r="157" spans="1:22" ht="15" customHeight="1" x14ac:dyDescent="0.25">
      <c r="A157" s="203">
        <f t="shared" si="50"/>
        <v>2032</v>
      </c>
      <c r="B157" s="205">
        <f t="shared" ca="1" si="66"/>
        <v>0.9041460369596559</v>
      </c>
      <c r="C157" s="205">
        <f t="shared" ca="1" si="51"/>
        <v>0.12680949553083545</v>
      </c>
      <c r="D157" s="205" t="str">
        <f t="shared" si="52"/>
        <v/>
      </c>
      <c r="E157" s="232" t="str">
        <f t="shared" si="53"/>
        <v/>
      </c>
      <c r="F157" s="204" t="str">
        <f t="shared" si="67"/>
        <v/>
      </c>
      <c r="G157" s="205" t="str">
        <f t="shared" si="54"/>
        <v/>
      </c>
      <c r="H157" s="205" t="str">
        <f t="shared" si="55"/>
        <v/>
      </c>
      <c r="I157" s="232" t="str">
        <f t="shared" si="56"/>
        <v/>
      </c>
      <c r="J157" s="513" t="str">
        <f t="shared" si="57"/>
        <v/>
      </c>
      <c r="K157" s="230" t="str">
        <f t="shared" si="58"/>
        <v/>
      </c>
      <c r="L157" s="230" t="str">
        <f t="shared" si="59"/>
        <v/>
      </c>
      <c r="M157" s="205" t="str">
        <f t="shared" si="60"/>
        <v/>
      </c>
      <c r="N157" s="233" t="str">
        <f t="shared" si="61"/>
        <v/>
      </c>
      <c r="O157" s="238"/>
      <c r="P157" s="227">
        <f t="shared" ca="1" si="68"/>
        <v>1.3447956639126223E-2</v>
      </c>
      <c r="Q157" s="227" t="str">
        <f t="shared" si="69"/>
        <v/>
      </c>
      <c r="R157" s="227" t="str">
        <f t="shared" si="62"/>
        <v/>
      </c>
      <c r="S157" s="237"/>
      <c r="T157" s="227" t="str">
        <f t="shared" si="63"/>
        <v/>
      </c>
      <c r="U157" s="227" t="str">
        <f t="shared" si="64"/>
        <v/>
      </c>
      <c r="V157" s="227" t="str">
        <f t="shared" si="65"/>
        <v/>
      </c>
    </row>
    <row r="158" spans="1:22" ht="15" customHeight="1" x14ac:dyDescent="0.25">
      <c r="A158" s="203">
        <f t="shared" si="50"/>
        <v>2033</v>
      </c>
      <c r="B158" s="205">
        <f t="shared" ca="1" si="66"/>
        <v>0.89516685692396836</v>
      </c>
      <c r="C158" s="205">
        <f t="shared" ca="1" si="51"/>
        <v>0.12632532294719881</v>
      </c>
      <c r="D158" s="205" t="str">
        <f t="shared" si="52"/>
        <v/>
      </c>
      <c r="E158" s="232" t="str">
        <f t="shared" si="53"/>
        <v/>
      </c>
      <c r="F158" s="204" t="str">
        <f t="shared" si="67"/>
        <v/>
      </c>
      <c r="G158" s="205" t="str">
        <f t="shared" si="54"/>
        <v/>
      </c>
      <c r="H158" s="205" t="str">
        <f t="shared" si="55"/>
        <v/>
      </c>
      <c r="I158" s="232" t="str">
        <f t="shared" si="56"/>
        <v/>
      </c>
      <c r="J158" s="513" t="str">
        <f t="shared" si="57"/>
        <v/>
      </c>
      <c r="K158" s="230" t="str">
        <f t="shared" si="58"/>
        <v/>
      </c>
      <c r="L158" s="230" t="str">
        <f t="shared" si="59"/>
        <v/>
      </c>
      <c r="M158" s="205" t="str">
        <f t="shared" si="60"/>
        <v/>
      </c>
      <c r="N158" s="233" t="str">
        <f t="shared" si="61"/>
        <v/>
      </c>
      <c r="O158" s="238"/>
      <c r="P158" s="227">
        <f t="shared" ca="1" si="68"/>
        <v>1.3447956639126223E-2</v>
      </c>
      <c r="Q158" s="227" t="str">
        <f t="shared" si="69"/>
        <v/>
      </c>
      <c r="R158" s="227" t="str">
        <f t="shared" si="62"/>
        <v/>
      </c>
      <c r="S158" s="237"/>
      <c r="T158" s="227" t="str">
        <f t="shared" si="63"/>
        <v/>
      </c>
      <c r="U158" s="227" t="str">
        <f t="shared" si="64"/>
        <v/>
      </c>
      <c r="V158" s="227" t="str">
        <f t="shared" si="65"/>
        <v/>
      </c>
    </row>
    <row r="159" spans="1:22" ht="15" customHeight="1" x14ac:dyDescent="0.25">
      <c r="A159" s="203">
        <f t="shared" si="50"/>
        <v>2034</v>
      </c>
      <c r="B159" s="205">
        <f t="shared" ca="1" si="66"/>
        <v>0.8949386011895597</v>
      </c>
      <c r="C159" s="205">
        <f t="shared" ca="1" si="51"/>
        <v>0.12597065679152114</v>
      </c>
      <c r="D159" s="205" t="str">
        <f t="shared" si="52"/>
        <v/>
      </c>
      <c r="E159" s="232" t="str">
        <f t="shared" si="53"/>
        <v/>
      </c>
      <c r="F159" s="204" t="str">
        <f t="shared" si="67"/>
        <v/>
      </c>
      <c r="G159" s="205" t="str">
        <f t="shared" si="54"/>
        <v/>
      </c>
      <c r="H159" s="205" t="str">
        <f t="shared" si="55"/>
        <v/>
      </c>
      <c r="I159" s="232" t="str">
        <f t="shared" si="56"/>
        <v/>
      </c>
      <c r="J159" s="513" t="str">
        <f t="shared" si="57"/>
        <v/>
      </c>
      <c r="K159" s="230" t="str">
        <f t="shared" si="58"/>
        <v/>
      </c>
      <c r="L159" s="230" t="str">
        <f t="shared" si="59"/>
        <v/>
      </c>
      <c r="M159" s="205" t="str">
        <f t="shared" si="60"/>
        <v/>
      </c>
      <c r="N159" s="233" t="str">
        <f t="shared" si="61"/>
        <v/>
      </c>
      <c r="O159" s="238"/>
      <c r="P159" s="227">
        <f t="shared" ca="1" si="68"/>
        <v>1.3447956639126223E-2</v>
      </c>
      <c r="Q159" s="227" t="str">
        <f t="shared" si="69"/>
        <v/>
      </c>
      <c r="R159" s="227" t="str">
        <f t="shared" si="62"/>
        <v/>
      </c>
      <c r="S159" s="237"/>
      <c r="T159" s="227" t="str">
        <f t="shared" si="63"/>
        <v/>
      </c>
      <c r="U159" s="227" t="str">
        <f t="shared" si="64"/>
        <v/>
      </c>
      <c r="V159" s="227" t="str">
        <f t="shared" si="65"/>
        <v/>
      </c>
    </row>
    <row r="160" spans="1:22" ht="15" customHeight="1" x14ac:dyDescent="0.25">
      <c r="A160" s="203" t="str">
        <f t="shared" si="50"/>
        <v/>
      </c>
      <c r="B160" s="205" t="str">
        <f t="shared" si="66"/>
        <v/>
      </c>
      <c r="C160" s="205" t="str">
        <f t="shared" si="51"/>
        <v/>
      </c>
      <c r="D160" s="205" t="str">
        <f t="shared" si="52"/>
        <v/>
      </c>
      <c r="E160" s="232" t="str">
        <f t="shared" si="53"/>
        <v/>
      </c>
      <c r="F160" s="204" t="str">
        <f t="shared" si="67"/>
        <v/>
      </c>
      <c r="G160" s="205" t="str">
        <f t="shared" si="54"/>
        <v/>
      </c>
      <c r="H160" s="205" t="str">
        <f t="shared" si="55"/>
        <v/>
      </c>
      <c r="I160" s="232" t="str">
        <f t="shared" si="56"/>
        <v/>
      </c>
      <c r="J160" s="513" t="str">
        <f t="shared" si="57"/>
        <v/>
      </c>
      <c r="K160" s="230" t="str">
        <f t="shared" si="58"/>
        <v/>
      </c>
      <c r="L160" s="230" t="str">
        <f t="shared" si="59"/>
        <v/>
      </c>
      <c r="M160" s="205" t="str">
        <f t="shared" si="60"/>
        <v/>
      </c>
      <c r="N160" s="233" t="str">
        <f t="shared" si="61"/>
        <v/>
      </c>
      <c r="O160" s="238"/>
      <c r="P160" s="227" t="str">
        <f t="shared" si="68"/>
        <v/>
      </c>
      <c r="Q160" s="227" t="str">
        <f t="shared" si="69"/>
        <v/>
      </c>
      <c r="R160" s="227" t="str">
        <f t="shared" si="62"/>
        <v/>
      </c>
      <c r="S160" s="237"/>
      <c r="T160" s="227" t="str">
        <f t="shared" si="63"/>
        <v/>
      </c>
      <c r="U160" s="227" t="str">
        <f t="shared" si="64"/>
        <v/>
      </c>
      <c r="V160" s="227" t="str">
        <f t="shared" si="65"/>
        <v/>
      </c>
    </row>
    <row r="161" spans="1:22" ht="15" customHeight="1" x14ac:dyDescent="0.25">
      <c r="A161" s="203" t="str">
        <f t="shared" si="50"/>
        <v/>
      </c>
      <c r="B161" s="205" t="str">
        <f t="shared" si="66"/>
        <v/>
      </c>
      <c r="C161" s="205" t="str">
        <f t="shared" si="51"/>
        <v/>
      </c>
      <c r="D161" s="205" t="str">
        <f t="shared" si="52"/>
        <v/>
      </c>
      <c r="E161" s="232" t="str">
        <f t="shared" si="53"/>
        <v/>
      </c>
      <c r="F161" s="204" t="str">
        <f t="shared" si="67"/>
        <v/>
      </c>
      <c r="G161" s="205" t="str">
        <f t="shared" si="54"/>
        <v/>
      </c>
      <c r="H161" s="205" t="str">
        <f t="shared" si="55"/>
        <v/>
      </c>
      <c r="I161" s="232" t="str">
        <f t="shared" si="56"/>
        <v/>
      </c>
      <c r="J161" s="513" t="str">
        <f t="shared" si="57"/>
        <v/>
      </c>
      <c r="K161" s="230" t="str">
        <f t="shared" si="58"/>
        <v/>
      </c>
      <c r="L161" s="230" t="str">
        <f t="shared" si="59"/>
        <v/>
      </c>
      <c r="M161" s="205" t="str">
        <f t="shared" si="60"/>
        <v/>
      </c>
      <c r="N161" s="233" t="str">
        <f t="shared" si="61"/>
        <v/>
      </c>
      <c r="O161" s="238"/>
      <c r="P161" s="227" t="str">
        <f t="shared" si="68"/>
        <v/>
      </c>
      <c r="Q161" s="227" t="str">
        <f t="shared" si="69"/>
        <v/>
      </c>
      <c r="R161" s="227" t="str">
        <f t="shared" si="62"/>
        <v/>
      </c>
      <c r="S161" s="237"/>
      <c r="T161" s="227" t="str">
        <f t="shared" si="63"/>
        <v/>
      </c>
      <c r="U161" s="227" t="str">
        <f t="shared" si="64"/>
        <v/>
      </c>
      <c r="V161" s="227" t="str">
        <f t="shared" si="65"/>
        <v/>
      </c>
    </row>
    <row r="162" spans="1:22" ht="15" customHeight="1" x14ac:dyDescent="0.25">
      <c r="A162" s="203" t="str">
        <f t="shared" si="50"/>
        <v/>
      </c>
      <c r="B162" s="205" t="str">
        <f t="shared" si="66"/>
        <v/>
      </c>
      <c r="C162" s="205" t="str">
        <f t="shared" si="51"/>
        <v/>
      </c>
      <c r="D162" s="205" t="str">
        <f t="shared" si="52"/>
        <v/>
      </c>
      <c r="E162" s="232" t="str">
        <f t="shared" si="53"/>
        <v/>
      </c>
      <c r="F162" s="204" t="str">
        <f t="shared" si="67"/>
        <v/>
      </c>
      <c r="G162" s="205" t="str">
        <f t="shared" si="54"/>
        <v/>
      </c>
      <c r="H162" s="205" t="str">
        <f t="shared" si="55"/>
        <v/>
      </c>
      <c r="I162" s="232" t="str">
        <f t="shared" si="56"/>
        <v/>
      </c>
      <c r="J162" s="513" t="str">
        <f t="shared" si="57"/>
        <v/>
      </c>
      <c r="K162" s="230" t="str">
        <f t="shared" si="58"/>
        <v/>
      </c>
      <c r="L162" s="230" t="str">
        <f t="shared" si="59"/>
        <v/>
      </c>
      <c r="M162" s="205" t="str">
        <f t="shared" si="60"/>
        <v/>
      </c>
      <c r="N162" s="233" t="str">
        <f t="shared" si="61"/>
        <v/>
      </c>
      <c r="O162" s="238"/>
      <c r="P162" s="227" t="str">
        <f t="shared" si="68"/>
        <v/>
      </c>
      <c r="Q162" s="227" t="str">
        <f t="shared" si="69"/>
        <v/>
      </c>
      <c r="R162" s="227" t="str">
        <f t="shared" si="62"/>
        <v/>
      </c>
      <c r="S162" s="237"/>
      <c r="T162" s="227" t="str">
        <f t="shared" si="63"/>
        <v/>
      </c>
      <c r="U162" s="227" t="str">
        <f t="shared" si="64"/>
        <v/>
      </c>
      <c r="V162" s="227" t="str">
        <f t="shared" si="65"/>
        <v/>
      </c>
    </row>
    <row r="163" spans="1:22" ht="15" customHeight="1" x14ac:dyDescent="0.25">
      <c r="A163" s="203" t="str">
        <f t="shared" si="50"/>
        <v/>
      </c>
      <c r="B163" s="205" t="str">
        <f t="shared" si="66"/>
        <v/>
      </c>
      <c r="C163" s="205" t="str">
        <f t="shared" si="51"/>
        <v/>
      </c>
      <c r="D163" s="205" t="str">
        <f t="shared" si="52"/>
        <v/>
      </c>
      <c r="E163" s="232" t="str">
        <f t="shared" si="53"/>
        <v/>
      </c>
      <c r="F163" s="204" t="str">
        <f t="shared" si="67"/>
        <v/>
      </c>
      <c r="G163" s="205" t="str">
        <f t="shared" si="54"/>
        <v/>
      </c>
      <c r="H163" s="205" t="str">
        <f t="shared" si="55"/>
        <v/>
      </c>
      <c r="I163" s="232" t="str">
        <f t="shared" si="56"/>
        <v/>
      </c>
      <c r="J163" s="513" t="str">
        <f t="shared" si="57"/>
        <v/>
      </c>
      <c r="K163" s="230" t="str">
        <f t="shared" si="58"/>
        <v/>
      </c>
      <c r="L163" s="230" t="str">
        <f t="shared" si="59"/>
        <v/>
      </c>
      <c r="M163" s="205" t="str">
        <f t="shared" si="60"/>
        <v/>
      </c>
      <c r="N163" s="233" t="str">
        <f t="shared" si="61"/>
        <v/>
      </c>
      <c r="O163" s="238"/>
      <c r="P163" s="227" t="str">
        <f t="shared" si="68"/>
        <v/>
      </c>
      <c r="Q163" s="227" t="str">
        <f t="shared" si="69"/>
        <v/>
      </c>
      <c r="R163" s="227" t="str">
        <f t="shared" si="62"/>
        <v/>
      </c>
      <c r="S163" s="237"/>
      <c r="T163" s="227" t="str">
        <f t="shared" si="63"/>
        <v/>
      </c>
      <c r="U163" s="227" t="str">
        <f t="shared" si="64"/>
        <v/>
      </c>
      <c r="V163" s="227" t="str">
        <f t="shared" si="65"/>
        <v/>
      </c>
    </row>
    <row r="164" spans="1:22" ht="15" customHeight="1" x14ac:dyDescent="0.25">
      <c r="A164" s="203" t="str">
        <f t="shared" si="50"/>
        <v/>
      </c>
      <c r="B164" s="205" t="str">
        <f t="shared" si="66"/>
        <v/>
      </c>
      <c r="C164" s="205" t="str">
        <f t="shared" si="51"/>
        <v/>
      </c>
      <c r="D164" s="205" t="str">
        <f t="shared" si="52"/>
        <v/>
      </c>
      <c r="E164" s="232" t="str">
        <f t="shared" si="53"/>
        <v/>
      </c>
      <c r="F164" s="204" t="str">
        <f t="shared" si="67"/>
        <v/>
      </c>
      <c r="G164" s="205" t="str">
        <f t="shared" si="54"/>
        <v/>
      </c>
      <c r="H164" s="205" t="str">
        <f t="shared" si="55"/>
        <v/>
      </c>
      <c r="I164" s="232" t="str">
        <f t="shared" si="56"/>
        <v/>
      </c>
      <c r="J164" s="513" t="str">
        <f t="shared" si="57"/>
        <v/>
      </c>
      <c r="K164" s="230" t="str">
        <f t="shared" si="58"/>
        <v/>
      </c>
      <c r="L164" s="230" t="str">
        <f t="shared" si="59"/>
        <v/>
      </c>
      <c r="M164" s="205" t="str">
        <f t="shared" si="60"/>
        <v/>
      </c>
      <c r="N164" s="233" t="str">
        <f t="shared" si="61"/>
        <v/>
      </c>
      <c r="O164" s="238"/>
      <c r="P164" s="227" t="str">
        <f t="shared" si="68"/>
        <v/>
      </c>
      <c r="Q164" s="227" t="str">
        <f t="shared" si="69"/>
        <v/>
      </c>
      <c r="R164" s="227" t="str">
        <f t="shared" si="62"/>
        <v/>
      </c>
      <c r="S164" s="237"/>
      <c r="T164" s="227" t="str">
        <f t="shared" si="63"/>
        <v/>
      </c>
      <c r="U164" s="227" t="str">
        <f t="shared" si="64"/>
        <v/>
      </c>
      <c r="V164" s="227" t="str">
        <f t="shared" si="65"/>
        <v/>
      </c>
    </row>
    <row r="165" spans="1:22" ht="15" customHeight="1" x14ac:dyDescent="0.25">
      <c r="A165" s="203" t="str">
        <f t="shared" si="50"/>
        <v/>
      </c>
      <c r="B165" s="205" t="str">
        <f t="shared" si="66"/>
        <v/>
      </c>
      <c r="C165" s="205" t="str">
        <f t="shared" si="51"/>
        <v/>
      </c>
      <c r="D165" s="205" t="str">
        <f t="shared" si="52"/>
        <v/>
      </c>
      <c r="E165" s="232" t="str">
        <f t="shared" si="53"/>
        <v/>
      </c>
      <c r="F165" s="204" t="str">
        <f t="shared" si="67"/>
        <v/>
      </c>
      <c r="G165" s="205" t="str">
        <f t="shared" si="54"/>
        <v/>
      </c>
      <c r="H165" s="205" t="str">
        <f t="shared" si="55"/>
        <v/>
      </c>
      <c r="I165" s="232" t="str">
        <f t="shared" si="56"/>
        <v/>
      </c>
      <c r="J165" s="513" t="str">
        <f t="shared" si="57"/>
        <v/>
      </c>
      <c r="K165" s="230" t="str">
        <f t="shared" si="58"/>
        <v/>
      </c>
      <c r="L165" s="230" t="str">
        <f t="shared" si="59"/>
        <v/>
      </c>
      <c r="M165" s="205" t="str">
        <f t="shared" si="60"/>
        <v/>
      </c>
      <c r="N165" s="233" t="str">
        <f t="shared" si="61"/>
        <v/>
      </c>
      <c r="O165" s="238"/>
      <c r="P165" s="227" t="str">
        <f t="shared" si="68"/>
        <v/>
      </c>
      <c r="Q165" s="227" t="str">
        <f t="shared" si="69"/>
        <v/>
      </c>
      <c r="R165" s="227" t="str">
        <f t="shared" si="62"/>
        <v/>
      </c>
      <c r="S165" s="237"/>
      <c r="T165" s="227" t="str">
        <f t="shared" si="63"/>
        <v/>
      </c>
      <c r="U165" s="227" t="str">
        <f t="shared" si="64"/>
        <v/>
      </c>
      <c r="V165" s="227" t="str">
        <f t="shared" si="65"/>
        <v/>
      </c>
    </row>
    <row r="166" spans="1:22" ht="15" customHeight="1" x14ac:dyDescent="0.25">
      <c r="A166" s="203" t="str">
        <f t="shared" si="50"/>
        <v/>
      </c>
      <c r="B166" s="205" t="str">
        <f t="shared" si="66"/>
        <v/>
      </c>
      <c r="C166" s="205" t="str">
        <f t="shared" si="51"/>
        <v/>
      </c>
      <c r="D166" s="205" t="str">
        <f t="shared" si="52"/>
        <v/>
      </c>
      <c r="E166" s="232" t="str">
        <f t="shared" si="53"/>
        <v/>
      </c>
      <c r="F166" s="204" t="str">
        <f t="shared" si="67"/>
        <v/>
      </c>
      <c r="G166" s="205" t="str">
        <f t="shared" si="54"/>
        <v/>
      </c>
      <c r="H166" s="205" t="str">
        <f t="shared" si="55"/>
        <v/>
      </c>
      <c r="I166" s="232" t="str">
        <f t="shared" si="56"/>
        <v/>
      </c>
      <c r="J166" s="513" t="str">
        <f t="shared" si="57"/>
        <v/>
      </c>
      <c r="K166" s="230" t="str">
        <f t="shared" si="58"/>
        <v/>
      </c>
      <c r="L166" s="230" t="str">
        <f t="shared" si="59"/>
        <v/>
      </c>
      <c r="M166" s="205" t="str">
        <f t="shared" si="60"/>
        <v/>
      </c>
      <c r="N166" s="233" t="str">
        <f t="shared" si="61"/>
        <v/>
      </c>
      <c r="O166" s="238"/>
      <c r="P166" s="227" t="str">
        <f t="shared" si="68"/>
        <v/>
      </c>
      <c r="Q166" s="227" t="str">
        <f t="shared" si="69"/>
        <v/>
      </c>
      <c r="R166" s="227" t="str">
        <f t="shared" si="62"/>
        <v/>
      </c>
      <c r="S166" s="237"/>
      <c r="T166" s="227" t="str">
        <f t="shared" si="63"/>
        <v/>
      </c>
      <c r="U166" s="227" t="str">
        <f t="shared" si="64"/>
        <v/>
      </c>
      <c r="V166" s="227" t="str">
        <f t="shared" si="65"/>
        <v/>
      </c>
    </row>
    <row r="167" spans="1:22" ht="15" customHeight="1" x14ac:dyDescent="0.25">
      <c r="A167" s="203" t="str">
        <f t="shared" si="50"/>
        <v/>
      </c>
      <c r="B167" s="205" t="str">
        <f t="shared" si="66"/>
        <v/>
      </c>
      <c r="C167" s="205" t="str">
        <f t="shared" si="51"/>
        <v/>
      </c>
      <c r="D167" s="205" t="str">
        <f t="shared" si="52"/>
        <v/>
      </c>
      <c r="E167" s="232" t="str">
        <f t="shared" si="53"/>
        <v/>
      </c>
      <c r="F167" s="204" t="str">
        <f t="shared" si="67"/>
        <v/>
      </c>
      <c r="G167" s="205" t="str">
        <f t="shared" si="54"/>
        <v/>
      </c>
      <c r="H167" s="205" t="str">
        <f t="shared" si="55"/>
        <v/>
      </c>
      <c r="I167" s="232" t="str">
        <f t="shared" si="56"/>
        <v/>
      </c>
      <c r="J167" s="513" t="str">
        <f t="shared" si="57"/>
        <v/>
      </c>
      <c r="K167" s="230" t="str">
        <f t="shared" si="58"/>
        <v/>
      </c>
      <c r="L167" s="230" t="str">
        <f t="shared" si="59"/>
        <v/>
      </c>
      <c r="M167" s="205" t="str">
        <f t="shared" si="60"/>
        <v/>
      </c>
      <c r="N167" s="233" t="str">
        <f t="shared" si="61"/>
        <v/>
      </c>
      <c r="O167" s="238"/>
      <c r="P167" s="227" t="str">
        <f t="shared" si="68"/>
        <v/>
      </c>
      <c r="Q167" s="227" t="str">
        <f t="shared" si="69"/>
        <v/>
      </c>
      <c r="R167" s="227" t="str">
        <f t="shared" si="62"/>
        <v/>
      </c>
      <c r="S167" s="237"/>
      <c r="T167" s="227" t="str">
        <f t="shared" si="63"/>
        <v/>
      </c>
      <c r="U167" s="227" t="str">
        <f t="shared" si="64"/>
        <v/>
      </c>
      <c r="V167" s="227" t="str">
        <f t="shared" si="65"/>
        <v/>
      </c>
    </row>
    <row r="168" spans="1:22" ht="15" customHeight="1" x14ac:dyDescent="0.25">
      <c r="A168" s="203" t="str">
        <f t="shared" si="50"/>
        <v/>
      </c>
      <c r="B168" s="205" t="str">
        <f t="shared" si="66"/>
        <v/>
      </c>
      <c r="C168" s="205" t="str">
        <f t="shared" si="51"/>
        <v/>
      </c>
      <c r="D168" s="205" t="str">
        <f t="shared" si="52"/>
        <v/>
      </c>
      <c r="E168" s="232" t="str">
        <f t="shared" si="53"/>
        <v/>
      </c>
      <c r="F168" s="204" t="str">
        <f t="shared" si="67"/>
        <v/>
      </c>
      <c r="G168" s="205" t="str">
        <f t="shared" si="54"/>
        <v/>
      </c>
      <c r="H168" s="205" t="str">
        <f t="shared" si="55"/>
        <v/>
      </c>
      <c r="I168" s="232" t="str">
        <f t="shared" si="56"/>
        <v/>
      </c>
      <c r="J168" s="513" t="str">
        <f t="shared" si="57"/>
        <v/>
      </c>
      <c r="K168" s="230" t="str">
        <f t="shared" si="58"/>
        <v/>
      </c>
      <c r="L168" s="230" t="str">
        <f t="shared" si="59"/>
        <v/>
      </c>
      <c r="M168" s="205" t="str">
        <f t="shared" si="60"/>
        <v/>
      </c>
      <c r="N168" s="233" t="str">
        <f t="shared" si="61"/>
        <v/>
      </c>
      <c r="O168" s="238"/>
      <c r="P168" s="227" t="str">
        <f t="shared" si="68"/>
        <v/>
      </c>
      <c r="Q168" s="227" t="str">
        <f t="shared" si="69"/>
        <v/>
      </c>
      <c r="R168" s="227" t="str">
        <f t="shared" si="62"/>
        <v/>
      </c>
      <c r="S168" s="237"/>
      <c r="T168" s="227" t="str">
        <f t="shared" si="63"/>
        <v/>
      </c>
      <c r="U168" s="227" t="str">
        <f t="shared" si="64"/>
        <v/>
      </c>
      <c r="V168" s="227" t="str">
        <f t="shared" si="65"/>
        <v/>
      </c>
    </row>
    <row r="169" spans="1:22" ht="15" customHeight="1" x14ac:dyDescent="0.25">
      <c r="A169" s="203" t="str">
        <f t="shared" si="50"/>
        <v/>
      </c>
      <c r="B169" s="205" t="str">
        <f t="shared" si="66"/>
        <v/>
      </c>
      <c r="C169" s="205" t="str">
        <f t="shared" si="51"/>
        <v/>
      </c>
      <c r="D169" s="205" t="str">
        <f t="shared" si="52"/>
        <v/>
      </c>
      <c r="E169" s="232" t="str">
        <f t="shared" si="53"/>
        <v/>
      </c>
      <c r="F169" s="204" t="str">
        <f t="shared" si="67"/>
        <v/>
      </c>
      <c r="G169" s="205" t="str">
        <f t="shared" si="54"/>
        <v/>
      </c>
      <c r="H169" s="205" t="str">
        <f t="shared" si="55"/>
        <v/>
      </c>
      <c r="I169" s="232" t="str">
        <f t="shared" si="56"/>
        <v/>
      </c>
      <c r="J169" s="513" t="str">
        <f t="shared" si="57"/>
        <v/>
      </c>
      <c r="K169" s="230" t="str">
        <f t="shared" si="58"/>
        <v/>
      </c>
      <c r="L169" s="230" t="str">
        <f t="shared" si="59"/>
        <v/>
      </c>
      <c r="M169" s="205" t="str">
        <f t="shared" si="60"/>
        <v/>
      </c>
      <c r="N169" s="233" t="str">
        <f t="shared" si="61"/>
        <v/>
      </c>
      <c r="O169" s="238"/>
      <c r="P169" s="227" t="str">
        <f t="shared" si="68"/>
        <v/>
      </c>
      <c r="Q169" s="227" t="str">
        <f t="shared" si="69"/>
        <v/>
      </c>
      <c r="R169" s="227" t="str">
        <f t="shared" si="62"/>
        <v/>
      </c>
      <c r="S169" s="237"/>
      <c r="T169" s="227" t="str">
        <f t="shared" si="63"/>
        <v/>
      </c>
      <c r="U169" s="227" t="str">
        <f t="shared" si="64"/>
        <v/>
      </c>
      <c r="V169" s="227" t="str">
        <f t="shared" si="65"/>
        <v/>
      </c>
    </row>
    <row r="170" spans="1:22" ht="15" customHeight="1" x14ac:dyDescent="0.25">
      <c r="A170" s="203" t="str">
        <f t="shared" si="50"/>
        <v/>
      </c>
      <c r="B170" s="205" t="str">
        <f t="shared" si="66"/>
        <v/>
      </c>
      <c r="C170" s="205" t="str">
        <f t="shared" si="51"/>
        <v/>
      </c>
      <c r="D170" s="205" t="str">
        <f t="shared" si="52"/>
        <v/>
      </c>
      <c r="E170" s="232" t="str">
        <f t="shared" si="53"/>
        <v/>
      </c>
      <c r="F170" s="204" t="str">
        <f t="shared" si="67"/>
        <v/>
      </c>
      <c r="G170" s="205" t="str">
        <f t="shared" si="54"/>
        <v/>
      </c>
      <c r="H170" s="205" t="str">
        <f t="shared" si="55"/>
        <v/>
      </c>
      <c r="I170" s="232" t="str">
        <f t="shared" si="56"/>
        <v/>
      </c>
      <c r="J170" s="513" t="str">
        <f t="shared" si="57"/>
        <v/>
      </c>
      <c r="K170" s="230" t="str">
        <f t="shared" si="58"/>
        <v/>
      </c>
      <c r="L170" s="230" t="str">
        <f t="shared" si="59"/>
        <v/>
      </c>
      <c r="M170" s="205" t="str">
        <f t="shared" si="60"/>
        <v/>
      </c>
      <c r="N170" s="233" t="str">
        <f t="shared" si="61"/>
        <v/>
      </c>
      <c r="O170" s="238"/>
      <c r="P170" s="227" t="str">
        <f t="shared" si="68"/>
        <v/>
      </c>
      <c r="Q170" s="227" t="str">
        <f t="shared" si="69"/>
        <v/>
      </c>
      <c r="R170" s="227" t="str">
        <f t="shared" si="62"/>
        <v/>
      </c>
      <c r="S170" s="237"/>
      <c r="T170" s="227" t="str">
        <f t="shared" si="63"/>
        <v/>
      </c>
      <c r="U170" s="227" t="str">
        <f t="shared" si="64"/>
        <v/>
      </c>
      <c r="V170" s="227" t="str">
        <f t="shared" si="65"/>
        <v/>
      </c>
    </row>
    <row r="171" spans="1:22" ht="15" customHeight="1" x14ac:dyDescent="0.25">
      <c r="A171" s="203" t="str">
        <f t="shared" si="50"/>
        <v/>
      </c>
      <c r="B171" s="205" t="str">
        <f t="shared" si="66"/>
        <v/>
      </c>
      <c r="C171" s="205" t="str">
        <f t="shared" si="51"/>
        <v/>
      </c>
      <c r="D171" s="205" t="str">
        <f t="shared" si="52"/>
        <v/>
      </c>
      <c r="E171" s="232" t="str">
        <f t="shared" si="53"/>
        <v/>
      </c>
      <c r="F171" s="204" t="str">
        <f t="shared" si="67"/>
        <v/>
      </c>
      <c r="G171" s="205" t="str">
        <f t="shared" si="54"/>
        <v/>
      </c>
      <c r="H171" s="205" t="str">
        <f t="shared" si="55"/>
        <v/>
      </c>
      <c r="I171" s="232" t="str">
        <f t="shared" si="56"/>
        <v/>
      </c>
      <c r="J171" s="513" t="str">
        <f t="shared" si="57"/>
        <v/>
      </c>
      <c r="K171" s="230" t="str">
        <f t="shared" si="58"/>
        <v/>
      </c>
      <c r="L171" s="230" t="str">
        <f t="shared" si="59"/>
        <v/>
      </c>
      <c r="M171" s="205" t="str">
        <f t="shared" si="60"/>
        <v/>
      </c>
      <c r="N171" s="233" t="str">
        <f t="shared" si="61"/>
        <v/>
      </c>
      <c r="O171" s="238"/>
      <c r="P171" s="227" t="str">
        <f t="shared" si="68"/>
        <v/>
      </c>
      <c r="Q171" s="227" t="str">
        <f t="shared" si="69"/>
        <v/>
      </c>
      <c r="R171" s="227" t="str">
        <f t="shared" si="62"/>
        <v/>
      </c>
      <c r="S171" s="237"/>
      <c r="T171" s="227" t="str">
        <f t="shared" si="63"/>
        <v/>
      </c>
      <c r="U171" s="227" t="str">
        <f t="shared" si="64"/>
        <v/>
      </c>
      <c r="V171" s="227" t="str">
        <f t="shared" si="65"/>
        <v/>
      </c>
    </row>
    <row r="172" spans="1:22" ht="15" customHeight="1" x14ac:dyDescent="0.25">
      <c r="A172" s="203" t="str">
        <f t="shared" si="50"/>
        <v/>
      </c>
      <c r="B172" s="205" t="str">
        <f t="shared" si="66"/>
        <v/>
      </c>
      <c r="C172" s="205" t="str">
        <f t="shared" si="51"/>
        <v/>
      </c>
      <c r="D172" s="205" t="str">
        <f t="shared" si="52"/>
        <v/>
      </c>
      <c r="E172" s="232" t="str">
        <f t="shared" si="53"/>
        <v/>
      </c>
      <c r="F172" s="204" t="str">
        <f t="shared" si="67"/>
        <v/>
      </c>
      <c r="G172" s="205" t="str">
        <f t="shared" si="54"/>
        <v/>
      </c>
      <c r="H172" s="205" t="str">
        <f t="shared" si="55"/>
        <v/>
      </c>
      <c r="I172" s="232" t="str">
        <f t="shared" si="56"/>
        <v/>
      </c>
      <c r="J172" s="513" t="str">
        <f t="shared" si="57"/>
        <v/>
      </c>
      <c r="K172" s="230" t="str">
        <f t="shared" si="58"/>
        <v/>
      </c>
      <c r="L172" s="230" t="str">
        <f t="shared" si="59"/>
        <v/>
      </c>
      <c r="M172" s="205" t="str">
        <f t="shared" si="60"/>
        <v/>
      </c>
      <c r="N172" s="233" t="str">
        <f t="shared" si="61"/>
        <v/>
      </c>
      <c r="O172" s="238"/>
      <c r="P172" s="227" t="str">
        <f t="shared" si="68"/>
        <v/>
      </c>
      <c r="Q172" s="227" t="str">
        <f t="shared" si="69"/>
        <v/>
      </c>
      <c r="R172" s="227" t="str">
        <f t="shared" si="62"/>
        <v/>
      </c>
      <c r="S172" s="237"/>
      <c r="T172" s="227" t="str">
        <f t="shared" si="63"/>
        <v/>
      </c>
      <c r="U172" s="227" t="str">
        <f t="shared" si="64"/>
        <v/>
      </c>
      <c r="V172" s="227" t="str">
        <f t="shared" si="65"/>
        <v/>
      </c>
    </row>
    <row r="173" spans="1:22" ht="15" customHeight="1" x14ac:dyDescent="0.25">
      <c r="A173" s="203" t="str">
        <f t="shared" si="50"/>
        <v/>
      </c>
      <c r="B173" s="205" t="str">
        <f t="shared" si="66"/>
        <v/>
      </c>
      <c r="C173" s="205" t="str">
        <f t="shared" si="51"/>
        <v/>
      </c>
      <c r="D173" s="205" t="str">
        <f t="shared" si="52"/>
        <v/>
      </c>
      <c r="E173" s="232" t="str">
        <f t="shared" si="53"/>
        <v/>
      </c>
      <c r="F173" s="204" t="str">
        <f t="shared" si="67"/>
        <v/>
      </c>
      <c r="G173" s="205" t="str">
        <f t="shared" si="54"/>
        <v/>
      </c>
      <c r="H173" s="205" t="str">
        <f t="shared" si="55"/>
        <v/>
      </c>
      <c r="I173" s="232" t="str">
        <f t="shared" si="56"/>
        <v/>
      </c>
      <c r="J173" s="513" t="str">
        <f t="shared" si="57"/>
        <v/>
      </c>
      <c r="K173" s="230" t="str">
        <f t="shared" si="58"/>
        <v/>
      </c>
      <c r="L173" s="230" t="str">
        <f t="shared" si="59"/>
        <v/>
      </c>
      <c r="M173" s="205" t="str">
        <f t="shared" si="60"/>
        <v/>
      </c>
      <c r="N173" s="233" t="str">
        <f t="shared" si="61"/>
        <v/>
      </c>
      <c r="O173" s="238"/>
      <c r="P173" s="227" t="str">
        <f t="shared" si="68"/>
        <v/>
      </c>
      <c r="Q173" s="227" t="str">
        <f t="shared" si="69"/>
        <v/>
      </c>
      <c r="R173" s="227" t="str">
        <f t="shared" si="62"/>
        <v/>
      </c>
      <c r="S173" s="237"/>
      <c r="T173" s="227" t="str">
        <f t="shared" si="63"/>
        <v/>
      </c>
      <c r="U173" s="227" t="str">
        <f t="shared" si="64"/>
        <v/>
      </c>
      <c r="V173" s="227" t="str">
        <f t="shared" si="65"/>
        <v/>
      </c>
    </row>
    <row r="174" spans="1:22" ht="15" customHeight="1" x14ac:dyDescent="0.25">
      <c r="A174" s="203" t="str">
        <f t="shared" si="50"/>
        <v/>
      </c>
      <c r="B174" s="205" t="str">
        <f t="shared" si="66"/>
        <v/>
      </c>
      <c r="C174" s="205" t="str">
        <f t="shared" si="51"/>
        <v/>
      </c>
      <c r="D174" s="205" t="str">
        <f t="shared" si="52"/>
        <v/>
      </c>
      <c r="E174" s="232" t="str">
        <f t="shared" si="53"/>
        <v/>
      </c>
      <c r="F174" s="204" t="str">
        <f t="shared" si="67"/>
        <v/>
      </c>
      <c r="G174" s="205" t="str">
        <f t="shared" si="54"/>
        <v/>
      </c>
      <c r="H174" s="205" t="str">
        <f t="shared" si="55"/>
        <v/>
      </c>
      <c r="I174" s="232" t="str">
        <f t="shared" si="56"/>
        <v/>
      </c>
      <c r="J174" s="513" t="str">
        <f t="shared" si="57"/>
        <v/>
      </c>
      <c r="K174" s="230" t="str">
        <f t="shared" si="58"/>
        <v/>
      </c>
      <c r="L174" s="230" t="str">
        <f t="shared" si="59"/>
        <v/>
      </c>
      <c r="M174" s="205" t="str">
        <f t="shared" si="60"/>
        <v/>
      </c>
      <c r="N174" s="233" t="str">
        <f t="shared" si="61"/>
        <v/>
      </c>
      <c r="O174" s="238"/>
      <c r="P174" s="227" t="str">
        <f t="shared" si="68"/>
        <v/>
      </c>
      <c r="Q174" s="227" t="str">
        <f t="shared" si="69"/>
        <v/>
      </c>
      <c r="R174" s="227" t="str">
        <f t="shared" si="62"/>
        <v/>
      </c>
      <c r="S174" s="237"/>
      <c r="T174" s="227" t="str">
        <f t="shared" si="63"/>
        <v/>
      </c>
      <c r="U174" s="227" t="str">
        <f t="shared" si="64"/>
        <v/>
      </c>
      <c r="V174" s="227" t="str">
        <f t="shared" si="65"/>
        <v/>
      </c>
    </row>
    <row r="175" spans="1:22" ht="15" customHeight="1" x14ac:dyDescent="0.25">
      <c r="A175" s="203" t="str">
        <f t="shared" si="50"/>
        <v/>
      </c>
      <c r="B175" s="205" t="str">
        <f t="shared" si="66"/>
        <v/>
      </c>
      <c r="C175" s="205" t="str">
        <f t="shared" si="51"/>
        <v/>
      </c>
      <c r="D175" s="205" t="str">
        <f t="shared" si="52"/>
        <v/>
      </c>
      <c r="E175" s="232" t="str">
        <f t="shared" si="53"/>
        <v/>
      </c>
      <c r="F175" s="204" t="str">
        <f t="shared" si="67"/>
        <v/>
      </c>
      <c r="G175" s="205" t="str">
        <f t="shared" si="54"/>
        <v/>
      </c>
      <c r="H175" s="205" t="str">
        <f t="shared" si="55"/>
        <v/>
      </c>
      <c r="I175" s="232" t="str">
        <f t="shared" si="56"/>
        <v/>
      </c>
      <c r="J175" s="513" t="str">
        <f t="shared" si="57"/>
        <v/>
      </c>
      <c r="K175" s="230" t="str">
        <f t="shared" si="58"/>
        <v/>
      </c>
      <c r="L175" s="230" t="str">
        <f t="shared" si="59"/>
        <v/>
      </c>
      <c r="M175" s="205" t="str">
        <f t="shared" si="60"/>
        <v/>
      </c>
      <c r="N175" s="233" t="str">
        <f t="shared" si="61"/>
        <v/>
      </c>
      <c r="O175" s="238"/>
      <c r="P175" s="227" t="str">
        <f t="shared" si="68"/>
        <v/>
      </c>
      <c r="Q175" s="227" t="str">
        <f t="shared" si="69"/>
        <v/>
      </c>
      <c r="R175" s="227" t="str">
        <f t="shared" si="62"/>
        <v/>
      </c>
      <c r="S175" s="237"/>
      <c r="T175" s="227" t="str">
        <f t="shared" si="63"/>
        <v/>
      </c>
      <c r="U175" s="227" t="str">
        <f t="shared" si="64"/>
        <v/>
      </c>
      <c r="V175" s="227" t="str">
        <f t="shared" si="65"/>
        <v/>
      </c>
    </row>
    <row r="176" spans="1:22" ht="15" customHeight="1" x14ac:dyDescent="0.25">
      <c r="A176" s="203" t="str">
        <f t="shared" si="50"/>
        <v/>
      </c>
      <c r="B176" s="205" t="str">
        <f t="shared" si="66"/>
        <v/>
      </c>
      <c r="C176" s="205" t="str">
        <f t="shared" si="51"/>
        <v/>
      </c>
      <c r="D176" s="205" t="str">
        <f t="shared" si="52"/>
        <v/>
      </c>
      <c r="E176" s="232" t="str">
        <f t="shared" si="53"/>
        <v/>
      </c>
      <c r="F176" s="204" t="str">
        <f t="shared" si="67"/>
        <v/>
      </c>
      <c r="G176" s="205" t="str">
        <f t="shared" si="54"/>
        <v/>
      </c>
      <c r="H176" s="205" t="str">
        <f t="shared" si="55"/>
        <v/>
      </c>
      <c r="I176" s="232" t="str">
        <f t="shared" si="56"/>
        <v/>
      </c>
      <c r="J176" s="513" t="str">
        <f t="shared" si="57"/>
        <v/>
      </c>
      <c r="K176" s="230" t="str">
        <f t="shared" si="58"/>
        <v/>
      </c>
      <c r="L176" s="230" t="str">
        <f t="shared" si="59"/>
        <v/>
      </c>
      <c r="M176" s="205" t="str">
        <f t="shared" si="60"/>
        <v/>
      </c>
      <c r="N176" s="233" t="str">
        <f t="shared" si="61"/>
        <v/>
      </c>
      <c r="O176" s="238"/>
      <c r="P176" s="227" t="str">
        <f t="shared" si="68"/>
        <v/>
      </c>
      <c r="Q176" s="227" t="str">
        <f t="shared" si="69"/>
        <v/>
      </c>
      <c r="R176" s="227" t="str">
        <f t="shared" si="62"/>
        <v/>
      </c>
      <c r="S176" s="237"/>
      <c r="T176" s="227" t="str">
        <f t="shared" si="63"/>
        <v/>
      </c>
      <c r="U176" s="227" t="str">
        <f t="shared" si="64"/>
        <v/>
      </c>
      <c r="V176" s="227" t="str">
        <f t="shared" si="65"/>
        <v/>
      </c>
    </row>
    <row r="177" spans="1:22" ht="15" customHeight="1" x14ac:dyDescent="0.25">
      <c r="A177" s="203" t="str">
        <f t="shared" si="50"/>
        <v/>
      </c>
      <c r="B177" s="205" t="str">
        <f t="shared" si="66"/>
        <v/>
      </c>
      <c r="C177" s="205" t="str">
        <f t="shared" si="51"/>
        <v/>
      </c>
      <c r="D177" s="205" t="str">
        <f t="shared" si="52"/>
        <v/>
      </c>
      <c r="E177" s="232" t="str">
        <f t="shared" si="53"/>
        <v/>
      </c>
      <c r="F177" s="204" t="str">
        <f t="shared" si="67"/>
        <v/>
      </c>
      <c r="G177" s="205" t="str">
        <f t="shared" si="54"/>
        <v/>
      </c>
      <c r="H177" s="205" t="str">
        <f t="shared" si="55"/>
        <v/>
      </c>
      <c r="I177" s="232" t="str">
        <f t="shared" si="56"/>
        <v/>
      </c>
      <c r="J177" s="513" t="str">
        <f t="shared" si="57"/>
        <v/>
      </c>
      <c r="K177" s="230" t="str">
        <f t="shared" si="58"/>
        <v/>
      </c>
      <c r="L177" s="230" t="str">
        <f t="shared" si="59"/>
        <v/>
      </c>
      <c r="M177" s="205" t="str">
        <f t="shared" si="60"/>
        <v/>
      </c>
      <c r="N177" s="233" t="str">
        <f t="shared" si="61"/>
        <v/>
      </c>
      <c r="O177" s="238"/>
      <c r="P177" s="227" t="str">
        <f t="shared" si="68"/>
        <v/>
      </c>
      <c r="Q177" s="227" t="str">
        <f t="shared" si="69"/>
        <v/>
      </c>
      <c r="R177" s="227" t="str">
        <f t="shared" si="62"/>
        <v/>
      </c>
      <c r="S177" s="237"/>
      <c r="T177" s="227" t="str">
        <f t="shared" si="63"/>
        <v/>
      </c>
      <c r="U177" s="227" t="str">
        <f t="shared" si="64"/>
        <v/>
      </c>
      <c r="V177" s="227" t="str">
        <f t="shared" si="65"/>
        <v/>
      </c>
    </row>
    <row r="178" spans="1:22" ht="15" customHeight="1" x14ac:dyDescent="0.25">
      <c r="A178" s="203" t="str">
        <f t="shared" si="50"/>
        <v/>
      </c>
      <c r="B178" s="205" t="str">
        <f t="shared" si="66"/>
        <v/>
      </c>
      <c r="C178" s="205" t="str">
        <f t="shared" si="51"/>
        <v/>
      </c>
      <c r="D178" s="205" t="str">
        <f t="shared" si="52"/>
        <v/>
      </c>
      <c r="E178" s="232" t="str">
        <f t="shared" si="53"/>
        <v/>
      </c>
      <c r="F178" s="204" t="str">
        <f t="shared" si="67"/>
        <v/>
      </c>
      <c r="G178" s="205" t="str">
        <f t="shared" si="54"/>
        <v/>
      </c>
      <c r="H178" s="205" t="str">
        <f t="shared" si="55"/>
        <v/>
      </c>
      <c r="I178" s="232" t="str">
        <f t="shared" si="56"/>
        <v/>
      </c>
      <c r="J178" s="513" t="str">
        <f t="shared" si="57"/>
        <v/>
      </c>
      <c r="K178" s="230" t="str">
        <f t="shared" si="58"/>
        <v/>
      </c>
      <c r="L178" s="230" t="str">
        <f t="shared" si="59"/>
        <v/>
      </c>
      <c r="M178" s="205" t="str">
        <f t="shared" si="60"/>
        <v/>
      </c>
      <c r="N178" s="233" t="str">
        <f t="shared" si="61"/>
        <v/>
      </c>
      <c r="O178" s="238"/>
      <c r="P178" s="227" t="str">
        <f t="shared" si="68"/>
        <v/>
      </c>
      <c r="Q178" s="227" t="str">
        <f t="shared" si="69"/>
        <v/>
      </c>
      <c r="R178" s="227" t="str">
        <f t="shared" si="62"/>
        <v/>
      </c>
      <c r="S178" s="237"/>
      <c r="T178" s="227" t="str">
        <f t="shared" si="63"/>
        <v/>
      </c>
      <c r="U178" s="227" t="str">
        <f t="shared" si="64"/>
        <v/>
      </c>
      <c r="V178" s="227" t="str">
        <f t="shared" si="65"/>
        <v/>
      </c>
    </row>
    <row r="179" spans="1:22" ht="15" customHeight="1" x14ac:dyDescent="0.25">
      <c r="A179" s="203" t="str">
        <f t="shared" si="50"/>
        <v/>
      </c>
      <c r="B179" s="205" t="str">
        <f t="shared" si="66"/>
        <v/>
      </c>
      <c r="C179" s="205" t="str">
        <f t="shared" si="51"/>
        <v/>
      </c>
      <c r="D179" s="205" t="str">
        <f t="shared" si="52"/>
        <v/>
      </c>
      <c r="E179" s="232" t="str">
        <f t="shared" si="53"/>
        <v/>
      </c>
      <c r="F179" s="204" t="str">
        <f t="shared" si="67"/>
        <v/>
      </c>
      <c r="G179" s="205" t="str">
        <f t="shared" si="54"/>
        <v/>
      </c>
      <c r="H179" s="205" t="str">
        <f t="shared" si="55"/>
        <v/>
      </c>
      <c r="I179" s="232" t="str">
        <f t="shared" si="56"/>
        <v/>
      </c>
      <c r="J179" s="513" t="str">
        <f t="shared" si="57"/>
        <v/>
      </c>
      <c r="K179" s="230" t="str">
        <f t="shared" si="58"/>
        <v/>
      </c>
      <c r="L179" s="230" t="str">
        <f t="shared" si="59"/>
        <v/>
      </c>
      <c r="M179" s="205" t="str">
        <f t="shared" si="60"/>
        <v/>
      </c>
      <c r="N179" s="233" t="str">
        <f t="shared" si="61"/>
        <v/>
      </c>
      <c r="O179" s="238"/>
      <c r="P179" s="227" t="str">
        <f t="shared" si="68"/>
        <v/>
      </c>
      <c r="Q179" s="227" t="str">
        <f t="shared" si="69"/>
        <v/>
      </c>
      <c r="R179" s="227" t="str">
        <f t="shared" si="62"/>
        <v/>
      </c>
      <c r="S179" s="237"/>
      <c r="T179" s="227" t="str">
        <f t="shared" si="63"/>
        <v/>
      </c>
      <c r="U179" s="227" t="str">
        <f t="shared" si="64"/>
        <v/>
      </c>
      <c r="V179" s="227" t="str">
        <f t="shared" si="65"/>
        <v/>
      </c>
    </row>
    <row r="180" spans="1:22" ht="15" customHeight="1" x14ac:dyDescent="0.25">
      <c r="A180" s="203" t="str">
        <f t="shared" si="50"/>
        <v/>
      </c>
      <c r="B180" s="205" t="str">
        <f t="shared" si="66"/>
        <v/>
      </c>
      <c r="C180" s="205" t="str">
        <f t="shared" si="51"/>
        <v/>
      </c>
      <c r="D180" s="205" t="str">
        <f t="shared" si="52"/>
        <v/>
      </c>
      <c r="E180" s="232" t="str">
        <f t="shared" si="53"/>
        <v/>
      </c>
      <c r="F180" s="204" t="str">
        <f t="shared" si="67"/>
        <v/>
      </c>
      <c r="G180" s="205" t="str">
        <f t="shared" si="54"/>
        <v/>
      </c>
      <c r="H180" s="205" t="str">
        <f t="shared" si="55"/>
        <v/>
      </c>
      <c r="I180" s="232" t="str">
        <f t="shared" si="56"/>
        <v/>
      </c>
      <c r="J180" s="513" t="str">
        <f t="shared" si="57"/>
        <v/>
      </c>
      <c r="K180" s="230" t="str">
        <f t="shared" si="58"/>
        <v/>
      </c>
      <c r="L180" s="230" t="str">
        <f t="shared" si="59"/>
        <v/>
      </c>
      <c r="M180" s="205" t="str">
        <f t="shared" si="60"/>
        <v/>
      </c>
      <c r="N180" s="233" t="str">
        <f t="shared" si="61"/>
        <v/>
      </c>
      <c r="O180" s="238"/>
      <c r="P180" s="227" t="str">
        <f t="shared" si="68"/>
        <v/>
      </c>
      <c r="Q180" s="227" t="str">
        <f t="shared" si="69"/>
        <v/>
      </c>
      <c r="R180" s="227" t="str">
        <f t="shared" si="62"/>
        <v/>
      </c>
      <c r="S180" s="237"/>
      <c r="T180" s="227" t="str">
        <f t="shared" si="63"/>
        <v/>
      </c>
      <c r="U180" s="227" t="str">
        <f t="shared" si="64"/>
        <v/>
      </c>
      <c r="V180" s="227" t="str">
        <f t="shared" si="65"/>
        <v/>
      </c>
    </row>
    <row r="181" spans="1:22" ht="15" customHeight="1" x14ac:dyDescent="0.25">
      <c r="A181" s="203" t="str">
        <f t="shared" si="50"/>
        <v/>
      </c>
      <c r="B181" s="205" t="str">
        <f t="shared" si="66"/>
        <v/>
      </c>
      <c r="C181" s="205" t="str">
        <f t="shared" si="51"/>
        <v/>
      </c>
      <c r="D181" s="205" t="str">
        <f t="shared" si="52"/>
        <v/>
      </c>
      <c r="E181" s="232" t="str">
        <f t="shared" si="53"/>
        <v/>
      </c>
      <c r="F181" s="204" t="str">
        <f t="shared" si="67"/>
        <v/>
      </c>
      <c r="G181" s="205" t="str">
        <f t="shared" si="54"/>
        <v/>
      </c>
      <c r="H181" s="205" t="str">
        <f t="shared" si="55"/>
        <v/>
      </c>
      <c r="I181" s="232" t="str">
        <f t="shared" si="56"/>
        <v/>
      </c>
      <c r="J181" s="513" t="str">
        <f t="shared" si="57"/>
        <v/>
      </c>
      <c r="K181" s="230" t="str">
        <f t="shared" si="58"/>
        <v/>
      </c>
      <c r="L181" s="230" t="str">
        <f t="shared" si="59"/>
        <v/>
      </c>
      <c r="M181" s="205" t="str">
        <f t="shared" si="60"/>
        <v/>
      </c>
      <c r="N181" s="233" t="str">
        <f t="shared" si="61"/>
        <v/>
      </c>
      <c r="O181" s="238"/>
      <c r="P181" s="227" t="str">
        <f t="shared" si="68"/>
        <v/>
      </c>
      <c r="Q181" s="227" t="str">
        <f t="shared" si="69"/>
        <v/>
      </c>
      <c r="R181" s="227" t="str">
        <f t="shared" si="62"/>
        <v/>
      </c>
      <c r="S181" s="237"/>
      <c r="T181" s="227" t="str">
        <f t="shared" si="63"/>
        <v/>
      </c>
      <c r="U181" s="227" t="str">
        <f t="shared" si="64"/>
        <v/>
      </c>
      <c r="V181" s="227" t="str">
        <f t="shared" si="65"/>
        <v/>
      </c>
    </row>
    <row r="182" spans="1:22" ht="15" customHeight="1" thickBot="1" x14ac:dyDescent="0.3">
      <c r="A182" s="206" t="str">
        <f t="shared" si="50"/>
        <v/>
      </c>
      <c r="B182" s="205" t="str">
        <f t="shared" si="66"/>
        <v/>
      </c>
      <c r="C182" s="205" t="str">
        <f t="shared" si="51"/>
        <v/>
      </c>
      <c r="D182" s="205" t="str">
        <f t="shared" si="52"/>
        <v/>
      </c>
      <c r="E182" s="232" t="str">
        <f t="shared" si="53"/>
        <v/>
      </c>
      <c r="F182" s="204" t="str">
        <f t="shared" si="67"/>
        <v/>
      </c>
      <c r="G182" s="205" t="str">
        <f t="shared" si="54"/>
        <v/>
      </c>
      <c r="H182" s="205" t="str">
        <f t="shared" si="55"/>
        <v/>
      </c>
      <c r="I182" s="232" t="str">
        <f t="shared" si="56"/>
        <v/>
      </c>
      <c r="J182" s="513" t="str">
        <f t="shared" si="57"/>
        <v/>
      </c>
      <c r="K182" s="230" t="str">
        <f t="shared" si="58"/>
        <v/>
      </c>
      <c r="L182" s="230" t="str">
        <f t="shared" si="59"/>
        <v/>
      </c>
      <c r="M182" s="205" t="str">
        <f t="shared" si="60"/>
        <v/>
      </c>
      <c r="N182" s="233" t="str">
        <f t="shared" si="61"/>
        <v/>
      </c>
      <c r="O182" s="239"/>
      <c r="P182" s="227" t="str">
        <f t="shared" si="68"/>
        <v/>
      </c>
      <c r="Q182" s="227" t="str">
        <f t="shared" si="69"/>
        <v/>
      </c>
      <c r="R182" s="227" t="str">
        <f t="shared" si="62"/>
        <v/>
      </c>
      <c r="S182" s="237"/>
      <c r="T182" s="227" t="str">
        <f t="shared" si="63"/>
        <v/>
      </c>
      <c r="U182" s="227" t="str">
        <f t="shared" si="64"/>
        <v/>
      </c>
      <c r="V182" s="227" t="str">
        <f t="shared" si="65"/>
        <v/>
      </c>
    </row>
    <row r="184" spans="1:22" ht="13.8" thickBot="1" x14ac:dyDescent="0.3">
      <c r="A184" s="865" t="s">
        <v>1168</v>
      </c>
    </row>
    <row r="185" spans="1:22" ht="27" thickTop="1" x14ac:dyDescent="0.25">
      <c r="A185" s="202" t="s">
        <v>1016</v>
      </c>
      <c r="B185" s="235" t="str">
        <f>IF(B$131="","",B$131&amp;" ($/year)")</f>
        <v>Industrial Natural Gas ($/year)</v>
      </c>
      <c r="C185" s="235" t="str">
        <f t="shared" ref="C185:N185" si="70">IF(C$131="","",C$131&amp;" ($/year)")</f>
        <v>Commercial Electricity ($/year)</v>
      </c>
      <c r="D185" s="235" t="str">
        <f t="shared" si="70"/>
        <v/>
      </c>
      <c r="E185" s="235" t="str">
        <f t="shared" si="70"/>
        <v/>
      </c>
      <c r="F185" s="235" t="str">
        <f t="shared" si="70"/>
        <v/>
      </c>
      <c r="G185" s="235" t="str">
        <f t="shared" si="70"/>
        <v/>
      </c>
      <c r="H185" s="235" t="str">
        <f t="shared" si="70"/>
        <v/>
      </c>
      <c r="I185" s="508" t="str">
        <f t="shared" si="70"/>
        <v/>
      </c>
      <c r="J185" s="235" t="str">
        <f t="shared" si="70"/>
        <v/>
      </c>
      <c r="K185" s="235" t="str">
        <f t="shared" si="70"/>
        <v/>
      </c>
      <c r="L185" s="235" t="str">
        <f t="shared" si="70"/>
        <v/>
      </c>
      <c r="M185" s="235" t="str">
        <f t="shared" si="70"/>
        <v/>
      </c>
      <c r="N185" s="235" t="str">
        <f t="shared" si="70"/>
        <v/>
      </c>
    </row>
    <row r="186" spans="1:22" x14ac:dyDescent="0.25">
      <c r="A186" s="203">
        <f>+A139</f>
        <v>2014</v>
      </c>
      <c r="B186" s="205">
        <f>IF($C65="","",IF($C65&lt;0,0,IF(AND($C65=1,start_time&lt;1),-(SUM(B139)*output_kgyear*$E65*percnt_var*start_time+SUM(B139)*output_kgyear*$E65*(1-start_time)),IF($C65&lt;=start_time,-SUM(B139)*output_kgyear*$E65*percnt_var,-SUM(B139)*output_kgyear*$E65))))</f>
        <v>0</v>
      </c>
      <c r="C186" s="205">
        <f t="shared" ref="C186:N186" si="71">IF($C65="","",IF($C65&lt;0,0,IF(AND($C65=1,start_time&lt;1),-(SUM(C139)*output_kgyear*$E65*percnt_var*start_time+SUM(C139)*output_kgyear*$E65*(1-start_time)),IF($C65&lt;=start_time,-SUM(C139)*output_kgyear*$E65*percnt_var,-SUM(C139)*output_kgyear*$E65))))</f>
        <v>0</v>
      </c>
      <c r="D186" s="205">
        <f t="shared" si="71"/>
        <v>0</v>
      </c>
      <c r="E186" s="232">
        <f t="shared" si="71"/>
        <v>0</v>
      </c>
      <c r="F186" s="204">
        <f t="shared" si="71"/>
        <v>0</v>
      </c>
      <c r="G186" s="205">
        <f t="shared" si="71"/>
        <v>0</v>
      </c>
      <c r="H186" s="205">
        <f t="shared" si="71"/>
        <v>0</v>
      </c>
      <c r="I186" s="232">
        <f t="shared" si="71"/>
        <v>0</v>
      </c>
      <c r="J186" s="513">
        <f t="shared" si="71"/>
        <v>0</v>
      </c>
      <c r="K186" s="230">
        <f t="shared" si="71"/>
        <v>0</v>
      </c>
      <c r="L186" s="230">
        <f t="shared" si="71"/>
        <v>0</v>
      </c>
      <c r="M186" s="205">
        <f t="shared" si="71"/>
        <v>0</v>
      </c>
      <c r="N186" s="233">
        <f t="shared" si="71"/>
        <v>0</v>
      </c>
    </row>
    <row r="187" spans="1:22" x14ac:dyDescent="0.25">
      <c r="A187" s="203">
        <f t="shared" ref="A187:A229" si="72">+A140</f>
        <v>2015</v>
      </c>
      <c r="B187" s="205">
        <f t="shared" ref="B187:N187" ca="1" si="73">IF($C66="","",IF($C66&lt;0,0,IF(AND($C66=1,start_time&lt;1),-(SUM(B140)*output_kgyear*$E66*percnt_var*start_time+SUM(B140)*output_kgyear*$E66*(1-start_time)),IF($C66&lt;=start_time,-SUM(B140)*output_kgyear*$E66*percnt_var,-SUM(B140)*output_kgyear*$E66))))</f>
        <v>-190836.90080384066</v>
      </c>
      <c r="C187" s="205">
        <f t="shared" ca="1" si="73"/>
        <v>-39240.18357259746</v>
      </c>
      <c r="D187" s="205">
        <f t="shared" ca="1" si="73"/>
        <v>0</v>
      </c>
      <c r="E187" s="232">
        <f t="shared" ca="1" si="73"/>
        <v>0</v>
      </c>
      <c r="F187" s="204">
        <f t="shared" ca="1" si="73"/>
        <v>0</v>
      </c>
      <c r="G187" s="205">
        <f t="shared" ca="1" si="73"/>
        <v>0</v>
      </c>
      <c r="H187" s="205">
        <f t="shared" ca="1" si="73"/>
        <v>0</v>
      </c>
      <c r="I187" s="232">
        <f t="shared" ca="1" si="73"/>
        <v>0</v>
      </c>
      <c r="J187" s="513">
        <f t="shared" ca="1" si="73"/>
        <v>0</v>
      </c>
      <c r="K187" s="230">
        <f t="shared" ca="1" si="73"/>
        <v>0</v>
      </c>
      <c r="L187" s="230">
        <f t="shared" ca="1" si="73"/>
        <v>0</v>
      </c>
      <c r="M187" s="205">
        <f t="shared" ca="1" si="73"/>
        <v>0</v>
      </c>
      <c r="N187" s="233">
        <f t="shared" ca="1" si="73"/>
        <v>0</v>
      </c>
    </row>
    <row r="188" spans="1:22" x14ac:dyDescent="0.25">
      <c r="A188" s="203">
        <f t="shared" si="72"/>
        <v>2016</v>
      </c>
      <c r="B188" s="205">
        <f t="shared" ref="B188:N188" ca="1" si="74">IF($C67="","",IF($C67&lt;0,0,IF(AND($C67=1,start_time&lt;1),-(SUM(B141)*output_kgyear*$E67*percnt_var*start_time+SUM(B141)*output_kgyear*$E67*(1-start_time)),IF($C67&lt;=start_time,-SUM(B141)*output_kgyear*$E67*percnt_var,-SUM(B141)*output_kgyear*$E67))))</f>
        <v>-256695.75630022996</v>
      </c>
      <c r="C188" s="205">
        <f t="shared" ca="1" si="74"/>
        <v>-54511.701786719219</v>
      </c>
      <c r="D188" s="205">
        <f t="shared" ca="1" si="74"/>
        <v>0</v>
      </c>
      <c r="E188" s="232">
        <f t="shared" ca="1" si="74"/>
        <v>0</v>
      </c>
      <c r="F188" s="204">
        <f t="shared" ca="1" si="74"/>
        <v>0</v>
      </c>
      <c r="G188" s="205">
        <f t="shared" ca="1" si="74"/>
        <v>0</v>
      </c>
      <c r="H188" s="205">
        <f t="shared" ca="1" si="74"/>
        <v>0</v>
      </c>
      <c r="I188" s="232">
        <f t="shared" ca="1" si="74"/>
        <v>0</v>
      </c>
      <c r="J188" s="513">
        <f t="shared" ca="1" si="74"/>
        <v>0</v>
      </c>
      <c r="K188" s="230">
        <f t="shared" ca="1" si="74"/>
        <v>0</v>
      </c>
      <c r="L188" s="230">
        <f t="shared" ca="1" si="74"/>
        <v>0</v>
      </c>
      <c r="M188" s="205">
        <f t="shared" ca="1" si="74"/>
        <v>0</v>
      </c>
      <c r="N188" s="233">
        <f t="shared" ca="1" si="74"/>
        <v>0</v>
      </c>
    </row>
    <row r="189" spans="1:22" x14ac:dyDescent="0.25">
      <c r="A189" s="203">
        <f t="shared" si="72"/>
        <v>2017</v>
      </c>
      <c r="B189" s="205">
        <f t="shared" ref="B189:N189" ca="1" si="75">IF($C68="","",IF($C68&lt;0,0,IF(AND($C68=1,start_time&lt;1),-(SUM(B142)*output_kgyear*$E68*percnt_var*start_time+SUM(B142)*output_kgyear*$E68*(1-start_time)),IF($C68&lt;=start_time,-SUM(B142)*output_kgyear*$E68*percnt_var,-SUM(B142)*output_kgyear*$E68))))</f>
        <v>-305090.43591487687</v>
      </c>
      <c r="C189" s="205">
        <f t="shared" ca="1" si="75"/>
        <v>-55846.551932577888</v>
      </c>
      <c r="D189" s="205">
        <f t="shared" ca="1" si="75"/>
        <v>0</v>
      </c>
      <c r="E189" s="232">
        <f t="shared" ca="1" si="75"/>
        <v>0</v>
      </c>
      <c r="F189" s="204">
        <f ca="1">IF($C68="","",IF($C68&lt;0,0,IF(AND($C68=1,start_time&lt;1),-(SUM(F142)*output_kgyear*$E68*percnt_var*start_time+SUM(F142)*output_kgyear*$E68*(1-start_time)),IF($C68&lt;=start_time,-SUM(F142)*output_kgyear*$E68*percnt_var,-SUM(F142)*output_kgyear*$E68))))</f>
        <v>0</v>
      </c>
      <c r="G189" s="205">
        <f t="shared" ca="1" si="75"/>
        <v>0</v>
      </c>
      <c r="H189" s="205">
        <f t="shared" ca="1" si="75"/>
        <v>0</v>
      </c>
      <c r="I189" s="232">
        <f t="shared" ca="1" si="75"/>
        <v>0</v>
      </c>
      <c r="J189" s="513">
        <f t="shared" ca="1" si="75"/>
        <v>0</v>
      </c>
      <c r="K189" s="230">
        <f t="shared" ca="1" si="75"/>
        <v>0</v>
      </c>
      <c r="L189" s="230">
        <f t="shared" ca="1" si="75"/>
        <v>0</v>
      </c>
      <c r="M189" s="205">
        <f t="shared" ca="1" si="75"/>
        <v>0</v>
      </c>
      <c r="N189" s="233">
        <f t="shared" ca="1" si="75"/>
        <v>0</v>
      </c>
    </row>
    <row r="190" spans="1:22" x14ac:dyDescent="0.25">
      <c r="A190" s="203">
        <f t="shared" si="72"/>
        <v>2018</v>
      </c>
      <c r="B190" s="205">
        <f t="shared" ref="B190:N190" ca="1" si="76">IF($C69="","",IF($C69&lt;0,0,IF(AND($C69=1,start_time&lt;1),-(SUM(B143)*output_kgyear*$E69*percnt_var*start_time+SUM(B143)*output_kgyear*$E69*(1-start_time)),IF($C69&lt;=start_time,-SUM(B143)*output_kgyear*$E69*percnt_var,-SUM(B143)*output_kgyear*$E69))))</f>
        <v>-339958.96668725275</v>
      </c>
      <c r="C190" s="205">
        <f t="shared" ca="1" si="76"/>
        <v>-56648.686707716537</v>
      </c>
      <c r="D190" s="205">
        <f t="shared" ca="1" si="76"/>
        <v>0</v>
      </c>
      <c r="E190" s="232">
        <f t="shared" ca="1" si="76"/>
        <v>0</v>
      </c>
      <c r="F190" s="204">
        <f t="shared" ca="1" si="76"/>
        <v>0</v>
      </c>
      <c r="G190" s="205">
        <f t="shared" ca="1" si="76"/>
        <v>0</v>
      </c>
      <c r="H190" s="205">
        <f t="shared" ca="1" si="76"/>
        <v>0</v>
      </c>
      <c r="I190" s="232">
        <f t="shared" ca="1" si="76"/>
        <v>0</v>
      </c>
      <c r="J190" s="513">
        <f t="shared" ca="1" si="76"/>
        <v>0</v>
      </c>
      <c r="K190" s="230">
        <f t="shared" ca="1" si="76"/>
        <v>0</v>
      </c>
      <c r="L190" s="230">
        <f t="shared" ca="1" si="76"/>
        <v>0</v>
      </c>
      <c r="M190" s="205">
        <f t="shared" ca="1" si="76"/>
        <v>0</v>
      </c>
      <c r="N190" s="233">
        <f t="shared" ca="1" si="76"/>
        <v>0</v>
      </c>
    </row>
    <row r="191" spans="1:22" x14ac:dyDescent="0.25">
      <c r="A191" s="203">
        <f t="shared" si="72"/>
        <v>2019</v>
      </c>
      <c r="B191" s="205">
        <f t="shared" ref="B191:N191" ca="1" si="77">IF($C70="","",IF($C70&lt;0,0,IF(AND($C70=1,start_time&lt;1),-(SUM(B144)*output_kgyear*$E70*percnt_var*start_time+SUM(B144)*output_kgyear*$E70*(1-start_time)),IF($C70&lt;=start_time,-SUM(B144)*output_kgyear*$E70*percnt_var,-SUM(B144)*output_kgyear*$E70))))</f>
        <v>-379751.70195326477</v>
      </c>
      <c r="C191" s="205">
        <f t="shared" ca="1" si="77"/>
        <v>-58519.472170134133</v>
      </c>
      <c r="D191" s="205">
        <f t="shared" ca="1" si="77"/>
        <v>0</v>
      </c>
      <c r="E191" s="232">
        <f t="shared" ca="1" si="77"/>
        <v>0</v>
      </c>
      <c r="F191" s="204">
        <f t="shared" ca="1" si="77"/>
        <v>0</v>
      </c>
      <c r="G191" s="205">
        <f t="shared" ca="1" si="77"/>
        <v>0</v>
      </c>
      <c r="H191" s="205">
        <f t="shared" ca="1" si="77"/>
        <v>0</v>
      </c>
      <c r="I191" s="232">
        <f t="shared" ca="1" si="77"/>
        <v>0</v>
      </c>
      <c r="J191" s="513">
        <f t="shared" ca="1" si="77"/>
        <v>0</v>
      </c>
      <c r="K191" s="230">
        <f t="shared" ca="1" si="77"/>
        <v>0</v>
      </c>
      <c r="L191" s="230">
        <f t="shared" ca="1" si="77"/>
        <v>0</v>
      </c>
      <c r="M191" s="205">
        <f t="shared" ca="1" si="77"/>
        <v>0</v>
      </c>
      <c r="N191" s="233">
        <f t="shared" ca="1" si="77"/>
        <v>0</v>
      </c>
    </row>
    <row r="192" spans="1:22" x14ac:dyDescent="0.25">
      <c r="A192" s="203">
        <f t="shared" si="72"/>
        <v>2020</v>
      </c>
      <c r="B192" s="205">
        <f t="shared" ref="B192:N192" ca="1" si="78">IF($C71="","",IF($C71&lt;0,0,IF(AND($C71=1,start_time&lt;1),-(SUM(B145)*output_kgyear*$E71*percnt_var*start_time+SUM(B145)*output_kgyear*$E71*(1-start_time)),IF($C71&lt;=start_time,-SUM(B145)*output_kgyear*$E71*percnt_var,-SUM(B145)*output_kgyear*$E71))))</f>
        <v>-420543.45329789654</v>
      </c>
      <c r="C192" s="205">
        <f t="shared" ca="1" si="78"/>
        <v>-60627.835607537963</v>
      </c>
      <c r="D192" s="205">
        <f t="shared" ca="1" si="78"/>
        <v>0</v>
      </c>
      <c r="E192" s="232">
        <f t="shared" ca="1" si="78"/>
        <v>0</v>
      </c>
      <c r="F192" s="204">
        <f t="shared" ca="1" si="78"/>
        <v>0</v>
      </c>
      <c r="G192" s="205">
        <f t="shared" ca="1" si="78"/>
        <v>0</v>
      </c>
      <c r="H192" s="205">
        <f t="shared" ca="1" si="78"/>
        <v>0</v>
      </c>
      <c r="I192" s="232">
        <f t="shared" ca="1" si="78"/>
        <v>0</v>
      </c>
      <c r="J192" s="513">
        <f t="shared" ca="1" si="78"/>
        <v>0</v>
      </c>
      <c r="K192" s="230">
        <f t="shared" ca="1" si="78"/>
        <v>0</v>
      </c>
      <c r="L192" s="230">
        <f t="shared" ca="1" si="78"/>
        <v>0</v>
      </c>
      <c r="M192" s="205">
        <f t="shared" ca="1" si="78"/>
        <v>0</v>
      </c>
      <c r="N192" s="233">
        <f t="shared" ca="1" si="78"/>
        <v>0</v>
      </c>
    </row>
    <row r="193" spans="1:14" x14ac:dyDescent="0.25">
      <c r="A193" s="203">
        <f t="shared" si="72"/>
        <v>2021</v>
      </c>
      <c r="B193" s="205">
        <f t="shared" ref="B193:N193" ca="1" si="79">IF($C72="","",IF($C72&lt;0,0,IF(AND($C72=1,start_time&lt;1),-(SUM(B146)*output_kgyear*$E72*percnt_var*start_time+SUM(B146)*output_kgyear*$E72*(1-start_time)),IF($C72&lt;=start_time,-SUM(B146)*output_kgyear*$E72*percnt_var,-SUM(B146)*output_kgyear*$E72))))</f>
        <v>-428988.23472330347</v>
      </c>
      <c r="C193" s="205">
        <f t="shared" ca="1" si="79"/>
        <v>-62199.623362111699</v>
      </c>
      <c r="D193" s="205">
        <f t="shared" ca="1" si="79"/>
        <v>0</v>
      </c>
      <c r="E193" s="232">
        <f t="shared" ca="1" si="79"/>
        <v>0</v>
      </c>
      <c r="F193" s="204">
        <f t="shared" ca="1" si="79"/>
        <v>0</v>
      </c>
      <c r="G193" s="205">
        <f t="shared" ca="1" si="79"/>
        <v>0</v>
      </c>
      <c r="H193" s="205">
        <f t="shared" ca="1" si="79"/>
        <v>0</v>
      </c>
      <c r="I193" s="232">
        <f t="shared" ca="1" si="79"/>
        <v>0</v>
      </c>
      <c r="J193" s="513">
        <f t="shared" ca="1" si="79"/>
        <v>0</v>
      </c>
      <c r="K193" s="230">
        <f t="shared" ca="1" si="79"/>
        <v>0</v>
      </c>
      <c r="L193" s="230">
        <f t="shared" ca="1" si="79"/>
        <v>0</v>
      </c>
      <c r="M193" s="205">
        <f t="shared" ca="1" si="79"/>
        <v>0</v>
      </c>
      <c r="N193" s="233">
        <f t="shared" ca="1" si="79"/>
        <v>0</v>
      </c>
    </row>
    <row r="194" spans="1:14" x14ac:dyDescent="0.25">
      <c r="A194" s="203">
        <f t="shared" si="72"/>
        <v>2022</v>
      </c>
      <c r="B194" s="205">
        <f t="shared" ref="B194:N194" ca="1" si="80">IF($C73="","",IF($C73&lt;0,0,IF(AND($C73=1,start_time&lt;1),-(SUM(B147)*output_kgyear*$E73*percnt_var*start_time+SUM(B147)*output_kgyear*$E73*(1-start_time)),IF($C73&lt;=start_time,-SUM(B147)*output_kgyear*$E73*percnt_var,-SUM(B147)*output_kgyear*$E73))))</f>
        <v>-432306.49497541966</v>
      </c>
      <c r="C194" s="205">
        <f t="shared" ca="1" si="80"/>
        <v>-65472.326882971611</v>
      </c>
      <c r="D194" s="205">
        <f t="shared" ca="1" si="80"/>
        <v>0</v>
      </c>
      <c r="E194" s="232">
        <f t="shared" ca="1" si="80"/>
        <v>0</v>
      </c>
      <c r="F194" s="204">
        <f t="shared" ca="1" si="80"/>
        <v>0</v>
      </c>
      <c r="G194" s="205">
        <f t="shared" ca="1" si="80"/>
        <v>0</v>
      </c>
      <c r="H194" s="205">
        <f t="shared" ca="1" si="80"/>
        <v>0</v>
      </c>
      <c r="I194" s="232">
        <f t="shared" ca="1" si="80"/>
        <v>0</v>
      </c>
      <c r="J194" s="513">
        <f t="shared" ca="1" si="80"/>
        <v>0</v>
      </c>
      <c r="K194" s="230">
        <f t="shared" ca="1" si="80"/>
        <v>0</v>
      </c>
      <c r="L194" s="230">
        <f t="shared" ca="1" si="80"/>
        <v>0</v>
      </c>
      <c r="M194" s="205">
        <f t="shared" ca="1" si="80"/>
        <v>0</v>
      </c>
      <c r="N194" s="233">
        <f t="shared" ca="1" si="80"/>
        <v>0</v>
      </c>
    </row>
    <row r="195" spans="1:14" x14ac:dyDescent="0.25">
      <c r="A195" s="203">
        <f t="shared" si="72"/>
        <v>2023</v>
      </c>
      <c r="B195" s="205">
        <f t="shared" ref="B195:N195" ca="1" si="81">IF($C74="","",IF($C74&lt;0,0,IF(AND($C74=1,start_time&lt;1),-(SUM(B148)*output_kgyear*$E74*percnt_var*start_time+SUM(B148)*output_kgyear*$E74*(1-start_time)),IF($C74&lt;=start_time,-SUM(B148)*output_kgyear*$E74*percnt_var,-SUM(B148)*output_kgyear*$E74))))</f>
        <v>-441529.28592563607</v>
      </c>
      <c r="C195" s="205">
        <f t="shared" ca="1" si="81"/>
        <v>-67400.075104982185</v>
      </c>
      <c r="D195" s="205">
        <f t="shared" ca="1" si="81"/>
        <v>0</v>
      </c>
      <c r="E195" s="232">
        <f t="shared" ca="1" si="81"/>
        <v>0</v>
      </c>
      <c r="F195" s="204">
        <f t="shared" ca="1" si="81"/>
        <v>0</v>
      </c>
      <c r="G195" s="205">
        <f t="shared" ca="1" si="81"/>
        <v>0</v>
      </c>
      <c r="H195" s="205">
        <f t="shared" ca="1" si="81"/>
        <v>0</v>
      </c>
      <c r="I195" s="232">
        <f t="shared" ca="1" si="81"/>
        <v>0</v>
      </c>
      <c r="J195" s="513">
        <f t="shared" ca="1" si="81"/>
        <v>0</v>
      </c>
      <c r="K195" s="230">
        <f t="shared" ca="1" si="81"/>
        <v>0</v>
      </c>
      <c r="L195" s="230">
        <f t="shared" ca="1" si="81"/>
        <v>0</v>
      </c>
      <c r="M195" s="205">
        <f t="shared" ca="1" si="81"/>
        <v>0</v>
      </c>
      <c r="N195" s="233">
        <f t="shared" ca="1" si="81"/>
        <v>0</v>
      </c>
    </row>
    <row r="196" spans="1:14" x14ac:dyDescent="0.25">
      <c r="A196" s="203">
        <f t="shared" si="72"/>
        <v>2024</v>
      </c>
      <c r="B196" s="205">
        <f t="shared" ref="B196:N196" ca="1" si="82">IF($C75="","",IF($C75&lt;0,0,IF(AND($C75=1,start_time&lt;1),-(SUM(B149)*output_kgyear*$E75*percnt_var*start_time+SUM(B149)*output_kgyear*$E75*(1-start_time)),IF($C75&lt;=start_time,-SUM(B149)*output_kgyear*$E75*percnt_var,-SUM(B149)*output_kgyear*$E75))))</f>
        <v>-457634.62112258718</v>
      </c>
      <c r="C196" s="205">
        <f t="shared" ca="1" si="82"/>
        <v>-68544.478273932502</v>
      </c>
      <c r="D196" s="205">
        <f t="shared" ca="1" si="82"/>
        <v>0</v>
      </c>
      <c r="E196" s="232">
        <f t="shared" ca="1" si="82"/>
        <v>0</v>
      </c>
      <c r="F196" s="204">
        <f t="shared" ca="1" si="82"/>
        <v>0</v>
      </c>
      <c r="G196" s="205">
        <f t="shared" ca="1" si="82"/>
        <v>0</v>
      </c>
      <c r="H196" s="205">
        <f t="shared" ca="1" si="82"/>
        <v>0</v>
      </c>
      <c r="I196" s="232">
        <f t="shared" ca="1" si="82"/>
        <v>0</v>
      </c>
      <c r="J196" s="513">
        <f t="shared" ca="1" si="82"/>
        <v>0</v>
      </c>
      <c r="K196" s="230">
        <f t="shared" ca="1" si="82"/>
        <v>0</v>
      </c>
      <c r="L196" s="230">
        <f t="shared" ca="1" si="82"/>
        <v>0</v>
      </c>
      <c r="M196" s="205">
        <f t="shared" ca="1" si="82"/>
        <v>0</v>
      </c>
      <c r="N196" s="233">
        <f t="shared" ca="1" si="82"/>
        <v>0</v>
      </c>
    </row>
    <row r="197" spans="1:14" x14ac:dyDescent="0.25">
      <c r="A197" s="203">
        <f t="shared" si="72"/>
        <v>2025</v>
      </c>
      <c r="B197" s="205">
        <f t="shared" ref="B197:N197" ca="1" si="83">IF($C76="","",IF($C76&lt;0,0,IF(AND($C76=1,start_time&lt;1),-(SUM(B150)*output_kgyear*$E76*percnt_var*start_time+SUM(B150)*output_kgyear*$E76*(1-start_time)),IF($C76&lt;=start_time,-SUM(B150)*output_kgyear*$E76*percnt_var,-SUM(B150)*output_kgyear*$E76))))</f>
        <v>-476589.43184430577</v>
      </c>
      <c r="C197" s="205">
        <f t="shared" ca="1" si="83"/>
        <v>-70998.20635261228</v>
      </c>
      <c r="D197" s="205">
        <f t="shared" ca="1" si="83"/>
        <v>0</v>
      </c>
      <c r="E197" s="232">
        <f t="shared" ca="1" si="83"/>
        <v>0</v>
      </c>
      <c r="F197" s="204">
        <f t="shared" ca="1" si="83"/>
        <v>0</v>
      </c>
      <c r="G197" s="205">
        <f t="shared" ca="1" si="83"/>
        <v>0</v>
      </c>
      <c r="H197" s="205">
        <f t="shared" ca="1" si="83"/>
        <v>0</v>
      </c>
      <c r="I197" s="232">
        <f t="shared" ca="1" si="83"/>
        <v>0</v>
      </c>
      <c r="J197" s="513">
        <f t="shared" ca="1" si="83"/>
        <v>0</v>
      </c>
      <c r="K197" s="230">
        <f t="shared" ca="1" si="83"/>
        <v>0</v>
      </c>
      <c r="L197" s="230">
        <f t="shared" ca="1" si="83"/>
        <v>0</v>
      </c>
      <c r="M197" s="205">
        <f t="shared" ca="1" si="83"/>
        <v>0</v>
      </c>
      <c r="N197" s="233">
        <f t="shared" ca="1" si="83"/>
        <v>0</v>
      </c>
    </row>
    <row r="198" spans="1:14" x14ac:dyDescent="0.25">
      <c r="A198" s="203">
        <f t="shared" si="72"/>
        <v>2026</v>
      </c>
      <c r="B198" s="205">
        <f t="shared" ref="B198:N198" ca="1" si="84">IF($C77="","",IF($C77&lt;0,0,IF(AND($C77=1,start_time&lt;1),-(SUM(B151)*output_kgyear*$E77*percnt_var*start_time+SUM(B151)*output_kgyear*$E77*(1-start_time)),IF($C77&lt;=start_time,-SUM(B151)*output_kgyear*$E77*percnt_var,-SUM(B151)*output_kgyear*$E77))))</f>
        <v>-496455.09017366503</v>
      </c>
      <c r="C198" s="205">
        <f t="shared" ca="1" si="84"/>
        <v>-73108.923600747497</v>
      </c>
      <c r="D198" s="205">
        <f t="shared" ca="1" si="84"/>
        <v>0</v>
      </c>
      <c r="E198" s="232">
        <f t="shared" ca="1" si="84"/>
        <v>0</v>
      </c>
      <c r="F198" s="204">
        <f t="shared" ca="1" si="84"/>
        <v>0</v>
      </c>
      <c r="G198" s="205">
        <f t="shared" ca="1" si="84"/>
        <v>0</v>
      </c>
      <c r="H198" s="205">
        <f t="shared" ca="1" si="84"/>
        <v>0</v>
      </c>
      <c r="I198" s="232">
        <f t="shared" ca="1" si="84"/>
        <v>0</v>
      </c>
      <c r="J198" s="513">
        <f t="shared" ca="1" si="84"/>
        <v>0</v>
      </c>
      <c r="K198" s="230">
        <f t="shared" ca="1" si="84"/>
        <v>0</v>
      </c>
      <c r="L198" s="230">
        <f t="shared" ca="1" si="84"/>
        <v>0</v>
      </c>
      <c r="M198" s="205">
        <f t="shared" ca="1" si="84"/>
        <v>0</v>
      </c>
      <c r="N198" s="233">
        <f t="shared" ca="1" si="84"/>
        <v>0</v>
      </c>
    </row>
    <row r="199" spans="1:14" x14ac:dyDescent="0.25">
      <c r="A199" s="203">
        <f t="shared" si="72"/>
        <v>2027</v>
      </c>
      <c r="B199" s="205">
        <f t="shared" ref="B199:N199" ca="1" si="85">IF($C78="","",IF($C78&lt;0,0,IF(AND($C78=1,start_time&lt;1),-(SUM(B152)*output_kgyear*$E78*percnt_var*start_time+SUM(B152)*output_kgyear*$E78*(1-start_time)),IF($C78&lt;=start_time,-SUM(B152)*output_kgyear*$E78*percnt_var,-SUM(B152)*output_kgyear*$E78))))</f>
        <v>-514712.44135043974</v>
      </c>
      <c r="C199" s="205">
        <f t="shared" ca="1" si="85"/>
        <v>-74694.00924139269</v>
      </c>
      <c r="D199" s="205">
        <f t="shared" ca="1" si="85"/>
        <v>0</v>
      </c>
      <c r="E199" s="232">
        <f t="shared" ca="1" si="85"/>
        <v>0</v>
      </c>
      <c r="F199" s="204">
        <f t="shared" ca="1" si="85"/>
        <v>0</v>
      </c>
      <c r="G199" s="205">
        <f t="shared" ca="1" si="85"/>
        <v>0</v>
      </c>
      <c r="H199" s="205">
        <f t="shared" ca="1" si="85"/>
        <v>0</v>
      </c>
      <c r="I199" s="232">
        <f t="shared" ca="1" si="85"/>
        <v>0</v>
      </c>
      <c r="J199" s="513">
        <f t="shared" ca="1" si="85"/>
        <v>0</v>
      </c>
      <c r="K199" s="230">
        <f t="shared" ca="1" si="85"/>
        <v>0</v>
      </c>
      <c r="L199" s="230">
        <f t="shared" ca="1" si="85"/>
        <v>0</v>
      </c>
      <c r="M199" s="205">
        <f t="shared" ca="1" si="85"/>
        <v>0</v>
      </c>
      <c r="N199" s="233">
        <f t="shared" ca="1" si="85"/>
        <v>0</v>
      </c>
    </row>
    <row r="200" spans="1:14" x14ac:dyDescent="0.25">
      <c r="A200" s="203">
        <f t="shared" si="72"/>
        <v>2028</v>
      </c>
      <c r="B200" s="205">
        <f t="shared" ref="B200:N200" ca="1" si="86">IF($C79="","",IF($C79&lt;0,0,IF(AND($C79=1,start_time&lt;1),-(SUM(B153)*output_kgyear*$E79*percnt_var*start_time+SUM(B153)*output_kgyear*$E79*(1-start_time)),IF($C79&lt;=start_time,-SUM(B153)*output_kgyear*$E79*percnt_var,-SUM(B153)*output_kgyear*$E79))))</f>
        <v>-533407.21315055387</v>
      </c>
      <c r="C200" s="205">
        <f t="shared" ca="1" si="86"/>
        <v>-76283.909082551923</v>
      </c>
      <c r="D200" s="205">
        <f t="shared" ca="1" si="86"/>
        <v>0</v>
      </c>
      <c r="E200" s="232">
        <f t="shared" ca="1" si="86"/>
        <v>0</v>
      </c>
      <c r="F200" s="204">
        <f t="shared" ca="1" si="86"/>
        <v>0</v>
      </c>
      <c r="G200" s="205">
        <f t="shared" ca="1" si="86"/>
        <v>0</v>
      </c>
      <c r="H200" s="205">
        <f t="shared" ca="1" si="86"/>
        <v>0</v>
      </c>
      <c r="I200" s="232">
        <f t="shared" ca="1" si="86"/>
        <v>0</v>
      </c>
      <c r="J200" s="513">
        <f t="shared" ca="1" si="86"/>
        <v>0</v>
      </c>
      <c r="K200" s="230">
        <f t="shared" ca="1" si="86"/>
        <v>0</v>
      </c>
      <c r="L200" s="230">
        <f t="shared" ca="1" si="86"/>
        <v>0</v>
      </c>
      <c r="M200" s="205">
        <f t="shared" ca="1" si="86"/>
        <v>0</v>
      </c>
      <c r="N200" s="233">
        <f t="shared" ca="1" si="86"/>
        <v>0</v>
      </c>
    </row>
    <row r="201" spans="1:14" x14ac:dyDescent="0.25">
      <c r="A201" s="203">
        <f t="shared" si="72"/>
        <v>2029</v>
      </c>
      <c r="B201" s="205">
        <f t="shared" ref="B201:N201" ca="1" si="87">IF($C80="","",IF($C80&lt;0,0,IF(AND($C80=1,start_time&lt;1),-(SUM(B154)*output_kgyear*$E80*percnt_var*start_time+SUM(B154)*output_kgyear*$E80*(1-start_time)),IF($C80&lt;=start_time,-SUM(B154)*output_kgyear*$E80*percnt_var,-SUM(B154)*output_kgyear*$E80))))</f>
        <v>-551175.25738038449</v>
      </c>
      <c r="C201" s="205">
        <f t="shared" ca="1" si="87"/>
        <v>-77856.404046378811</v>
      </c>
      <c r="D201" s="205">
        <f t="shared" ca="1" si="87"/>
        <v>0</v>
      </c>
      <c r="E201" s="232">
        <f t="shared" ca="1" si="87"/>
        <v>0</v>
      </c>
      <c r="F201" s="204">
        <f t="shared" ca="1" si="87"/>
        <v>0</v>
      </c>
      <c r="G201" s="205">
        <f t="shared" ca="1" si="87"/>
        <v>0</v>
      </c>
      <c r="H201" s="205">
        <f t="shared" ca="1" si="87"/>
        <v>0</v>
      </c>
      <c r="I201" s="232">
        <f t="shared" ca="1" si="87"/>
        <v>0</v>
      </c>
      <c r="J201" s="513">
        <f t="shared" ca="1" si="87"/>
        <v>0</v>
      </c>
      <c r="K201" s="230">
        <f t="shared" ca="1" si="87"/>
        <v>0</v>
      </c>
      <c r="L201" s="230">
        <f t="shared" ca="1" si="87"/>
        <v>0</v>
      </c>
      <c r="M201" s="205">
        <f t="shared" ca="1" si="87"/>
        <v>0</v>
      </c>
      <c r="N201" s="233">
        <f t="shared" ca="1" si="87"/>
        <v>0</v>
      </c>
    </row>
    <row r="202" spans="1:14" x14ac:dyDescent="0.25">
      <c r="A202" s="203">
        <f t="shared" si="72"/>
        <v>2030</v>
      </c>
      <c r="B202" s="205">
        <f t="shared" ref="B202:N202" ca="1" si="88">IF($C81="","",IF($C81&lt;0,0,IF(AND($C81=1,start_time&lt;1),-(SUM(B155)*output_kgyear*$E81*percnt_var*start_time+SUM(B155)*output_kgyear*$E81*(1-start_time)),IF($C81&lt;=start_time,-SUM(B155)*output_kgyear*$E81*percnt_var,-SUM(B155)*output_kgyear*$E81))))</f>
        <v>-563590.54932095238</v>
      </c>
      <c r="C202" s="205">
        <f t="shared" ca="1" si="88"/>
        <v>-79519.464727319646</v>
      </c>
      <c r="D202" s="205">
        <f t="shared" ca="1" si="88"/>
        <v>0</v>
      </c>
      <c r="E202" s="232">
        <f t="shared" ca="1" si="88"/>
        <v>0</v>
      </c>
      <c r="F202" s="204">
        <f t="shared" ca="1" si="88"/>
        <v>0</v>
      </c>
      <c r="G202" s="205">
        <f t="shared" ca="1" si="88"/>
        <v>0</v>
      </c>
      <c r="H202" s="205">
        <f t="shared" ca="1" si="88"/>
        <v>0</v>
      </c>
      <c r="I202" s="232">
        <f t="shared" ca="1" si="88"/>
        <v>0</v>
      </c>
      <c r="J202" s="513">
        <f t="shared" ca="1" si="88"/>
        <v>0</v>
      </c>
      <c r="K202" s="230">
        <f t="shared" ca="1" si="88"/>
        <v>0</v>
      </c>
      <c r="L202" s="230">
        <f t="shared" ca="1" si="88"/>
        <v>0</v>
      </c>
      <c r="M202" s="205">
        <f t="shared" ca="1" si="88"/>
        <v>0</v>
      </c>
      <c r="N202" s="233">
        <f t="shared" ca="1" si="88"/>
        <v>0</v>
      </c>
    </row>
    <row r="203" spans="1:14" x14ac:dyDescent="0.25">
      <c r="A203" s="203">
        <f t="shared" si="72"/>
        <v>2031</v>
      </c>
      <c r="B203" s="205">
        <f t="shared" ref="B203:N203" ca="1" si="89">IF($C82="","",IF($C82&lt;0,0,IF(AND($C82=1,start_time&lt;1),-(SUM(B156)*output_kgyear*$E82*percnt_var*start_time+SUM(B156)*output_kgyear*$E82*(1-start_time)),IF($C82&lt;=start_time,-SUM(B156)*output_kgyear*$E82*percnt_var,-SUM(B156)*output_kgyear*$E82))))</f>
        <v>-576763.50036688847</v>
      </c>
      <c r="C203" s="205">
        <f t="shared" ca="1" si="89"/>
        <v>-80908.455039011969</v>
      </c>
      <c r="D203" s="205">
        <f t="shared" ca="1" si="89"/>
        <v>0</v>
      </c>
      <c r="E203" s="232">
        <f t="shared" ca="1" si="89"/>
        <v>0</v>
      </c>
      <c r="F203" s="204">
        <f t="shared" ca="1" si="89"/>
        <v>0</v>
      </c>
      <c r="G203" s="205">
        <f t="shared" ca="1" si="89"/>
        <v>0</v>
      </c>
      <c r="H203" s="205">
        <f t="shared" ca="1" si="89"/>
        <v>0</v>
      </c>
      <c r="I203" s="232">
        <f t="shared" ca="1" si="89"/>
        <v>0</v>
      </c>
      <c r="J203" s="513">
        <f t="shared" ca="1" si="89"/>
        <v>0</v>
      </c>
      <c r="K203" s="230">
        <f t="shared" ca="1" si="89"/>
        <v>0</v>
      </c>
      <c r="L203" s="230">
        <f t="shared" ca="1" si="89"/>
        <v>0</v>
      </c>
      <c r="M203" s="205">
        <f t="shared" ca="1" si="89"/>
        <v>0</v>
      </c>
      <c r="N203" s="233">
        <f t="shared" ca="1" si="89"/>
        <v>0</v>
      </c>
    </row>
    <row r="204" spans="1:14" x14ac:dyDescent="0.25">
      <c r="A204" s="203">
        <f t="shared" si="72"/>
        <v>2032</v>
      </c>
      <c r="B204" s="205">
        <f t="shared" ref="B204:N204" ca="1" si="90">IF($C83="","",IF($C83&lt;0,0,IF(AND($C83=1,start_time&lt;1),-(SUM(B157)*output_kgyear*$E83*percnt_var*start_time+SUM(B157)*output_kgyear*$E83*(1-start_time)),IF($C83&lt;=start_time,-SUM(B157)*output_kgyear*$E83*percnt_var,-SUM(B157)*output_kgyear*$E83))))</f>
        <v>-586249.23081584065</v>
      </c>
      <c r="C204" s="205">
        <f t="shared" ca="1" si="90"/>
        <v>-82223.408803609345</v>
      </c>
      <c r="D204" s="205">
        <f t="shared" ca="1" si="90"/>
        <v>0</v>
      </c>
      <c r="E204" s="232">
        <f t="shared" ca="1" si="90"/>
        <v>0</v>
      </c>
      <c r="F204" s="204">
        <f t="shared" ca="1" si="90"/>
        <v>0</v>
      </c>
      <c r="G204" s="205">
        <f t="shared" ca="1" si="90"/>
        <v>0</v>
      </c>
      <c r="H204" s="205">
        <f t="shared" ca="1" si="90"/>
        <v>0</v>
      </c>
      <c r="I204" s="232">
        <f t="shared" ca="1" si="90"/>
        <v>0</v>
      </c>
      <c r="J204" s="513">
        <f t="shared" ca="1" si="90"/>
        <v>0</v>
      </c>
      <c r="K204" s="230">
        <f t="shared" ca="1" si="90"/>
        <v>0</v>
      </c>
      <c r="L204" s="230">
        <f t="shared" ca="1" si="90"/>
        <v>0</v>
      </c>
      <c r="M204" s="205">
        <f t="shared" ca="1" si="90"/>
        <v>0</v>
      </c>
      <c r="N204" s="233">
        <f t="shared" ca="1" si="90"/>
        <v>0</v>
      </c>
    </row>
    <row r="205" spans="1:14" x14ac:dyDescent="0.25">
      <c r="A205" s="203">
        <f t="shared" si="72"/>
        <v>2033</v>
      </c>
      <c r="B205" s="205">
        <f t="shared" ref="B205:N205" ca="1" si="91">IF($C84="","",IF($C84&lt;0,0,IF(AND($C84=1,start_time&lt;1),-(SUM(B158)*output_kgyear*$E84*percnt_var*start_time+SUM(B158)*output_kgyear*$E84*(1-start_time)),IF($C84&lt;=start_time,-SUM(B158)*output_kgyear*$E84*percnt_var,-SUM(B158)*output_kgyear*$E84))))</f>
        <v>-591455.23644264834</v>
      </c>
      <c r="C205" s="205">
        <f t="shared" ca="1" si="91"/>
        <v>-83465.750741903772</v>
      </c>
      <c r="D205" s="205">
        <f t="shared" ca="1" si="91"/>
        <v>0</v>
      </c>
      <c r="E205" s="232">
        <f t="shared" ca="1" si="91"/>
        <v>0</v>
      </c>
      <c r="F205" s="204">
        <f t="shared" ca="1" si="91"/>
        <v>0</v>
      </c>
      <c r="G205" s="205">
        <f t="shared" ca="1" si="91"/>
        <v>0</v>
      </c>
      <c r="H205" s="205">
        <f t="shared" ca="1" si="91"/>
        <v>0</v>
      </c>
      <c r="I205" s="232">
        <f t="shared" ca="1" si="91"/>
        <v>0</v>
      </c>
      <c r="J205" s="513">
        <f t="shared" ca="1" si="91"/>
        <v>0</v>
      </c>
      <c r="K205" s="230">
        <f t="shared" ca="1" si="91"/>
        <v>0</v>
      </c>
      <c r="L205" s="230">
        <f t="shared" ca="1" si="91"/>
        <v>0</v>
      </c>
      <c r="M205" s="205">
        <f t="shared" ca="1" si="91"/>
        <v>0</v>
      </c>
      <c r="N205" s="233">
        <f t="shared" ca="1" si="91"/>
        <v>0</v>
      </c>
    </row>
    <row r="206" spans="1:14" x14ac:dyDescent="0.25">
      <c r="A206" s="203">
        <f t="shared" si="72"/>
        <v>2034</v>
      </c>
      <c r="B206" s="205">
        <f t="shared" ref="B206:N206" ca="1" si="92">IF($C85="","",IF($C85&lt;0,0,IF(AND($C85=1,start_time&lt;1),-(SUM(B159)*output_kgyear*$E85*percnt_var*start_time+SUM(B159)*output_kgyear*$E85*(1-start_time)),IF($C85&lt;=start_time,-SUM(B159)*output_kgyear*$E85*percnt_var,-SUM(B159)*output_kgyear*$E85))))</f>
        <v>-602539.20720328053</v>
      </c>
      <c r="C206" s="205">
        <f t="shared" ca="1" si="92"/>
        <v>-84812.812379698211</v>
      </c>
      <c r="D206" s="205">
        <f t="shared" ca="1" si="92"/>
        <v>0</v>
      </c>
      <c r="E206" s="232">
        <f t="shared" ca="1" si="92"/>
        <v>0</v>
      </c>
      <c r="F206" s="204">
        <f t="shared" ca="1" si="92"/>
        <v>0</v>
      </c>
      <c r="G206" s="205">
        <f t="shared" ca="1" si="92"/>
        <v>0</v>
      </c>
      <c r="H206" s="205">
        <f t="shared" ca="1" si="92"/>
        <v>0</v>
      </c>
      <c r="I206" s="232">
        <f t="shared" ca="1" si="92"/>
        <v>0</v>
      </c>
      <c r="J206" s="513">
        <f t="shared" ca="1" si="92"/>
        <v>0</v>
      </c>
      <c r="K206" s="230">
        <f t="shared" ca="1" si="92"/>
        <v>0</v>
      </c>
      <c r="L206" s="230">
        <f t="shared" ca="1" si="92"/>
        <v>0</v>
      </c>
      <c r="M206" s="205">
        <f t="shared" ca="1" si="92"/>
        <v>0</v>
      </c>
      <c r="N206" s="233">
        <f t="shared" ca="1" si="92"/>
        <v>0</v>
      </c>
    </row>
    <row r="207" spans="1:14" x14ac:dyDescent="0.25">
      <c r="A207" s="203" t="str">
        <f t="shared" si="72"/>
        <v/>
      </c>
      <c r="B207" s="205" t="str">
        <f t="shared" ref="B207:N207" si="93">IF($C86="","",IF($C86&lt;0,0,IF(AND($C86=1,start_time&lt;1),-(SUM(B160)*output_kgyear*$E86*percnt_var*start_time+SUM(B160)*output_kgyear*$E86*(1-start_time)),IF($C86&lt;=start_time,-SUM(B160)*output_kgyear*$E86*percnt_var,-SUM(B160)*output_kgyear*$E86))))</f>
        <v/>
      </c>
      <c r="C207" s="205" t="str">
        <f t="shared" si="93"/>
        <v/>
      </c>
      <c r="D207" s="205" t="str">
        <f t="shared" si="93"/>
        <v/>
      </c>
      <c r="E207" s="232" t="str">
        <f t="shared" si="93"/>
        <v/>
      </c>
      <c r="F207" s="204" t="str">
        <f t="shared" si="93"/>
        <v/>
      </c>
      <c r="G207" s="205" t="str">
        <f t="shared" si="93"/>
        <v/>
      </c>
      <c r="H207" s="205" t="str">
        <f t="shared" si="93"/>
        <v/>
      </c>
      <c r="I207" s="232" t="str">
        <f t="shared" si="93"/>
        <v/>
      </c>
      <c r="J207" s="513" t="str">
        <f t="shared" si="93"/>
        <v/>
      </c>
      <c r="K207" s="230" t="str">
        <f t="shared" si="93"/>
        <v/>
      </c>
      <c r="L207" s="230" t="str">
        <f t="shared" si="93"/>
        <v/>
      </c>
      <c r="M207" s="205" t="str">
        <f t="shared" si="93"/>
        <v/>
      </c>
      <c r="N207" s="233" t="str">
        <f t="shared" si="93"/>
        <v/>
      </c>
    </row>
    <row r="208" spans="1:14" x14ac:dyDescent="0.25">
      <c r="A208" s="203" t="str">
        <f t="shared" si="72"/>
        <v/>
      </c>
      <c r="B208" s="205" t="str">
        <f t="shared" ref="B208:N208" si="94">IF($C87="","",IF($C87&lt;0,0,IF(AND($C87=1,start_time&lt;1),-(SUM(B161)*output_kgyear*$E87*percnt_var*start_time+SUM(B161)*output_kgyear*$E87*(1-start_time)),IF($C87&lt;=start_time,-SUM(B161)*output_kgyear*$E87*percnt_var,-SUM(B161)*output_kgyear*$E87))))</f>
        <v/>
      </c>
      <c r="C208" s="205" t="str">
        <f t="shared" si="94"/>
        <v/>
      </c>
      <c r="D208" s="205" t="str">
        <f t="shared" si="94"/>
        <v/>
      </c>
      <c r="E208" s="232" t="str">
        <f t="shared" si="94"/>
        <v/>
      </c>
      <c r="F208" s="204" t="str">
        <f t="shared" si="94"/>
        <v/>
      </c>
      <c r="G208" s="205" t="str">
        <f t="shared" si="94"/>
        <v/>
      </c>
      <c r="H208" s="205" t="str">
        <f t="shared" si="94"/>
        <v/>
      </c>
      <c r="I208" s="232" t="str">
        <f t="shared" si="94"/>
        <v/>
      </c>
      <c r="J208" s="513" t="str">
        <f t="shared" si="94"/>
        <v/>
      </c>
      <c r="K208" s="230" t="str">
        <f t="shared" si="94"/>
        <v/>
      </c>
      <c r="L208" s="230" t="str">
        <f t="shared" si="94"/>
        <v/>
      </c>
      <c r="M208" s="205" t="str">
        <f t="shared" si="94"/>
        <v/>
      </c>
      <c r="N208" s="233" t="str">
        <f t="shared" si="94"/>
        <v/>
      </c>
    </row>
    <row r="209" spans="1:14" x14ac:dyDescent="0.25">
      <c r="A209" s="203" t="str">
        <f t="shared" si="72"/>
        <v/>
      </c>
      <c r="B209" s="205" t="str">
        <f t="shared" ref="B209:N209" si="95">IF($C88="","",IF($C88&lt;0,0,IF(AND($C88=1,start_time&lt;1),-(SUM(B162)*output_kgyear*$E88*percnt_var*start_time+SUM(B162)*output_kgyear*$E88*(1-start_time)),IF($C88&lt;=start_time,-SUM(B162)*output_kgyear*$E88*percnt_var,-SUM(B162)*output_kgyear*$E88))))</f>
        <v/>
      </c>
      <c r="C209" s="205" t="str">
        <f t="shared" si="95"/>
        <v/>
      </c>
      <c r="D209" s="205" t="str">
        <f t="shared" si="95"/>
        <v/>
      </c>
      <c r="E209" s="232" t="str">
        <f t="shared" si="95"/>
        <v/>
      </c>
      <c r="F209" s="204" t="str">
        <f t="shared" si="95"/>
        <v/>
      </c>
      <c r="G209" s="205" t="str">
        <f t="shared" si="95"/>
        <v/>
      </c>
      <c r="H209" s="205" t="str">
        <f t="shared" si="95"/>
        <v/>
      </c>
      <c r="I209" s="232" t="str">
        <f t="shared" si="95"/>
        <v/>
      </c>
      <c r="J209" s="513" t="str">
        <f t="shared" si="95"/>
        <v/>
      </c>
      <c r="K209" s="230" t="str">
        <f t="shared" si="95"/>
        <v/>
      </c>
      <c r="L209" s="230" t="str">
        <f t="shared" si="95"/>
        <v/>
      </c>
      <c r="M209" s="205" t="str">
        <f t="shared" si="95"/>
        <v/>
      </c>
      <c r="N209" s="233" t="str">
        <f t="shared" si="95"/>
        <v/>
      </c>
    </row>
    <row r="210" spans="1:14" x14ac:dyDescent="0.25">
      <c r="A210" s="203" t="str">
        <f t="shared" si="72"/>
        <v/>
      </c>
      <c r="B210" s="205" t="str">
        <f t="shared" ref="B210:N210" si="96">IF($C89="","",IF($C89&lt;0,0,IF(AND($C89=1,start_time&lt;1),-(SUM(B163)*output_kgyear*$E89*percnt_var*start_time+SUM(B163)*output_kgyear*$E89*(1-start_time)),IF($C89&lt;=start_time,-SUM(B163)*output_kgyear*$E89*percnt_var,-SUM(B163)*output_kgyear*$E89))))</f>
        <v/>
      </c>
      <c r="C210" s="205" t="str">
        <f t="shared" si="96"/>
        <v/>
      </c>
      <c r="D210" s="205" t="str">
        <f t="shared" si="96"/>
        <v/>
      </c>
      <c r="E210" s="232" t="str">
        <f t="shared" si="96"/>
        <v/>
      </c>
      <c r="F210" s="204" t="str">
        <f t="shared" si="96"/>
        <v/>
      </c>
      <c r="G210" s="205" t="str">
        <f t="shared" si="96"/>
        <v/>
      </c>
      <c r="H210" s="205" t="str">
        <f t="shared" si="96"/>
        <v/>
      </c>
      <c r="I210" s="232" t="str">
        <f t="shared" si="96"/>
        <v/>
      </c>
      <c r="J210" s="513" t="str">
        <f t="shared" si="96"/>
        <v/>
      </c>
      <c r="K210" s="230" t="str">
        <f t="shared" si="96"/>
        <v/>
      </c>
      <c r="L210" s="230" t="str">
        <f t="shared" si="96"/>
        <v/>
      </c>
      <c r="M210" s="205" t="str">
        <f t="shared" si="96"/>
        <v/>
      </c>
      <c r="N210" s="233" t="str">
        <f t="shared" si="96"/>
        <v/>
      </c>
    </row>
    <row r="211" spans="1:14" x14ac:dyDescent="0.25">
      <c r="A211" s="203" t="str">
        <f t="shared" si="72"/>
        <v/>
      </c>
      <c r="B211" s="205" t="str">
        <f t="shared" ref="B211:N211" si="97">IF($C90="","",IF($C90&lt;0,0,IF(AND($C90=1,start_time&lt;1),-(SUM(B164)*output_kgyear*$E90*percnt_var*start_time+SUM(B164)*output_kgyear*$E90*(1-start_time)),IF($C90&lt;=start_time,-SUM(B164)*output_kgyear*$E90*percnt_var,-SUM(B164)*output_kgyear*$E90))))</f>
        <v/>
      </c>
      <c r="C211" s="205" t="str">
        <f t="shared" si="97"/>
        <v/>
      </c>
      <c r="D211" s="205" t="str">
        <f t="shared" si="97"/>
        <v/>
      </c>
      <c r="E211" s="232" t="str">
        <f t="shared" si="97"/>
        <v/>
      </c>
      <c r="F211" s="204" t="str">
        <f t="shared" si="97"/>
        <v/>
      </c>
      <c r="G211" s="205" t="str">
        <f t="shared" si="97"/>
        <v/>
      </c>
      <c r="H211" s="205" t="str">
        <f t="shared" si="97"/>
        <v/>
      </c>
      <c r="I211" s="232" t="str">
        <f t="shared" si="97"/>
        <v/>
      </c>
      <c r="J211" s="513" t="str">
        <f t="shared" si="97"/>
        <v/>
      </c>
      <c r="K211" s="230" t="str">
        <f t="shared" si="97"/>
        <v/>
      </c>
      <c r="L211" s="230" t="str">
        <f t="shared" si="97"/>
        <v/>
      </c>
      <c r="M211" s="205" t="str">
        <f t="shared" si="97"/>
        <v/>
      </c>
      <c r="N211" s="233" t="str">
        <f t="shared" si="97"/>
        <v/>
      </c>
    </row>
    <row r="212" spans="1:14" x14ac:dyDescent="0.25">
      <c r="A212" s="203" t="str">
        <f t="shared" si="72"/>
        <v/>
      </c>
      <c r="B212" s="205" t="str">
        <f t="shared" ref="B212:N212" si="98">IF($C91="","",IF($C91&lt;0,0,IF(AND($C91=1,start_time&lt;1),-(SUM(B165)*output_kgyear*$E91*percnt_var*start_time+SUM(B165)*output_kgyear*$E91*(1-start_time)),IF($C91&lt;=start_time,-SUM(B165)*output_kgyear*$E91*percnt_var,-SUM(B165)*output_kgyear*$E91))))</f>
        <v/>
      </c>
      <c r="C212" s="205" t="str">
        <f t="shared" si="98"/>
        <v/>
      </c>
      <c r="D212" s="205" t="str">
        <f t="shared" si="98"/>
        <v/>
      </c>
      <c r="E212" s="232" t="str">
        <f t="shared" si="98"/>
        <v/>
      </c>
      <c r="F212" s="204" t="str">
        <f t="shared" si="98"/>
        <v/>
      </c>
      <c r="G212" s="205" t="str">
        <f t="shared" si="98"/>
        <v/>
      </c>
      <c r="H212" s="205" t="str">
        <f t="shared" si="98"/>
        <v/>
      </c>
      <c r="I212" s="232" t="str">
        <f t="shared" si="98"/>
        <v/>
      </c>
      <c r="J212" s="513" t="str">
        <f t="shared" si="98"/>
        <v/>
      </c>
      <c r="K212" s="230" t="str">
        <f t="shared" si="98"/>
        <v/>
      </c>
      <c r="L212" s="230" t="str">
        <f t="shared" si="98"/>
        <v/>
      </c>
      <c r="M212" s="205" t="str">
        <f t="shared" si="98"/>
        <v/>
      </c>
      <c r="N212" s="233" t="str">
        <f t="shared" si="98"/>
        <v/>
      </c>
    </row>
    <row r="213" spans="1:14" x14ac:dyDescent="0.25">
      <c r="A213" s="203" t="str">
        <f t="shared" si="72"/>
        <v/>
      </c>
      <c r="B213" s="205" t="str">
        <f t="shared" ref="B213:N213" si="99">IF($C92="","",IF($C92&lt;0,0,IF(AND($C92=1,start_time&lt;1),-(SUM(B166)*output_kgyear*$E92*percnt_var*start_time+SUM(B166)*output_kgyear*$E92*(1-start_time)),IF($C92&lt;=start_time,-SUM(B166)*output_kgyear*$E92*percnt_var,-SUM(B166)*output_kgyear*$E92))))</f>
        <v/>
      </c>
      <c r="C213" s="205" t="str">
        <f t="shared" si="99"/>
        <v/>
      </c>
      <c r="D213" s="205" t="str">
        <f t="shared" si="99"/>
        <v/>
      </c>
      <c r="E213" s="232" t="str">
        <f t="shared" si="99"/>
        <v/>
      </c>
      <c r="F213" s="204" t="str">
        <f t="shared" si="99"/>
        <v/>
      </c>
      <c r="G213" s="205" t="str">
        <f t="shared" si="99"/>
        <v/>
      </c>
      <c r="H213" s="205" t="str">
        <f t="shared" si="99"/>
        <v/>
      </c>
      <c r="I213" s="232" t="str">
        <f t="shared" si="99"/>
        <v/>
      </c>
      <c r="J213" s="513" t="str">
        <f t="shared" si="99"/>
        <v/>
      </c>
      <c r="K213" s="230" t="str">
        <f t="shared" si="99"/>
        <v/>
      </c>
      <c r="L213" s="230" t="str">
        <f t="shared" si="99"/>
        <v/>
      </c>
      <c r="M213" s="205" t="str">
        <f t="shared" si="99"/>
        <v/>
      </c>
      <c r="N213" s="233" t="str">
        <f t="shared" si="99"/>
        <v/>
      </c>
    </row>
    <row r="214" spans="1:14" x14ac:dyDescent="0.25">
      <c r="A214" s="203" t="str">
        <f t="shared" si="72"/>
        <v/>
      </c>
      <c r="B214" s="205" t="str">
        <f t="shared" ref="B214:N214" si="100">IF($C93="","",IF($C93&lt;0,0,IF(AND($C93=1,start_time&lt;1),-(SUM(B167)*output_kgyear*$E93*percnt_var*start_time+SUM(B167)*output_kgyear*$E93*(1-start_time)),IF($C93&lt;=start_time,-SUM(B167)*output_kgyear*$E93*percnt_var,-SUM(B167)*output_kgyear*$E93))))</f>
        <v/>
      </c>
      <c r="C214" s="205" t="str">
        <f t="shared" si="100"/>
        <v/>
      </c>
      <c r="D214" s="205" t="str">
        <f t="shared" si="100"/>
        <v/>
      </c>
      <c r="E214" s="232" t="str">
        <f t="shared" si="100"/>
        <v/>
      </c>
      <c r="F214" s="204" t="str">
        <f t="shared" si="100"/>
        <v/>
      </c>
      <c r="G214" s="205" t="str">
        <f t="shared" si="100"/>
        <v/>
      </c>
      <c r="H214" s="205" t="str">
        <f t="shared" si="100"/>
        <v/>
      </c>
      <c r="I214" s="232" t="str">
        <f t="shared" si="100"/>
        <v/>
      </c>
      <c r="J214" s="513" t="str">
        <f t="shared" si="100"/>
        <v/>
      </c>
      <c r="K214" s="230" t="str">
        <f t="shared" si="100"/>
        <v/>
      </c>
      <c r="L214" s="230" t="str">
        <f t="shared" si="100"/>
        <v/>
      </c>
      <c r="M214" s="205" t="str">
        <f t="shared" si="100"/>
        <v/>
      </c>
      <c r="N214" s="233" t="str">
        <f t="shared" si="100"/>
        <v/>
      </c>
    </row>
    <row r="215" spans="1:14" x14ac:dyDescent="0.25">
      <c r="A215" s="203" t="str">
        <f t="shared" si="72"/>
        <v/>
      </c>
      <c r="B215" s="205" t="str">
        <f t="shared" ref="B215:N215" si="101">IF($C94="","",IF($C94&lt;0,0,IF(AND($C94=1,start_time&lt;1),-(SUM(B168)*output_kgyear*$E94*percnt_var*start_time+SUM(B168)*output_kgyear*$E94*(1-start_time)),IF($C94&lt;=start_time,-SUM(B168)*output_kgyear*$E94*percnt_var,-SUM(B168)*output_kgyear*$E94))))</f>
        <v/>
      </c>
      <c r="C215" s="205" t="str">
        <f t="shared" si="101"/>
        <v/>
      </c>
      <c r="D215" s="205" t="str">
        <f t="shared" si="101"/>
        <v/>
      </c>
      <c r="E215" s="232" t="str">
        <f t="shared" si="101"/>
        <v/>
      </c>
      <c r="F215" s="204" t="str">
        <f t="shared" si="101"/>
        <v/>
      </c>
      <c r="G215" s="205" t="str">
        <f t="shared" si="101"/>
        <v/>
      </c>
      <c r="H215" s="205" t="str">
        <f t="shared" si="101"/>
        <v/>
      </c>
      <c r="I215" s="232" t="str">
        <f t="shared" si="101"/>
        <v/>
      </c>
      <c r="J215" s="513" t="str">
        <f t="shared" si="101"/>
        <v/>
      </c>
      <c r="K215" s="230" t="str">
        <f t="shared" si="101"/>
        <v/>
      </c>
      <c r="L215" s="230" t="str">
        <f t="shared" si="101"/>
        <v/>
      </c>
      <c r="M215" s="205" t="str">
        <f t="shared" si="101"/>
        <v/>
      </c>
      <c r="N215" s="233" t="str">
        <f t="shared" si="101"/>
        <v/>
      </c>
    </row>
    <row r="216" spans="1:14" x14ac:dyDescent="0.25">
      <c r="A216" s="203" t="str">
        <f t="shared" si="72"/>
        <v/>
      </c>
      <c r="B216" s="205" t="str">
        <f t="shared" ref="B216:N216" si="102">IF($C95="","",IF($C95&lt;0,0,IF(AND($C95=1,start_time&lt;1),-(SUM(B169)*output_kgyear*$E95*percnt_var*start_time+SUM(B169)*output_kgyear*$E95*(1-start_time)),IF($C95&lt;=start_time,-SUM(B169)*output_kgyear*$E95*percnt_var,-SUM(B169)*output_kgyear*$E95))))</f>
        <v/>
      </c>
      <c r="C216" s="205" t="str">
        <f t="shared" si="102"/>
        <v/>
      </c>
      <c r="D216" s="205" t="str">
        <f t="shared" si="102"/>
        <v/>
      </c>
      <c r="E216" s="232" t="str">
        <f t="shared" si="102"/>
        <v/>
      </c>
      <c r="F216" s="204" t="str">
        <f t="shared" si="102"/>
        <v/>
      </c>
      <c r="G216" s="205" t="str">
        <f t="shared" si="102"/>
        <v/>
      </c>
      <c r="H216" s="205" t="str">
        <f t="shared" si="102"/>
        <v/>
      </c>
      <c r="I216" s="232" t="str">
        <f t="shared" si="102"/>
        <v/>
      </c>
      <c r="J216" s="513" t="str">
        <f t="shared" si="102"/>
        <v/>
      </c>
      <c r="K216" s="230" t="str">
        <f t="shared" si="102"/>
        <v/>
      </c>
      <c r="L216" s="230" t="str">
        <f t="shared" si="102"/>
        <v/>
      </c>
      <c r="M216" s="205" t="str">
        <f t="shared" si="102"/>
        <v/>
      </c>
      <c r="N216" s="233" t="str">
        <f t="shared" si="102"/>
        <v/>
      </c>
    </row>
    <row r="217" spans="1:14" x14ac:dyDescent="0.25">
      <c r="A217" s="203" t="str">
        <f t="shared" si="72"/>
        <v/>
      </c>
      <c r="B217" s="205" t="str">
        <f t="shared" ref="B217:N217" si="103">IF($C96="","",IF($C96&lt;0,0,IF(AND($C96=1,start_time&lt;1),-(SUM(B170)*output_kgyear*$E96*percnt_var*start_time+SUM(B170)*output_kgyear*$E96*(1-start_time)),IF($C96&lt;=start_time,-SUM(B170)*output_kgyear*$E96*percnt_var,-SUM(B170)*output_kgyear*$E96))))</f>
        <v/>
      </c>
      <c r="C217" s="205" t="str">
        <f t="shared" si="103"/>
        <v/>
      </c>
      <c r="D217" s="205" t="str">
        <f t="shared" si="103"/>
        <v/>
      </c>
      <c r="E217" s="232" t="str">
        <f t="shared" si="103"/>
        <v/>
      </c>
      <c r="F217" s="204" t="str">
        <f t="shared" si="103"/>
        <v/>
      </c>
      <c r="G217" s="205" t="str">
        <f t="shared" si="103"/>
        <v/>
      </c>
      <c r="H217" s="205" t="str">
        <f t="shared" si="103"/>
        <v/>
      </c>
      <c r="I217" s="232" t="str">
        <f t="shared" si="103"/>
        <v/>
      </c>
      <c r="J217" s="513" t="str">
        <f t="shared" si="103"/>
        <v/>
      </c>
      <c r="K217" s="230" t="str">
        <f t="shared" si="103"/>
        <v/>
      </c>
      <c r="L217" s="230" t="str">
        <f t="shared" si="103"/>
        <v/>
      </c>
      <c r="M217" s="205" t="str">
        <f t="shared" si="103"/>
        <v/>
      </c>
      <c r="N217" s="233" t="str">
        <f t="shared" si="103"/>
        <v/>
      </c>
    </row>
    <row r="218" spans="1:14" x14ac:dyDescent="0.25">
      <c r="A218" s="203" t="str">
        <f t="shared" si="72"/>
        <v/>
      </c>
      <c r="B218" s="205" t="str">
        <f t="shared" ref="B218:N218" si="104">IF($C97="","",IF($C97&lt;0,0,IF(AND($C97=1,start_time&lt;1),-(SUM(B171)*output_kgyear*$E97*percnt_var*start_time+SUM(B171)*output_kgyear*$E97*(1-start_time)),IF($C97&lt;=start_time,-SUM(B171)*output_kgyear*$E97*percnt_var,-SUM(B171)*output_kgyear*$E97))))</f>
        <v/>
      </c>
      <c r="C218" s="205" t="str">
        <f t="shared" si="104"/>
        <v/>
      </c>
      <c r="D218" s="205" t="str">
        <f t="shared" si="104"/>
        <v/>
      </c>
      <c r="E218" s="232" t="str">
        <f t="shared" si="104"/>
        <v/>
      </c>
      <c r="F218" s="204" t="str">
        <f t="shared" si="104"/>
        <v/>
      </c>
      <c r="G218" s="205" t="str">
        <f t="shared" si="104"/>
        <v/>
      </c>
      <c r="H218" s="205" t="str">
        <f t="shared" si="104"/>
        <v/>
      </c>
      <c r="I218" s="232" t="str">
        <f t="shared" si="104"/>
        <v/>
      </c>
      <c r="J218" s="513" t="str">
        <f t="shared" si="104"/>
        <v/>
      </c>
      <c r="K218" s="230" t="str">
        <f t="shared" si="104"/>
        <v/>
      </c>
      <c r="L218" s="230" t="str">
        <f t="shared" si="104"/>
        <v/>
      </c>
      <c r="M218" s="205" t="str">
        <f t="shared" si="104"/>
        <v/>
      </c>
      <c r="N218" s="233" t="str">
        <f t="shared" si="104"/>
        <v/>
      </c>
    </row>
    <row r="219" spans="1:14" x14ac:dyDescent="0.25">
      <c r="A219" s="203" t="str">
        <f t="shared" si="72"/>
        <v/>
      </c>
      <c r="B219" s="205" t="str">
        <f t="shared" ref="B219:N219" si="105">IF($C98="","",IF($C98&lt;0,0,IF(AND($C98=1,start_time&lt;1),-(SUM(B172)*output_kgyear*$E98*percnt_var*start_time+SUM(B172)*output_kgyear*$E98*(1-start_time)),IF($C98&lt;=start_time,-SUM(B172)*output_kgyear*$E98*percnt_var,-SUM(B172)*output_kgyear*$E98))))</f>
        <v/>
      </c>
      <c r="C219" s="205" t="str">
        <f t="shared" si="105"/>
        <v/>
      </c>
      <c r="D219" s="205" t="str">
        <f t="shared" si="105"/>
        <v/>
      </c>
      <c r="E219" s="232" t="str">
        <f t="shared" si="105"/>
        <v/>
      </c>
      <c r="F219" s="204" t="str">
        <f t="shared" si="105"/>
        <v/>
      </c>
      <c r="G219" s="205" t="str">
        <f t="shared" si="105"/>
        <v/>
      </c>
      <c r="H219" s="205" t="str">
        <f t="shared" si="105"/>
        <v/>
      </c>
      <c r="I219" s="232" t="str">
        <f t="shared" si="105"/>
        <v/>
      </c>
      <c r="J219" s="513" t="str">
        <f t="shared" si="105"/>
        <v/>
      </c>
      <c r="K219" s="230" t="str">
        <f t="shared" si="105"/>
        <v/>
      </c>
      <c r="L219" s="230" t="str">
        <f t="shared" si="105"/>
        <v/>
      </c>
      <c r="M219" s="205" t="str">
        <f t="shared" si="105"/>
        <v/>
      </c>
      <c r="N219" s="233" t="str">
        <f t="shared" si="105"/>
        <v/>
      </c>
    </row>
    <row r="220" spans="1:14" x14ac:dyDescent="0.25">
      <c r="A220" s="203" t="str">
        <f t="shared" si="72"/>
        <v/>
      </c>
      <c r="B220" s="205" t="str">
        <f t="shared" ref="B220:N220" si="106">IF($C99="","",IF($C99&lt;0,0,IF(AND($C99=1,start_time&lt;1),-(SUM(B173)*output_kgyear*$E99*percnt_var*start_time+SUM(B173)*output_kgyear*$E99*(1-start_time)),IF($C99&lt;=start_time,-SUM(B173)*output_kgyear*$E99*percnt_var,-SUM(B173)*output_kgyear*$E99))))</f>
        <v/>
      </c>
      <c r="C220" s="205" t="str">
        <f t="shared" si="106"/>
        <v/>
      </c>
      <c r="D220" s="205" t="str">
        <f t="shared" si="106"/>
        <v/>
      </c>
      <c r="E220" s="232" t="str">
        <f t="shared" si="106"/>
        <v/>
      </c>
      <c r="F220" s="204" t="str">
        <f t="shared" si="106"/>
        <v/>
      </c>
      <c r="G220" s="205" t="str">
        <f t="shared" si="106"/>
        <v/>
      </c>
      <c r="H220" s="205" t="str">
        <f t="shared" si="106"/>
        <v/>
      </c>
      <c r="I220" s="232" t="str">
        <f t="shared" si="106"/>
        <v/>
      </c>
      <c r="J220" s="513" t="str">
        <f t="shared" si="106"/>
        <v/>
      </c>
      <c r="K220" s="230" t="str">
        <f t="shared" si="106"/>
        <v/>
      </c>
      <c r="L220" s="230" t="str">
        <f t="shared" si="106"/>
        <v/>
      </c>
      <c r="M220" s="205" t="str">
        <f t="shared" si="106"/>
        <v/>
      </c>
      <c r="N220" s="233" t="str">
        <f t="shared" si="106"/>
        <v/>
      </c>
    </row>
    <row r="221" spans="1:14" x14ac:dyDescent="0.25">
      <c r="A221" s="203" t="str">
        <f t="shared" si="72"/>
        <v/>
      </c>
      <c r="B221" s="205" t="str">
        <f t="shared" ref="B221:N221" si="107">IF($C100="","",IF($C100&lt;0,0,IF(AND($C100=1,start_time&lt;1),-(SUM(B174)*output_kgyear*$E100*percnt_var*start_time+SUM(B174)*output_kgyear*$E100*(1-start_time)),IF($C100&lt;=start_time,-SUM(B174)*output_kgyear*$E100*percnt_var,-SUM(B174)*output_kgyear*$E100))))</f>
        <v/>
      </c>
      <c r="C221" s="205" t="str">
        <f t="shared" si="107"/>
        <v/>
      </c>
      <c r="D221" s="205" t="str">
        <f t="shared" si="107"/>
        <v/>
      </c>
      <c r="E221" s="232" t="str">
        <f t="shared" si="107"/>
        <v/>
      </c>
      <c r="F221" s="204" t="str">
        <f t="shared" si="107"/>
        <v/>
      </c>
      <c r="G221" s="205" t="str">
        <f t="shared" si="107"/>
        <v/>
      </c>
      <c r="H221" s="205" t="str">
        <f t="shared" si="107"/>
        <v/>
      </c>
      <c r="I221" s="232" t="str">
        <f t="shared" si="107"/>
        <v/>
      </c>
      <c r="J221" s="513" t="str">
        <f t="shared" si="107"/>
        <v/>
      </c>
      <c r="K221" s="230" t="str">
        <f t="shared" si="107"/>
        <v/>
      </c>
      <c r="L221" s="230" t="str">
        <f t="shared" si="107"/>
        <v/>
      </c>
      <c r="M221" s="205" t="str">
        <f t="shared" si="107"/>
        <v/>
      </c>
      <c r="N221" s="233" t="str">
        <f t="shared" si="107"/>
        <v/>
      </c>
    </row>
    <row r="222" spans="1:14" x14ac:dyDescent="0.25">
      <c r="A222" s="203" t="str">
        <f t="shared" si="72"/>
        <v/>
      </c>
      <c r="B222" s="205" t="str">
        <f t="shared" ref="B222:N222" si="108">IF($C101="","",IF($C101&lt;0,0,IF(AND($C101=1,start_time&lt;1),-(SUM(B175)*output_kgyear*$E101*percnt_var*start_time+SUM(B175)*output_kgyear*$E101*(1-start_time)),IF($C101&lt;=start_time,-SUM(B175)*output_kgyear*$E101*percnt_var,-SUM(B175)*output_kgyear*$E101))))</f>
        <v/>
      </c>
      <c r="C222" s="205" t="str">
        <f t="shared" si="108"/>
        <v/>
      </c>
      <c r="D222" s="205" t="str">
        <f t="shared" si="108"/>
        <v/>
      </c>
      <c r="E222" s="232" t="str">
        <f t="shared" si="108"/>
        <v/>
      </c>
      <c r="F222" s="204" t="str">
        <f t="shared" si="108"/>
        <v/>
      </c>
      <c r="G222" s="205" t="str">
        <f t="shared" si="108"/>
        <v/>
      </c>
      <c r="H222" s="205" t="str">
        <f t="shared" si="108"/>
        <v/>
      </c>
      <c r="I222" s="232" t="str">
        <f t="shared" si="108"/>
        <v/>
      </c>
      <c r="J222" s="513" t="str">
        <f t="shared" si="108"/>
        <v/>
      </c>
      <c r="K222" s="230" t="str">
        <f t="shared" si="108"/>
        <v/>
      </c>
      <c r="L222" s="230" t="str">
        <f t="shared" si="108"/>
        <v/>
      </c>
      <c r="M222" s="205" t="str">
        <f t="shared" si="108"/>
        <v/>
      </c>
      <c r="N222" s="233" t="str">
        <f t="shared" si="108"/>
        <v/>
      </c>
    </row>
    <row r="223" spans="1:14" x14ac:dyDescent="0.25">
      <c r="A223" s="203" t="str">
        <f t="shared" si="72"/>
        <v/>
      </c>
      <c r="B223" s="205" t="str">
        <f t="shared" ref="B223:N223" si="109">IF($C102="","",IF($C102&lt;0,0,IF(AND($C102=1,start_time&lt;1),-(SUM(B176)*output_kgyear*$E102*percnt_var*start_time+SUM(B176)*output_kgyear*$E102*(1-start_time)),IF($C102&lt;=start_time,-SUM(B176)*output_kgyear*$E102*percnt_var,-SUM(B176)*output_kgyear*$E102))))</f>
        <v/>
      </c>
      <c r="C223" s="205" t="str">
        <f t="shared" si="109"/>
        <v/>
      </c>
      <c r="D223" s="205" t="str">
        <f t="shared" si="109"/>
        <v/>
      </c>
      <c r="E223" s="232" t="str">
        <f t="shared" si="109"/>
        <v/>
      </c>
      <c r="F223" s="204" t="str">
        <f t="shared" si="109"/>
        <v/>
      </c>
      <c r="G223" s="205" t="str">
        <f t="shared" si="109"/>
        <v/>
      </c>
      <c r="H223" s="205" t="str">
        <f t="shared" si="109"/>
        <v/>
      </c>
      <c r="I223" s="232" t="str">
        <f t="shared" si="109"/>
        <v/>
      </c>
      <c r="J223" s="513" t="str">
        <f t="shared" si="109"/>
        <v/>
      </c>
      <c r="K223" s="230" t="str">
        <f t="shared" si="109"/>
        <v/>
      </c>
      <c r="L223" s="230" t="str">
        <f t="shared" si="109"/>
        <v/>
      </c>
      <c r="M223" s="205" t="str">
        <f t="shared" si="109"/>
        <v/>
      </c>
      <c r="N223" s="233" t="str">
        <f t="shared" si="109"/>
        <v/>
      </c>
    </row>
    <row r="224" spans="1:14" x14ac:dyDescent="0.25">
      <c r="A224" s="203" t="str">
        <f t="shared" si="72"/>
        <v/>
      </c>
      <c r="B224" s="205" t="str">
        <f t="shared" ref="B224:N224" si="110">IF($C103="","",IF($C103&lt;0,0,IF(AND($C103=1,start_time&lt;1),-(SUM(B177)*output_kgyear*$E103*percnt_var*start_time+SUM(B177)*output_kgyear*$E103*(1-start_time)),IF($C103&lt;=start_time,-SUM(B177)*output_kgyear*$E103*percnt_var,-SUM(B177)*output_kgyear*$E103))))</f>
        <v/>
      </c>
      <c r="C224" s="205" t="str">
        <f t="shared" si="110"/>
        <v/>
      </c>
      <c r="D224" s="205" t="str">
        <f t="shared" si="110"/>
        <v/>
      </c>
      <c r="E224" s="232" t="str">
        <f t="shared" si="110"/>
        <v/>
      </c>
      <c r="F224" s="204" t="str">
        <f t="shared" si="110"/>
        <v/>
      </c>
      <c r="G224" s="205" t="str">
        <f t="shared" si="110"/>
        <v/>
      </c>
      <c r="H224" s="205" t="str">
        <f t="shared" si="110"/>
        <v/>
      </c>
      <c r="I224" s="232" t="str">
        <f t="shared" si="110"/>
        <v/>
      </c>
      <c r="J224" s="513" t="str">
        <f t="shared" si="110"/>
        <v/>
      </c>
      <c r="K224" s="230" t="str">
        <f t="shared" si="110"/>
        <v/>
      </c>
      <c r="L224" s="230" t="str">
        <f t="shared" si="110"/>
        <v/>
      </c>
      <c r="M224" s="205" t="str">
        <f t="shared" si="110"/>
        <v/>
      </c>
      <c r="N224" s="233" t="str">
        <f t="shared" si="110"/>
        <v/>
      </c>
    </row>
    <row r="225" spans="1:14" x14ac:dyDescent="0.25">
      <c r="A225" s="203" t="str">
        <f t="shared" si="72"/>
        <v/>
      </c>
      <c r="B225" s="205" t="str">
        <f t="shared" ref="B225:N225" si="111">IF($C104="","",IF($C104&lt;0,0,IF(AND($C104=1,start_time&lt;1),-(SUM(B178)*output_kgyear*$E104*percnt_var*start_time+SUM(B178)*output_kgyear*$E104*(1-start_time)),IF($C104&lt;=start_time,-SUM(B178)*output_kgyear*$E104*percnt_var,-SUM(B178)*output_kgyear*$E104))))</f>
        <v/>
      </c>
      <c r="C225" s="205" t="str">
        <f t="shared" si="111"/>
        <v/>
      </c>
      <c r="D225" s="205" t="str">
        <f t="shared" si="111"/>
        <v/>
      </c>
      <c r="E225" s="232" t="str">
        <f t="shared" si="111"/>
        <v/>
      </c>
      <c r="F225" s="204" t="str">
        <f t="shared" si="111"/>
        <v/>
      </c>
      <c r="G225" s="205" t="str">
        <f t="shared" si="111"/>
        <v/>
      </c>
      <c r="H225" s="205" t="str">
        <f t="shared" si="111"/>
        <v/>
      </c>
      <c r="I225" s="232" t="str">
        <f t="shared" si="111"/>
        <v/>
      </c>
      <c r="J225" s="513" t="str">
        <f t="shared" si="111"/>
        <v/>
      </c>
      <c r="K225" s="230" t="str">
        <f t="shared" si="111"/>
        <v/>
      </c>
      <c r="L225" s="230" t="str">
        <f t="shared" si="111"/>
        <v/>
      </c>
      <c r="M225" s="205" t="str">
        <f t="shared" si="111"/>
        <v/>
      </c>
      <c r="N225" s="233" t="str">
        <f t="shared" si="111"/>
        <v/>
      </c>
    </row>
    <row r="226" spans="1:14" x14ac:dyDescent="0.25">
      <c r="A226" s="203" t="str">
        <f t="shared" si="72"/>
        <v/>
      </c>
      <c r="B226" s="205" t="str">
        <f t="shared" ref="B226:N226" si="112">IF($C105="","",IF($C105&lt;0,0,IF(AND($C105=1,start_time&lt;1),-(SUM(B179)*output_kgyear*$E105*percnt_var*start_time+SUM(B179)*output_kgyear*$E105*(1-start_time)),IF($C105&lt;=start_time,-SUM(B179)*output_kgyear*$E105*percnt_var,-SUM(B179)*output_kgyear*$E105))))</f>
        <v/>
      </c>
      <c r="C226" s="205" t="str">
        <f t="shared" si="112"/>
        <v/>
      </c>
      <c r="D226" s="205" t="str">
        <f t="shared" si="112"/>
        <v/>
      </c>
      <c r="E226" s="232" t="str">
        <f t="shared" si="112"/>
        <v/>
      </c>
      <c r="F226" s="204" t="str">
        <f t="shared" si="112"/>
        <v/>
      </c>
      <c r="G226" s="205" t="str">
        <f t="shared" si="112"/>
        <v/>
      </c>
      <c r="H226" s="205" t="str">
        <f t="shared" si="112"/>
        <v/>
      </c>
      <c r="I226" s="232" t="str">
        <f t="shared" si="112"/>
        <v/>
      </c>
      <c r="J226" s="513" t="str">
        <f t="shared" si="112"/>
        <v/>
      </c>
      <c r="K226" s="230" t="str">
        <f t="shared" si="112"/>
        <v/>
      </c>
      <c r="L226" s="230" t="str">
        <f t="shared" si="112"/>
        <v/>
      </c>
      <c r="M226" s="205" t="str">
        <f t="shared" si="112"/>
        <v/>
      </c>
      <c r="N226" s="233" t="str">
        <f t="shared" si="112"/>
        <v/>
      </c>
    </row>
    <row r="227" spans="1:14" x14ac:dyDescent="0.25">
      <c r="A227" s="203" t="str">
        <f t="shared" si="72"/>
        <v/>
      </c>
      <c r="B227" s="205" t="str">
        <f t="shared" ref="B227:N227" si="113">IF($C106="","",IF($C106&lt;0,0,IF(AND($C106=1,start_time&lt;1),-(SUM(B180)*output_kgyear*$E106*percnt_var*start_time+SUM(B180)*output_kgyear*$E106*(1-start_time)),IF($C106&lt;=start_time,-SUM(B180)*output_kgyear*$E106*percnt_var,-SUM(B180)*output_kgyear*$E106))))</f>
        <v/>
      </c>
      <c r="C227" s="205" t="str">
        <f t="shared" si="113"/>
        <v/>
      </c>
      <c r="D227" s="205" t="str">
        <f t="shared" si="113"/>
        <v/>
      </c>
      <c r="E227" s="232" t="str">
        <f t="shared" si="113"/>
        <v/>
      </c>
      <c r="F227" s="204" t="str">
        <f t="shared" si="113"/>
        <v/>
      </c>
      <c r="G227" s="205" t="str">
        <f t="shared" si="113"/>
        <v/>
      </c>
      <c r="H227" s="205" t="str">
        <f t="shared" si="113"/>
        <v/>
      </c>
      <c r="I227" s="232" t="str">
        <f t="shared" si="113"/>
        <v/>
      </c>
      <c r="J227" s="513" t="str">
        <f t="shared" si="113"/>
        <v/>
      </c>
      <c r="K227" s="230" t="str">
        <f t="shared" si="113"/>
        <v/>
      </c>
      <c r="L227" s="230" t="str">
        <f t="shared" si="113"/>
        <v/>
      </c>
      <c r="M227" s="205" t="str">
        <f t="shared" si="113"/>
        <v/>
      </c>
      <c r="N227" s="233" t="str">
        <f t="shared" si="113"/>
        <v/>
      </c>
    </row>
    <row r="228" spans="1:14" x14ac:dyDescent="0.25">
      <c r="A228" s="203" t="str">
        <f t="shared" si="72"/>
        <v/>
      </c>
      <c r="B228" s="205" t="str">
        <f t="shared" ref="B228:N228" si="114">IF($C107="","",IF($C107&lt;0,0,IF(AND($C107=1,start_time&lt;1),-(SUM(B181)*output_kgyear*$E107*percnt_var*start_time+SUM(B181)*output_kgyear*$E107*(1-start_time)),IF($C107&lt;=start_time,-SUM(B181)*output_kgyear*$E107*percnt_var,-SUM(B181)*output_kgyear*$E107))))</f>
        <v/>
      </c>
      <c r="C228" s="205" t="str">
        <f t="shared" si="114"/>
        <v/>
      </c>
      <c r="D228" s="205" t="str">
        <f t="shared" si="114"/>
        <v/>
      </c>
      <c r="E228" s="232" t="str">
        <f t="shared" si="114"/>
        <v/>
      </c>
      <c r="F228" s="204" t="str">
        <f t="shared" si="114"/>
        <v/>
      </c>
      <c r="G228" s="205" t="str">
        <f t="shared" si="114"/>
        <v/>
      </c>
      <c r="H228" s="205" t="str">
        <f t="shared" si="114"/>
        <v/>
      </c>
      <c r="I228" s="232" t="str">
        <f t="shared" si="114"/>
        <v/>
      </c>
      <c r="J228" s="513" t="str">
        <f t="shared" si="114"/>
        <v/>
      </c>
      <c r="K228" s="230" t="str">
        <f t="shared" si="114"/>
        <v/>
      </c>
      <c r="L228" s="230" t="str">
        <f t="shared" si="114"/>
        <v/>
      </c>
      <c r="M228" s="205" t="str">
        <f t="shared" si="114"/>
        <v/>
      </c>
      <c r="N228" s="233" t="str">
        <f t="shared" si="114"/>
        <v/>
      </c>
    </row>
    <row r="229" spans="1:14" x14ac:dyDescent="0.25">
      <c r="A229" s="203" t="str">
        <f t="shared" si="72"/>
        <v/>
      </c>
      <c r="B229" s="205" t="str">
        <f t="shared" ref="B229:N229" si="115">IF($C108="","",IF($C108&lt;0,0,IF(AND($C108=1,start_time&lt;1),-(SUM(B182)*output_kgyear*$E108*percnt_var*start_time+SUM(B182)*output_kgyear*$E108*(1-start_time)),IF($C108&lt;=start_time,-SUM(B182)*output_kgyear*$E108*percnt_var,-SUM(B182)*output_kgyear*$E108))))</f>
        <v/>
      </c>
      <c r="C229" s="205" t="str">
        <f t="shared" si="115"/>
        <v/>
      </c>
      <c r="D229" s="205" t="str">
        <f t="shared" si="115"/>
        <v/>
      </c>
      <c r="E229" s="232" t="str">
        <f t="shared" si="115"/>
        <v/>
      </c>
      <c r="F229" s="204" t="str">
        <f t="shared" si="115"/>
        <v/>
      </c>
      <c r="G229" s="205" t="str">
        <f t="shared" si="115"/>
        <v/>
      </c>
      <c r="H229" s="205" t="str">
        <f t="shared" si="115"/>
        <v/>
      </c>
      <c r="I229" s="232" t="str">
        <f t="shared" si="115"/>
        <v/>
      </c>
      <c r="J229" s="513" t="str">
        <f t="shared" si="115"/>
        <v/>
      </c>
      <c r="K229" s="230" t="str">
        <f t="shared" si="115"/>
        <v/>
      </c>
      <c r="L229" s="230" t="str">
        <f t="shared" si="115"/>
        <v/>
      </c>
      <c r="M229" s="205" t="str">
        <f t="shared" si="115"/>
        <v/>
      </c>
      <c r="N229" s="233" t="str">
        <f t="shared" si="115"/>
        <v/>
      </c>
    </row>
    <row r="231" spans="1:14" x14ac:dyDescent="0.25">
      <c r="A231" s="205" t="s">
        <v>1170</v>
      </c>
      <c r="B231" s="205">
        <f ca="1">+B186+NPV($X$59,B187:B228)</f>
        <v>-3366581.7508818731</v>
      </c>
      <c r="C231" s="205">
        <f t="shared" ref="C231:N231" ca="1" si="116">+C186+NPV($X$59,C187:C228)</f>
        <v>-530179.8902952082</v>
      </c>
      <c r="D231" s="205">
        <f t="shared" ca="1" si="116"/>
        <v>0</v>
      </c>
      <c r="E231" s="205">
        <f t="shared" ca="1" si="116"/>
        <v>0</v>
      </c>
      <c r="F231" s="205">
        <f t="shared" ca="1" si="116"/>
        <v>0</v>
      </c>
      <c r="G231" s="205">
        <f t="shared" ca="1" si="116"/>
        <v>0</v>
      </c>
      <c r="H231" s="205">
        <f t="shared" ca="1" si="116"/>
        <v>0</v>
      </c>
      <c r="I231" s="205">
        <f t="shared" ca="1" si="116"/>
        <v>0</v>
      </c>
      <c r="J231" s="205">
        <f t="shared" ca="1" si="116"/>
        <v>0</v>
      </c>
      <c r="K231" s="205">
        <f t="shared" ca="1" si="116"/>
        <v>0</v>
      </c>
      <c r="L231" s="205">
        <f t="shared" ca="1" si="116"/>
        <v>0</v>
      </c>
      <c r="M231" s="205">
        <f t="shared" ca="1" si="116"/>
        <v>0</v>
      </c>
      <c r="N231" s="205">
        <f t="shared" ca="1" si="116"/>
        <v>0</v>
      </c>
    </row>
    <row r="232" spans="1:14" x14ac:dyDescent="0.25">
      <c r="A232" s="205" t="s">
        <v>1169</v>
      </c>
      <c r="B232" s="205">
        <f ca="1">-B231/$AE$116*(1+inflation_rate)^construct/INFLATION_FACTOR</f>
        <v>0.77744283163032823</v>
      </c>
      <c r="C232" s="205">
        <f t="shared" ref="C232:N232" ca="1" si="117">-C231/$AE$116*(1+inflation_rate)^construct/INFLATION_FACTOR</f>
        <v>0.12243414409187955</v>
      </c>
      <c r="D232" s="205">
        <f t="shared" ca="1" si="117"/>
        <v>0</v>
      </c>
      <c r="E232" s="205">
        <f t="shared" ca="1" si="117"/>
        <v>0</v>
      </c>
      <c r="F232" s="205">
        <f ca="1">-F231/$AE$116*(1+inflation_rate)^construct/INFLATION_FACTOR</f>
        <v>0</v>
      </c>
      <c r="G232" s="205">
        <f t="shared" ca="1" si="117"/>
        <v>0</v>
      </c>
      <c r="H232" s="205">
        <f t="shared" ca="1" si="117"/>
        <v>0</v>
      </c>
      <c r="I232" s="205">
        <f t="shared" ca="1" si="117"/>
        <v>0</v>
      </c>
      <c r="J232" s="205">
        <f t="shared" ca="1" si="117"/>
        <v>0</v>
      </c>
      <c r="K232" s="205">
        <f t="shared" ca="1" si="117"/>
        <v>0</v>
      </c>
      <c r="L232" s="205">
        <f t="shared" ca="1" si="117"/>
        <v>0</v>
      </c>
      <c r="M232" s="205">
        <f t="shared" ca="1" si="117"/>
        <v>0</v>
      </c>
      <c r="N232" s="205">
        <f t="shared" ca="1" si="117"/>
        <v>0</v>
      </c>
    </row>
    <row r="233" spans="1:14" x14ac:dyDescent="0.25">
      <c r="A233" s="205" t="s">
        <v>1171</v>
      </c>
      <c r="B233" s="205">
        <f ca="1">IF(B132&gt;0,B232/B133*(1+inflation_rate)^construct,"")</f>
        <v>5.0849129469196352</v>
      </c>
      <c r="C233" s="205">
        <f t="shared" ref="C233:N233" ca="1" si="118">IF(C132&gt;0,C232/C133*(1+inflation_rate)^construct,"")</f>
        <v>0.11239675029695968</v>
      </c>
      <c r="D233" s="205" t="str">
        <f t="shared" si="118"/>
        <v/>
      </c>
      <c r="E233" s="205" t="str">
        <f t="shared" si="118"/>
        <v/>
      </c>
      <c r="F233" s="205" t="str">
        <f t="shared" si="118"/>
        <v/>
      </c>
      <c r="G233" s="205" t="str">
        <f t="shared" si="118"/>
        <v/>
      </c>
      <c r="H233" s="205" t="str">
        <f t="shared" si="118"/>
        <v/>
      </c>
      <c r="I233" s="205" t="str">
        <f t="shared" si="118"/>
        <v/>
      </c>
      <c r="J233" s="205" t="str">
        <f t="shared" si="118"/>
        <v/>
      </c>
      <c r="K233" s="205" t="str">
        <f t="shared" si="118"/>
        <v/>
      </c>
      <c r="L233" s="205" t="str">
        <f t="shared" si="118"/>
        <v/>
      </c>
      <c r="M233" s="205" t="str">
        <f t="shared" si="118"/>
        <v/>
      </c>
      <c r="N233" s="205" t="str">
        <f t="shared" si="118"/>
        <v/>
      </c>
    </row>
    <row r="279" spans="1:5" x14ac:dyDescent="0.25">
      <c r="A279" s="51" t="s">
        <v>192</v>
      </c>
    </row>
    <row r="280" spans="1:5" x14ac:dyDescent="0.25">
      <c r="A280" s="51" t="s">
        <v>1034</v>
      </c>
      <c r="B280" s="51" t="s">
        <v>626</v>
      </c>
      <c r="C280" s="51" t="s">
        <v>193</v>
      </c>
      <c r="D280" s="51" t="s">
        <v>194</v>
      </c>
      <c r="E280" s="51" t="s">
        <v>195</v>
      </c>
    </row>
    <row r="281" spans="1:5" x14ac:dyDescent="0.25">
      <c r="A281" s="51" t="str">
        <f>'HyARC Physical Property Data'!A76</f>
        <v>Commercial Electricity</v>
      </c>
      <c r="B281" s="51">
        <f ca="1">VLOOKUP(A281,MASTER_PROPERTY_TABLE,9,FALSE)</f>
        <v>3.5999999999999995E-3</v>
      </c>
      <c r="C281" s="51">
        <f ca="1">MATCH(startup_year,Feedstock_Year,0)</f>
        <v>19</v>
      </c>
      <c r="D281" s="51">
        <f ca="1">VLOOKUP(A281,FEEDPRICETABLE,C281,FALSE)</f>
        <v>29.932211922183079</v>
      </c>
      <c r="E281" s="51">
        <f ca="1">B281*D281</f>
        <v>0.10775596291985907</v>
      </c>
    </row>
    <row r="282" spans="1:5" x14ac:dyDescent="0.25">
      <c r="A282" s="51" t="str">
        <f>'HyARC Physical Property Data'!A77</f>
        <v>Industrial Electricity</v>
      </c>
      <c r="B282" s="51">
        <f ca="1">VLOOKUP(A282,MASTER_PROPERTY_TABLE,9,FALSE)</f>
        <v>3.5999999999999995E-3</v>
      </c>
      <c r="C282" s="51">
        <f ca="1">MATCH(startup_year,Feedstock_Year,0)+2</f>
        <v>21</v>
      </c>
      <c r="D282" s="51">
        <f ca="1">VLOOKUP(A282,FEEDPRICETABLE,C282,FALSE)</f>
        <v>19.537493744407882</v>
      </c>
      <c r="E282" s="51">
        <f ca="1">B282*D282</f>
        <v>7.033497747986836E-2</v>
      </c>
    </row>
  </sheetData>
  <mergeCells count="2">
    <mergeCell ref="D15:E15"/>
    <mergeCell ref="W53:X53"/>
  </mergeCells>
  <phoneticPr fontId="0" type="noConversion"/>
  <hyperlinks>
    <hyperlink ref="A3" location="'Cash Flow Analysis'!A16" display="DCF Calculations" xr:uid="{00000000-0004-0000-0A00-000000000000}"/>
    <hyperlink ref="A4" location="'Cash Flow Analysis'!A64" display="Yearly Cash Flow Calculations" xr:uid="{00000000-0004-0000-0A00-000001000000}"/>
    <hyperlink ref="A5" location="'Cash Flow Analysis'!A118" display="Specific Item Cost Calculation" xr:uid="{00000000-0004-0000-0A00-000002000000}"/>
    <hyperlink ref="A6" location="'Cash Flow Analysis'!A130" display="Feedstock, Utility, and Byproduct Cost Information" xr:uid="{00000000-0004-0000-0A00-000003000000}"/>
  </hyperlinks>
  <pageMargins left="0.75" right="0.75" top="1" bottom="1" header="0.5" footer="0.5"/>
  <pageSetup scale="84" fitToHeight="0" orientation="landscape" horizontalDpi="4294967292" verticalDpi="4294967292" r:id="rId1"/>
  <headerFooter alignWithMargins="0">
    <oddHeader>&amp;LU:\Files To Back Up\IPHE Collaboration\H2A Cases for IPHE\Case 3 current central biomass gasification pipeline\h2a_central_biomass_gasification_current_final.xls&amp;R&amp;D</oddHeader>
    <oddFooter>&amp;CPage 5 of 6</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indexed="51"/>
  </sheetPr>
  <dimension ref="A3:DB310"/>
  <sheetViews>
    <sheetView topLeftCell="A94" workbookViewId="0">
      <selection activeCell="A137" sqref="A137:CZ137"/>
    </sheetView>
  </sheetViews>
  <sheetFormatPr defaultRowHeight="13.2" x14ac:dyDescent="0.25"/>
  <cols>
    <col min="1" max="1" width="30.33203125" customWidth="1"/>
    <col min="2" max="2" width="18.6640625" customWidth="1"/>
    <col min="3" max="3" width="11.33203125" customWidth="1"/>
    <col min="5" max="5" width="12.6640625" customWidth="1"/>
    <col min="6" max="6" width="12.44140625" customWidth="1"/>
    <col min="7" max="7" width="11.6640625" customWidth="1"/>
  </cols>
  <sheetData>
    <row r="3" spans="1:104" ht="13.8" thickBot="1" x14ac:dyDescent="0.3">
      <c r="BW3" s="1078" t="s">
        <v>1200</v>
      </c>
      <c r="BX3" s="1078"/>
      <c r="BY3" s="1078"/>
      <c r="BZ3" s="1078"/>
      <c r="CA3" s="1078"/>
      <c r="CB3" s="1078"/>
      <c r="CC3" s="1078"/>
      <c r="CD3" s="1078"/>
    </row>
    <row r="4" spans="1:104" ht="13.8" thickTop="1" x14ac:dyDescent="0.25">
      <c r="A4" s="719" t="s">
        <v>1097</v>
      </c>
      <c r="B4" s="720" t="str">
        <f>"Prices are in $(" &amp; ref_year&amp;")/GJ LHV"</f>
        <v>Prices are in $(2016)/GJ LHV</v>
      </c>
      <c r="C4" s="721"/>
      <c r="D4" s="721"/>
      <c r="E4" s="721"/>
      <c r="F4" s="721"/>
      <c r="G4" s="721"/>
      <c r="H4" s="721"/>
      <c r="I4" s="721"/>
      <c r="J4" s="721"/>
      <c r="K4" s="721"/>
      <c r="L4" s="721"/>
      <c r="M4" s="721"/>
      <c r="N4" s="721"/>
      <c r="O4" s="721"/>
      <c r="P4" s="721"/>
      <c r="Q4" s="721"/>
      <c r="R4" s="721"/>
      <c r="S4" s="721"/>
      <c r="T4" s="721"/>
      <c r="U4" s="721"/>
      <c r="V4" s="721"/>
      <c r="W4" s="721"/>
      <c r="X4" s="721"/>
      <c r="Y4" s="721"/>
      <c r="Z4" s="721"/>
      <c r="AA4" s="721"/>
      <c r="AB4" s="721"/>
      <c r="AC4" s="721"/>
      <c r="AD4" s="721"/>
      <c r="AE4" s="721"/>
      <c r="AF4" s="721"/>
      <c r="AG4" s="721"/>
      <c r="AH4" s="734" t="s">
        <v>761</v>
      </c>
      <c r="AI4" s="735"/>
      <c r="AJ4" s="735"/>
      <c r="AK4" s="735"/>
      <c r="AL4" s="735"/>
      <c r="AM4" s="735"/>
      <c r="AN4" s="735"/>
      <c r="AO4" s="735"/>
      <c r="AP4" s="735"/>
      <c r="AQ4" s="735"/>
      <c r="AR4" s="735"/>
      <c r="AS4" s="735"/>
      <c r="AT4" s="735"/>
      <c r="AU4" s="735"/>
      <c r="AV4" s="735"/>
      <c r="AW4" s="735"/>
      <c r="AX4" s="735"/>
      <c r="AY4" s="735"/>
      <c r="AZ4" s="735"/>
      <c r="BA4" s="735"/>
      <c r="BB4" s="735"/>
      <c r="BC4" s="735"/>
      <c r="BD4" s="735"/>
      <c r="BE4" s="735"/>
      <c r="BF4" s="735"/>
      <c r="BG4" s="735"/>
      <c r="BH4" s="735"/>
      <c r="BI4" s="735"/>
      <c r="BJ4" s="735"/>
      <c r="BK4" s="735"/>
      <c r="BL4" s="735"/>
      <c r="BM4" s="735"/>
      <c r="BN4" s="735"/>
      <c r="BO4" s="735"/>
      <c r="BP4" s="735"/>
      <c r="BQ4" s="735"/>
      <c r="BR4" s="735"/>
      <c r="BS4" s="735"/>
      <c r="BT4" s="735"/>
      <c r="BU4" s="735"/>
      <c r="BV4" s="736"/>
    </row>
    <row r="5" spans="1:104" ht="40.200000000000003" thickBot="1" x14ac:dyDescent="0.3">
      <c r="A5" s="739" t="s">
        <v>1066</v>
      </c>
      <c r="B5" s="740" t="s">
        <v>667</v>
      </c>
      <c r="C5" s="740" t="s">
        <v>668</v>
      </c>
      <c r="D5" s="740" t="s">
        <v>679</v>
      </c>
      <c r="E5" s="740" t="s">
        <v>680</v>
      </c>
      <c r="F5" s="741" t="s">
        <v>669</v>
      </c>
      <c r="G5" s="741" t="s">
        <v>681</v>
      </c>
      <c r="H5" s="741">
        <v>2004</v>
      </c>
      <c r="I5" s="741">
        <v>2005</v>
      </c>
      <c r="J5" s="741">
        <v>2006</v>
      </c>
      <c r="K5" s="741">
        <v>2007</v>
      </c>
      <c r="L5" s="741">
        <v>2008</v>
      </c>
      <c r="M5" s="741">
        <v>2009</v>
      </c>
      <c r="N5" s="741">
        <v>2010</v>
      </c>
      <c r="O5" s="741">
        <v>2011</v>
      </c>
      <c r="P5" s="741">
        <v>2012</v>
      </c>
      <c r="Q5" s="741">
        <v>2013</v>
      </c>
      <c r="R5" s="741">
        <v>2014</v>
      </c>
      <c r="S5" s="741">
        <v>2015</v>
      </c>
      <c r="T5" s="741">
        <v>2016</v>
      </c>
      <c r="U5" s="741">
        <v>2017</v>
      </c>
      <c r="V5" s="741">
        <v>2018</v>
      </c>
      <c r="W5" s="741">
        <v>2019</v>
      </c>
      <c r="X5" s="741">
        <v>2020</v>
      </c>
      <c r="Y5" s="741">
        <v>2021</v>
      </c>
      <c r="Z5" s="741">
        <v>2022</v>
      </c>
      <c r="AA5" s="741">
        <v>2023</v>
      </c>
      <c r="AB5" s="741">
        <v>2024</v>
      </c>
      <c r="AC5" s="741">
        <v>2025</v>
      </c>
      <c r="AD5" s="741">
        <v>2026</v>
      </c>
      <c r="AE5" s="741">
        <v>2027</v>
      </c>
      <c r="AF5" s="741">
        <v>2028</v>
      </c>
      <c r="AG5" s="741">
        <v>2029</v>
      </c>
      <c r="AH5" s="741">
        <v>2030</v>
      </c>
      <c r="AI5" s="741">
        <v>2031</v>
      </c>
      <c r="AJ5" s="741">
        <v>2032</v>
      </c>
      <c r="AK5" s="741">
        <v>2033</v>
      </c>
      <c r="AL5" s="741">
        <v>2034</v>
      </c>
      <c r="AM5" s="741">
        <v>2035</v>
      </c>
      <c r="AN5" s="741">
        <v>2036</v>
      </c>
      <c r="AO5" s="741">
        <v>2037</v>
      </c>
      <c r="AP5" s="741">
        <v>2038</v>
      </c>
      <c r="AQ5" s="741">
        <v>2039</v>
      </c>
      <c r="AR5" s="741">
        <v>2040</v>
      </c>
      <c r="AS5" s="741">
        <v>2041</v>
      </c>
      <c r="AT5" s="741">
        <v>2042</v>
      </c>
      <c r="AU5" s="741">
        <v>2043</v>
      </c>
      <c r="AV5" s="741">
        <v>2044</v>
      </c>
      <c r="AW5" s="741">
        <v>2045</v>
      </c>
      <c r="AX5" s="741">
        <v>2046</v>
      </c>
      <c r="AY5" s="741">
        <v>2047</v>
      </c>
      <c r="AZ5" s="741">
        <v>2048</v>
      </c>
      <c r="BA5" s="741">
        <v>2049</v>
      </c>
      <c r="BB5" s="741">
        <v>2050</v>
      </c>
      <c r="BC5" s="741">
        <v>2051</v>
      </c>
      <c r="BD5" s="741">
        <v>2052</v>
      </c>
      <c r="BE5" s="741">
        <v>2053</v>
      </c>
      <c r="BF5" s="741">
        <v>2054</v>
      </c>
      <c r="BG5" s="741">
        <v>2055</v>
      </c>
      <c r="BH5" s="741">
        <v>2056</v>
      </c>
      <c r="BI5" s="741">
        <v>2057</v>
      </c>
      <c r="BJ5" s="741">
        <v>2058</v>
      </c>
      <c r="BK5" s="741">
        <v>2059</v>
      </c>
      <c r="BL5" s="741">
        <v>2060</v>
      </c>
      <c r="BM5" s="741">
        <v>2061</v>
      </c>
      <c r="BN5" s="741">
        <v>2062</v>
      </c>
      <c r="BO5" s="741">
        <v>2063</v>
      </c>
      <c r="BP5" s="741">
        <v>2064</v>
      </c>
      <c r="BQ5" s="741">
        <v>2065</v>
      </c>
      <c r="BR5" s="741">
        <v>2066</v>
      </c>
      <c r="BS5" s="741">
        <v>2067</v>
      </c>
      <c r="BT5" s="741">
        <v>2068</v>
      </c>
      <c r="BU5" s="741">
        <v>2069</v>
      </c>
      <c r="BV5" s="742">
        <v>2070</v>
      </c>
      <c r="BW5" s="1078">
        <f t="shared" ref="BW5" si="0">+BV5+1</f>
        <v>2071</v>
      </c>
      <c r="BX5" s="1078">
        <f t="shared" ref="BX5" si="1">+BW5+1</f>
        <v>2072</v>
      </c>
      <c r="BY5" s="1078">
        <f t="shared" ref="BY5" si="2">+BX5+1</f>
        <v>2073</v>
      </c>
      <c r="BZ5" s="1078">
        <f t="shared" ref="BZ5" si="3">+BY5+1</f>
        <v>2074</v>
      </c>
      <c r="CA5" s="1078">
        <f t="shared" ref="CA5" si="4">+BZ5+1</f>
        <v>2075</v>
      </c>
      <c r="CB5" s="1078">
        <f t="shared" ref="CB5" si="5">+CA5+1</f>
        <v>2076</v>
      </c>
      <c r="CC5" s="1078">
        <f t="shared" ref="CC5" si="6">+CB5+1</f>
        <v>2077</v>
      </c>
      <c r="CD5" s="1078">
        <f t="shared" ref="CD5" si="7">+CC5+1</f>
        <v>2078</v>
      </c>
      <c r="CE5" s="1078">
        <f t="shared" ref="CE5" si="8">+CD5+1</f>
        <v>2079</v>
      </c>
      <c r="CF5" s="1078">
        <f t="shared" ref="CF5" si="9">+CE5+1</f>
        <v>2080</v>
      </c>
      <c r="CG5" s="1078">
        <f t="shared" ref="CG5" si="10">+CF5+1</f>
        <v>2081</v>
      </c>
      <c r="CH5" s="1078">
        <f t="shared" ref="CH5" si="11">+CG5+1</f>
        <v>2082</v>
      </c>
      <c r="CI5" s="1078">
        <f t="shared" ref="CI5" si="12">+CH5+1</f>
        <v>2083</v>
      </c>
      <c r="CJ5" s="1078">
        <f t="shared" ref="CJ5" si="13">+CI5+1</f>
        <v>2084</v>
      </c>
      <c r="CK5" s="1078">
        <f t="shared" ref="CK5" si="14">+CJ5+1</f>
        <v>2085</v>
      </c>
      <c r="CL5" s="1078">
        <f t="shared" ref="CL5" si="15">+CK5+1</f>
        <v>2086</v>
      </c>
      <c r="CM5" s="1078">
        <f t="shared" ref="CM5" si="16">+CL5+1</f>
        <v>2087</v>
      </c>
      <c r="CN5" s="1078">
        <f t="shared" ref="CN5" si="17">+CM5+1</f>
        <v>2088</v>
      </c>
      <c r="CO5" s="1078">
        <f t="shared" ref="CO5" si="18">+CN5+1</f>
        <v>2089</v>
      </c>
      <c r="CP5" s="1078">
        <f t="shared" ref="CP5" si="19">+CO5+1</f>
        <v>2090</v>
      </c>
      <c r="CQ5" s="1078">
        <f t="shared" ref="CQ5" si="20">+CP5+1</f>
        <v>2091</v>
      </c>
      <c r="CR5" s="1078">
        <f t="shared" ref="CR5" si="21">+CQ5+1</f>
        <v>2092</v>
      </c>
      <c r="CS5" s="1078">
        <f t="shared" ref="CS5" si="22">+CR5+1</f>
        <v>2093</v>
      </c>
      <c r="CT5" s="1078">
        <f t="shared" ref="CT5" si="23">+CS5+1</f>
        <v>2094</v>
      </c>
      <c r="CU5" s="1078">
        <f t="shared" ref="CU5" si="24">+CT5+1</f>
        <v>2095</v>
      </c>
      <c r="CV5" s="1078">
        <f t="shared" ref="CV5" si="25">+CU5+1</f>
        <v>2096</v>
      </c>
      <c r="CW5" s="1078">
        <f t="shared" ref="CW5" si="26">+CV5+1</f>
        <v>2097</v>
      </c>
      <c r="CX5" s="1078">
        <f t="shared" ref="CX5" si="27">+CW5+1</f>
        <v>2098</v>
      </c>
      <c r="CY5" s="1078">
        <f t="shared" ref="CY5" si="28">+CX5+1</f>
        <v>2099</v>
      </c>
      <c r="CZ5" s="1078">
        <f t="shared" ref="CZ5" si="29">+CY5+1</f>
        <v>2100</v>
      </c>
    </row>
    <row r="6" spans="1:104" ht="13.8" thickBot="1" x14ac:dyDescent="0.3">
      <c r="A6" s="800" t="s">
        <v>1072</v>
      </c>
      <c r="B6" s="801"/>
      <c r="C6" s="801"/>
      <c r="D6" s="801"/>
      <c r="E6" s="801"/>
      <c r="F6" s="723"/>
      <c r="G6" s="801"/>
      <c r="H6" s="801"/>
      <c r="I6" s="801"/>
      <c r="J6" s="801"/>
      <c r="K6" s="801"/>
      <c r="L6" s="801"/>
      <c r="M6" s="801"/>
      <c r="N6" s="801"/>
      <c r="O6" s="801"/>
      <c r="P6" s="801"/>
      <c r="Q6" s="801"/>
      <c r="R6" s="801"/>
      <c r="S6" s="801"/>
      <c r="T6" s="801"/>
      <c r="U6" s="801"/>
      <c r="V6" s="801"/>
      <c r="W6" s="801"/>
      <c r="X6" s="801"/>
      <c r="Y6" s="801"/>
      <c r="Z6" s="801"/>
      <c r="AA6" s="801"/>
      <c r="AB6" s="801"/>
      <c r="AC6" s="801"/>
      <c r="AD6" s="801"/>
      <c r="AE6" s="801"/>
      <c r="AF6" s="801"/>
      <c r="AG6" s="801"/>
      <c r="AH6" s="801"/>
      <c r="AI6" s="801"/>
      <c r="AJ6" s="801"/>
      <c r="AK6" s="801"/>
      <c r="AL6" s="801"/>
      <c r="AM6" s="801"/>
      <c r="AN6" s="801"/>
      <c r="AO6" s="801"/>
      <c r="AP6" s="801"/>
      <c r="AQ6" s="801"/>
      <c r="AR6" s="801"/>
      <c r="AS6" s="801"/>
      <c r="AT6" s="801"/>
      <c r="AU6" s="801"/>
      <c r="AV6" s="801"/>
      <c r="AW6" s="801"/>
      <c r="AX6" s="801"/>
      <c r="AY6" s="801"/>
      <c r="AZ6" s="801"/>
      <c r="BA6" s="801"/>
      <c r="BC6" s="801"/>
      <c r="BD6" s="801"/>
      <c r="BE6" s="801"/>
      <c r="BF6" s="801"/>
      <c r="BG6" s="801"/>
      <c r="BH6" s="801"/>
      <c r="BI6" s="801"/>
      <c r="BJ6" s="801"/>
      <c r="BK6" s="801"/>
      <c r="BL6" s="801"/>
      <c r="BM6" s="801"/>
      <c r="BN6" s="801"/>
      <c r="BO6" s="801"/>
      <c r="BP6" s="801"/>
      <c r="BR6" s="801"/>
      <c r="BS6" s="801"/>
      <c r="BT6" s="801"/>
      <c r="BU6" s="801"/>
    </row>
    <row r="7" spans="1:104" x14ac:dyDescent="0.25">
      <c r="A7" s="817" t="str">
        <f>'HyARC Physical Property Data'!A73</f>
        <v>Residential Natural Gas</v>
      </c>
      <c r="B7" s="801">
        <v>2007</v>
      </c>
      <c r="C7" s="802">
        <f>VLOOKUP(ref_year,DeflatorTable,2,FALSE)/VLOOKUP(B7,DeflatorTable,2,FALSE)</f>
        <v>1.1413971588333081</v>
      </c>
      <c r="D7" s="817" t="str">
        <f>'HyARC Physical Property Data'!H73</f>
        <v>mmBtu</v>
      </c>
      <c r="E7" s="802" t="s">
        <v>1040</v>
      </c>
      <c r="F7" s="801">
        <f>'HyARC Physical Property Data'!$E$6</f>
        <v>47.141269049911173</v>
      </c>
      <c r="G7" s="801">
        <f>'HyARC Physical Property Data'!$I$6</f>
        <v>52.224661236371581</v>
      </c>
      <c r="H7" s="801">
        <f>((13.7000589370728/(mmBTU_to_GJ))*($C$7))*($G$7/$F$7)</f>
        <v>16.420301417436011</v>
      </c>
      <c r="I7" s="801">
        <f>((13.7000589370728/(mmBTU_to_GJ))*($C$7))*($G$7/$F$7)</f>
        <v>16.420301417436011</v>
      </c>
      <c r="J7" s="801">
        <f>((13.7000589370728/(mmBTU_to_GJ))*($C$7))*($G$7/$F$7)</f>
        <v>16.420301417436011</v>
      </c>
      <c r="K7" s="801">
        <f>((12.6911582946777/(mmBTU_to_GJ))*($C$7))*($G$7/$F$7)</f>
        <v>15.211076499173579</v>
      </c>
      <c r="L7" s="801">
        <f>((12.9778490066528/(mmBTU_to_GJ))*($C$7))*($G$7/$F$7)</f>
        <v>15.55469165629321</v>
      </c>
      <c r="M7" s="801">
        <f>((10.7176141738892/(mmBTU_to_GJ))*($C$7))*($G$7/$F$7)</f>
        <v>12.845671395968969</v>
      </c>
      <c r="N7" s="801">
        <f>((11.192774772644/(mmBTU_to_GJ))*($C$7))*($G$7/$F$7)</f>
        <v>13.415178453499211</v>
      </c>
      <c r="O7" s="801">
        <f>((11.4872808456421/(mmBTU_to_GJ))*($C$7))*($G$7/$F$7)</f>
        <v>13.768160766210887</v>
      </c>
      <c r="P7" s="801">
        <f>((11.3991556167603/(mmBTU_to_GJ))*($C$7))*($G$7/$F$7)</f>
        <v>13.662537657042796</v>
      </c>
      <c r="Q7" s="801">
        <f>((11.3077983856201/(mmBTU_to_GJ))*($C$7))*($G$7/$F$7)</f>
        <v>13.553040808972668</v>
      </c>
      <c r="R7" s="801">
        <f>((11.2896461486816/(mmBTU_to_GJ))*($C$7))*($G$7/$F$7)</f>
        <v>13.531284318486023</v>
      </c>
      <c r="S7" s="801">
        <f>((11.3454151153564/(mmBTU_to_GJ))*($C$7))*($G$7/$F$7)</f>
        <v>13.598126603380225</v>
      </c>
      <c r="T7" s="801">
        <f>((11.5382986068726/(mmBTU_to_GJ))*($C$7))*($G$7/$F$7)</f>
        <v>13.829308460603693</v>
      </c>
      <c r="U7" s="801">
        <f>((11.7583208084106/(mmBTU_to_GJ))*($C$7))*($G$7/$F$7)</f>
        <v>14.093017608453076</v>
      </c>
      <c r="V7" s="801">
        <f>((11.9751005172729/(mmBTU_to_GJ))*($C$7))*($G$7/$F$7)</f>
        <v>14.352840444037428</v>
      </c>
      <c r="W7" s="801">
        <f>((12.23952293396/(mmBTU_to_GJ))*($C$7))*($G$7/$F$7)</f>
        <v>14.669765780159871</v>
      </c>
      <c r="X7" s="801">
        <f>((12.557071685791/(mmBTU_to_GJ))*($C$7))*($G$7/$F$7)</f>
        <v>15.050366056680263</v>
      </c>
      <c r="Y7" s="801">
        <f>((12.7957820892334/(mmBTU_to_GJ))*($C$7))*($G$7/$F$7)</f>
        <v>15.336474079573154</v>
      </c>
      <c r="Z7" s="801">
        <f>((12.8716516494751/(mmBTU_to_GJ))*($C$7))*($G$7/$F$7)</f>
        <v>15.427408071412112</v>
      </c>
      <c r="AA7" s="801">
        <f>((12.6602811813354/(mmBTU_to_GJ))*($C$7))*($G$7/$F$7)</f>
        <v>15.174068519112346</v>
      </c>
      <c r="AB7" s="801">
        <f>((12.6240320205688/(mmBTU_to_GJ))*($C$7))*($G$7/$F$7)</f>
        <v>15.130621834054226</v>
      </c>
      <c r="AC7" s="801">
        <f>((12.5992183685303/(mmBTU_to_GJ))*($C$7))*($G$7/$F$7)</f>
        <v>15.100881257928895</v>
      </c>
      <c r="AD7" s="801">
        <f>((12.7868556976318/(mmBTU_to_GJ))*($C$7))*($G$7/$F$7)</f>
        <v>15.325775290513809</v>
      </c>
      <c r="AE7" s="801">
        <f>((13.07555103302/(mmBTU_to_GJ))*($C$7))*($G$7/$F$7)</f>
        <v>15.671793103039724</v>
      </c>
      <c r="AF7" s="801">
        <f>((13.407883644104/(mmBTU_to_GJ))*($C$7))*($G$7/$F$7)</f>
        <v>16.070112677423158</v>
      </c>
      <c r="AG7" s="801">
        <f>((13.6725673675537/(mmBTU_to_GJ))*($C$7))*($G$7/$F$7)</f>
        <v>16.387351204592733</v>
      </c>
      <c r="AH7" s="801">
        <f>((13.9620389938354/(mmBTU_to_GJ))*($C$7))*($G$7/$F$7)</f>
        <v>16.734299445996175</v>
      </c>
      <c r="AI7" s="801">
        <f>($BB7-$AH7)/20+AH7</f>
        <v>16.876364426263383</v>
      </c>
      <c r="AJ7" s="801">
        <f t="shared" ref="AJ7:AY10" si="30">($BB7-$AH7)/20+AI7</f>
        <v>17.01842940653059</v>
      </c>
      <c r="AK7" s="801">
        <f t="shared" si="30"/>
        <v>17.160494386797797</v>
      </c>
      <c r="AL7" s="801">
        <f t="shared" si="30"/>
        <v>17.302559367065005</v>
      </c>
      <c r="AM7" s="801">
        <f t="shared" si="30"/>
        <v>17.444624347332212</v>
      </c>
      <c r="AN7" s="801">
        <f t="shared" si="30"/>
        <v>17.586689327599419</v>
      </c>
      <c r="AO7" s="801">
        <f t="shared" si="30"/>
        <v>17.728754307866627</v>
      </c>
      <c r="AP7" s="801">
        <f t="shared" si="30"/>
        <v>17.870819288133834</v>
      </c>
      <c r="AQ7" s="801">
        <f t="shared" si="30"/>
        <v>18.012884268401042</v>
      </c>
      <c r="AR7" s="801">
        <f t="shared" si="30"/>
        <v>18.154949248668249</v>
      </c>
      <c r="AS7" s="801">
        <f t="shared" si="30"/>
        <v>18.297014228935456</v>
      </c>
      <c r="AT7" s="801">
        <f t="shared" si="30"/>
        <v>18.439079209202664</v>
      </c>
      <c r="AU7" s="801">
        <f t="shared" si="30"/>
        <v>18.581144189469871</v>
      </c>
      <c r="AV7" s="801">
        <f t="shared" si="30"/>
        <v>18.723209169737078</v>
      </c>
      <c r="AW7" s="801">
        <f t="shared" si="30"/>
        <v>18.865274150004286</v>
      </c>
      <c r="AX7" s="801">
        <f t="shared" si="30"/>
        <v>19.007339130271493</v>
      </c>
      <c r="AY7" s="801">
        <f t="shared" si="30"/>
        <v>19.149404110538701</v>
      </c>
      <c r="AZ7" s="801">
        <f t="shared" ref="AY7:BA10" si="31">($BB7-$AH7)/20+AY7</f>
        <v>19.291469090805908</v>
      </c>
      <c r="BA7" s="801">
        <f t="shared" si="31"/>
        <v>19.433534071073115</v>
      </c>
      <c r="BB7" s="860">
        <f>1.16978897829057*AH7</f>
        <v>19.575599051340316</v>
      </c>
      <c r="BC7" s="801">
        <f>($BQ7-$BB7)/15+BB7</f>
        <v>19.769431803386947</v>
      </c>
      <c r="BD7" s="801">
        <f t="shared" ref="BD7:BP7" si="32">($BQ7-$BB7)/15+BC7</f>
        <v>19.963264555433579</v>
      </c>
      <c r="BE7" s="801">
        <f t="shared" si="32"/>
        <v>20.15709730748021</v>
      </c>
      <c r="BF7" s="801">
        <f t="shared" si="32"/>
        <v>20.350930059526842</v>
      </c>
      <c r="BG7" s="801">
        <f t="shared" si="32"/>
        <v>20.544762811573474</v>
      </c>
      <c r="BH7" s="801">
        <f t="shared" si="32"/>
        <v>20.738595563620105</v>
      </c>
      <c r="BI7" s="801">
        <f t="shared" si="32"/>
        <v>20.932428315666737</v>
      </c>
      <c r="BJ7" s="801">
        <f t="shared" si="32"/>
        <v>21.126261067713369</v>
      </c>
      <c r="BK7" s="801">
        <f t="shared" si="32"/>
        <v>21.32009381976</v>
      </c>
      <c r="BL7" s="801">
        <f t="shared" si="32"/>
        <v>21.513926571806632</v>
      </c>
      <c r="BM7" s="801">
        <f t="shared" si="32"/>
        <v>21.707759323853264</v>
      </c>
      <c r="BN7" s="801">
        <f t="shared" si="32"/>
        <v>21.901592075899895</v>
      </c>
      <c r="BO7" s="801">
        <f t="shared" si="32"/>
        <v>22.095424827946527</v>
      </c>
      <c r="BP7" s="801">
        <f t="shared" si="32"/>
        <v>22.289257579993158</v>
      </c>
      <c r="BQ7" s="860">
        <f>1.14852629914794*BB7</f>
        <v>22.483090332039815</v>
      </c>
      <c r="BR7" s="801">
        <f>($BV7-$BQ7)/5+BQ7</f>
        <v>22.705712345401611</v>
      </c>
      <c r="BS7" s="801">
        <f>($BV7-$BQ7)/5+BR7</f>
        <v>22.928334358763408</v>
      </c>
      <c r="BT7" s="801">
        <f>($BV7-$BQ7)/5+BS7</f>
        <v>23.150956372125204</v>
      </c>
      <c r="BU7" s="801">
        <f>($BV7-$BQ7)/5+BT7</f>
        <v>23.373578385487001</v>
      </c>
      <c r="BV7" s="861">
        <f>1.04950876638265*BQ7</f>
        <v>23.59620039884879</v>
      </c>
      <c r="BW7" s="1077">
        <f>+BV7*BW$133/BV$133</f>
        <v>23.674546722408877</v>
      </c>
      <c r="BX7" s="1077">
        <f t="shared" ref="BX7:CZ7" si="33">+BW7*BX$133/BW$133</f>
        <v>23.753153178800169</v>
      </c>
      <c r="BY7" s="1077">
        <f t="shared" si="33"/>
        <v>23.832020631740154</v>
      </c>
      <c r="BZ7" s="1077">
        <f t="shared" si="33"/>
        <v>23.911149947814113</v>
      </c>
      <c r="CA7" s="1077">
        <f t="shared" si="33"/>
        <v>23.990541996484659</v>
      </c>
      <c r="CB7" s="1077">
        <f t="shared" si="33"/>
        <v>24.041736091563465</v>
      </c>
      <c r="CC7" s="1077">
        <f t="shared" si="33"/>
        <v>24.093039431167519</v>
      </c>
      <c r="CD7" s="1077">
        <f t="shared" si="33"/>
        <v>24.144452248416805</v>
      </c>
      <c r="CE7" s="1077">
        <f t="shared" si="33"/>
        <v>24.195974776928761</v>
      </c>
      <c r="CF7" s="1077">
        <f t="shared" si="33"/>
        <v>24.247607250819346</v>
      </c>
      <c r="CG7" s="1077">
        <f t="shared" si="33"/>
        <v>24.264371987566129</v>
      </c>
      <c r="CH7" s="1077">
        <f t="shared" si="33"/>
        <v>24.281148315411173</v>
      </c>
      <c r="CI7" s="1077">
        <f t="shared" si="33"/>
        <v>24.297936242368532</v>
      </c>
      <c r="CJ7" s="1077">
        <f t="shared" si="33"/>
        <v>24.314735776457805</v>
      </c>
      <c r="CK7" s="1077">
        <f t="shared" si="33"/>
        <v>24.331546925704139</v>
      </c>
      <c r="CL7" s="1077">
        <f t="shared" si="33"/>
        <v>24.337245159046461</v>
      </c>
      <c r="CM7" s="1077">
        <f t="shared" si="33"/>
        <v>24.34294472686469</v>
      </c>
      <c r="CN7" s="1077">
        <f t="shared" si="33"/>
        <v>24.348645629471353</v>
      </c>
      <c r="CO7" s="1077">
        <f t="shared" si="33"/>
        <v>24.354347867179047</v>
      </c>
      <c r="CP7" s="1077">
        <f t="shared" si="33"/>
        <v>24.360051440300435</v>
      </c>
      <c r="CQ7" s="1077">
        <f t="shared" si="33"/>
        <v>24.368695752977374</v>
      </c>
      <c r="CR7" s="1077">
        <f t="shared" si="33"/>
        <v>24.377343133141338</v>
      </c>
      <c r="CS7" s="1077">
        <f t="shared" si="33"/>
        <v>24.38599358188084</v>
      </c>
      <c r="CT7" s="1077">
        <f t="shared" si="33"/>
        <v>24.394647100284782</v>
      </c>
      <c r="CU7" s="1077">
        <f t="shared" si="33"/>
        <v>24.403303689442453</v>
      </c>
      <c r="CV7" s="1077">
        <f t="shared" si="33"/>
        <v>24.416626216805682</v>
      </c>
      <c r="CW7" s="1077">
        <f t="shared" si="33"/>
        <v>24.429956017353625</v>
      </c>
      <c r="CX7" s="1077">
        <f t="shared" si="33"/>
        <v>24.443293095056941</v>
      </c>
      <c r="CY7" s="1077">
        <f t="shared" si="33"/>
        <v>24.456637453888455</v>
      </c>
      <c r="CZ7" s="1077">
        <f t="shared" si="33"/>
        <v>24.469989097823163</v>
      </c>
    </row>
    <row r="8" spans="1:104" x14ac:dyDescent="0.25">
      <c r="A8" s="727" t="str">
        <f>'HyARC Physical Property Data'!A71</f>
        <v>Commercial Natural Gas</v>
      </c>
      <c r="B8" s="254">
        <v>2007</v>
      </c>
      <c r="C8" s="726">
        <f>VLOOKUP(ref_year,DeflatorTable,2,FALSE)/VLOOKUP(B8,DeflatorTable,2,FALSE)</f>
        <v>1.1413971588333081</v>
      </c>
      <c r="D8" s="727" t="str">
        <f>'HyARC Physical Property Data'!H71</f>
        <v>mmBtu</v>
      </c>
      <c r="E8" s="726" t="s">
        <v>1040</v>
      </c>
      <c r="F8" s="254">
        <f>'HyARC Physical Property Data'!$E$6</f>
        <v>47.141269049911173</v>
      </c>
      <c r="G8" s="254">
        <f>'HyARC Physical Property Data'!$I$6</f>
        <v>52.224661236371581</v>
      </c>
      <c r="H8" s="254">
        <f>((11.8960943222046/(mmBTU_to_GJ))*($C$8))*($G$8/$F$8)</f>
        <v>14.25814701659854</v>
      </c>
      <c r="I8" s="254">
        <f>((11.8960943222046/(mmBTU_to_GJ))*($C$8))*($G$8/$F$8)</f>
        <v>14.25814701659854</v>
      </c>
      <c r="J8" s="254">
        <f>((11.8960943222046/(mmBTU_to_GJ))*($C$8))*($G$8/$F$8)</f>
        <v>14.25814701659854</v>
      </c>
      <c r="K8" s="254">
        <f>((10.9898433685303/(mmBTU_to_GJ))*($C$8))*($G$8/$F$8)</f>
        <v>13.1719536003861</v>
      </c>
      <c r="L8" s="254">
        <f>((11.3387994766235/(mmBTU_to_GJ))*($C$8))*($G$8/$F$8)</f>
        <v>13.590197383326352</v>
      </c>
      <c r="M8" s="254">
        <f>((8.90759468078613/(mmBTU_to_GJ))*($C$8))*($G$8/$F$8)</f>
        <v>10.676259878492866</v>
      </c>
      <c r="N8" s="254">
        <f>((9.46560573577881/(mmBTU_to_GJ))*($C$8))*($G$8/$F$8)</f>
        <v>11.345067929562392</v>
      </c>
      <c r="O8" s="254">
        <f>((9.74632167816162/(mmBTU_to_GJ))*($C$8))*($G$8/$F$8)</f>
        <v>11.681521984817001</v>
      </c>
      <c r="P8" s="254">
        <f>((9.72109222412109/(mmBTU_to_GJ))*($C$8))*($G$8/$F$8)</f>
        <v>11.651283046295227</v>
      </c>
      <c r="Q8" s="254">
        <f>((9.67193412780762/(mmBTU_to_GJ))*($C$8))*($G$8/$F$8)</f>
        <v>11.59236426628982</v>
      </c>
      <c r="R8" s="254">
        <f>((9.71388721466064/(mmBTU_to_GJ))*($C$8))*($G$8/$F$8)</f>
        <v>11.642647431835503</v>
      </c>
      <c r="S8" s="254">
        <f>((9.83065605163574/(mmBTU_to_GJ))*($C$8))*($G$8/$F$8)</f>
        <v>11.782601537733989</v>
      </c>
      <c r="T8" s="254">
        <f>((10.0382099151611/(mmBTU_to_GJ))*($C$8))*($G$8/$F$8)</f>
        <v>12.031366671890995</v>
      </c>
      <c r="U8" s="254">
        <f>((10.2545003890991/(mmBTU_to_GJ))*($C$8))*($G$8/$F$8)</f>
        <v>12.290603131536537</v>
      </c>
      <c r="V8" s="254">
        <f>((10.476261138916/(mmBTU_to_GJ))*($C$8))*($G$8/$F$8)</f>
        <v>12.556396028579952</v>
      </c>
      <c r="W8" s="254">
        <f>((10.746561050415/(mmBTU_to_GJ))*($C$8))*($G$8/$F$8)</f>
        <v>12.880365877199319</v>
      </c>
      <c r="X8" s="254">
        <f>((11.0803880691528/(mmBTU_to_GJ))*($C$8))*($G$8/$F$8)</f>
        <v>13.280476584323763</v>
      </c>
      <c r="Y8" s="254">
        <f>((11.3143692016602/(mmBTU_to_GJ))*($C$8))*($G$8/$F$8)</f>
        <v>13.560916306474725</v>
      </c>
      <c r="Z8" s="254">
        <f>((11.4017143249512/(mmBTU_to_GJ))*($C$8))*($G$8/$F$8)</f>
        <v>13.665604414633171</v>
      </c>
      <c r="AA8" s="254">
        <f>((11.2125005722046/(mmBTU_to_GJ))*($C$8))*($G$8/$F$8)</f>
        <v>13.438820948467498</v>
      </c>
      <c r="AB8" s="254">
        <f>((11.1975994110107/(mmBTU_to_GJ))*($C$8))*($G$8/$F$8)</f>
        <v>13.420961057543121</v>
      </c>
      <c r="AC8" s="254">
        <f>((11.159740447998/(mmBTU_to_GJ))*($C$8))*($G$8/$F$8)</f>
        <v>13.37558493274866</v>
      </c>
      <c r="AD8" s="254">
        <f>((11.3503875732422/(mmBTU_to_GJ))*($C$8))*($G$8/$F$8)</f>
        <v>13.604086377542172</v>
      </c>
      <c r="AE8" s="254">
        <f>((11.6409521102905/(mmBTU_to_GJ))*($C$8))*($G$8/$F$8)</f>
        <v>13.952344534785565</v>
      </c>
      <c r="AF8" s="254">
        <f>((11.9785671234131/(mmBTU_to_GJ))*($C$8))*($G$8/$F$8)</f>
        <v>14.356995369062137</v>
      </c>
      <c r="AG8" s="254">
        <f>((12.2332496643066/(mmBTU_to_GJ))*($C$8))*($G$8/$F$8)</f>
        <v>14.662246908959766</v>
      </c>
      <c r="AH8" s="254">
        <f>((12.5188312530518/(mmBTU_to_GJ))*($C$8))*($G$8/$F$8)</f>
        <v>15.004532718678215</v>
      </c>
      <c r="AI8" s="254">
        <f>($BB8-$AH8)/20+AH8</f>
        <v>15.131912932679805</v>
      </c>
      <c r="AJ8" s="254">
        <f t="shared" si="30"/>
        <v>15.259293146681395</v>
      </c>
      <c r="AK8" s="254">
        <f t="shared" si="30"/>
        <v>15.386673360682986</v>
      </c>
      <c r="AL8" s="254">
        <f t="shared" si="30"/>
        <v>15.514053574684576</v>
      </c>
      <c r="AM8" s="254">
        <f t="shared" si="30"/>
        <v>15.641433788686166</v>
      </c>
      <c r="AN8" s="254">
        <f t="shared" si="30"/>
        <v>15.768814002687757</v>
      </c>
      <c r="AO8" s="254">
        <f t="shared" si="30"/>
        <v>15.896194216689347</v>
      </c>
      <c r="AP8" s="254">
        <f t="shared" si="30"/>
        <v>16.023574430690935</v>
      </c>
      <c r="AQ8" s="254">
        <f t="shared" si="30"/>
        <v>16.150954644692526</v>
      </c>
      <c r="AR8" s="254">
        <f t="shared" si="30"/>
        <v>16.278334858694116</v>
      </c>
      <c r="AS8" s="254">
        <f t="shared" si="30"/>
        <v>16.405715072695706</v>
      </c>
      <c r="AT8" s="254">
        <f t="shared" si="30"/>
        <v>16.533095286697296</v>
      </c>
      <c r="AU8" s="254">
        <f t="shared" si="30"/>
        <v>16.660475500698887</v>
      </c>
      <c r="AV8" s="254">
        <f t="shared" si="30"/>
        <v>16.787855714700477</v>
      </c>
      <c r="AW8" s="254">
        <f t="shared" si="30"/>
        <v>16.915235928702067</v>
      </c>
      <c r="AX8" s="254">
        <f t="shared" si="30"/>
        <v>17.042616142703658</v>
      </c>
      <c r="AY8" s="254">
        <f t="shared" si="31"/>
        <v>17.169996356705248</v>
      </c>
      <c r="AZ8" s="254">
        <f t="shared" si="31"/>
        <v>17.297376570706838</v>
      </c>
      <c r="BA8" s="254">
        <f t="shared" si="31"/>
        <v>17.424756784708428</v>
      </c>
      <c r="BB8" s="859">
        <f>1.16978897829057*AH8</f>
        <v>17.552136998710015</v>
      </c>
      <c r="BC8" s="254">
        <f t="shared" ref="BC8:BP10" si="34">($BQ8-$BB8)/15+BB8</f>
        <v>17.725933928747082</v>
      </c>
      <c r="BD8" s="254">
        <f t="shared" si="34"/>
        <v>17.899730858784149</v>
      </c>
      <c r="BE8" s="254">
        <f t="shared" si="34"/>
        <v>18.073527788821217</v>
      </c>
      <c r="BF8" s="254">
        <f t="shared" si="34"/>
        <v>18.247324718858284</v>
      </c>
      <c r="BG8" s="254">
        <f t="shared" si="34"/>
        <v>18.421121648895351</v>
      </c>
      <c r="BH8" s="254">
        <f t="shared" si="34"/>
        <v>18.594918578932418</v>
      </c>
      <c r="BI8" s="254">
        <f t="shared" si="34"/>
        <v>18.768715508969485</v>
      </c>
      <c r="BJ8" s="254">
        <f t="shared" si="34"/>
        <v>18.942512439006553</v>
      </c>
      <c r="BK8" s="254">
        <f t="shared" si="34"/>
        <v>19.11630936904362</v>
      </c>
      <c r="BL8" s="254">
        <f t="shared" si="34"/>
        <v>19.290106299080687</v>
      </c>
      <c r="BM8" s="254">
        <f t="shared" si="34"/>
        <v>19.463903229117754</v>
      </c>
      <c r="BN8" s="254">
        <f t="shared" si="34"/>
        <v>19.637700159154821</v>
      </c>
      <c r="BO8" s="254">
        <f t="shared" si="34"/>
        <v>19.811497089191889</v>
      </c>
      <c r="BP8" s="254">
        <f t="shared" si="34"/>
        <v>19.985294019228956</v>
      </c>
      <c r="BQ8" s="859">
        <f>1.14852629914794*BB8</f>
        <v>20.159090949266044</v>
      </c>
      <c r="BR8" s="254">
        <f t="shared" ref="BR8:BU10" si="35">($BV8-$BQ8)/5+BQ8</f>
        <v>20.358701294124806</v>
      </c>
      <c r="BS8" s="254">
        <f t="shared" si="35"/>
        <v>20.558311638983568</v>
      </c>
      <c r="BT8" s="254">
        <f t="shared" si="35"/>
        <v>20.75792198384233</v>
      </c>
      <c r="BU8" s="254">
        <f t="shared" si="35"/>
        <v>20.957532328701092</v>
      </c>
      <c r="BV8" s="862">
        <f>1.04950876638265*BQ8</f>
        <v>21.15714267355985</v>
      </c>
      <c r="BW8" s="1077">
        <f>+BV8*BW$134/BV$134</f>
        <v>21.227390608290499</v>
      </c>
      <c r="BX8" s="1077">
        <f t="shared" ref="BX8:CZ8" si="36">+BW8*BX$134/BW$134</f>
        <v>21.297871786820185</v>
      </c>
      <c r="BY8" s="1077">
        <f t="shared" si="36"/>
        <v>21.368586983586905</v>
      </c>
      <c r="BZ8" s="1077">
        <f t="shared" si="36"/>
        <v>21.439536975600014</v>
      </c>
      <c r="CA8" s="1077">
        <f t="shared" si="36"/>
        <v>21.510722542448768</v>
      </c>
      <c r="CB8" s="1077">
        <f t="shared" si="36"/>
        <v>21.556624880762481</v>
      </c>
      <c r="CC8" s="1077">
        <f t="shared" si="36"/>
        <v>21.602625171372235</v>
      </c>
      <c r="CD8" s="1077">
        <f t="shared" si="36"/>
        <v>21.648723623301212</v>
      </c>
      <c r="CE8" s="1077">
        <f t="shared" si="36"/>
        <v>21.694920446018617</v>
      </c>
      <c r="CF8" s="1077">
        <f t="shared" si="36"/>
        <v>21.741215849440653</v>
      </c>
      <c r="CG8" s="1077">
        <f t="shared" si="36"/>
        <v>21.75624767326148</v>
      </c>
      <c r="CH8" s="1077">
        <f t="shared" si="36"/>
        <v>21.771289890048781</v>
      </c>
      <c r="CI8" s="1077">
        <f t="shared" si="36"/>
        <v>21.78634250698822</v>
      </c>
      <c r="CJ8" s="1077">
        <f t="shared" si="36"/>
        <v>21.801405531270447</v>
      </c>
      <c r="CK8" s="1077">
        <f t="shared" si="36"/>
        <v>21.816478970091065</v>
      </c>
      <c r="CL8" s="1077">
        <f t="shared" si="36"/>
        <v>21.821588196736581</v>
      </c>
      <c r="CM8" s="1077">
        <f t="shared" si="36"/>
        <v>21.826698619917845</v>
      </c>
      <c r="CN8" s="1077">
        <f t="shared" si="36"/>
        <v>21.831810239915068</v>
      </c>
      <c r="CO8" s="1077">
        <f t="shared" si="36"/>
        <v>21.836923057008537</v>
      </c>
      <c r="CP8" s="1077">
        <f t="shared" si="36"/>
        <v>21.8420370714786</v>
      </c>
      <c r="CQ8" s="1077">
        <f t="shared" si="36"/>
        <v>21.849787851414753</v>
      </c>
      <c r="CR8" s="1077">
        <f t="shared" si="36"/>
        <v>21.857541381762392</v>
      </c>
      <c r="CS8" s="1077">
        <f t="shared" si="36"/>
        <v>21.865297663497515</v>
      </c>
      <c r="CT8" s="1077">
        <f t="shared" si="36"/>
        <v>21.873056697596471</v>
      </c>
      <c r="CU8" s="1077">
        <f t="shared" si="36"/>
        <v>21.880818485035956</v>
      </c>
      <c r="CV8" s="1077">
        <f t="shared" si="36"/>
        <v>21.89276390876655</v>
      </c>
      <c r="CW8" s="1077">
        <f t="shared" si="36"/>
        <v>21.904715853877878</v>
      </c>
      <c r="CX8" s="1077">
        <f t="shared" si="36"/>
        <v>21.916674323930163</v>
      </c>
      <c r="CY8" s="1077">
        <f t="shared" si="36"/>
        <v>21.928639322485584</v>
      </c>
      <c r="CZ8" s="1077">
        <f t="shared" si="36"/>
        <v>21.940610853108243</v>
      </c>
    </row>
    <row r="9" spans="1:104" x14ac:dyDescent="0.25">
      <c r="A9" s="727" t="str">
        <f>'HyARC Physical Property Data'!A72</f>
        <v>Industrial Natural Gas</v>
      </c>
      <c r="B9" s="254">
        <v>2007</v>
      </c>
      <c r="C9" s="726">
        <f t="shared" ref="C9:C18" si="37">VLOOKUP(ref_year,DeflatorTable,2,FALSE)/VLOOKUP(B9,DeflatorTable,2,FALSE)</f>
        <v>1.1413971588333081</v>
      </c>
      <c r="D9" s="1030" t="str">
        <f>'HyARC Physical Property Data'!H72</f>
        <v>mmBtu</v>
      </c>
      <c r="E9" s="726" t="s">
        <v>1040</v>
      </c>
      <c r="F9" s="254">
        <f>'HyARC Physical Property Data'!$E$6</f>
        <v>47.141269049911173</v>
      </c>
      <c r="G9" s="254">
        <f>'HyARC Physical Property Data'!$I$6</f>
        <v>52.224661236371581</v>
      </c>
      <c r="H9" s="254">
        <f>((7.95407009124756/(mmBTU_to_GJ))*($C$9))*($G$9/$F$9)</f>
        <v>9.5334063155208515</v>
      </c>
      <c r="I9" s="254">
        <f>((7.95407009124756/(mmBTU_to_GJ))*($C$9))*($G$9/$F$9)</f>
        <v>9.5334063155208515</v>
      </c>
      <c r="J9" s="254">
        <f>((7.95407009124756/(mmBTU_to_GJ))*($C$9))*($G$9/$F$9)</f>
        <v>9.5334063155208515</v>
      </c>
      <c r="K9" s="254">
        <f>((7.51525163650513/(mmBTU_to_GJ))*($C$9))*($G$9/$F$9)</f>
        <v>9.0074573887680014</v>
      </c>
      <c r="L9" s="254">
        <f>((8.80127239227294/(mmBTU_to_GJ))*($C$9))*($G$9/$F$9)</f>
        <v>10.54882655628621</v>
      </c>
      <c r="M9" s="254">
        <f>((4.84856796264648/(mmBTU_to_GJ))*($C$9))*($G$9/$F$9)</f>
        <v>5.8112850284270117</v>
      </c>
      <c r="N9" s="254">
        <f>((5.49891996383666/(mmBTU_to_GJ))*($C$9))*($G$9/$F$9)</f>
        <v>6.5907689661258342</v>
      </c>
      <c r="O9" s="254">
        <f>((5.82616424560547/(mmBTU_to_GJ))*($C$9))*($G$9/$F$9)</f>
        <v>6.9829898878355561</v>
      </c>
      <c r="P9" s="254">
        <f>((5.87778615951538/(mmBTU_to_GJ))*($C$9))*($G$9/$F$9)</f>
        <v>7.0448616936459612</v>
      </c>
      <c r="Q9" s="254">
        <f>((5.95383930206299/(mmBTU_to_GJ))*($C$9))*($G$9/$F$9)</f>
        <v>7.1360157193411098</v>
      </c>
      <c r="R9" s="254">
        <f>((6.10985708236694/(mmBTU_to_GJ))*($C$9))*($G$9/$F$9)</f>
        <v>7.3230119206594617</v>
      </c>
      <c r="S9" s="254">
        <f>((6.32948446273804/(mmBTU_to_GJ))*($C$9))*($G$9/$F$9)</f>
        <v>7.5862478528390263</v>
      </c>
      <c r="T9" s="254">
        <f>((6.51258134841919/(mmBTU_to_GJ))*($C$9))*($G$9/$F$9)</f>
        <v>7.8056999052198099</v>
      </c>
      <c r="U9" s="254">
        <f>((6.70273017883301/(mmBTU_to_GJ))*($C$9))*($G$9/$F$9)</f>
        <v>8.0336041152607454</v>
      </c>
      <c r="V9" s="254">
        <f>((6.89887094497681/(mmBTU_to_GJ))*($C$9))*($G$9/$F$9)</f>
        <v>8.2686900017610387</v>
      </c>
      <c r="W9" s="254">
        <f>((7.15282821655273/(mmBTU_to_GJ))*($C$9))*($G$9/$F$9)</f>
        <v>8.5730722650476565</v>
      </c>
      <c r="X9" s="254">
        <f>((7.46860218048096/(mmBTU_to_GJ))*($C$9))*($G$9/$F$9)</f>
        <v>8.9515453571194765</v>
      </c>
      <c r="Y9" s="254">
        <f>((7.67867755889893/(mmBTU_to_GJ))*($C$9))*($G$9/$F$9)</f>
        <v>9.2033326705791669</v>
      </c>
      <c r="Z9" s="254">
        <f>((7.75380706787109/(mmBTU_to_GJ))*($C$9))*($G$9/$F$9)</f>
        <v>9.2933796687952501</v>
      </c>
      <c r="AA9" s="254">
        <f>((7.55847835540771/(mmBTU_to_GJ))*($C$9))*($G$9/$F$9)</f>
        <v>9.0592670749107693</v>
      </c>
      <c r="AB9" s="254">
        <f>((7.54617786407471/(mmBTU_to_GJ))*($C$9))*($G$9/$F$9)</f>
        <v>9.0445242350297033</v>
      </c>
      <c r="AC9" s="254">
        <f>((7.45927095413208/(mmBTU_to_GJ))*($C$9))*($G$9/$F$9)</f>
        <v>8.9403613505435402</v>
      </c>
      <c r="AD9" s="254">
        <f>((7.60022306442261/(mmBTU_to_GJ))*($C$9))*($G$9/$F$9)</f>
        <v>9.109300487741784</v>
      </c>
      <c r="AE9" s="254">
        <f>((7.85960483551025/(mmBTU_to_GJ))*($C$9))*($G$9/$F$9)</f>
        <v>9.4201843228413633</v>
      </c>
      <c r="AF9" s="254">
        <f>((8.19417572021484/(mmBTU_to_GJ))*($C$9))*($G$9/$F$9)</f>
        <v>9.8211865957207394</v>
      </c>
      <c r="AG9" s="254">
        <f>((8.42161273956299/(mmBTU_to_GJ))*($C$9))*($G$9/$F$9)</f>
        <v>10.09378282529417</v>
      </c>
      <c r="AH9" s="254">
        <f>((8.69355010986328/(mmBTU_to_GJ))*($C$9))*($G$9/$F$9)</f>
        <v>10.419715261607452</v>
      </c>
      <c r="AI9" s="254">
        <f>($BB9-$AH9)/20+AH9</f>
        <v>10.508172902024802</v>
      </c>
      <c r="AJ9" s="254">
        <f t="shared" si="30"/>
        <v>10.596630542442151</v>
      </c>
      <c r="AK9" s="254">
        <f t="shared" si="30"/>
        <v>10.6850881828595</v>
      </c>
      <c r="AL9" s="254">
        <f t="shared" si="30"/>
        <v>10.77354582327685</v>
      </c>
      <c r="AM9" s="254">
        <f t="shared" si="30"/>
        <v>10.862003463694199</v>
      </c>
      <c r="AN9" s="254">
        <f t="shared" si="30"/>
        <v>10.950461104111548</v>
      </c>
      <c r="AO9" s="254">
        <f t="shared" si="30"/>
        <v>11.038918744528898</v>
      </c>
      <c r="AP9" s="254">
        <f t="shared" si="30"/>
        <v>11.127376384946247</v>
      </c>
      <c r="AQ9" s="254">
        <f t="shared" si="30"/>
        <v>11.215834025363597</v>
      </c>
      <c r="AR9" s="254">
        <f t="shared" si="30"/>
        <v>11.304291665780946</v>
      </c>
      <c r="AS9" s="254">
        <f t="shared" si="30"/>
        <v>11.392749306198295</v>
      </c>
      <c r="AT9" s="254">
        <f t="shared" si="30"/>
        <v>11.481206946615645</v>
      </c>
      <c r="AU9" s="254">
        <f t="shared" si="30"/>
        <v>11.569664587032994</v>
      </c>
      <c r="AV9" s="254">
        <f t="shared" si="30"/>
        <v>11.658122227450344</v>
      </c>
      <c r="AW9" s="254">
        <f t="shared" si="30"/>
        <v>11.746579867867693</v>
      </c>
      <c r="AX9" s="254">
        <f t="shared" si="30"/>
        <v>11.835037508285042</v>
      </c>
      <c r="AY9" s="254">
        <f t="shared" si="30"/>
        <v>11.923495148702392</v>
      </c>
      <c r="AZ9" s="254">
        <f t="shared" si="31"/>
        <v>12.011952789119741</v>
      </c>
      <c r="BA9" s="254">
        <f t="shared" si="31"/>
        <v>12.10041042953709</v>
      </c>
      <c r="BB9" s="859">
        <f>1.16978897829057*AH9</f>
        <v>12.18886806995444</v>
      </c>
      <c r="BC9" s="254">
        <f t="shared" si="34"/>
        <v>12.309559234303295</v>
      </c>
      <c r="BD9" s="254">
        <f t="shared" si="34"/>
        <v>12.43025039865215</v>
      </c>
      <c r="BE9" s="254">
        <f t="shared" si="34"/>
        <v>12.550941563001006</v>
      </c>
      <c r="BF9" s="254">
        <f t="shared" si="34"/>
        <v>12.671632727349861</v>
      </c>
      <c r="BG9" s="254">
        <f t="shared" si="34"/>
        <v>12.792323891698716</v>
      </c>
      <c r="BH9" s="254">
        <f t="shared" si="34"/>
        <v>12.913015056047572</v>
      </c>
      <c r="BI9" s="254">
        <f t="shared" si="34"/>
        <v>13.033706220396427</v>
      </c>
      <c r="BJ9" s="254">
        <f t="shared" si="34"/>
        <v>13.154397384745282</v>
      </c>
      <c r="BK9" s="254">
        <f t="shared" si="34"/>
        <v>13.275088549094137</v>
      </c>
      <c r="BL9" s="254">
        <f t="shared" si="34"/>
        <v>13.395779713442993</v>
      </c>
      <c r="BM9" s="254">
        <f t="shared" si="34"/>
        <v>13.516470877791848</v>
      </c>
      <c r="BN9" s="254">
        <f t="shared" si="34"/>
        <v>13.637162042140703</v>
      </c>
      <c r="BO9" s="254">
        <f t="shared" si="34"/>
        <v>13.757853206489559</v>
      </c>
      <c r="BP9" s="254">
        <f t="shared" si="34"/>
        <v>13.878544370838414</v>
      </c>
      <c r="BQ9" s="859">
        <f>1.14852629914794*BB9</f>
        <v>13.999235535187266</v>
      </c>
      <c r="BR9" s="254">
        <f t="shared" si="35"/>
        <v>14.137852511516721</v>
      </c>
      <c r="BS9" s="254">
        <f t="shared" si="35"/>
        <v>14.276469487846176</v>
      </c>
      <c r="BT9" s="254">
        <f t="shared" si="35"/>
        <v>14.415086464175632</v>
      </c>
      <c r="BU9" s="254">
        <f t="shared" si="35"/>
        <v>14.553703440505087</v>
      </c>
      <c r="BV9" s="862">
        <f>1.04950876638265*BQ9</f>
        <v>14.692320416834542</v>
      </c>
      <c r="BW9" s="1077">
        <f>+BV9*BW$135/BV$135</f>
        <v>14.741103240754025</v>
      </c>
      <c r="BX9" s="1077">
        <f t="shared" ref="BX9:CZ9" si="38">+BW9*BX$135/BW$135</f>
        <v>14.79004803799304</v>
      </c>
      <c r="BY9" s="1077">
        <f t="shared" si="38"/>
        <v>14.839155346350635</v>
      </c>
      <c r="BZ9" s="1077">
        <f t="shared" si="38"/>
        <v>14.888425705411509</v>
      </c>
      <c r="CA9" s="1077">
        <f t="shared" si="38"/>
        <v>14.937859656551939</v>
      </c>
      <c r="CB9" s="1077">
        <f t="shared" si="38"/>
        <v>14.969735977130417</v>
      </c>
      <c r="CC9" s="1077">
        <f t="shared" si="38"/>
        <v>15.001680319489591</v>
      </c>
      <c r="CD9" s="1077">
        <f t="shared" si="38"/>
        <v>15.033692828783058</v>
      </c>
      <c r="CE9" s="1077">
        <f t="shared" si="38"/>
        <v>15.065773650474167</v>
      </c>
      <c r="CF9" s="1077">
        <f t="shared" si="38"/>
        <v>15.09792293033667</v>
      </c>
      <c r="CG9" s="1077">
        <f t="shared" si="38"/>
        <v>15.10836159757225</v>
      </c>
      <c r="CH9" s="1077">
        <f t="shared" si="38"/>
        <v>15.118807482076999</v>
      </c>
      <c r="CI9" s="1077">
        <f t="shared" si="38"/>
        <v>15.129260588840916</v>
      </c>
      <c r="CJ9" s="1077">
        <f t="shared" si="38"/>
        <v>15.139720922857455</v>
      </c>
      <c r="CK9" s="1077">
        <f t="shared" si="38"/>
        <v>15.150188489123522</v>
      </c>
      <c r="CL9" s="1077">
        <f t="shared" si="38"/>
        <v>15.153736529429171</v>
      </c>
      <c r="CM9" s="1077">
        <f t="shared" si="38"/>
        <v>15.157285400654516</v>
      </c>
      <c r="CN9" s="1077">
        <f t="shared" si="38"/>
        <v>15.160835102994151</v>
      </c>
      <c r="CO9" s="1077">
        <f t="shared" si="38"/>
        <v>15.164385636642713</v>
      </c>
      <c r="CP9" s="1077">
        <f t="shared" si="38"/>
        <v>15.167937001794892</v>
      </c>
      <c r="CQ9" s="1077">
        <f t="shared" si="38"/>
        <v>15.173319436656698</v>
      </c>
      <c r="CR9" s="1077">
        <f t="shared" si="38"/>
        <v>15.178703781508307</v>
      </c>
      <c r="CS9" s="1077">
        <f t="shared" si="38"/>
        <v>15.184090037027495</v>
      </c>
      <c r="CT9" s="1077">
        <f t="shared" si="38"/>
        <v>15.189478203892271</v>
      </c>
      <c r="CU9" s="1077">
        <f t="shared" si="38"/>
        <v>15.194868282780888</v>
      </c>
      <c r="CV9" s="1077">
        <f t="shared" si="38"/>
        <v>15.203163637010553</v>
      </c>
      <c r="CW9" s="1077">
        <f t="shared" si="38"/>
        <v>15.211463519933757</v>
      </c>
      <c r="CX9" s="1077">
        <f t="shared" si="38"/>
        <v>15.219767934022853</v>
      </c>
      <c r="CY9" s="1077">
        <f t="shared" si="38"/>
        <v>15.228076881751546</v>
      </c>
      <c r="CZ9" s="1077">
        <f t="shared" si="38"/>
        <v>15.236390365594895</v>
      </c>
    </row>
    <row r="10" spans="1:104" x14ac:dyDescent="0.25">
      <c r="A10" s="727" t="str">
        <f>'HyARC Physical Property Data'!A74</f>
        <v>Electric Utility Natural Gas</v>
      </c>
      <c r="B10" s="254">
        <v>2007</v>
      </c>
      <c r="C10" s="726">
        <f t="shared" si="37"/>
        <v>1.1413971588333081</v>
      </c>
      <c r="D10" s="1030" t="str">
        <f>'HyARC Physical Property Data'!H74</f>
        <v>mmBtu</v>
      </c>
      <c r="E10" s="726" t="s">
        <v>1040</v>
      </c>
      <c r="F10" s="254">
        <f>'HyARC Physical Property Data'!$E$6</f>
        <v>47.141269049911173</v>
      </c>
      <c r="G10" s="254">
        <f>'HyARC Physical Property Data'!$I$6</f>
        <v>52.224661236371581</v>
      </c>
      <c r="H10" s="254">
        <f>((7.05463790893555/(mmBTU_to_GJ))*($C$10))*($G$10/$F$10)</f>
        <v>8.4553855853953603</v>
      </c>
      <c r="I10" s="254">
        <f>((7.05463790893555/(mmBTU_to_GJ))*($C$10))*($G$10/$F$10)</f>
        <v>8.4553855853953603</v>
      </c>
      <c r="J10" s="254">
        <f>((7.05463790893555/(mmBTU_to_GJ))*($C$10))*($G$10/$F$10)</f>
        <v>8.4553855853953603</v>
      </c>
      <c r="K10" s="254">
        <f>((7.01915979385375/(mmBTU_to_GJ))*($C$10))*($G$10/$F$10)</f>
        <v>8.4128630425332123</v>
      </c>
      <c r="L10" s="254">
        <f>((8.87161254882813/(mmBTU_to_GJ))*($C$10))*($G$10/$F$10)</f>
        <v>10.63313324268012</v>
      </c>
      <c r="M10" s="254">
        <f>((4.55562210083008/(mmBTU_to_GJ))*($C$10))*($G$10/$F$10)</f>
        <v>5.4601727177347454</v>
      </c>
      <c r="N10" s="254">
        <f>((5.12931346893311/(mmBTU_to_GJ))*($C$10))*($G$10/$F$10)</f>
        <v>6.1477745177052308</v>
      </c>
      <c r="O10" s="254">
        <f>((5.45354604721069/(mmBTU_to_GJ))*($C$10))*($G$10/$F$10)</f>
        <v>6.5363857411404362</v>
      </c>
      <c r="P10" s="254">
        <f>((5.51876354217529/(mmBTU_to_GJ))*($C$10))*($G$10/$F$10)</f>
        <v>6.6145526256719327</v>
      </c>
      <c r="Q10" s="254">
        <f>((5.53977298736572/(mmBTU_to_GJ))*($C$10))*($G$10/$F$10)</f>
        <v>6.6397336430839395</v>
      </c>
      <c r="R10" s="254">
        <f>((5.68350362777709/(mmBTU_to_GJ))*($C$10))*($G$10/$F$10)</f>
        <v>6.8120030069834847</v>
      </c>
      <c r="S10" s="254">
        <f>((5.8920464515686/(mmBTU_to_GJ))*($C$10))*($G$10/$F$10)</f>
        <v>7.0619534663813974</v>
      </c>
      <c r="T10" s="254">
        <f>((6.08193254470825/(mmBTU_to_GJ))*($C$10))*($G$10/$F$10)</f>
        <v>7.2895427708255562</v>
      </c>
      <c r="U10" s="254">
        <f>((6.26939964294434/(mmBTU_to_GJ))*($C$10))*($G$10/$F$10)</f>
        <v>7.5142327720166309</v>
      </c>
      <c r="V10" s="254">
        <f>((6.47751331329346/(mmBTU_to_GJ))*($C$10))*($G$10/$F$10)</f>
        <v>7.7636688665559168</v>
      </c>
      <c r="W10" s="254">
        <f>((6.73541975021362/(mmBTU_to_GJ))*($C$10))*($G$10/$F$10)</f>
        <v>8.0727844295748614</v>
      </c>
      <c r="X10" s="254">
        <f>((7.02784395217896/(mmBTU_to_GJ))*($C$10))*($G$10/$F$10)</f>
        <v>8.4232715012056651</v>
      </c>
      <c r="Y10" s="254">
        <f>((7.25390911102295/(mmBTU_to_GJ))*($C$10))*($G$10/$F$10)</f>
        <v>8.6942234777810281</v>
      </c>
      <c r="Z10" s="254">
        <f>((7.3283839225769/(mmBTU_to_GJ))*($C$10))*($G$10/$F$10)</f>
        <v>8.7834857838294642</v>
      </c>
      <c r="AA10" s="254">
        <f>((7.15062761306763/(mmBTU_to_GJ))*($C$10))*($G$10/$F$10)</f>
        <v>8.5704347163559618</v>
      </c>
      <c r="AB10" s="254">
        <f>((7.19241189956665/(mmBTU_to_GJ))*($C$10))*($G$10/$F$10)</f>
        <v>8.6205155650572607</v>
      </c>
      <c r="AC10" s="254">
        <f>((7.13988399505615/(mmBTU_to_GJ))*($C$10))*($G$10/$F$10)</f>
        <v>8.5575578778786525</v>
      </c>
      <c r="AD10" s="254">
        <f>((7.28062534332275/(mmBTU_to_GJ))*($C$10))*($G$10/$F$10)</f>
        <v>8.7262444047796599</v>
      </c>
      <c r="AE10" s="254">
        <f>((7.5354790687561/(mmBTU_to_GJ))*($C$10))*($G$10/$F$10)</f>
        <v>9.0317011191042926</v>
      </c>
      <c r="AF10" s="254">
        <f>((7.86007928848267/(mmBTU_to_GJ))*($C$10))*($G$10/$F$10)</f>
        <v>9.4207529817684019</v>
      </c>
      <c r="AG10" s="254">
        <f>((8.07421207427979/(mmBTU_to_GJ))*($C$10))*($G$10/$F$10)</f>
        <v>9.6774033292080919</v>
      </c>
      <c r="AH10" s="254">
        <f>((8.33951759338379/(mmBTU_to_GJ))*($C$10))*($G$10/$F$10)</f>
        <v>9.9953871139061636</v>
      </c>
      <c r="AI10" s="254">
        <f>($BB10-$AH10)/20+AH10</f>
        <v>10.080242442190606</v>
      </c>
      <c r="AJ10" s="254">
        <f t="shared" si="30"/>
        <v>10.165097770475048</v>
      </c>
      <c r="AK10" s="254">
        <f t="shared" si="30"/>
        <v>10.249953098759491</v>
      </c>
      <c r="AL10" s="254">
        <f t="shared" si="30"/>
        <v>10.334808427043933</v>
      </c>
      <c r="AM10" s="254">
        <f t="shared" si="30"/>
        <v>10.419663755328376</v>
      </c>
      <c r="AN10" s="254">
        <f t="shared" si="30"/>
        <v>10.504519083612818</v>
      </c>
      <c r="AO10" s="254">
        <f t="shared" si="30"/>
        <v>10.589374411897261</v>
      </c>
      <c r="AP10" s="254">
        <f t="shared" si="30"/>
        <v>10.674229740181703</v>
      </c>
      <c r="AQ10" s="254">
        <f t="shared" si="30"/>
        <v>10.759085068466145</v>
      </c>
      <c r="AR10" s="254">
        <f t="shared" si="30"/>
        <v>10.843940396750588</v>
      </c>
      <c r="AS10" s="254">
        <f t="shared" si="30"/>
        <v>10.92879572503503</v>
      </c>
      <c r="AT10" s="254">
        <f t="shared" si="30"/>
        <v>11.013651053319473</v>
      </c>
      <c r="AU10" s="254">
        <f t="shared" si="30"/>
        <v>11.098506381603915</v>
      </c>
      <c r="AV10" s="254">
        <f t="shared" si="30"/>
        <v>11.183361709888358</v>
      </c>
      <c r="AW10" s="254">
        <f t="shared" si="30"/>
        <v>11.2682170381728</v>
      </c>
      <c r="AX10" s="254">
        <f t="shared" si="30"/>
        <v>11.353072366457242</v>
      </c>
      <c r="AY10" s="254">
        <f t="shared" si="30"/>
        <v>11.437927694741685</v>
      </c>
      <c r="AZ10" s="254">
        <f t="shared" si="31"/>
        <v>11.522783023026127</v>
      </c>
      <c r="BA10" s="254">
        <f t="shared" si="31"/>
        <v>11.60763835131057</v>
      </c>
      <c r="BB10" s="859">
        <f>1.16978897829057*AH10</f>
        <v>11.692493679595019</v>
      </c>
      <c r="BC10" s="254">
        <f t="shared" si="34"/>
        <v>11.808269867197748</v>
      </c>
      <c r="BD10" s="254">
        <f t="shared" si="34"/>
        <v>11.924046054800476</v>
      </c>
      <c r="BE10" s="254">
        <f t="shared" si="34"/>
        <v>12.039822242403204</v>
      </c>
      <c r="BF10" s="254">
        <f t="shared" si="34"/>
        <v>12.155598430005933</v>
      </c>
      <c r="BG10" s="254">
        <f t="shared" si="34"/>
        <v>12.271374617608661</v>
      </c>
      <c r="BH10" s="254">
        <f t="shared" si="34"/>
        <v>12.387150805211389</v>
      </c>
      <c r="BI10" s="254">
        <f t="shared" si="34"/>
        <v>12.502926992814118</v>
      </c>
      <c r="BJ10" s="254">
        <f t="shared" si="34"/>
        <v>12.618703180416846</v>
      </c>
      <c r="BK10" s="254">
        <f t="shared" si="34"/>
        <v>12.734479368019574</v>
      </c>
      <c r="BL10" s="254">
        <f t="shared" si="34"/>
        <v>12.850255555622303</v>
      </c>
      <c r="BM10" s="254">
        <f t="shared" si="34"/>
        <v>12.966031743225031</v>
      </c>
      <c r="BN10" s="254">
        <f t="shared" si="34"/>
        <v>13.081807930827759</v>
      </c>
      <c r="BO10" s="254">
        <f t="shared" si="34"/>
        <v>13.197584118430488</v>
      </c>
      <c r="BP10" s="254">
        <f t="shared" si="34"/>
        <v>13.313360306033216</v>
      </c>
      <c r="BQ10" s="859">
        <f>1.14852629914794*BB10</f>
        <v>13.429136493635946</v>
      </c>
      <c r="BR10" s="254">
        <f t="shared" si="35"/>
        <v>13.562108489912774</v>
      </c>
      <c r="BS10" s="254">
        <f t="shared" si="35"/>
        <v>13.695080486189601</v>
      </c>
      <c r="BT10" s="254">
        <f t="shared" si="35"/>
        <v>13.828052482466429</v>
      </c>
      <c r="BU10" s="254">
        <f t="shared" si="35"/>
        <v>13.961024478743257</v>
      </c>
      <c r="BV10" s="862">
        <f>1.04950876638265*BQ10</f>
        <v>14.093996475020086</v>
      </c>
      <c r="BW10" s="1077">
        <f>+BV10*BW$136/BV$136</f>
        <v>14.140792687521339</v>
      </c>
      <c r="BX10" s="1077">
        <f t="shared" ref="BX10:CZ10" si="39">+BW10*BX$136/BW$136</f>
        <v>14.187744277208072</v>
      </c>
      <c r="BY10" s="1077">
        <f t="shared" si="39"/>
        <v>14.234851759978229</v>
      </c>
      <c r="BZ10" s="1077">
        <f t="shared" si="39"/>
        <v>14.282115653442684</v>
      </c>
      <c r="CA10" s="1077">
        <f t="shared" si="39"/>
        <v>14.329536476930937</v>
      </c>
      <c r="CB10" s="1077">
        <f t="shared" si="39"/>
        <v>14.360114679496878</v>
      </c>
      <c r="CC10" s="1077">
        <f t="shared" si="39"/>
        <v>14.390758133752827</v>
      </c>
      <c r="CD10" s="1077">
        <f t="shared" si="39"/>
        <v>14.42146697894121</v>
      </c>
      <c r="CE10" s="1077">
        <f t="shared" si="39"/>
        <v>14.452241354601584</v>
      </c>
      <c r="CF10" s="1077">
        <f t="shared" si="39"/>
        <v>14.483081400571274</v>
      </c>
      <c r="CG10" s="1077">
        <f t="shared" si="39"/>
        <v>14.493094967866853</v>
      </c>
      <c r="CH10" s="1077">
        <f t="shared" si="39"/>
        <v>14.503115458518533</v>
      </c>
      <c r="CI10" s="1077">
        <f t="shared" si="39"/>
        <v>14.513142877313106</v>
      </c>
      <c r="CJ10" s="1077">
        <f t="shared" si="39"/>
        <v>14.523177229040675</v>
      </c>
      <c r="CK10" s="1077">
        <f t="shared" si="39"/>
        <v>14.53321851849465</v>
      </c>
      <c r="CL10" s="1077">
        <f t="shared" si="39"/>
        <v>14.536622069883558</v>
      </c>
      <c r="CM10" s="1077">
        <f t="shared" si="39"/>
        <v>14.540026418354136</v>
      </c>
      <c r="CN10" s="1077">
        <f t="shared" si="39"/>
        <v>14.543431564093051</v>
      </c>
      <c r="CO10" s="1077">
        <f t="shared" si="39"/>
        <v>14.546837507287016</v>
      </c>
      <c r="CP10" s="1077">
        <f t="shared" si="39"/>
        <v>14.550244248122791</v>
      </c>
      <c r="CQ10" s="1077">
        <f t="shared" si="39"/>
        <v>14.555407490947415</v>
      </c>
      <c r="CR10" s="1077">
        <f t="shared" si="39"/>
        <v>14.560572565980214</v>
      </c>
      <c r="CS10" s="1077">
        <f t="shared" si="39"/>
        <v>14.565739473871359</v>
      </c>
      <c r="CT10" s="1077">
        <f t="shared" si="39"/>
        <v>14.570908215271251</v>
      </c>
      <c r="CU10" s="1077">
        <f t="shared" si="39"/>
        <v>14.576078790830522</v>
      </c>
      <c r="CV10" s="1077">
        <f t="shared" si="39"/>
        <v>14.584036328507008</v>
      </c>
      <c r="CW10" s="1077">
        <f t="shared" si="39"/>
        <v>14.591998210452399</v>
      </c>
      <c r="CX10" s="1077">
        <f t="shared" si="39"/>
        <v>14.59996443903837</v>
      </c>
      <c r="CY10" s="1077">
        <f t="shared" si="39"/>
        <v>14.607935016637887</v>
      </c>
      <c r="CZ10" s="1077">
        <f t="shared" si="39"/>
        <v>14.615909945625214</v>
      </c>
    </row>
    <row r="11" spans="1:104" x14ac:dyDescent="0.25">
      <c r="A11" s="727" t="str">
        <f>'HyARC Physical Property Data'!A75</f>
        <v>Bio Methane</v>
      </c>
      <c r="B11" s="254">
        <v>2007</v>
      </c>
      <c r="C11" s="726">
        <f t="shared" si="37"/>
        <v>1.1413971588333081</v>
      </c>
      <c r="D11" s="1030" t="str">
        <f>'HyARC Physical Property Data'!H75</f>
        <v>mmBtu</v>
      </c>
      <c r="E11" s="726" t="s">
        <v>1040</v>
      </c>
      <c r="F11" s="254">
        <f>'HyARC Physical Property Data'!$E$6</f>
        <v>47.141269049911173</v>
      </c>
      <c r="G11" s="254">
        <f>'HyARC Physical Property Data'!$I$6</f>
        <v>52.224661236371581</v>
      </c>
      <c r="H11" s="254">
        <f t="shared" ref="H11:AM11" si="40">13.11*($C$11/mmBTU_to_GJ)</f>
        <v>14.183617774696369</v>
      </c>
      <c r="I11" s="254">
        <f t="shared" si="40"/>
        <v>14.183617774696369</v>
      </c>
      <c r="J11" s="254">
        <f t="shared" si="40"/>
        <v>14.183617774696369</v>
      </c>
      <c r="K11" s="254">
        <f t="shared" si="40"/>
        <v>14.183617774696369</v>
      </c>
      <c r="L11" s="254">
        <f t="shared" si="40"/>
        <v>14.183617774696369</v>
      </c>
      <c r="M11" s="254">
        <f t="shared" si="40"/>
        <v>14.183617774696369</v>
      </c>
      <c r="N11" s="254">
        <f t="shared" si="40"/>
        <v>14.183617774696369</v>
      </c>
      <c r="O11" s="254">
        <f t="shared" si="40"/>
        <v>14.183617774696369</v>
      </c>
      <c r="P11" s="254">
        <f t="shared" si="40"/>
        <v>14.183617774696369</v>
      </c>
      <c r="Q11" s="254">
        <f t="shared" si="40"/>
        <v>14.183617774696369</v>
      </c>
      <c r="R11" s="254">
        <f t="shared" si="40"/>
        <v>14.183617774696369</v>
      </c>
      <c r="S11" s="254">
        <f t="shared" si="40"/>
        <v>14.183617774696369</v>
      </c>
      <c r="T11" s="254">
        <f t="shared" si="40"/>
        <v>14.183617774696369</v>
      </c>
      <c r="U11" s="254">
        <f t="shared" si="40"/>
        <v>14.183617774696369</v>
      </c>
      <c r="V11" s="254">
        <f t="shared" si="40"/>
        <v>14.183617774696369</v>
      </c>
      <c r="W11" s="254">
        <f t="shared" si="40"/>
        <v>14.183617774696369</v>
      </c>
      <c r="X11" s="254">
        <f t="shared" si="40"/>
        <v>14.183617774696369</v>
      </c>
      <c r="Y11" s="254">
        <f t="shared" si="40"/>
        <v>14.183617774696369</v>
      </c>
      <c r="Z11" s="254">
        <f t="shared" si="40"/>
        <v>14.183617774696369</v>
      </c>
      <c r="AA11" s="254">
        <f t="shared" si="40"/>
        <v>14.183617774696369</v>
      </c>
      <c r="AB11" s="254">
        <f t="shared" si="40"/>
        <v>14.183617774696369</v>
      </c>
      <c r="AC11" s="254">
        <f t="shared" si="40"/>
        <v>14.183617774696369</v>
      </c>
      <c r="AD11" s="254">
        <f t="shared" si="40"/>
        <v>14.183617774696369</v>
      </c>
      <c r="AE11" s="254">
        <f t="shared" si="40"/>
        <v>14.183617774696369</v>
      </c>
      <c r="AF11" s="254">
        <f t="shared" si="40"/>
        <v>14.183617774696369</v>
      </c>
      <c r="AG11" s="254">
        <f t="shared" si="40"/>
        <v>14.183617774696369</v>
      </c>
      <c r="AH11" s="254">
        <f t="shared" si="40"/>
        <v>14.183617774696369</v>
      </c>
      <c r="AI11" s="254">
        <f t="shared" si="40"/>
        <v>14.183617774696369</v>
      </c>
      <c r="AJ11" s="254">
        <f t="shared" si="40"/>
        <v>14.183617774696369</v>
      </c>
      <c r="AK11" s="254">
        <f t="shared" si="40"/>
        <v>14.183617774696369</v>
      </c>
      <c r="AL11" s="254">
        <f t="shared" si="40"/>
        <v>14.183617774696369</v>
      </c>
      <c r="AM11" s="254">
        <f t="shared" si="40"/>
        <v>14.183617774696369</v>
      </c>
      <c r="AN11" s="254">
        <f t="shared" ref="AN11:BV11" si="41">13.11*($C$11/mmBTU_to_GJ)</f>
        <v>14.183617774696369</v>
      </c>
      <c r="AO11" s="254">
        <f t="shared" si="41"/>
        <v>14.183617774696369</v>
      </c>
      <c r="AP11" s="254">
        <f t="shared" si="41"/>
        <v>14.183617774696369</v>
      </c>
      <c r="AQ11" s="254">
        <f t="shared" si="41"/>
        <v>14.183617774696369</v>
      </c>
      <c r="AR11" s="254">
        <f t="shared" si="41"/>
        <v>14.183617774696369</v>
      </c>
      <c r="AS11" s="254">
        <f t="shared" si="41"/>
        <v>14.183617774696369</v>
      </c>
      <c r="AT11" s="254">
        <f t="shared" si="41"/>
        <v>14.183617774696369</v>
      </c>
      <c r="AU11" s="254">
        <f t="shared" si="41"/>
        <v>14.183617774696369</v>
      </c>
      <c r="AV11" s="254">
        <f t="shared" si="41"/>
        <v>14.183617774696369</v>
      </c>
      <c r="AW11" s="254">
        <f t="shared" si="41"/>
        <v>14.183617774696369</v>
      </c>
      <c r="AX11" s="254">
        <f t="shared" si="41"/>
        <v>14.183617774696369</v>
      </c>
      <c r="AY11" s="254">
        <f t="shared" si="41"/>
        <v>14.183617774696369</v>
      </c>
      <c r="AZ11" s="254">
        <f t="shared" si="41"/>
        <v>14.183617774696369</v>
      </c>
      <c r="BA11" s="254">
        <f t="shared" si="41"/>
        <v>14.183617774696369</v>
      </c>
      <c r="BB11" s="254">
        <f t="shared" si="41"/>
        <v>14.183617774696369</v>
      </c>
      <c r="BC11" s="254">
        <f t="shared" si="41"/>
        <v>14.183617774696369</v>
      </c>
      <c r="BD11" s="254">
        <f t="shared" si="41"/>
        <v>14.183617774696369</v>
      </c>
      <c r="BE11" s="254">
        <f t="shared" si="41"/>
        <v>14.183617774696369</v>
      </c>
      <c r="BF11" s="254">
        <f t="shared" si="41"/>
        <v>14.183617774696369</v>
      </c>
      <c r="BG11" s="254">
        <f t="shared" si="41"/>
        <v>14.183617774696369</v>
      </c>
      <c r="BH11" s="254">
        <f t="shared" si="41"/>
        <v>14.183617774696369</v>
      </c>
      <c r="BI11" s="254">
        <f t="shared" si="41"/>
        <v>14.183617774696369</v>
      </c>
      <c r="BJ11" s="254">
        <f t="shared" si="41"/>
        <v>14.183617774696369</v>
      </c>
      <c r="BK11" s="254">
        <f t="shared" si="41"/>
        <v>14.183617774696369</v>
      </c>
      <c r="BL11" s="254">
        <f t="shared" si="41"/>
        <v>14.183617774696369</v>
      </c>
      <c r="BM11" s="254">
        <f t="shared" si="41"/>
        <v>14.183617774696369</v>
      </c>
      <c r="BN11" s="254">
        <f t="shared" si="41"/>
        <v>14.183617774696369</v>
      </c>
      <c r="BO11" s="254">
        <f t="shared" si="41"/>
        <v>14.183617774696369</v>
      </c>
      <c r="BP11" s="254">
        <f t="shared" si="41"/>
        <v>14.183617774696369</v>
      </c>
      <c r="BQ11" s="254">
        <f t="shared" si="41"/>
        <v>14.183617774696369</v>
      </c>
      <c r="BR11" s="254">
        <f t="shared" si="41"/>
        <v>14.183617774696369</v>
      </c>
      <c r="BS11" s="254">
        <f t="shared" si="41"/>
        <v>14.183617774696369</v>
      </c>
      <c r="BT11" s="254">
        <f t="shared" si="41"/>
        <v>14.183617774696369</v>
      </c>
      <c r="BU11" s="254">
        <f t="shared" si="41"/>
        <v>14.183617774696369</v>
      </c>
      <c r="BV11" s="254">
        <f t="shared" si="41"/>
        <v>14.183617774696369</v>
      </c>
      <c r="BW11" s="1077">
        <f>+BV11*BW$136/BV$136</f>
        <v>14.230711556264829</v>
      </c>
      <c r="BX11" s="1077">
        <f t="shared" ref="BX11:CZ11" si="42">+BW11*BX$136/BW$136</f>
        <v>14.277961703035571</v>
      </c>
      <c r="BY11" s="1077">
        <f t="shared" si="42"/>
        <v>14.325368734187041</v>
      </c>
      <c r="BZ11" s="1077">
        <f t="shared" si="42"/>
        <v>14.372933170621517</v>
      </c>
      <c r="CA11" s="1077">
        <f t="shared" si="42"/>
        <v>14.420655534970821</v>
      </c>
      <c r="CB11" s="1077">
        <f t="shared" si="42"/>
        <v>14.451428179067991</v>
      </c>
      <c r="CC11" s="1077">
        <f t="shared" si="42"/>
        <v>14.482266489779443</v>
      </c>
      <c r="CD11" s="1077">
        <f t="shared" si="42"/>
        <v>14.51317060723302</v>
      </c>
      <c r="CE11" s="1077">
        <f t="shared" si="42"/>
        <v>14.54414067185559</v>
      </c>
      <c r="CF11" s="1077">
        <f t="shared" si="42"/>
        <v>14.575176824373679</v>
      </c>
      <c r="CG11" s="1077">
        <f t="shared" si="42"/>
        <v>14.585254066221541</v>
      </c>
      <c r="CH11" s="1077">
        <f t="shared" si="42"/>
        <v>14.595338275449933</v>
      </c>
      <c r="CI11" s="1077">
        <f t="shared" si="42"/>
        <v>14.605429456876088</v>
      </c>
      <c r="CJ11" s="1077">
        <f t="shared" si="42"/>
        <v>14.615527615320566</v>
      </c>
      <c r="CK11" s="1077">
        <f t="shared" si="42"/>
        <v>14.625632755607262</v>
      </c>
      <c r="CL11" s="1077">
        <f t="shared" si="42"/>
        <v>14.629057949594106</v>
      </c>
      <c r="CM11" s="1077">
        <f t="shared" si="42"/>
        <v>14.632483945731124</v>
      </c>
      <c r="CN11" s="1077">
        <f t="shared" si="42"/>
        <v>14.635910744206171</v>
      </c>
      <c r="CO11" s="1077">
        <f t="shared" si="42"/>
        <v>14.639338345207147</v>
      </c>
      <c r="CP11" s="1077">
        <f t="shared" si="42"/>
        <v>14.642766748922</v>
      </c>
      <c r="CQ11" s="1077">
        <f t="shared" si="42"/>
        <v>14.647962823919764</v>
      </c>
      <c r="CR11" s="1077">
        <f t="shared" si="42"/>
        <v>14.6531607427764</v>
      </c>
      <c r="CS11" s="1077">
        <f t="shared" si="42"/>
        <v>14.658360506146211</v>
      </c>
      <c r="CT11" s="1077">
        <f t="shared" si="42"/>
        <v>14.663562114683737</v>
      </c>
      <c r="CU11" s="1077">
        <f t="shared" si="42"/>
        <v>14.668765569043746</v>
      </c>
      <c r="CV11" s="1077">
        <f t="shared" si="42"/>
        <v>14.676773707333766</v>
      </c>
      <c r="CW11" s="1077">
        <f t="shared" si="42"/>
        <v>14.68478621751715</v>
      </c>
      <c r="CX11" s="1077">
        <f t="shared" si="42"/>
        <v>14.692803101980653</v>
      </c>
      <c r="CY11" s="1077">
        <f t="shared" si="42"/>
        <v>14.700824363112332</v>
      </c>
      <c r="CZ11" s="1077">
        <f t="shared" si="42"/>
        <v>14.708850003301547</v>
      </c>
    </row>
    <row r="12" spans="1:104" x14ac:dyDescent="0.25">
      <c r="A12" s="806" t="str">
        <f>'HyARC Physical Property Data'!A85</f>
        <v>Woody Biomass</v>
      </c>
      <c r="B12" s="254">
        <v>2005</v>
      </c>
      <c r="C12" s="726">
        <f>VLOOKUP(ref_year,DeflatorTable,2,FALSE)/VLOOKUP(B12,DeflatorTable,2,FALSE)</f>
        <v>1.208440716126562</v>
      </c>
      <c r="D12" s="1030" t="str">
        <f>+'HyARC Physical Property Data'!$H$85</f>
        <v>kg</v>
      </c>
      <c r="E12" s="747" t="s">
        <v>1034</v>
      </c>
      <c r="F12" s="254">
        <f>'HyARC Physical Property Data'!$E$45</f>
        <v>19.551069237418005</v>
      </c>
      <c r="G12" s="254">
        <f>'HyARC Physical Property Data'!$I$45</f>
        <v>20.588656379262464</v>
      </c>
      <c r="H12" s="807">
        <f t="shared" ref="H12:O12" si="43">1.27*($C$12)</f>
        <v>1.5347197094807337</v>
      </c>
      <c r="I12" s="807">
        <f t="shared" si="43"/>
        <v>1.5347197094807337</v>
      </c>
      <c r="J12" s="807">
        <f t="shared" si="43"/>
        <v>1.5347197094807337</v>
      </c>
      <c r="K12" s="807">
        <f t="shared" si="43"/>
        <v>1.5347197094807337</v>
      </c>
      <c r="L12" s="807">
        <f t="shared" si="43"/>
        <v>1.5347197094807337</v>
      </c>
      <c r="M12" s="807">
        <f t="shared" si="43"/>
        <v>1.5347197094807337</v>
      </c>
      <c r="N12" s="807">
        <f t="shared" si="43"/>
        <v>1.5347197094807337</v>
      </c>
      <c r="O12" s="807">
        <f t="shared" si="43"/>
        <v>1.5347197094807337</v>
      </c>
      <c r="P12" s="807">
        <f>1.28*($C$12)</f>
        <v>1.5468041166419995</v>
      </c>
      <c r="Q12" s="807">
        <f>1.32*($C$12)</f>
        <v>1.595141745287062</v>
      </c>
      <c r="R12" s="807">
        <f>1.32*($C$12)</f>
        <v>1.595141745287062</v>
      </c>
      <c r="S12" s="807">
        <f>1.34*($C$12)</f>
        <v>1.6193105596095931</v>
      </c>
      <c r="T12" s="807">
        <f>1.34*($C$12)</f>
        <v>1.6193105596095931</v>
      </c>
      <c r="U12" s="807">
        <f>1.36*($C$12)</f>
        <v>1.6434793739321245</v>
      </c>
      <c r="V12" s="807">
        <f>1.36*($C$12)</f>
        <v>1.6434793739321245</v>
      </c>
      <c r="W12" s="807">
        <f>1.38*($C$12)</f>
        <v>1.6676481882546554</v>
      </c>
      <c r="X12" s="807">
        <f>1.4*($C$12)</f>
        <v>1.6918170025771868</v>
      </c>
      <c r="Y12" s="807">
        <f>1.46*($C$12)</f>
        <v>1.7643234455447805</v>
      </c>
      <c r="Z12" s="807">
        <f>1.48*($C$12)</f>
        <v>1.7884922598673119</v>
      </c>
      <c r="AA12" s="807">
        <f>1.48*($C$12)</f>
        <v>1.7884922598673119</v>
      </c>
      <c r="AB12" s="807">
        <f>1.51*($C$12)</f>
        <v>1.8247454813511086</v>
      </c>
      <c r="AC12" s="807">
        <f>1.52*($C$12)</f>
        <v>1.8368298885123742</v>
      </c>
      <c r="AD12" s="807">
        <f>1.62*($C$12)</f>
        <v>1.9576739601250306</v>
      </c>
      <c r="AE12" s="807">
        <f>1.72*($C$12)</f>
        <v>2.0785180317376866</v>
      </c>
      <c r="AF12" s="807">
        <f>1.82*($C$12)</f>
        <v>2.1993621033503428</v>
      </c>
      <c r="AG12" s="807">
        <f>1.91*($C$12)</f>
        <v>2.3081217678017332</v>
      </c>
      <c r="AH12" s="807">
        <f>2.01*($C$12)</f>
        <v>2.4289658394143894</v>
      </c>
      <c r="AI12" s="807">
        <f>2.11*($C$12)</f>
        <v>2.5498099110270456</v>
      </c>
      <c r="AJ12" s="807">
        <f>2.2*($C$12)</f>
        <v>2.6585695754784364</v>
      </c>
      <c r="AK12" s="807">
        <f>2.3*($C$12)</f>
        <v>2.7794136470910926</v>
      </c>
      <c r="AL12" s="807">
        <f>2.4*($C$12)</f>
        <v>2.9002577187037488</v>
      </c>
      <c r="AM12" s="807">
        <f>2.5*($C$12)</f>
        <v>3.021101790316405</v>
      </c>
      <c r="AN12" s="807">
        <f>2.57*($C$12)</f>
        <v>3.1056926404452643</v>
      </c>
      <c r="AO12" s="807">
        <f>2.64*($C$12)</f>
        <v>3.190283490574124</v>
      </c>
      <c r="AP12" s="807">
        <f>2.71*($C$12)</f>
        <v>3.2748743407029832</v>
      </c>
      <c r="AQ12" s="807">
        <f>2.78*($C$12)</f>
        <v>3.359465190831842</v>
      </c>
      <c r="AR12" s="807">
        <f>2.85*($C$12)</f>
        <v>3.4440560409607017</v>
      </c>
      <c r="AS12" s="807">
        <f>2.92*($C$12)</f>
        <v>3.528646891089561</v>
      </c>
      <c r="AT12" s="807">
        <f>2.99*($C$12)</f>
        <v>3.6132377412184207</v>
      </c>
      <c r="AU12" s="807">
        <f>3.07*($C$12)</f>
        <v>3.7099129985085453</v>
      </c>
      <c r="AV12" s="807">
        <f>3.14*($C$12)</f>
        <v>3.794503848637405</v>
      </c>
      <c r="AW12" s="807">
        <f>3.21*($C$12)</f>
        <v>3.8790946987662642</v>
      </c>
      <c r="AX12" s="807">
        <f>3.28*($C$12)</f>
        <v>3.963685548895123</v>
      </c>
      <c r="AY12" s="807">
        <f>3.35*($C$12)</f>
        <v>4.0482763990239832</v>
      </c>
      <c r="AZ12" s="807">
        <f>3.42*($C$12)</f>
        <v>4.1328672491528424</v>
      </c>
      <c r="BA12" s="807">
        <f>3.49*($C$12)</f>
        <v>4.2174580992817017</v>
      </c>
      <c r="BB12" s="807">
        <f>3.56*($C$12)</f>
        <v>4.3020489494105609</v>
      </c>
      <c r="BC12" s="807">
        <f>3.64*($C$12)</f>
        <v>4.3987242067006855</v>
      </c>
      <c r="BD12" s="807">
        <f>3.71*($C$12)</f>
        <v>4.4833150568295448</v>
      </c>
      <c r="BE12" s="807">
        <f>3.78*($C$12)</f>
        <v>4.567905906958404</v>
      </c>
      <c r="BF12" s="807">
        <f>3.85*($C$12)</f>
        <v>4.6524967570872642</v>
      </c>
      <c r="BG12" s="807">
        <f>3.92*($C$12)</f>
        <v>4.7370876072161234</v>
      </c>
      <c r="BH12" s="807">
        <f>3.99*($C$12)</f>
        <v>4.8216784573449827</v>
      </c>
      <c r="BI12" s="807">
        <f>4.06*($C$12)</f>
        <v>4.906269307473841</v>
      </c>
      <c r="BJ12" s="807">
        <f>4.14*($C$12)</f>
        <v>5.0029445647639665</v>
      </c>
      <c r="BK12" s="807">
        <f>4.21*($C$12)</f>
        <v>5.0875354148928258</v>
      </c>
      <c r="BL12" s="807">
        <f>4.28*($C$12)</f>
        <v>5.1721262650216859</v>
      </c>
      <c r="BM12" s="807">
        <f>4.35*($C$12)</f>
        <v>5.2567171151505443</v>
      </c>
      <c r="BN12" s="807">
        <f>4.42*($C$12)</f>
        <v>5.3413079652794044</v>
      </c>
      <c r="BO12" s="807">
        <f>4.49*($C$12)</f>
        <v>5.4258988154082637</v>
      </c>
      <c r="BP12" s="807">
        <f>4.56*($C$12)</f>
        <v>5.5104896655371221</v>
      </c>
      <c r="BQ12" s="807">
        <f>4.63*($C$12)</f>
        <v>5.5950805156659822</v>
      </c>
      <c r="BR12" s="807">
        <f>4.71*($C$12)</f>
        <v>5.6917557729561068</v>
      </c>
      <c r="BS12" s="807">
        <f>4.78*($C$12)</f>
        <v>5.7763466230849669</v>
      </c>
      <c r="BT12" s="807">
        <f>4.85*($C$12)</f>
        <v>5.8609374732138253</v>
      </c>
      <c r="BU12" s="807">
        <f>4.92*($C$12)</f>
        <v>5.9455283233426854</v>
      </c>
      <c r="BV12" s="808">
        <f>4.99*($C$12)</f>
        <v>6.0301191734715447</v>
      </c>
      <c r="BW12" s="1077">
        <f>+BV12*BW$138/BV$138</f>
        <v>6.0446132076616896</v>
      </c>
      <c r="BX12" s="1077">
        <f t="shared" ref="BX12:CZ12" si="44">+BW12*BX$138/BW$138</f>
        <v>6.0591420798079438</v>
      </c>
      <c r="BY12" s="1077">
        <f t="shared" si="44"/>
        <v>6.0737058736470511</v>
      </c>
      <c r="BZ12" s="1077">
        <f t="shared" si="44"/>
        <v>6.0883046731170198</v>
      </c>
      <c r="CA12" s="1077">
        <f t="shared" si="44"/>
        <v>6.1029385623576156</v>
      </c>
      <c r="CB12" s="1077">
        <f t="shared" si="44"/>
        <v>6.1157485681116217</v>
      </c>
      <c r="CC12" s="1077">
        <f t="shared" si="44"/>
        <v>6.1285854619369617</v>
      </c>
      <c r="CD12" s="1077">
        <f t="shared" si="44"/>
        <v>6.1414493002714252</v>
      </c>
      <c r="CE12" s="1077">
        <f t="shared" si="44"/>
        <v>6.1543401396712598</v>
      </c>
      <c r="CF12" s="1077">
        <f t="shared" si="44"/>
        <v>6.167258036811428</v>
      </c>
      <c r="CG12" s="1077">
        <f t="shared" si="44"/>
        <v>6.183149548139812</v>
      </c>
      <c r="CH12" s="1077">
        <f t="shared" si="44"/>
        <v>6.1990820079952069</v>
      </c>
      <c r="CI12" s="1077">
        <f t="shared" si="44"/>
        <v>6.215055521891923</v>
      </c>
      <c r="CJ12" s="1077">
        <f t="shared" si="44"/>
        <v>6.2310701956161552</v>
      </c>
      <c r="CK12" s="1077">
        <f t="shared" si="44"/>
        <v>6.2471261352266838</v>
      </c>
      <c r="CL12" s="1077">
        <f t="shared" si="44"/>
        <v>6.2604975997429575</v>
      </c>
      <c r="CM12" s="1077">
        <f t="shared" si="44"/>
        <v>6.2738976847896071</v>
      </c>
      <c r="CN12" s="1077">
        <f t="shared" si="44"/>
        <v>6.2873264516265444</v>
      </c>
      <c r="CO12" s="1077">
        <f t="shared" si="44"/>
        <v>6.3007839616448056</v>
      </c>
      <c r="CP12" s="1077">
        <f t="shared" si="44"/>
        <v>6.3142702763668277</v>
      </c>
      <c r="CQ12" s="1077">
        <f t="shared" si="44"/>
        <v>6.326614172551615</v>
      </c>
      <c r="CR12" s="1077">
        <f t="shared" si="44"/>
        <v>6.3389822000716718</v>
      </c>
      <c r="CS12" s="1077">
        <f t="shared" si="44"/>
        <v>6.3513744061018391</v>
      </c>
      <c r="CT12" s="1077">
        <f t="shared" si="44"/>
        <v>6.3637908379091801</v>
      </c>
      <c r="CU12" s="1077">
        <f t="shared" si="44"/>
        <v>6.376231542853164</v>
      </c>
      <c r="CV12" s="1077">
        <f t="shared" si="44"/>
        <v>6.3909193633613004</v>
      </c>
      <c r="CW12" s="1077">
        <f t="shared" si="44"/>
        <v>6.4056410176582252</v>
      </c>
      <c r="CX12" s="1077">
        <f t="shared" si="44"/>
        <v>6.4203965836809767</v>
      </c>
      <c r="CY12" s="1077">
        <f t="shared" si="44"/>
        <v>6.4351861395461265</v>
      </c>
      <c r="CZ12" s="1077">
        <f t="shared" si="44"/>
        <v>6.450009763550189</v>
      </c>
    </row>
    <row r="13" spans="1:104" x14ac:dyDescent="0.25">
      <c r="A13" s="806" t="str">
        <f>'HyARC Physical Property Data'!A86</f>
        <v>Woody Biomass B2A</v>
      </c>
      <c r="B13" s="254">
        <v>2007</v>
      </c>
      <c r="C13" s="726">
        <f>VLOOKUP(ref_year,DeflatorTable,2,FALSE)/VLOOKUP(B13,DeflatorTable,2,FALSE)</f>
        <v>1.1413971588333081</v>
      </c>
      <c r="D13" s="1030" t="str">
        <f>+'HyARC Physical Property Data'!$H$86</f>
        <v>kg</v>
      </c>
      <c r="E13" s="747" t="s">
        <v>1034</v>
      </c>
      <c r="F13" s="254">
        <f>'HyARC Physical Property Data'!$E$45</f>
        <v>19.551069237418005</v>
      </c>
      <c r="G13" s="254">
        <f>'HyARC Physical Property Data'!$I$45</f>
        <v>20.588656379262464</v>
      </c>
      <c r="H13" s="807">
        <f>3.80872262322035*($C$13)</f>
        <v>4.3472651809278515</v>
      </c>
      <c r="I13" s="807">
        <f>3.80872262322035*($C$13)</f>
        <v>4.3472651809278515</v>
      </c>
      <c r="J13" s="807">
        <f>3.80872262322035*($C$13)</f>
        <v>4.3472651809278515</v>
      </c>
      <c r="K13" s="807">
        <f>3.80872262322035*($C$13)</f>
        <v>4.3472651809278515</v>
      </c>
      <c r="L13" s="807">
        <f>3.58036841709093*($C$13)</f>
        <v>4.0866223388440961</v>
      </c>
      <c r="M13" s="807">
        <f>3.28153451771169*($C$13)</f>
        <v>3.7455341751295528</v>
      </c>
      <c r="N13" s="807">
        <f>3.05599949931226*($C$13)</f>
        <v>3.4881091459110256</v>
      </c>
      <c r="O13" s="807">
        <f>2.9206784882726*($C$13)</f>
        <v>3.3336541283799068</v>
      </c>
      <c r="P13" s="807">
        <f t="shared" ref="P13:BV13" si="45">2.85865635821276*($C$13)</f>
        <v>3.2628622453448157</v>
      </c>
      <c r="Q13" s="807">
        <f t="shared" si="45"/>
        <v>3.2628622453448157</v>
      </c>
      <c r="R13" s="807">
        <f t="shared" si="45"/>
        <v>3.2628622453448157</v>
      </c>
      <c r="S13" s="807">
        <f t="shared" si="45"/>
        <v>3.2628622453448157</v>
      </c>
      <c r="T13" s="807">
        <f t="shared" si="45"/>
        <v>3.2628622453448157</v>
      </c>
      <c r="U13" s="807">
        <f t="shared" si="45"/>
        <v>3.2628622453448157</v>
      </c>
      <c r="V13" s="807">
        <f t="shared" si="45"/>
        <v>3.2628622453448157</v>
      </c>
      <c r="W13" s="807">
        <f t="shared" si="45"/>
        <v>3.2628622453448157</v>
      </c>
      <c r="X13" s="807">
        <f t="shared" si="45"/>
        <v>3.2628622453448157</v>
      </c>
      <c r="Y13" s="807">
        <f t="shared" si="45"/>
        <v>3.2628622453448157</v>
      </c>
      <c r="Z13" s="807">
        <f t="shared" si="45"/>
        <v>3.2628622453448157</v>
      </c>
      <c r="AA13" s="807">
        <f t="shared" si="45"/>
        <v>3.2628622453448157</v>
      </c>
      <c r="AB13" s="807">
        <f t="shared" si="45"/>
        <v>3.2628622453448157</v>
      </c>
      <c r="AC13" s="807">
        <f t="shared" si="45"/>
        <v>3.2628622453448157</v>
      </c>
      <c r="AD13" s="807">
        <f t="shared" si="45"/>
        <v>3.2628622453448157</v>
      </c>
      <c r="AE13" s="807">
        <f t="shared" si="45"/>
        <v>3.2628622453448157</v>
      </c>
      <c r="AF13" s="807">
        <f t="shared" si="45"/>
        <v>3.2628622453448157</v>
      </c>
      <c r="AG13" s="807">
        <f t="shared" si="45"/>
        <v>3.2628622453448157</v>
      </c>
      <c r="AH13" s="807">
        <f t="shared" si="45"/>
        <v>3.2628622453448157</v>
      </c>
      <c r="AI13" s="807">
        <f t="shared" si="45"/>
        <v>3.2628622453448157</v>
      </c>
      <c r="AJ13" s="807">
        <f t="shared" si="45"/>
        <v>3.2628622453448157</v>
      </c>
      <c r="AK13" s="807">
        <f t="shared" si="45"/>
        <v>3.2628622453448157</v>
      </c>
      <c r="AL13" s="807">
        <f t="shared" si="45"/>
        <v>3.2628622453448157</v>
      </c>
      <c r="AM13" s="807">
        <f t="shared" si="45"/>
        <v>3.2628622453448157</v>
      </c>
      <c r="AN13" s="807">
        <f t="shared" si="45"/>
        <v>3.2628622453448157</v>
      </c>
      <c r="AO13" s="807">
        <f t="shared" si="45"/>
        <v>3.2628622453448157</v>
      </c>
      <c r="AP13" s="807">
        <f t="shared" si="45"/>
        <v>3.2628622453448157</v>
      </c>
      <c r="AQ13" s="807">
        <f t="shared" si="45"/>
        <v>3.2628622453448157</v>
      </c>
      <c r="AR13" s="807">
        <f t="shared" si="45"/>
        <v>3.2628622453448157</v>
      </c>
      <c r="AS13" s="807">
        <f t="shared" si="45"/>
        <v>3.2628622453448157</v>
      </c>
      <c r="AT13" s="807">
        <f t="shared" si="45"/>
        <v>3.2628622453448157</v>
      </c>
      <c r="AU13" s="807">
        <f t="shared" si="45"/>
        <v>3.2628622453448157</v>
      </c>
      <c r="AV13" s="807">
        <f t="shared" si="45"/>
        <v>3.2628622453448157</v>
      </c>
      <c r="AW13" s="807">
        <f t="shared" si="45"/>
        <v>3.2628622453448157</v>
      </c>
      <c r="AX13" s="807">
        <f t="shared" si="45"/>
        <v>3.2628622453448157</v>
      </c>
      <c r="AY13" s="807">
        <f t="shared" si="45"/>
        <v>3.2628622453448157</v>
      </c>
      <c r="AZ13" s="807">
        <f t="shared" si="45"/>
        <v>3.2628622453448157</v>
      </c>
      <c r="BA13" s="807">
        <f t="shared" si="45"/>
        <v>3.2628622453448157</v>
      </c>
      <c r="BB13" s="807">
        <f t="shared" si="45"/>
        <v>3.2628622453448157</v>
      </c>
      <c r="BC13" s="807">
        <f t="shared" si="45"/>
        <v>3.2628622453448157</v>
      </c>
      <c r="BD13" s="807">
        <f t="shared" si="45"/>
        <v>3.2628622453448157</v>
      </c>
      <c r="BE13" s="807">
        <f t="shared" si="45"/>
        <v>3.2628622453448157</v>
      </c>
      <c r="BF13" s="807">
        <f t="shared" si="45"/>
        <v>3.2628622453448157</v>
      </c>
      <c r="BG13" s="807">
        <f t="shared" si="45"/>
        <v>3.2628622453448157</v>
      </c>
      <c r="BH13" s="807">
        <f t="shared" si="45"/>
        <v>3.2628622453448157</v>
      </c>
      <c r="BI13" s="807">
        <f t="shared" si="45"/>
        <v>3.2628622453448157</v>
      </c>
      <c r="BJ13" s="807">
        <f t="shared" si="45"/>
        <v>3.2628622453448157</v>
      </c>
      <c r="BK13" s="807">
        <f t="shared" si="45"/>
        <v>3.2628622453448157</v>
      </c>
      <c r="BL13" s="807">
        <f t="shared" si="45"/>
        <v>3.2628622453448157</v>
      </c>
      <c r="BM13" s="807">
        <f t="shared" si="45"/>
        <v>3.2628622453448157</v>
      </c>
      <c r="BN13" s="807">
        <f t="shared" si="45"/>
        <v>3.2628622453448157</v>
      </c>
      <c r="BO13" s="807">
        <f t="shared" si="45"/>
        <v>3.2628622453448157</v>
      </c>
      <c r="BP13" s="807">
        <f t="shared" si="45"/>
        <v>3.2628622453448157</v>
      </c>
      <c r="BQ13" s="807">
        <f t="shared" si="45"/>
        <v>3.2628622453448157</v>
      </c>
      <c r="BR13" s="807">
        <f t="shared" si="45"/>
        <v>3.2628622453448157</v>
      </c>
      <c r="BS13" s="807">
        <f t="shared" si="45"/>
        <v>3.2628622453448157</v>
      </c>
      <c r="BT13" s="807">
        <f t="shared" si="45"/>
        <v>3.2628622453448157</v>
      </c>
      <c r="BU13" s="807">
        <f t="shared" si="45"/>
        <v>3.2628622453448157</v>
      </c>
      <c r="BV13" s="808">
        <f t="shared" si="45"/>
        <v>3.2628622453448157</v>
      </c>
      <c r="BW13" s="1077">
        <f>+BV13*BW$138/BV$138</f>
        <v>3.2707048825433991</v>
      </c>
      <c r="BX13" s="1077">
        <f t="shared" ref="BX13:CZ13" si="46">+BW13*BX$138/BW$138</f>
        <v>3.2785663703564443</v>
      </c>
      <c r="BY13" s="1077">
        <f t="shared" si="46"/>
        <v>3.2864467540934128</v>
      </c>
      <c r="BZ13" s="1077">
        <f t="shared" si="46"/>
        <v>3.2943460791726715</v>
      </c>
      <c r="CA13" s="1077">
        <f t="shared" si="46"/>
        <v>3.3022643911217555</v>
      </c>
      <c r="CB13" s="1077">
        <f t="shared" si="46"/>
        <v>3.3091958103748405</v>
      </c>
      <c r="CC13" s="1077">
        <f t="shared" si="46"/>
        <v>3.3161417786061929</v>
      </c>
      <c r="CD13" s="1077">
        <f t="shared" si="46"/>
        <v>3.323102326353971</v>
      </c>
      <c r="CE13" s="1077">
        <f t="shared" si="46"/>
        <v>3.3300774842204302</v>
      </c>
      <c r="CF13" s="1077">
        <f t="shared" si="46"/>
        <v>3.3370672828720607</v>
      </c>
      <c r="CG13" s="1077">
        <f t="shared" si="46"/>
        <v>3.3456660867834271</v>
      </c>
      <c r="CH13" s="1077">
        <f t="shared" si="46"/>
        <v>3.3542870477034605</v>
      </c>
      <c r="CI13" s="1077">
        <f t="shared" si="46"/>
        <v>3.3629302227253368</v>
      </c>
      <c r="CJ13" s="1077">
        <f t="shared" si="46"/>
        <v>3.3715956690893476</v>
      </c>
      <c r="CK13" s="1077">
        <f t="shared" si="46"/>
        <v>3.3802834441832799</v>
      </c>
      <c r="CL13" s="1077">
        <f t="shared" si="46"/>
        <v>3.3875186654915184</v>
      </c>
      <c r="CM13" s="1077">
        <f t="shared" si="46"/>
        <v>3.3947693732014868</v>
      </c>
      <c r="CN13" s="1077">
        <f t="shared" si="46"/>
        <v>3.4020356004605672</v>
      </c>
      <c r="CO13" s="1077">
        <f t="shared" si="46"/>
        <v>3.4093173804870895</v>
      </c>
      <c r="CP13" s="1077">
        <f t="shared" si="46"/>
        <v>3.416614746570485</v>
      </c>
      <c r="CQ13" s="1077">
        <f t="shared" si="46"/>
        <v>3.4232939566595637</v>
      </c>
      <c r="CR13" s="1077">
        <f t="shared" si="46"/>
        <v>3.4299862240731356</v>
      </c>
      <c r="CS13" s="1077">
        <f t="shared" si="46"/>
        <v>3.4366915743372313</v>
      </c>
      <c r="CT13" s="1077">
        <f t="shared" si="46"/>
        <v>3.4434100330277828</v>
      </c>
      <c r="CU13" s="1077">
        <f t="shared" si="46"/>
        <v>3.4501416257707223</v>
      </c>
      <c r="CV13" s="1077">
        <f t="shared" si="46"/>
        <v>3.4580891196135033</v>
      </c>
      <c r="CW13" s="1077">
        <f t="shared" si="46"/>
        <v>3.466054920721676</v>
      </c>
      <c r="CX13" s="1077">
        <f t="shared" si="46"/>
        <v>3.474039071266517</v>
      </c>
      <c r="CY13" s="1077">
        <f t="shared" si="46"/>
        <v>3.4820416135164467</v>
      </c>
      <c r="CZ13" s="1077">
        <f t="shared" si="46"/>
        <v>3.490062589837251</v>
      </c>
    </row>
    <row r="14" spans="1:104" x14ac:dyDescent="0.25">
      <c r="A14" s="806" t="str">
        <f>'HyARC Physical Property Data'!$A$87</f>
        <v>Woody Biomass MYPP</v>
      </c>
      <c r="B14" s="254">
        <v>2007</v>
      </c>
      <c r="C14" s="726">
        <f>VLOOKUP(ref_year,DeflatorTable,2,FALSE)/VLOOKUP(B14,DeflatorTable,2,FALSE)</f>
        <v>1.1413971588333081</v>
      </c>
      <c r="D14" s="1030" t="str">
        <f>+'HyARC Physical Property Data'!$H$87</f>
        <v>kg</v>
      </c>
      <c r="E14" s="747" t="s">
        <v>1034</v>
      </c>
      <c r="F14" s="254">
        <v>18.608000000000001</v>
      </c>
      <c r="G14" s="254"/>
      <c r="H14" s="254">
        <f>4.44432502149613*$C$14</f>
        <v>5.0727399524674635</v>
      </c>
      <c r="I14" s="254">
        <f t="shared" ref="I14:N14" si="47">4.44432502149613*$C$14</f>
        <v>5.0727399524674635</v>
      </c>
      <c r="J14" s="254">
        <f t="shared" si="47"/>
        <v>5.0727399524674635</v>
      </c>
      <c r="K14" s="254">
        <f t="shared" si="47"/>
        <v>5.0727399524674635</v>
      </c>
      <c r="L14" s="254">
        <f t="shared" si="47"/>
        <v>5.0727399524674635</v>
      </c>
      <c r="M14" s="254">
        <f t="shared" si="47"/>
        <v>5.0727399524674635</v>
      </c>
      <c r="N14" s="254">
        <f t="shared" si="47"/>
        <v>5.0727399524674635</v>
      </c>
      <c r="O14" s="807">
        <f t="shared" ref="O14:T14" si="48">N14-($N$14-$U$14)/7</f>
        <v>4.9524277749801975</v>
      </c>
      <c r="P14" s="807">
        <f t="shared" si="48"/>
        <v>4.8321155974929315</v>
      </c>
      <c r="Q14" s="807">
        <f t="shared" si="48"/>
        <v>4.7118034200056655</v>
      </c>
      <c r="R14" s="807">
        <f t="shared" si="48"/>
        <v>4.5914912425183996</v>
      </c>
      <c r="S14" s="807">
        <f t="shared" si="48"/>
        <v>4.4711790650311336</v>
      </c>
      <c r="T14" s="807">
        <f t="shared" si="48"/>
        <v>4.3508668875438676</v>
      </c>
      <c r="U14" s="807">
        <f>3.70647033533964*$C$14</f>
        <v>4.2305547100566034</v>
      </c>
      <c r="V14" s="807">
        <f t="shared" ref="V14:BV14" si="49">3.70647033533964*$C$14</f>
        <v>4.2305547100566034</v>
      </c>
      <c r="W14" s="807">
        <f t="shared" si="49"/>
        <v>4.2305547100566034</v>
      </c>
      <c r="X14" s="807">
        <f t="shared" si="49"/>
        <v>4.2305547100566034</v>
      </c>
      <c r="Y14" s="807">
        <f t="shared" si="49"/>
        <v>4.2305547100566034</v>
      </c>
      <c r="Z14" s="807">
        <f t="shared" si="49"/>
        <v>4.2305547100566034</v>
      </c>
      <c r="AA14" s="807">
        <f t="shared" si="49"/>
        <v>4.2305547100566034</v>
      </c>
      <c r="AB14" s="807">
        <f t="shared" si="49"/>
        <v>4.2305547100566034</v>
      </c>
      <c r="AC14" s="807">
        <f t="shared" si="49"/>
        <v>4.2305547100566034</v>
      </c>
      <c r="AD14" s="807">
        <f t="shared" si="49"/>
        <v>4.2305547100566034</v>
      </c>
      <c r="AE14" s="807">
        <f t="shared" si="49"/>
        <v>4.2305547100566034</v>
      </c>
      <c r="AF14" s="807">
        <f t="shared" si="49"/>
        <v>4.2305547100566034</v>
      </c>
      <c r="AG14" s="807">
        <f t="shared" si="49"/>
        <v>4.2305547100566034</v>
      </c>
      <c r="AH14" s="807">
        <f t="shared" si="49"/>
        <v>4.2305547100566034</v>
      </c>
      <c r="AI14" s="807">
        <f t="shared" si="49"/>
        <v>4.2305547100566034</v>
      </c>
      <c r="AJ14" s="807">
        <f t="shared" si="49"/>
        <v>4.2305547100566034</v>
      </c>
      <c r="AK14" s="807">
        <f t="shared" si="49"/>
        <v>4.2305547100566034</v>
      </c>
      <c r="AL14" s="807">
        <f t="shared" si="49"/>
        <v>4.2305547100566034</v>
      </c>
      <c r="AM14" s="807">
        <f t="shared" si="49"/>
        <v>4.2305547100566034</v>
      </c>
      <c r="AN14" s="807">
        <f t="shared" si="49"/>
        <v>4.2305547100566034</v>
      </c>
      <c r="AO14" s="807">
        <f t="shared" si="49"/>
        <v>4.2305547100566034</v>
      </c>
      <c r="AP14" s="807">
        <f t="shared" si="49"/>
        <v>4.2305547100566034</v>
      </c>
      <c r="AQ14" s="807">
        <f t="shared" si="49"/>
        <v>4.2305547100566034</v>
      </c>
      <c r="AR14" s="807">
        <f t="shared" si="49"/>
        <v>4.2305547100566034</v>
      </c>
      <c r="AS14" s="807">
        <f t="shared" si="49"/>
        <v>4.2305547100566034</v>
      </c>
      <c r="AT14" s="807">
        <f t="shared" si="49"/>
        <v>4.2305547100566034</v>
      </c>
      <c r="AU14" s="807">
        <f t="shared" si="49"/>
        <v>4.2305547100566034</v>
      </c>
      <c r="AV14" s="807">
        <f t="shared" si="49"/>
        <v>4.2305547100566034</v>
      </c>
      <c r="AW14" s="807">
        <f t="shared" si="49"/>
        <v>4.2305547100566034</v>
      </c>
      <c r="AX14" s="807">
        <f t="shared" si="49"/>
        <v>4.2305547100566034</v>
      </c>
      <c r="AY14" s="807">
        <f t="shared" si="49"/>
        <v>4.2305547100566034</v>
      </c>
      <c r="AZ14" s="807">
        <f t="shared" si="49"/>
        <v>4.2305547100566034</v>
      </c>
      <c r="BA14" s="807">
        <f t="shared" si="49"/>
        <v>4.2305547100566034</v>
      </c>
      <c r="BB14" s="807">
        <f t="shared" si="49"/>
        <v>4.2305547100566034</v>
      </c>
      <c r="BC14" s="807">
        <f t="shared" si="49"/>
        <v>4.2305547100566034</v>
      </c>
      <c r="BD14" s="807">
        <f t="shared" si="49"/>
        <v>4.2305547100566034</v>
      </c>
      <c r="BE14" s="807">
        <f t="shared" si="49"/>
        <v>4.2305547100566034</v>
      </c>
      <c r="BF14" s="807">
        <f t="shared" si="49"/>
        <v>4.2305547100566034</v>
      </c>
      <c r="BG14" s="807">
        <f t="shared" si="49"/>
        <v>4.2305547100566034</v>
      </c>
      <c r="BH14" s="807">
        <f t="shared" si="49"/>
        <v>4.2305547100566034</v>
      </c>
      <c r="BI14" s="807">
        <f t="shared" si="49"/>
        <v>4.2305547100566034</v>
      </c>
      <c r="BJ14" s="807">
        <f t="shared" si="49"/>
        <v>4.2305547100566034</v>
      </c>
      <c r="BK14" s="807">
        <f t="shared" si="49"/>
        <v>4.2305547100566034</v>
      </c>
      <c r="BL14" s="807">
        <f t="shared" si="49"/>
        <v>4.2305547100566034</v>
      </c>
      <c r="BM14" s="807">
        <f t="shared" si="49"/>
        <v>4.2305547100566034</v>
      </c>
      <c r="BN14" s="807">
        <f t="shared" si="49"/>
        <v>4.2305547100566034</v>
      </c>
      <c r="BO14" s="807">
        <f t="shared" si="49"/>
        <v>4.2305547100566034</v>
      </c>
      <c r="BP14" s="807">
        <f t="shared" si="49"/>
        <v>4.2305547100566034</v>
      </c>
      <c r="BQ14" s="807">
        <f t="shared" si="49"/>
        <v>4.2305547100566034</v>
      </c>
      <c r="BR14" s="807">
        <f t="shared" si="49"/>
        <v>4.2305547100566034</v>
      </c>
      <c r="BS14" s="807">
        <f t="shared" si="49"/>
        <v>4.2305547100566034</v>
      </c>
      <c r="BT14" s="807">
        <f t="shared" si="49"/>
        <v>4.2305547100566034</v>
      </c>
      <c r="BU14" s="807">
        <f t="shared" si="49"/>
        <v>4.2305547100566034</v>
      </c>
      <c r="BV14" s="807">
        <f t="shared" si="49"/>
        <v>4.2305547100566034</v>
      </c>
      <c r="BW14" s="1077">
        <f>+BV14*BW$138/BV$138</f>
        <v>4.2407232992414734</v>
      </c>
      <c r="BX14" s="1077">
        <f t="shared" ref="BX14:CZ14" si="50">+BW14*BX$138/BW$138</f>
        <v>4.2509163297143298</v>
      </c>
      <c r="BY14" s="1077">
        <f t="shared" si="50"/>
        <v>4.2611338602224134</v>
      </c>
      <c r="BZ14" s="1077">
        <f t="shared" si="50"/>
        <v>4.2713759496541703</v>
      </c>
      <c r="CA14" s="1077">
        <f t="shared" si="50"/>
        <v>4.2816426570395922</v>
      </c>
      <c r="CB14" s="1077">
        <f t="shared" si="50"/>
        <v>4.2906297812770164</v>
      </c>
      <c r="CC14" s="1077">
        <f t="shared" si="50"/>
        <v>4.2996357693964899</v>
      </c>
      <c r="CD14" s="1077">
        <f t="shared" si="50"/>
        <v>4.3086606609931088</v>
      </c>
      <c r="CE14" s="1077">
        <f t="shared" si="50"/>
        <v>4.3177044957450779</v>
      </c>
      <c r="CF14" s="1077">
        <f t="shared" si="50"/>
        <v>4.3267673134138871</v>
      </c>
      <c r="CG14" s="1077">
        <f t="shared" si="50"/>
        <v>4.3379163315619822</v>
      </c>
      <c r="CH14" s="1077">
        <f t="shared" si="50"/>
        <v>4.3490940779953462</v>
      </c>
      <c r="CI14" s="1077">
        <f t="shared" si="50"/>
        <v>4.3603006267397229</v>
      </c>
      <c r="CJ14" s="1077">
        <f t="shared" si="50"/>
        <v>4.3715360520116029</v>
      </c>
      <c r="CK14" s="1077">
        <f t="shared" si="50"/>
        <v>4.3828004282187161</v>
      </c>
      <c r="CL14" s="1077">
        <f t="shared" si="50"/>
        <v>4.3921814554525627</v>
      </c>
      <c r="CM14" s="1077">
        <f t="shared" si="50"/>
        <v>4.4015825620108968</v>
      </c>
      <c r="CN14" s="1077">
        <f t="shared" si="50"/>
        <v>4.4110037908718764</v>
      </c>
      <c r="CO14" s="1077">
        <f t="shared" si="50"/>
        <v>4.4204451851056508</v>
      </c>
      <c r="CP14" s="1077">
        <f t="shared" si="50"/>
        <v>4.4299067878745575</v>
      </c>
      <c r="CQ14" s="1077">
        <f t="shared" si="50"/>
        <v>4.4385669033121991</v>
      </c>
      <c r="CR14" s="1077">
        <f t="shared" si="50"/>
        <v>4.4472439485867392</v>
      </c>
      <c r="CS14" s="1077">
        <f t="shared" si="50"/>
        <v>4.4559379567946618</v>
      </c>
      <c r="CT14" s="1077">
        <f t="shared" si="50"/>
        <v>4.4646489610971525</v>
      </c>
      <c r="CU14" s="1077">
        <f t="shared" si="50"/>
        <v>4.4733769947202253</v>
      </c>
      <c r="CV14" s="1077">
        <f t="shared" si="50"/>
        <v>4.4836815387008029</v>
      </c>
      <c r="CW14" s="1077">
        <f t="shared" si="50"/>
        <v>4.494009819475032</v>
      </c>
      <c r="CX14" s="1077">
        <f t="shared" si="50"/>
        <v>4.5043618917212536</v>
      </c>
      <c r="CY14" s="1077">
        <f t="shared" si="50"/>
        <v>4.5147378102437621</v>
      </c>
      <c r="CZ14" s="1077">
        <f t="shared" si="50"/>
        <v>4.525137629973095</v>
      </c>
    </row>
    <row r="15" spans="1:104" x14ac:dyDescent="0.25">
      <c r="A15" s="812" t="str">
        <f>'HyARC Physical Property Data'!A79</f>
        <v>Electric Utility Steam Coal</v>
      </c>
      <c r="B15" s="254">
        <v>2007</v>
      </c>
      <c r="C15" s="726">
        <f>VLOOKUP(ref_year,DeflatorTable,2,FALSE)/VLOOKUP(B15,DeflatorTable,2,FALSE)</f>
        <v>1.1413971588333081</v>
      </c>
      <c r="D15" s="1030" t="str">
        <f>+'HyARC Physical Property Data'!$H$79</f>
        <v>kg</v>
      </c>
      <c r="E15" s="747" t="s">
        <v>1034</v>
      </c>
      <c r="F15" s="254">
        <f>'HyARC Physical Property Data'!E42</f>
        <v>22.7322030001394</v>
      </c>
      <c r="G15" s="254">
        <f>'HyARC Physical Property Data'!I42</f>
        <v>23.967615189707661</v>
      </c>
      <c r="H15" s="254">
        <f>1.73552525043488*($C$15/mmBTU_to_GJ*$G$15/$F$15)</f>
        <v>1.9796962563875427</v>
      </c>
      <c r="I15" s="254">
        <f>1.73552525043488*($C$15/mmBTU_to_GJ*$G$15/$F$15)</f>
        <v>1.9796962563875427</v>
      </c>
      <c r="J15" s="254">
        <f>1.73552525043488*($C$15/mmBTU_to_GJ*$G$15/$F$15)</f>
        <v>1.9796962563875427</v>
      </c>
      <c r="K15" s="254">
        <f>1.78000020980835*($C$15/mmBTU_to_GJ*$G$15/$F$15)</f>
        <v>2.0304283967309829</v>
      </c>
      <c r="L15" s="254">
        <f>1.9310736656189*($C$15/mmBTU_to_GJ*$G$15/$F$15)</f>
        <v>2.2027563734243398</v>
      </c>
      <c r="M15" s="254">
        <f>1.98230564594269*($C$15/mmBTU_to_GJ*$G$15/$F$15)</f>
        <v>2.2611961798339055</v>
      </c>
      <c r="N15" s="254">
        <f>1.86225914955139*($C$15/mmBTU_to_GJ*$G$15/$F$15)</f>
        <v>2.1242603447380195</v>
      </c>
      <c r="O15" s="254">
        <f>1.87335216999054*($C$15/mmBTU_to_GJ*$G$15/$F$15)</f>
        <v>2.1369140419572981</v>
      </c>
      <c r="P15" s="254">
        <f>1.85759365558624*($C$15/mmBTU_to_GJ*$G$15/$F$15)</f>
        <v>2.1189384625385577</v>
      </c>
      <c r="Q15" s="254">
        <f>1.88174879550934*($C$15/mmBTU_to_GJ*$G$15/$F$15)</f>
        <v>2.1464919885194074</v>
      </c>
      <c r="R15" s="254">
        <f>1.90431761741638*($C$15/mmBTU_to_GJ*$G$15/$F$15)</f>
        <v>2.1722360174404782</v>
      </c>
      <c r="S15" s="254">
        <f>1.90719401836395*($C$15/mmBTU_to_GJ*$G$15/$F$15)</f>
        <v>2.1755170991685295</v>
      </c>
      <c r="T15" s="254">
        <f>1.91704928874969*($C$15/mmBTU_to_GJ*$G$15/$F$15)</f>
        <v>2.1867589073090032</v>
      </c>
      <c r="U15" s="254">
        <f>1.92595064640045*($C$15/mmBTU_to_GJ*$G$15/$F$15)</f>
        <v>2.1969125967546401</v>
      </c>
      <c r="V15" s="254">
        <f>1.94080138206482*($C$15/mmBTU_to_GJ*$G$15/$F$15)</f>
        <v>2.2138526820642528</v>
      </c>
      <c r="W15" s="254">
        <f>1.94636797904968*($C$15/mmBTU_to_GJ*$G$15/$F$15)</f>
        <v>2.2202024434457042</v>
      </c>
      <c r="X15" s="254">
        <f>1.95628917217255*($C$15/mmBTU_to_GJ*$G$15/$F$15)</f>
        <v>2.2315194489916172</v>
      </c>
      <c r="Y15" s="254">
        <f>1.96225011348724*($C$15/mmBTU_to_GJ*$G$15/$F$15)</f>
        <v>2.2383190349972262</v>
      </c>
      <c r="Z15" s="254">
        <f>1.97535526752472*($C$15/mmBTU_to_GJ*$G$15/$F$15)</f>
        <v>2.2532679528426334</v>
      </c>
      <c r="AA15" s="254">
        <f>1.98115420341492*($C$15/mmBTU_to_GJ*$G$15/$F$15)</f>
        <v>2.259882740884458</v>
      </c>
      <c r="AB15" s="254">
        <f>1.98549652099609*($C$15/mmBTU_to_GJ*$G$15/$F$15)</f>
        <v>2.264835979022211</v>
      </c>
      <c r="AC15" s="254">
        <f>1.98988306522369*($C$15/mmBTU_to_GJ*$G$15/$F$15)</f>
        <v>2.2698396660522224</v>
      </c>
      <c r="AD15" s="254">
        <f>1.99634909629822*($C$15/mmBTU_to_GJ*$G$15/$F$15)</f>
        <v>2.277215402883896</v>
      </c>
      <c r="AE15" s="254">
        <f>2.00744533538818*($C$15/mmBTU_to_GJ*$G$15/$F$15)</f>
        <v>2.2898727715858902</v>
      </c>
      <c r="AF15" s="254">
        <f>2.02021908760071*($C$15/mmBTU_to_GJ*$G$15/$F$15)</f>
        <v>2.3044436626915257</v>
      </c>
      <c r="AG15" s="254">
        <f>2.03361201286316*($C$15/mmBTU_to_GJ*$G$15/$F$15)</f>
        <v>2.3197208382886583</v>
      </c>
      <c r="AH15" s="254">
        <f>2.04451942443848*($C$15/mmBTU_to_GJ*$G$15/$F$15)</f>
        <v>2.3321628133374963</v>
      </c>
      <c r="AI15" s="254">
        <f>(($BB$15-$AH$15)/20+AH15)</f>
        <v>2.3372909448097223</v>
      </c>
      <c r="AJ15" s="254">
        <f t="shared" ref="AJ15:BA15" si="51">(($BB$15-$AH$15)/20+AI15)</f>
        <v>2.3424190762819483</v>
      </c>
      <c r="AK15" s="254">
        <f t="shared" si="51"/>
        <v>2.3475472077541744</v>
      </c>
      <c r="AL15" s="254">
        <f t="shared" si="51"/>
        <v>2.3526753392264004</v>
      </c>
      <c r="AM15" s="254">
        <f t="shared" si="51"/>
        <v>2.3578034706986264</v>
      </c>
      <c r="AN15" s="254">
        <f t="shared" si="51"/>
        <v>2.3629316021708524</v>
      </c>
      <c r="AO15" s="254">
        <f t="shared" si="51"/>
        <v>2.3680597336430784</v>
      </c>
      <c r="AP15" s="254">
        <f t="shared" si="51"/>
        <v>2.3731878651153044</v>
      </c>
      <c r="AQ15" s="254">
        <f t="shared" si="51"/>
        <v>2.3783159965875305</v>
      </c>
      <c r="AR15" s="254">
        <f t="shared" si="51"/>
        <v>2.3834441280597565</v>
      </c>
      <c r="AS15" s="254">
        <f t="shared" si="51"/>
        <v>2.3885722595319825</v>
      </c>
      <c r="AT15" s="254">
        <f t="shared" si="51"/>
        <v>2.3937003910042085</v>
      </c>
      <c r="AU15" s="254">
        <f t="shared" si="51"/>
        <v>2.3988285224764345</v>
      </c>
      <c r="AV15" s="254">
        <f t="shared" si="51"/>
        <v>2.4039566539486605</v>
      </c>
      <c r="AW15" s="254">
        <f t="shared" si="51"/>
        <v>2.4090847854208866</v>
      </c>
      <c r="AX15" s="254">
        <f t="shared" si="51"/>
        <v>2.4142129168931126</v>
      </c>
      <c r="AY15" s="254">
        <f t="shared" si="51"/>
        <v>2.4193410483653386</v>
      </c>
      <c r="AZ15" s="254">
        <f t="shared" si="51"/>
        <v>2.4244691798375646</v>
      </c>
      <c r="BA15" s="254">
        <f t="shared" si="51"/>
        <v>2.4295973113097906</v>
      </c>
      <c r="BB15" s="859">
        <f>(1.04397747398165*AH15)</f>
        <v>2.434725442782018</v>
      </c>
      <c r="BC15" s="254">
        <f>(($BQ$15-$BB$15)/15+BB15)</f>
        <v>2.4393430815285027</v>
      </c>
      <c r="BD15" s="254">
        <f t="shared" ref="BD15:BP15" si="52">(($BQ$15-$BB$15)/15+BC15)</f>
        <v>2.4439607202749873</v>
      </c>
      <c r="BE15" s="254">
        <f t="shared" si="52"/>
        <v>2.448578359021472</v>
      </c>
      <c r="BF15" s="254">
        <f t="shared" si="52"/>
        <v>2.4531959977679567</v>
      </c>
      <c r="BG15" s="254">
        <f t="shared" si="52"/>
        <v>2.4578136365144414</v>
      </c>
      <c r="BH15" s="254">
        <f t="shared" si="52"/>
        <v>2.4624312752609261</v>
      </c>
      <c r="BI15" s="254">
        <f t="shared" si="52"/>
        <v>2.4670489140074108</v>
      </c>
      <c r="BJ15" s="254">
        <f t="shared" si="52"/>
        <v>2.4716665527538955</v>
      </c>
      <c r="BK15" s="254">
        <f t="shared" si="52"/>
        <v>2.4762841915003801</v>
      </c>
      <c r="BL15" s="254">
        <f t="shared" si="52"/>
        <v>2.4809018302468648</v>
      </c>
      <c r="BM15" s="254">
        <f t="shared" si="52"/>
        <v>2.4855194689933495</v>
      </c>
      <c r="BN15" s="254">
        <f t="shared" si="52"/>
        <v>2.4901371077398342</v>
      </c>
      <c r="BO15" s="254">
        <f t="shared" si="52"/>
        <v>2.4947547464863189</v>
      </c>
      <c r="BP15" s="254">
        <f t="shared" si="52"/>
        <v>2.4993723852328036</v>
      </c>
      <c r="BQ15" s="859">
        <f>(1.02844862093285*BB15)</f>
        <v>2.5039900239792892</v>
      </c>
      <c r="BR15" s="254">
        <f>(($BV$15-$BQ$15)/5+BQ15)</f>
        <v>2.5087390281800759</v>
      </c>
      <c r="BS15" s="254">
        <f>(($BV$15-$BQ$15)/5+BR15)</f>
        <v>2.5134880323808626</v>
      </c>
      <c r="BT15" s="254">
        <f>(($BV$15-$BQ$15)/5+BS15)</f>
        <v>2.5182370365816493</v>
      </c>
      <c r="BU15" s="254">
        <f>(($BV$15-$BQ$15)/5+BT15)</f>
        <v>2.522986040782436</v>
      </c>
      <c r="BV15" s="862">
        <f>(1.00948287364428*BQ15)</f>
        <v>2.5277350449832223</v>
      </c>
      <c r="BW15" s="1077">
        <f>+BV15*BW$139/BV$139</f>
        <v>2.536281204043199</v>
      </c>
      <c r="BX15" s="1077">
        <f t="shared" ref="BX15:CZ15" si="53">+BW15*BX$139/BW$139</f>
        <v>2.5448562572844797</v>
      </c>
      <c r="BY15" s="1077">
        <f t="shared" si="53"/>
        <v>2.5534603023969979</v>
      </c>
      <c r="BZ15" s="1077">
        <f t="shared" si="53"/>
        <v>2.5620934374009732</v>
      </c>
      <c r="CA15" s="1077">
        <f t="shared" si="53"/>
        <v>2.5707557606480269</v>
      </c>
      <c r="CB15" s="1077">
        <f t="shared" si="53"/>
        <v>2.5781162379988212</v>
      </c>
      <c r="CC15" s="1077">
        <f t="shared" si="53"/>
        <v>2.585497789551864</v>
      </c>
      <c r="CD15" s="1077">
        <f t="shared" si="53"/>
        <v>2.5929004756459051</v>
      </c>
      <c r="CE15" s="1077">
        <f t="shared" si="53"/>
        <v>2.6003243567924534</v>
      </c>
      <c r="CF15" s="1077">
        <f t="shared" si="53"/>
        <v>2.6077694936762716</v>
      </c>
      <c r="CG15" s="1077">
        <f t="shared" si="53"/>
        <v>2.6134538634410465</v>
      </c>
      <c r="CH15" s="1077">
        <f t="shared" si="53"/>
        <v>2.6191506238943774</v>
      </c>
      <c r="CI15" s="1077">
        <f t="shared" si="53"/>
        <v>2.6248598020452683</v>
      </c>
      <c r="CJ15" s="1077">
        <f t="shared" si="53"/>
        <v>2.6305814249615964</v>
      </c>
      <c r="CK15" s="1077">
        <f t="shared" si="53"/>
        <v>2.6363155197702408</v>
      </c>
      <c r="CL15" s="1077">
        <f t="shared" si="53"/>
        <v>2.640202757935151</v>
      </c>
      <c r="CM15" s="1077">
        <f t="shared" si="53"/>
        <v>2.6440957278193635</v>
      </c>
      <c r="CN15" s="1077">
        <f t="shared" si="53"/>
        <v>2.6479944378742784</v>
      </c>
      <c r="CO15" s="1077">
        <f t="shared" si="53"/>
        <v>2.6518988965637571</v>
      </c>
      <c r="CP15" s="1077">
        <f t="shared" si="53"/>
        <v>2.6558091123641421</v>
      </c>
      <c r="CQ15" s="1077">
        <f t="shared" si="53"/>
        <v>2.6571185824873536</v>
      </c>
      <c r="CR15" s="1077">
        <f t="shared" si="53"/>
        <v>2.6584286982563667</v>
      </c>
      <c r="CS15" s="1077">
        <f t="shared" si="53"/>
        <v>2.659739459989523</v>
      </c>
      <c r="CT15" s="1077">
        <f t="shared" si="53"/>
        <v>2.6610508680053204</v>
      </c>
      <c r="CU15" s="1077">
        <f t="shared" si="53"/>
        <v>2.6623629226224148</v>
      </c>
      <c r="CV15" s="1077">
        <f t="shared" si="53"/>
        <v>2.6604772171816178</v>
      </c>
      <c r="CW15" s="1077">
        <f t="shared" si="53"/>
        <v>2.6585928473532499</v>
      </c>
      <c r="CX15" s="1077">
        <f t="shared" si="53"/>
        <v>2.6567098121913197</v>
      </c>
      <c r="CY15" s="1077">
        <f t="shared" si="53"/>
        <v>2.6548281107505058</v>
      </c>
      <c r="CZ15" s="1077">
        <f t="shared" si="53"/>
        <v>2.6529477420861576</v>
      </c>
    </row>
    <row r="16" spans="1:104" x14ac:dyDescent="0.25">
      <c r="A16" s="806" t="str">
        <f>'HyARC Physical Property Data'!A76</f>
        <v>Commercial Electricity</v>
      </c>
      <c r="B16" s="254">
        <v>2007</v>
      </c>
      <c r="C16" s="726">
        <f t="shared" si="37"/>
        <v>1.1413971588333081</v>
      </c>
      <c r="D16" s="1030" t="str">
        <f>'HyARC Physical Property Data'!$H$76</f>
        <v>kWh</v>
      </c>
      <c r="E16" s="726" t="s">
        <v>1053</v>
      </c>
      <c r="F16" s="726"/>
      <c r="G16" s="726"/>
      <c r="H16" s="254">
        <f>(28.3762531280518/(mmBTU_to_GJ))*($C$16)</f>
        <v>30.700070804448433</v>
      </c>
      <c r="I16" s="254">
        <f>(28.3762531280518/(mmBTU_to_GJ))*($C$16)</f>
        <v>30.700070804448433</v>
      </c>
      <c r="J16" s="254">
        <f>(28.3762531280518/(mmBTU_to_GJ))*($C$16)</f>
        <v>30.700070804448433</v>
      </c>
      <c r="K16" s="254">
        <f>(28.0297355651855/(mmBTU_to_GJ))*($C$16)</f>
        <v>30.325175864409157</v>
      </c>
      <c r="L16" s="254">
        <f>(29.057315826416/(mmBTU_to_GJ))*($C$16)</f>
        <v>31.436907798666674</v>
      </c>
      <c r="M16" s="254">
        <f>(27.6067714691162/(mmBTU_to_GJ))*($C$16)</f>
        <v>29.867573952047074</v>
      </c>
      <c r="N16" s="254">
        <f>(24.8355846405029/(mmBTU_to_GJ))*($C$16)</f>
        <v>26.869446205340434</v>
      </c>
      <c r="O16" s="254">
        <f>(25.5812511444092/(mmBTU_to_GJ))*($C$16)</f>
        <v>27.676177607232201</v>
      </c>
      <c r="P16" s="254">
        <f>(25.4402256011963/(mmBTU_to_GJ))*($C$16)</f>
        <v>27.523603053349618</v>
      </c>
      <c r="Q16" s="254">
        <f>(25.4701290130615/(mmBTU_to_GJ))*($C$16)</f>
        <v>27.555955346565124</v>
      </c>
      <c r="R16" s="254">
        <f>(25.6722831726074/(mmBTU_to_GJ))*($C$16)</f>
        <v>27.774664525097851</v>
      </c>
      <c r="S16" s="254">
        <f>(25.7632827758789/(mmBTU_to_GJ))*($C$16)</f>
        <v>27.87311636266093</v>
      </c>
      <c r="T16" s="254">
        <f>(26.1006698608398/(mmBTU_to_GJ))*($C$16)</f>
        <v>28.238133102188346</v>
      </c>
      <c r="U16" s="254">
        <f>(26.4680442810059/(mmBTU_to_GJ))*($C$16)</f>
        <v>28.635592931008837</v>
      </c>
      <c r="V16" s="254">
        <f>(26.885612487793/(mmBTU_to_GJ))*($C$16)</f>
        <v>29.087357068303547</v>
      </c>
      <c r="W16" s="254">
        <f>(27.1694507598877/(mmBTU_to_GJ))*($C$16)</f>
        <v>29.394439719807853</v>
      </c>
      <c r="X16" s="254">
        <f>(27.6201095581055/(mmBTU_to_GJ))*($C$16)</f>
        <v>29.882004337712146</v>
      </c>
      <c r="Y16" s="254">
        <f>(28.0024471282958/(mmBTU_to_GJ))*($C$16)</f>
        <v>30.29565269442346</v>
      </c>
      <c r="Z16" s="254">
        <f>(28.2454071044922/(mmBTU_to_GJ))*($C$16)</f>
        <v>30.558509402045058</v>
      </c>
      <c r="AA16" s="254">
        <f>(28.1863746643066/(mmBTU_to_GJ))*($C$16)</f>
        <v>30.494642615782649</v>
      </c>
      <c r="AB16" s="254">
        <f>(28.2032489776611/(mmBTU_to_GJ))*($C$16)</f>
        <v>30.512898817981785</v>
      </c>
      <c r="AC16" s="254">
        <f>(28.1397113800049/(mmBTU_to_GJ))*($C$16)</f>
        <v>30.444157933200852</v>
      </c>
      <c r="AD16" s="254">
        <f>(28.178466796875/(mmBTU_to_GJ))*($C$16)</f>
        <v>30.486087149034912</v>
      </c>
      <c r="AE16" s="254">
        <f>(28.4951820373535/(mmBTU_to_GJ))*($C$16)</f>
        <v>30.828739163860856</v>
      </c>
      <c r="AF16" s="254">
        <f>(28.9155654907227/(mmBTU_to_GJ))*($C$16)</f>
        <v>31.283549096842975</v>
      </c>
      <c r="AG16" s="254">
        <f>(29.2894115447998/(mmBTU_to_GJ))*($C$16)</f>
        <v>31.688010541359226</v>
      </c>
      <c r="AH16" s="254">
        <f>(29.6516952514648/(mmBTU_to_GJ))*($C$16)</f>
        <v>32.079962762666369</v>
      </c>
      <c r="AI16" s="254">
        <f t="shared" ref="AI16:BA18" si="54">($BB16-$AH16)/20+AH16</f>
        <v>32.070504288889573</v>
      </c>
      <c r="AJ16" s="254">
        <f t="shared" si="54"/>
        <v>32.061045815112777</v>
      </c>
      <c r="AK16" s="254">
        <f t="shared" si="54"/>
        <v>32.051587341335981</v>
      </c>
      <c r="AL16" s="254">
        <f t="shared" si="54"/>
        <v>32.042128867559185</v>
      </c>
      <c r="AM16" s="254">
        <f t="shared" si="54"/>
        <v>32.032670393782389</v>
      </c>
      <c r="AN16" s="254">
        <f t="shared" si="54"/>
        <v>32.023211920005593</v>
      </c>
      <c r="AO16" s="254">
        <f t="shared" si="54"/>
        <v>32.013753446228797</v>
      </c>
      <c r="AP16" s="254">
        <f t="shared" si="54"/>
        <v>32.004294972452001</v>
      </c>
      <c r="AQ16" s="254">
        <f t="shared" si="54"/>
        <v>31.994836498675209</v>
      </c>
      <c r="AR16" s="254">
        <f t="shared" si="54"/>
        <v>31.985378024898417</v>
      </c>
      <c r="AS16" s="254">
        <f t="shared" si="54"/>
        <v>31.975919551121624</v>
      </c>
      <c r="AT16" s="254">
        <f t="shared" si="54"/>
        <v>31.966461077344832</v>
      </c>
      <c r="AU16" s="254">
        <f t="shared" si="54"/>
        <v>31.957002603568039</v>
      </c>
      <c r="AV16" s="254">
        <f t="shared" si="54"/>
        <v>31.947544129791247</v>
      </c>
      <c r="AW16" s="254">
        <f t="shared" si="54"/>
        <v>31.938085656014454</v>
      </c>
      <c r="AX16" s="254">
        <f t="shared" si="54"/>
        <v>31.928627182237662</v>
      </c>
      <c r="AY16" s="254">
        <f t="shared" si="54"/>
        <v>31.91916870846087</v>
      </c>
      <c r="AZ16" s="254">
        <f t="shared" si="54"/>
        <v>31.909710234684077</v>
      </c>
      <c r="BA16" s="254">
        <f t="shared" si="54"/>
        <v>31.900251760907285</v>
      </c>
      <c r="BB16" s="859">
        <f>0.994103189054944*AH16</f>
        <v>31.890793287130489</v>
      </c>
      <c r="BC16" s="254">
        <f t="shared" ref="BC16:BP18" si="55">($BQ16-$BB16)/15+BB16</f>
        <v>31.911051832953525</v>
      </c>
      <c r="BD16" s="254">
        <f t="shared" si="55"/>
        <v>31.931310378776562</v>
      </c>
      <c r="BE16" s="254">
        <f t="shared" si="55"/>
        <v>31.951568924599599</v>
      </c>
      <c r="BF16" s="254">
        <f t="shared" si="55"/>
        <v>31.971827470422635</v>
      </c>
      <c r="BG16" s="254">
        <f t="shared" si="55"/>
        <v>31.992086016245672</v>
      </c>
      <c r="BH16" s="254">
        <f t="shared" si="55"/>
        <v>32.012344562068712</v>
      </c>
      <c r="BI16" s="254">
        <f t="shared" si="55"/>
        <v>32.032603107891752</v>
      </c>
      <c r="BJ16" s="254">
        <f t="shared" si="55"/>
        <v>32.052861653714793</v>
      </c>
      <c r="BK16" s="254">
        <f t="shared" si="55"/>
        <v>32.073120199537833</v>
      </c>
      <c r="BL16" s="254">
        <f t="shared" si="55"/>
        <v>32.093378745360873</v>
      </c>
      <c r="BM16" s="254">
        <f t="shared" si="55"/>
        <v>32.113637291183913</v>
      </c>
      <c r="BN16" s="254">
        <f t="shared" si="55"/>
        <v>32.133895837006953</v>
      </c>
      <c r="BO16" s="254">
        <f t="shared" si="55"/>
        <v>32.154154382829994</v>
      </c>
      <c r="BP16" s="254">
        <f t="shared" si="55"/>
        <v>32.174412928653034</v>
      </c>
      <c r="BQ16" s="859">
        <f>1.00952871208344*BB16</f>
        <v>32.194671474476053</v>
      </c>
      <c r="BR16" s="254">
        <f t="shared" ref="BR16:BU18" si="56">($BV16-$BQ16)/5+BQ16</f>
        <v>32.215123058149487</v>
      </c>
      <c r="BS16" s="254">
        <f t="shared" si="56"/>
        <v>32.235574641822922</v>
      </c>
      <c r="BT16" s="254">
        <f t="shared" si="56"/>
        <v>32.256026225496356</v>
      </c>
      <c r="BU16" s="254">
        <f t="shared" si="56"/>
        <v>32.276477809169791</v>
      </c>
      <c r="BV16" s="862">
        <f>1.00317623736115*BQ16</f>
        <v>32.296929392843232</v>
      </c>
      <c r="BW16" s="1077">
        <f>+BV16*BW$140/BV$140</f>
        <v>32.282708933053591</v>
      </c>
      <c r="BX16" s="1077">
        <f t="shared" ref="BX16:CZ16" si="57">+BW16*BX$140/BW$140</f>
        <v>32.268494734586014</v>
      </c>
      <c r="BY16" s="1077">
        <f t="shared" si="57"/>
        <v>32.254286794683622</v>
      </c>
      <c r="BZ16" s="1077">
        <f t="shared" si="57"/>
        <v>32.240085110590741</v>
      </c>
      <c r="CA16" s="1077">
        <f t="shared" si="57"/>
        <v>32.225889679552914</v>
      </c>
      <c r="CB16" s="1077">
        <f t="shared" si="57"/>
        <v>32.20007724517788</v>
      </c>
      <c r="CC16" s="1077">
        <f t="shared" si="57"/>
        <v>32.174285486159683</v>
      </c>
      <c r="CD16" s="1077">
        <f t="shared" si="57"/>
        <v>32.148514385937681</v>
      </c>
      <c r="CE16" s="1077">
        <f t="shared" si="57"/>
        <v>32.122763927964499</v>
      </c>
      <c r="CF16" s="1077">
        <f t="shared" si="57"/>
        <v>32.097034095706015</v>
      </c>
      <c r="CG16" s="1077">
        <f t="shared" si="57"/>
        <v>32.061589809857011</v>
      </c>
      <c r="CH16" s="1077">
        <f t="shared" si="57"/>
        <v>32.026184664615073</v>
      </c>
      <c r="CI16" s="1077">
        <f t="shared" si="57"/>
        <v>31.990818616757792</v>
      </c>
      <c r="CJ16" s="1077">
        <f t="shared" si="57"/>
        <v>31.9554916231105</v>
      </c>
      <c r="CK16" s="1077">
        <f t="shared" si="57"/>
        <v>31.920203640546202</v>
      </c>
      <c r="CL16" s="1077">
        <f t="shared" si="57"/>
        <v>31.881731115497008</v>
      </c>
      <c r="CM16" s="1077">
        <f t="shared" si="57"/>
        <v>31.843304960301854</v>
      </c>
      <c r="CN16" s="1077">
        <f t="shared" si="57"/>
        <v>31.804925119072454</v>
      </c>
      <c r="CO16" s="1077">
        <f t="shared" si="57"/>
        <v>31.766591535987885</v>
      </c>
      <c r="CP16" s="1077">
        <f t="shared" si="57"/>
        <v>31.728304155294506</v>
      </c>
      <c r="CQ16" s="1077">
        <f t="shared" si="57"/>
        <v>31.683957370716094</v>
      </c>
      <c r="CR16" s="1077">
        <f t="shared" si="57"/>
        <v>31.639672569825585</v>
      </c>
      <c r="CS16" s="1077">
        <f t="shared" si="57"/>
        <v>31.59544966598812</v>
      </c>
      <c r="CT16" s="1077">
        <f t="shared" si="57"/>
        <v>31.551288572689923</v>
      </c>
      <c r="CU16" s="1077">
        <f t="shared" si="57"/>
        <v>31.50718920353814</v>
      </c>
      <c r="CV16" s="1077">
        <f t="shared" si="57"/>
        <v>31.46414036817173</v>
      </c>
      <c r="CW16" s="1077">
        <f t="shared" si="57"/>
        <v>31.421150351197987</v>
      </c>
      <c r="CX16" s="1077">
        <f t="shared" si="57"/>
        <v>31.378219072252289</v>
      </c>
      <c r="CY16" s="1077">
        <f t="shared" si="57"/>
        <v>31.335346451079825</v>
      </c>
      <c r="CZ16" s="1077">
        <f t="shared" si="57"/>
        <v>31.292532407535425</v>
      </c>
    </row>
    <row r="17" spans="1:104" x14ac:dyDescent="0.25">
      <c r="A17" s="806" t="str">
        <f>'HyARC Physical Property Data'!A77</f>
        <v>Industrial Electricity</v>
      </c>
      <c r="B17" s="254">
        <v>2007</v>
      </c>
      <c r="C17" s="726">
        <f t="shared" si="37"/>
        <v>1.1413971588333081</v>
      </c>
      <c r="D17" s="806" t="str">
        <f>'HyARC Physical Property Data'!$H$77</f>
        <v>kWh</v>
      </c>
      <c r="E17" s="726" t="s">
        <v>1053</v>
      </c>
      <c r="F17" s="726"/>
      <c r="G17" s="726"/>
      <c r="H17" s="254">
        <f>(18.4008941650391/(mmBTU_to_GJ))*($C$17)</f>
        <v>19.907799355419932</v>
      </c>
      <c r="I17" s="254">
        <f>(18.4008941650391/(mmBTU_to_GJ))*($C$17)</f>
        <v>19.907799355419932</v>
      </c>
      <c r="J17" s="254">
        <f>(18.4008941650391/(mmBTU_to_GJ))*($C$17)</f>
        <v>19.907799355419932</v>
      </c>
      <c r="K17" s="254">
        <f>(18.6226921081543/(mmBTU_to_GJ))*($C$17)</f>
        <v>20.147761006705959</v>
      </c>
      <c r="L17" s="254">
        <f>(20.3344097137451/(mmBTU_to_GJ))*($C$17)</f>
        <v>21.999656373290122</v>
      </c>
      <c r="M17" s="254">
        <f>(19.1594867706299/(mmBTU_to_GJ))*($C$17)</f>
        <v>20.728515416778507</v>
      </c>
      <c r="N17" s="254">
        <f>(16.8281726837158/(mmBTU_to_GJ))*($C$17)</f>
        <v>18.206282928482938</v>
      </c>
      <c r="O17" s="254">
        <f>(17.2643089294434/(mmBTU_to_GJ))*($C$17)</f>
        <v>18.678135697902565</v>
      </c>
      <c r="P17" s="254">
        <f>(17.1560707092285/(mmBTU_to_GJ))*($C$17)</f>
        <v>18.561033520622512</v>
      </c>
      <c r="Q17" s="254">
        <f>(17.0836048126221/(mmBTU_to_GJ))*($C$17)</f>
        <v>18.482633171334495</v>
      </c>
      <c r="R17" s="254">
        <f>(17.1988334655762/(mmBTU_to_GJ))*($C$17)</f>
        <v>18.607298249152503</v>
      </c>
      <c r="S17" s="254">
        <f>(17.3181438446045/(mmBTU_to_GJ))*($C$17)</f>
        <v>18.736379318007696</v>
      </c>
      <c r="T17" s="254">
        <f>(17.6150741577148/(mmBTU_to_GJ))*($C$17)</f>
        <v>19.057626157586448</v>
      </c>
      <c r="U17" s="254">
        <f>(17.9101543426514/(mmBTU_to_GJ))*($C$17)</f>
        <v>19.376871356368099</v>
      </c>
      <c r="V17" s="254">
        <f>(18.2101707458496/(mmBTU_to_GJ))*($C$17)</f>
        <v>19.701457015338534</v>
      </c>
      <c r="W17" s="254">
        <f>(18.456880569458/(mmBTU_to_GJ))*($C$17)</f>
        <v>19.968370656782042</v>
      </c>
      <c r="X17" s="254">
        <f>(18.8030014038086/(mmBTU_to_GJ))*($C$17)</f>
        <v>20.342836379000801</v>
      </c>
      <c r="Y17" s="254">
        <f>(19.0852069854736/(mmBTU_to_GJ))*($C$17)</f>
        <v>20.648152634090209</v>
      </c>
      <c r="Z17" s="254">
        <f>(19.30615234375/(mmBTU_to_GJ))*($C$17)</f>
        <v>20.887191879771816</v>
      </c>
      <c r="AA17" s="254">
        <f>(19.3043308258057/(mmBTU_to_GJ))*($C$17)</f>
        <v>20.885221192182819</v>
      </c>
      <c r="AB17" s="254">
        <f>(19.3253479003906/(mmBTU_to_GJ))*($C$17)</f>
        <v>20.90795941892992</v>
      </c>
      <c r="AC17" s="254">
        <f>(19.3248138427734/(mmBTU_to_GJ))*($C$17)</f>
        <v>20.907381625710087</v>
      </c>
      <c r="AD17" s="254">
        <f>(19.3542194366455/(mmBTU_to_GJ))*($C$17)</f>
        <v>20.939195333102905</v>
      </c>
      <c r="AE17" s="254">
        <f>(19.6148834228516/(mmBTU_to_GJ))*($C$17)</f>
        <v>21.221205885961488</v>
      </c>
      <c r="AF17" s="254">
        <f>(19.97239112854/(mmBTU_to_GJ))*($C$17)</f>
        <v>21.607990985045614</v>
      </c>
      <c r="AG17" s="254">
        <f>(20.29469871521/(mmBTU_to_GJ))*($C$17)</f>
        <v>21.956693320302069</v>
      </c>
      <c r="AH17" s="254">
        <f>(20.5609893798828/(mmBTU_to_GJ))*($C$17)</f>
        <v>22.244791337440805</v>
      </c>
      <c r="AI17" s="254">
        <f t="shared" si="54"/>
        <v>22.238232670989351</v>
      </c>
      <c r="AJ17" s="254">
        <f t="shared" si="54"/>
        <v>22.231674004537897</v>
      </c>
      <c r="AK17" s="254">
        <f t="shared" si="54"/>
        <v>22.225115338086443</v>
      </c>
      <c r="AL17" s="254">
        <f t="shared" si="54"/>
        <v>22.218556671634989</v>
      </c>
      <c r="AM17" s="254">
        <f t="shared" si="54"/>
        <v>22.211998005183535</v>
      </c>
      <c r="AN17" s="254">
        <f t="shared" si="54"/>
        <v>22.205439338732081</v>
      </c>
      <c r="AO17" s="254">
        <f t="shared" si="54"/>
        <v>22.198880672280627</v>
      </c>
      <c r="AP17" s="254">
        <f t="shared" si="54"/>
        <v>22.192322005829173</v>
      </c>
      <c r="AQ17" s="254">
        <f t="shared" si="54"/>
        <v>22.185763339377718</v>
      </c>
      <c r="AR17" s="254">
        <f t="shared" si="54"/>
        <v>22.179204672926264</v>
      </c>
      <c r="AS17" s="254">
        <f t="shared" si="54"/>
        <v>22.17264600647481</v>
      </c>
      <c r="AT17" s="254">
        <f t="shared" si="54"/>
        <v>22.166087340023356</v>
      </c>
      <c r="AU17" s="254">
        <f t="shared" si="54"/>
        <v>22.159528673571902</v>
      </c>
      <c r="AV17" s="254">
        <f t="shared" si="54"/>
        <v>22.152970007120448</v>
      </c>
      <c r="AW17" s="254">
        <f t="shared" si="54"/>
        <v>22.146411340668994</v>
      </c>
      <c r="AX17" s="254">
        <f t="shared" si="54"/>
        <v>22.13985267421754</v>
      </c>
      <c r="AY17" s="254">
        <f t="shared" si="54"/>
        <v>22.133294007766086</v>
      </c>
      <c r="AZ17" s="254">
        <f t="shared" si="54"/>
        <v>22.126735341314632</v>
      </c>
      <c r="BA17" s="254">
        <f t="shared" si="54"/>
        <v>22.120176674863178</v>
      </c>
      <c r="BB17" s="859">
        <f>0.994103189054944*AH17</f>
        <v>22.113618008411699</v>
      </c>
      <c r="BC17" s="254">
        <f t="shared" si="55"/>
        <v>22.127665628353387</v>
      </c>
      <c r="BD17" s="254">
        <f t="shared" si="55"/>
        <v>22.141713248295076</v>
      </c>
      <c r="BE17" s="254">
        <f t="shared" si="55"/>
        <v>22.155760868236765</v>
      </c>
      <c r="BF17" s="254">
        <f t="shared" si="55"/>
        <v>22.169808488178454</v>
      </c>
      <c r="BG17" s="254">
        <f t="shared" si="55"/>
        <v>22.183856108120143</v>
      </c>
      <c r="BH17" s="254">
        <f t="shared" si="55"/>
        <v>22.197903728061831</v>
      </c>
      <c r="BI17" s="254">
        <f t="shared" si="55"/>
        <v>22.21195134800352</v>
      </c>
      <c r="BJ17" s="254">
        <f t="shared" si="55"/>
        <v>22.225998967945209</v>
      </c>
      <c r="BK17" s="254">
        <f t="shared" si="55"/>
        <v>22.240046587886898</v>
      </c>
      <c r="BL17" s="254">
        <f t="shared" si="55"/>
        <v>22.254094207828587</v>
      </c>
      <c r="BM17" s="254">
        <f t="shared" si="55"/>
        <v>22.268141827770275</v>
      </c>
      <c r="BN17" s="254">
        <f t="shared" si="55"/>
        <v>22.282189447711964</v>
      </c>
      <c r="BO17" s="254">
        <f t="shared" si="55"/>
        <v>22.296237067653653</v>
      </c>
      <c r="BP17" s="254">
        <f t="shared" si="55"/>
        <v>22.310284687595342</v>
      </c>
      <c r="BQ17" s="859">
        <f>1.00952871208344*BB17</f>
        <v>22.324332307537027</v>
      </c>
      <c r="BR17" s="254">
        <f t="shared" si="56"/>
        <v>22.338513783204611</v>
      </c>
      <c r="BS17" s="254">
        <f t="shared" si="56"/>
        <v>22.352695258872195</v>
      </c>
      <c r="BT17" s="254">
        <f t="shared" si="56"/>
        <v>22.36687673453978</v>
      </c>
      <c r="BU17" s="254">
        <f t="shared" si="56"/>
        <v>22.381058210207364</v>
      </c>
      <c r="BV17" s="862">
        <f>1.00317623736115*BQ17</f>
        <v>22.395239685874952</v>
      </c>
      <c r="BW17" s="1077">
        <f>+BV17*BW$141/BV$141</f>
        <v>22.402006623717899</v>
      </c>
      <c r="BX17" s="1077">
        <f t="shared" ref="BX17:CZ17" si="58">+BW17*BX$141/BW$141</f>
        <v>22.40877560625643</v>
      </c>
      <c r="BY17" s="1077">
        <f t="shared" si="58"/>
        <v>22.415546634108377</v>
      </c>
      <c r="BZ17" s="1077">
        <f t="shared" si="58"/>
        <v>22.422319707891749</v>
      </c>
      <c r="CA17" s="1077">
        <f t="shared" si="58"/>
        <v>22.429094828224738</v>
      </c>
      <c r="CB17" s="1077">
        <f t="shared" si="58"/>
        <v>22.426558269957198</v>
      </c>
      <c r="CC17" s="1077">
        <f t="shared" si="58"/>
        <v>22.424021998554906</v>
      </c>
      <c r="CD17" s="1077">
        <f t="shared" si="58"/>
        <v>22.421486013985415</v>
      </c>
      <c r="CE17" s="1077">
        <f t="shared" si="58"/>
        <v>22.418950316216293</v>
      </c>
      <c r="CF17" s="1077">
        <f t="shared" si="58"/>
        <v>22.416414905215102</v>
      </c>
      <c r="CG17" s="1077">
        <f t="shared" si="58"/>
        <v>22.406246620986774</v>
      </c>
      <c r="CH17" s="1077">
        <f t="shared" si="58"/>
        <v>22.39608294918218</v>
      </c>
      <c r="CI17" s="1077">
        <f t="shared" si="58"/>
        <v>22.385923887709083</v>
      </c>
      <c r="CJ17" s="1077">
        <f t="shared" si="58"/>
        <v>22.375769434476197</v>
      </c>
      <c r="CK17" s="1077">
        <f t="shared" si="58"/>
        <v>22.365619587393184</v>
      </c>
      <c r="CL17" s="1077">
        <f t="shared" si="58"/>
        <v>22.353167809865965</v>
      </c>
      <c r="CM17" s="1077">
        <f t="shared" si="58"/>
        <v>22.340722964709347</v>
      </c>
      <c r="CN17" s="1077">
        <f t="shared" si="58"/>
        <v>22.328285048063812</v>
      </c>
      <c r="CO17" s="1077">
        <f t="shared" si="58"/>
        <v>22.315854056072002</v>
      </c>
      <c r="CP17" s="1077">
        <f t="shared" si="58"/>
        <v>22.303429984878701</v>
      </c>
      <c r="CQ17" s="1077">
        <f t="shared" si="58"/>
        <v>22.286408389138984</v>
      </c>
      <c r="CR17" s="1077">
        <f t="shared" si="58"/>
        <v>22.269399783989581</v>
      </c>
      <c r="CS17" s="1077">
        <f t="shared" si="58"/>
        <v>22.252404159516296</v>
      </c>
      <c r="CT17" s="1077">
        <f t="shared" si="58"/>
        <v>22.2354215058125</v>
      </c>
      <c r="CU17" s="1077">
        <f t="shared" si="58"/>
        <v>22.218451812979119</v>
      </c>
      <c r="CV17" s="1077">
        <f t="shared" si="58"/>
        <v>22.202497084041635</v>
      </c>
      <c r="CW17" s="1077">
        <f t="shared" si="58"/>
        <v>22.186553811949913</v>
      </c>
      <c r="CX17" s="1077">
        <f t="shared" si="58"/>
        <v>22.17062198847697</v>
      </c>
      <c r="CY17" s="1077">
        <f t="shared" si="58"/>
        <v>22.154701605401723</v>
      </c>
      <c r="CZ17" s="1077">
        <f t="shared" si="58"/>
        <v>22.138792654509</v>
      </c>
    </row>
    <row r="18" spans="1:104" ht="13.8" thickBot="1" x14ac:dyDescent="0.3">
      <c r="A18" s="809" t="str">
        <f>'HyARC Physical Property Data'!A78</f>
        <v>Residential Electricity</v>
      </c>
      <c r="B18" s="732">
        <v>2007</v>
      </c>
      <c r="C18" s="733">
        <f t="shared" si="37"/>
        <v>1.1413971588333081</v>
      </c>
      <c r="D18" s="809" t="str">
        <f>'HyARC Physical Property Data'!$H$78</f>
        <v>kWh</v>
      </c>
      <c r="E18" s="733" t="s">
        <v>1053</v>
      </c>
      <c r="F18" s="732"/>
      <c r="G18" s="732"/>
      <c r="H18" s="732">
        <f>(31.2067794799805/(mmBTU_to_GJ))*($C$18)</f>
        <v>33.762397568518793</v>
      </c>
      <c r="I18" s="732">
        <f>(31.2067794799805/(mmBTU_to_GJ))*($C$18)</f>
        <v>33.762397568518793</v>
      </c>
      <c r="J18" s="732">
        <f>(31.2067794799805/(mmBTU_to_GJ))*($C$18)</f>
        <v>33.762397568518793</v>
      </c>
      <c r="K18" s="732">
        <f>(31.181957244873/(mmBTU_to_GJ))*($C$18)</f>
        <v>33.735542565080316</v>
      </c>
      <c r="L18" s="732">
        <f>(31.772819519043/(mmBTU_to_GJ))*($C$18)</f>
        <v>34.374792348018154</v>
      </c>
      <c r="M18" s="732">
        <f>(30.736837387085/(mmBTU_to_GJ))*($C$18)</f>
        <v>33.253970488284573</v>
      </c>
      <c r="N18" s="732">
        <f>(28.6163578033447/(mmBTU_to_GJ))*($C$18)</f>
        <v>30.959838381891004</v>
      </c>
      <c r="O18" s="732">
        <f>(29.8736190795898/(mmBTU_to_GJ))*($C$18)</f>
        <v>32.320060608068538</v>
      </c>
      <c r="P18" s="732">
        <f>(30.101655960083/(mmBTU_to_GJ))*($C$18)</f>
        <v>32.56677212229048</v>
      </c>
      <c r="Q18" s="732">
        <f>(30.4253902435303/(mmBTU_to_GJ))*($C$18)</f>
        <v>32.917017990862689</v>
      </c>
      <c r="R18" s="732">
        <f>(30.7938537597656/(mmBTU_to_GJ))*($C$18)</f>
        <v>33.315656105142033</v>
      </c>
      <c r="S18" s="732">
        <f>(30.8830280303955/(mmBTU_to_GJ))*($C$18)</f>
        <v>33.412133128021651</v>
      </c>
      <c r="T18" s="732">
        <f>(31.1491451263428/(mmBTU_to_GJ))*($C$18)</f>
        <v>33.700043362364035</v>
      </c>
      <c r="U18" s="732">
        <f>(31.4898681640625/(mmBTU_to_GJ))*($C$18)</f>
        <v>34.068669245968131</v>
      </c>
      <c r="V18" s="732">
        <f>(31.8156299591064/(mmBTU_to_GJ))*($C$18)</f>
        <v>34.42110866522836</v>
      </c>
      <c r="W18" s="732">
        <f>(32.0206985473633/(mmBTU_to_GJ))*($C$18)</f>
        <v>34.642970943903613</v>
      </c>
      <c r="X18" s="732">
        <f>(32.4303588867188/(mmBTU_to_GJ))*($C$18)</f>
        <v>35.086179614450586</v>
      </c>
      <c r="Y18" s="732">
        <f>(32.7907905578613/(mmBTU_to_GJ))*($C$18)</f>
        <v>35.476128131413226</v>
      </c>
      <c r="Z18" s="732">
        <f>(32.9940071105957/(mmBTU_to_GJ))*($C$18)</f>
        <v>35.695986705743984</v>
      </c>
      <c r="AA18" s="732">
        <f>(32.9234657287598/(mmBTU_to_GJ))*($C$18)</f>
        <v>35.61966847559453</v>
      </c>
      <c r="AB18" s="732">
        <f>(32.9201545715332/(mmBTU_to_GJ))*($C$18)</f>
        <v>35.616086157631599</v>
      </c>
      <c r="AC18" s="732">
        <f>(32.902271270752/(mmBTU_to_GJ))*($C$18)</f>
        <v>35.596738338956506</v>
      </c>
      <c r="AD18" s="732">
        <f>(32.9582405090332/(mmBTU_to_GJ))*($C$18)</f>
        <v>35.657291068393683</v>
      </c>
      <c r="AE18" s="732">
        <f>(33.321102142334/(mmBTU_to_GJ))*($C$18)</f>
        <v>36.049868544506616</v>
      </c>
      <c r="AF18" s="732">
        <f>(33.7343635559082/(mmBTU_to_GJ))*($C$18)</f>
        <v>36.496973192192904</v>
      </c>
      <c r="AG18" s="732">
        <f>(34.1495399475098/(mmBTU_to_GJ))*($C$18)</f>
        <v>36.94614964128175</v>
      </c>
      <c r="AH18" s="732">
        <f>(34.4904899597167/(mmBTU_to_GJ))*($C$18)</f>
        <v>37.315021087004148</v>
      </c>
      <c r="AI18" s="732">
        <f t="shared" si="54"/>
        <v>37.304019105766102</v>
      </c>
      <c r="AJ18" s="732">
        <f t="shared" si="54"/>
        <v>37.293017124528063</v>
      </c>
      <c r="AK18" s="732">
        <f t="shared" si="54"/>
        <v>37.282015143290025</v>
      </c>
      <c r="AL18" s="732">
        <f t="shared" si="54"/>
        <v>37.271013162051986</v>
      </c>
      <c r="AM18" s="732">
        <f t="shared" si="54"/>
        <v>37.260011180813947</v>
      </c>
      <c r="AN18" s="732">
        <f t="shared" si="54"/>
        <v>37.249009199575909</v>
      </c>
      <c r="AO18" s="732">
        <f t="shared" si="54"/>
        <v>37.23800721833787</v>
      </c>
      <c r="AP18" s="732">
        <f t="shared" si="54"/>
        <v>37.227005237099831</v>
      </c>
      <c r="AQ18" s="732">
        <f t="shared" si="54"/>
        <v>37.216003255861793</v>
      </c>
      <c r="AR18" s="732">
        <f t="shared" si="54"/>
        <v>37.205001274623754</v>
      </c>
      <c r="AS18" s="732">
        <f t="shared" si="54"/>
        <v>37.193999293385716</v>
      </c>
      <c r="AT18" s="732">
        <f t="shared" si="54"/>
        <v>37.182997312147677</v>
      </c>
      <c r="AU18" s="732">
        <f t="shared" si="54"/>
        <v>37.171995330909638</v>
      </c>
      <c r="AV18" s="732">
        <f t="shared" si="54"/>
        <v>37.1609933496716</v>
      </c>
      <c r="AW18" s="732">
        <f t="shared" si="54"/>
        <v>37.149991368433561</v>
      </c>
      <c r="AX18" s="732">
        <f t="shared" si="54"/>
        <v>37.138989387195522</v>
      </c>
      <c r="AY18" s="732">
        <f t="shared" si="54"/>
        <v>37.127987405957484</v>
      </c>
      <c r="AZ18" s="732">
        <f t="shared" si="54"/>
        <v>37.116985424719445</v>
      </c>
      <c r="BA18" s="732">
        <f t="shared" si="54"/>
        <v>37.105983443481406</v>
      </c>
      <c r="BB18" s="863">
        <f>0.994103189054944*AH18</f>
        <v>37.094981462243304</v>
      </c>
      <c r="BC18" s="732">
        <f t="shared" si="55"/>
        <v>37.118545955449591</v>
      </c>
      <c r="BD18" s="732">
        <f t="shared" si="55"/>
        <v>37.142110448655878</v>
      </c>
      <c r="BE18" s="732">
        <f t="shared" si="55"/>
        <v>37.165674941862164</v>
      </c>
      <c r="BF18" s="732">
        <f t="shared" si="55"/>
        <v>37.189239435068451</v>
      </c>
      <c r="BG18" s="732">
        <f t="shared" si="55"/>
        <v>37.212803928274738</v>
      </c>
      <c r="BH18" s="732">
        <f t="shared" si="55"/>
        <v>37.236368421481025</v>
      </c>
      <c r="BI18" s="732">
        <f t="shared" si="55"/>
        <v>37.259932914687312</v>
      </c>
      <c r="BJ18" s="732">
        <f t="shared" si="55"/>
        <v>37.283497407893599</v>
      </c>
      <c r="BK18" s="732">
        <f t="shared" si="55"/>
        <v>37.307061901099885</v>
      </c>
      <c r="BL18" s="732">
        <f t="shared" si="55"/>
        <v>37.330626394306172</v>
      </c>
      <c r="BM18" s="732">
        <f t="shared" si="55"/>
        <v>37.354190887512459</v>
      </c>
      <c r="BN18" s="732">
        <f t="shared" si="55"/>
        <v>37.377755380718746</v>
      </c>
      <c r="BO18" s="732">
        <f t="shared" si="55"/>
        <v>37.401319873925033</v>
      </c>
      <c r="BP18" s="732">
        <f t="shared" si="55"/>
        <v>37.42488436713132</v>
      </c>
      <c r="BQ18" s="863">
        <f>1.00952871208344*BB18</f>
        <v>37.448448860337564</v>
      </c>
      <c r="BR18" s="732">
        <f t="shared" si="56"/>
        <v>37.472237892815023</v>
      </c>
      <c r="BS18" s="732">
        <f t="shared" si="56"/>
        <v>37.496026925292483</v>
      </c>
      <c r="BT18" s="732">
        <f t="shared" si="56"/>
        <v>37.519815957769943</v>
      </c>
      <c r="BU18" s="732">
        <f t="shared" si="56"/>
        <v>37.543604990247402</v>
      </c>
      <c r="BV18" s="864">
        <f>1.00317623736115*BQ18</f>
        <v>37.567394022724876</v>
      </c>
      <c r="BW18" s="1077">
        <f>+BV18*BW$142/BV$142</f>
        <v>37.550852957486022</v>
      </c>
      <c r="BX18" s="1077">
        <f t="shared" ref="BX18:CZ18" si="59">+BW18*BX$142/BW$142</f>
        <v>37.534319175340556</v>
      </c>
      <c r="BY18" s="1077">
        <f t="shared" si="59"/>
        <v>37.517792673081715</v>
      </c>
      <c r="BZ18" s="1077">
        <f t="shared" si="59"/>
        <v>37.501273447504133</v>
      </c>
      <c r="CA18" s="1077">
        <f t="shared" si="59"/>
        <v>37.484761495403866</v>
      </c>
      <c r="CB18" s="1077">
        <f t="shared" si="59"/>
        <v>37.454736786829947</v>
      </c>
      <c r="CC18" s="1077">
        <f t="shared" si="59"/>
        <v>37.424736127578718</v>
      </c>
      <c r="CD18" s="1077">
        <f t="shared" si="59"/>
        <v>37.394759498387039</v>
      </c>
      <c r="CE18" s="1077">
        <f t="shared" si="59"/>
        <v>37.364806880007208</v>
      </c>
      <c r="CF18" s="1077">
        <f t="shared" si="59"/>
        <v>37.334878253206945</v>
      </c>
      <c r="CG18" s="1077">
        <f t="shared" si="59"/>
        <v>37.293649892574038</v>
      </c>
      <c r="CH18" s="1077">
        <f t="shared" si="59"/>
        <v>37.252467059817484</v>
      </c>
      <c r="CI18" s="1077">
        <f t="shared" si="59"/>
        <v>37.211329704661502</v>
      </c>
      <c r="CJ18" s="1077">
        <f t="shared" si="59"/>
        <v>37.170237776885841</v>
      </c>
      <c r="CK18" s="1077">
        <f t="shared" si="59"/>
        <v>37.129191226325716</v>
      </c>
      <c r="CL18" s="1077">
        <f t="shared" si="59"/>
        <v>37.084440454820722</v>
      </c>
      <c r="CM18" s="1077">
        <f t="shared" si="59"/>
        <v>37.039743620163904</v>
      </c>
      <c r="CN18" s="1077">
        <f t="shared" si="59"/>
        <v>36.995100657346704</v>
      </c>
      <c r="CO18" s="1077">
        <f t="shared" si="59"/>
        <v>36.950511501438903</v>
      </c>
      <c r="CP18" s="1077">
        <f t="shared" si="59"/>
        <v>36.905976087588542</v>
      </c>
      <c r="CQ18" s="1077">
        <f t="shared" si="59"/>
        <v>36.854392449105958</v>
      </c>
      <c r="CR18" s="1077">
        <f t="shared" si="59"/>
        <v>36.802880909292512</v>
      </c>
      <c r="CS18" s="1077">
        <f t="shared" si="59"/>
        <v>36.751441367375584</v>
      </c>
      <c r="CT18" s="1077">
        <f t="shared" si="59"/>
        <v>36.70007372272341</v>
      </c>
      <c r="CU18" s="1077">
        <f t="shared" si="59"/>
        <v>36.648777874844889</v>
      </c>
      <c r="CV18" s="1077">
        <f t="shared" si="59"/>
        <v>36.598703995041703</v>
      </c>
      <c r="CW18" s="1077">
        <f t="shared" si="59"/>
        <v>36.548698532074873</v>
      </c>
      <c r="CX18" s="1077">
        <f t="shared" si="59"/>
        <v>36.498761392465255</v>
      </c>
      <c r="CY18" s="1077">
        <f t="shared" si="59"/>
        <v>36.448892482861424</v>
      </c>
      <c r="CZ18" s="1077">
        <f t="shared" si="59"/>
        <v>36.399091710039507</v>
      </c>
    </row>
    <row r="19" spans="1:104" ht="13.8" thickTop="1" x14ac:dyDescent="0.25">
      <c r="AH19" s="254"/>
    </row>
    <row r="20" spans="1:104" x14ac:dyDescent="0.25">
      <c r="E20" s="254"/>
    </row>
    <row r="21" spans="1:104" ht="13.8" thickBot="1" x14ac:dyDescent="0.3"/>
    <row r="22" spans="1:104" ht="13.8" thickTop="1" x14ac:dyDescent="0.25">
      <c r="A22" s="719" t="s">
        <v>1085</v>
      </c>
      <c r="B22" s="720" t="str">
        <f>"Prices are in $(" &amp; ref_year&amp;")/GJ LHV"</f>
        <v>Prices are in $(2016)/GJ LHV</v>
      </c>
      <c r="C22" s="721"/>
      <c r="D22" s="721"/>
      <c r="E22" s="721"/>
      <c r="F22" s="721"/>
      <c r="G22" s="721"/>
      <c r="H22" s="721"/>
      <c r="I22" s="721"/>
      <c r="J22" s="721"/>
      <c r="K22" s="721"/>
      <c r="L22" s="721"/>
      <c r="M22" s="721"/>
      <c r="N22" s="721"/>
      <c r="O22" s="721"/>
      <c r="P22" s="721"/>
      <c r="Q22" s="721"/>
      <c r="R22" s="721"/>
      <c r="S22" s="721"/>
      <c r="T22" s="721"/>
      <c r="U22" s="721"/>
      <c r="V22" s="721"/>
      <c r="W22" s="721"/>
      <c r="X22" s="721"/>
      <c r="Y22" s="721"/>
      <c r="Z22" s="721"/>
      <c r="AA22" s="721"/>
      <c r="AB22" s="721"/>
      <c r="AC22" s="721"/>
      <c r="AD22" s="721"/>
      <c r="AE22" s="721"/>
      <c r="AF22" s="721"/>
      <c r="AG22" s="721"/>
      <c r="AH22" s="721"/>
      <c r="AI22" s="721"/>
      <c r="AJ22" s="721"/>
      <c r="AK22" s="721"/>
      <c r="AL22" s="721"/>
      <c r="AM22" s="721"/>
      <c r="AN22" s="721"/>
      <c r="AO22" s="721"/>
      <c r="AP22" s="721"/>
      <c r="AQ22" s="721"/>
      <c r="AR22" s="721"/>
      <c r="AS22" s="734" t="s">
        <v>761</v>
      </c>
      <c r="AT22" s="735"/>
      <c r="AU22" s="735"/>
      <c r="AV22" s="735"/>
      <c r="AW22" s="735"/>
      <c r="AX22" s="735"/>
      <c r="AY22" s="735"/>
      <c r="AZ22" s="735"/>
      <c r="BA22" s="735"/>
      <c r="BB22" s="735"/>
      <c r="BC22" s="735"/>
      <c r="BD22" s="735"/>
      <c r="BE22" s="735"/>
      <c r="BF22" s="735"/>
      <c r="BG22" s="735"/>
      <c r="BH22" s="735"/>
      <c r="BI22" s="735"/>
      <c r="BJ22" s="735"/>
      <c r="BK22" s="735"/>
      <c r="BL22" s="735"/>
      <c r="BM22" s="735"/>
      <c r="BN22" s="735"/>
      <c r="BO22" s="735"/>
      <c r="BP22" s="735"/>
      <c r="BQ22" s="735"/>
      <c r="BR22" s="735"/>
      <c r="BS22" s="735"/>
      <c r="BT22" s="735"/>
      <c r="BU22" s="735"/>
      <c r="BV22" s="736"/>
    </row>
    <row r="23" spans="1:104" ht="40.200000000000003" thickBot="1" x14ac:dyDescent="0.3">
      <c r="A23" s="739" t="s">
        <v>1066</v>
      </c>
      <c r="B23" s="740" t="s">
        <v>667</v>
      </c>
      <c r="C23" s="740" t="s">
        <v>668</v>
      </c>
      <c r="D23" s="740" t="s">
        <v>679</v>
      </c>
      <c r="E23" s="740" t="s">
        <v>680</v>
      </c>
      <c r="F23" s="741" t="s">
        <v>669</v>
      </c>
      <c r="G23" s="741" t="s">
        <v>681</v>
      </c>
      <c r="H23" s="850">
        <v>2004</v>
      </c>
      <c r="I23" s="850">
        <v>2005</v>
      </c>
      <c r="J23" s="850">
        <v>2006</v>
      </c>
      <c r="K23" s="850">
        <v>2007</v>
      </c>
      <c r="L23" s="850">
        <v>2008</v>
      </c>
      <c r="M23" s="850">
        <v>2009</v>
      </c>
      <c r="N23" s="741">
        <v>2010</v>
      </c>
      <c r="O23" s="741">
        <v>2011</v>
      </c>
      <c r="P23" s="741">
        <v>2012</v>
      </c>
      <c r="Q23" s="741">
        <v>2013</v>
      </c>
      <c r="R23" s="741">
        <v>2014</v>
      </c>
      <c r="S23" s="741">
        <v>2015</v>
      </c>
      <c r="T23" s="741">
        <v>2016</v>
      </c>
      <c r="U23" s="741">
        <v>2017</v>
      </c>
      <c r="V23" s="741">
        <v>2018</v>
      </c>
      <c r="W23" s="741">
        <v>2019</v>
      </c>
      <c r="X23" s="741">
        <v>2020</v>
      </c>
      <c r="Y23" s="741">
        <v>2021</v>
      </c>
      <c r="Z23" s="741">
        <v>2022</v>
      </c>
      <c r="AA23" s="741">
        <v>2023</v>
      </c>
      <c r="AB23" s="741">
        <v>2024</v>
      </c>
      <c r="AC23" s="741">
        <v>2025</v>
      </c>
      <c r="AD23" s="741">
        <v>2026</v>
      </c>
      <c r="AE23" s="741">
        <v>2027</v>
      </c>
      <c r="AF23" s="741">
        <v>2028</v>
      </c>
      <c r="AG23" s="741">
        <v>2029</v>
      </c>
      <c r="AH23" s="741">
        <v>2030</v>
      </c>
      <c r="AI23" s="741">
        <v>2031</v>
      </c>
      <c r="AJ23" s="741">
        <v>2032</v>
      </c>
      <c r="AK23" s="741">
        <v>2033</v>
      </c>
      <c r="AL23" s="741">
        <v>2034</v>
      </c>
      <c r="AM23" s="741">
        <v>2035</v>
      </c>
      <c r="AN23" s="741">
        <v>2036</v>
      </c>
      <c r="AO23" s="741">
        <v>2037</v>
      </c>
      <c r="AP23" s="741">
        <v>2038</v>
      </c>
      <c r="AQ23" s="741">
        <v>2039</v>
      </c>
      <c r="AR23" s="741">
        <v>2040</v>
      </c>
      <c r="AS23" s="741">
        <v>2041</v>
      </c>
      <c r="AT23" s="741">
        <v>2042</v>
      </c>
      <c r="AU23" s="741">
        <v>2043</v>
      </c>
      <c r="AV23" s="741">
        <v>2044</v>
      </c>
      <c r="AW23" s="741">
        <v>2045</v>
      </c>
      <c r="AX23" s="741">
        <v>2046</v>
      </c>
      <c r="AY23" s="741">
        <v>2047</v>
      </c>
      <c r="AZ23" s="741">
        <v>2048</v>
      </c>
      <c r="BA23" s="741">
        <v>2049</v>
      </c>
      <c r="BB23" s="741">
        <v>2050</v>
      </c>
      <c r="BC23" s="741">
        <v>2051</v>
      </c>
      <c r="BD23" s="741">
        <v>2052</v>
      </c>
      <c r="BE23" s="741">
        <v>2053</v>
      </c>
      <c r="BF23" s="741">
        <v>2054</v>
      </c>
      <c r="BG23" s="741">
        <v>2055</v>
      </c>
      <c r="BH23" s="741">
        <v>2056</v>
      </c>
      <c r="BI23" s="741">
        <v>2057</v>
      </c>
      <c r="BJ23" s="741">
        <v>2058</v>
      </c>
      <c r="BK23" s="741">
        <v>2059</v>
      </c>
      <c r="BL23" s="741">
        <v>2060</v>
      </c>
      <c r="BM23" s="741">
        <v>2061</v>
      </c>
      <c r="BN23" s="741">
        <v>2062</v>
      </c>
      <c r="BO23" s="741">
        <v>2063</v>
      </c>
      <c r="BP23" s="741">
        <v>2064</v>
      </c>
      <c r="BQ23" s="741">
        <v>2065</v>
      </c>
      <c r="BR23" s="741">
        <v>2066</v>
      </c>
      <c r="BS23" s="741">
        <v>2067</v>
      </c>
      <c r="BT23" s="741">
        <v>2068</v>
      </c>
      <c r="BU23" s="741">
        <v>2069</v>
      </c>
      <c r="BV23" s="742">
        <v>2070</v>
      </c>
      <c r="BW23" s="1078">
        <f t="shared" ref="BW23" si="60">+BV23+1</f>
        <v>2071</v>
      </c>
      <c r="BX23" s="1078">
        <f t="shared" ref="BX23" si="61">+BW23+1</f>
        <v>2072</v>
      </c>
      <c r="BY23" s="1078">
        <f t="shared" ref="BY23" si="62">+BX23+1</f>
        <v>2073</v>
      </c>
      <c r="BZ23" s="1078">
        <f t="shared" ref="BZ23" si="63">+BY23+1</f>
        <v>2074</v>
      </c>
      <c r="CA23" s="1078">
        <f t="shared" ref="CA23" si="64">+BZ23+1</f>
        <v>2075</v>
      </c>
      <c r="CB23" s="1078">
        <f t="shared" ref="CB23" si="65">+CA23+1</f>
        <v>2076</v>
      </c>
      <c r="CC23" s="1078">
        <f t="shared" ref="CC23" si="66">+CB23+1</f>
        <v>2077</v>
      </c>
      <c r="CD23" s="1078">
        <f t="shared" ref="CD23" si="67">+CC23+1</f>
        <v>2078</v>
      </c>
      <c r="CE23" s="1078">
        <f t="shared" ref="CE23" si="68">+CD23+1</f>
        <v>2079</v>
      </c>
      <c r="CF23" s="1078">
        <f t="shared" ref="CF23" si="69">+CE23+1</f>
        <v>2080</v>
      </c>
      <c r="CG23" s="1078">
        <f t="shared" ref="CG23" si="70">+CF23+1</f>
        <v>2081</v>
      </c>
      <c r="CH23" s="1078">
        <f t="shared" ref="CH23" si="71">+CG23+1</f>
        <v>2082</v>
      </c>
      <c r="CI23" s="1078">
        <f t="shared" ref="CI23" si="72">+CH23+1</f>
        <v>2083</v>
      </c>
      <c r="CJ23" s="1078">
        <f t="shared" ref="CJ23" si="73">+CI23+1</f>
        <v>2084</v>
      </c>
      <c r="CK23" s="1078">
        <f t="shared" ref="CK23" si="74">+CJ23+1</f>
        <v>2085</v>
      </c>
      <c r="CL23" s="1078">
        <f t="shared" ref="CL23" si="75">+CK23+1</f>
        <v>2086</v>
      </c>
      <c r="CM23" s="1078">
        <f t="shared" ref="CM23" si="76">+CL23+1</f>
        <v>2087</v>
      </c>
      <c r="CN23" s="1078">
        <f t="shared" ref="CN23" si="77">+CM23+1</f>
        <v>2088</v>
      </c>
      <c r="CO23" s="1078">
        <f t="shared" ref="CO23" si="78">+CN23+1</f>
        <v>2089</v>
      </c>
      <c r="CP23" s="1078">
        <f t="shared" ref="CP23" si="79">+CO23+1</f>
        <v>2090</v>
      </c>
      <c r="CQ23" s="1078">
        <f t="shared" ref="CQ23" si="80">+CP23+1</f>
        <v>2091</v>
      </c>
      <c r="CR23" s="1078">
        <f t="shared" ref="CR23" si="81">+CQ23+1</f>
        <v>2092</v>
      </c>
      <c r="CS23" s="1078">
        <f t="shared" ref="CS23" si="82">+CR23+1</f>
        <v>2093</v>
      </c>
      <c r="CT23" s="1078">
        <f t="shared" ref="CT23" si="83">+CS23+1</f>
        <v>2094</v>
      </c>
      <c r="CU23" s="1078">
        <f t="shared" ref="CU23" si="84">+CT23+1</f>
        <v>2095</v>
      </c>
      <c r="CV23" s="1078">
        <f t="shared" ref="CV23" si="85">+CU23+1</f>
        <v>2096</v>
      </c>
      <c r="CW23" s="1078">
        <f t="shared" ref="CW23" si="86">+CV23+1</f>
        <v>2097</v>
      </c>
      <c r="CX23" s="1078">
        <f t="shared" ref="CX23" si="87">+CW23+1</f>
        <v>2098</v>
      </c>
      <c r="CY23" s="1078">
        <f t="shared" ref="CY23" si="88">+CX23+1</f>
        <v>2099</v>
      </c>
      <c r="CZ23" s="1078">
        <f t="shared" ref="CZ23" si="89">+CY23+1</f>
        <v>2100</v>
      </c>
    </row>
    <row r="24" spans="1:104" ht="13.8" thickBot="1" x14ac:dyDescent="0.3">
      <c r="A24" s="800" t="s">
        <v>1072</v>
      </c>
      <c r="B24" s="801"/>
      <c r="C24" s="801"/>
      <c r="D24" s="801"/>
      <c r="E24" s="801"/>
      <c r="F24" s="723"/>
      <c r="G24" s="801"/>
      <c r="H24" s="801"/>
      <c r="I24" s="801"/>
      <c r="J24" s="801"/>
      <c r="K24" s="801"/>
      <c r="L24" s="801"/>
      <c r="M24" s="801"/>
      <c r="N24" s="801"/>
      <c r="O24" s="801"/>
      <c r="P24" s="801"/>
      <c r="Q24" s="801"/>
      <c r="R24" s="801"/>
      <c r="S24" s="801"/>
      <c r="T24" s="801"/>
      <c r="U24" s="801"/>
      <c r="V24" s="801"/>
      <c r="W24" s="801"/>
      <c r="X24" s="801"/>
      <c r="Y24" s="801"/>
      <c r="Z24" s="801"/>
      <c r="AA24" s="801"/>
      <c r="AB24" s="801"/>
      <c r="AC24" s="801"/>
      <c r="AD24" s="801"/>
      <c r="AE24" s="801"/>
      <c r="AF24" s="801"/>
      <c r="AG24" s="801"/>
      <c r="AH24" s="801"/>
      <c r="AI24" s="801"/>
      <c r="AJ24" s="801"/>
      <c r="AK24" s="801"/>
      <c r="AL24" s="801"/>
      <c r="AM24" s="801"/>
      <c r="AN24" s="801"/>
      <c r="AO24" s="801"/>
      <c r="AP24" s="801"/>
      <c r="AQ24" s="801"/>
      <c r="AR24" s="801"/>
      <c r="AS24" s="801"/>
      <c r="AT24" s="801"/>
      <c r="AU24" s="801"/>
      <c r="AV24" s="801"/>
      <c r="AW24" s="801"/>
      <c r="AX24" s="801"/>
      <c r="AY24" s="801"/>
      <c r="AZ24" s="801"/>
      <c r="BA24" s="801"/>
      <c r="BC24" s="801"/>
      <c r="BD24" s="801"/>
      <c r="BE24" s="801"/>
      <c r="BF24" s="801"/>
      <c r="BG24" s="801"/>
      <c r="BH24" s="801"/>
      <c r="BI24" s="801"/>
      <c r="BJ24" s="801"/>
      <c r="BK24" s="801"/>
      <c r="BL24" s="801"/>
      <c r="BM24" s="801"/>
      <c r="BN24" s="801"/>
      <c r="BO24" s="801"/>
      <c r="BP24" s="801"/>
      <c r="BR24" s="801"/>
      <c r="BS24" s="801"/>
      <c r="BT24" s="801"/>
      <c r="BU24" s="801"/>
    </row>
    <row r="25" spans="1:104" x14ac:dyDescent="0.25">
      <c r="A25" s="817" t="str">
        <f>'HyARC Physical Property Data'!A73</f>
        <v>Residential Natural Gas</v>
      </c>
      <c r="B25" s="801">
        <v>2011</v>
      </c>
      <c r="C25" s="802">
        <f>VLOOKUP(ref_year,DeflatorTable,2,FALSE)/VLOOKUP(B25,DeflatorTable,2,FALSE)</f>
        <v>1.0771767810026385</v>
      </c>
      <c r="D25" s="1016" t="str">
        <f>'HyARC Physical Property Data'!H73</f>
        <v>mmBtu</v>
      </c>
      <c r="E25" s="802" t="s">
        <v>1040</v>
      </c>
      <c r="F25" s="801">
        <f>'HyARC Physical Property Data'!$E$6</f>
        <v>47.141269049911173</v>
      </c>
      <c r="G25" s="801">
        <f>'HyARC Physical Property Data'!$I$6</f>
        <v>52.224661236371581</v>
      </c>
      <c r="H25" s="851">
        <v>14.386141835345208</v>
      </c>
      <c r="I25" s="851">
        <v>14.386141835345208</v>
      </c>
      <c r="J25" s="851">
        <v>14.386141835345208</v>
      </c>
      <c r="K25" s="851">
        <v>13.326716630976858</v>
      </c>
      <c r="L25" s="851">
        <v>13.627764477872551</v>
      </c>
      <c r="M25" s="851">
        <v>11.254339733155913</v>
      </c>
      <c r="N25" s="801">
        <f t="shared" ref="N25:AR25" si="90">((N42/(mmBTU_to_GJ))*($C25))*($G25/$F25)</f>
        <v>12.848820030872972</v>
      </c>
      <c r="O25" s="801">
        <f t="shared" si="90"/>
        <v>12.218751960936617</v>
      </c>
      <c r="P25" s="801">
        <f t="shared" si="90"/>
        <v>11.836476203703018</v>
      </c>
      <c r="Q25" s="801">
        <f t="shared" si="90"/>
        <v>11.8517734777777</v>
      </c>
      <c r="R25" s="801">
        <f t="shared" si="90"/>
        <v>11.597927407987708</v>
      </c>
      <c r="S25" s="801">
        <f t="shared" si="90"/>
        <v>11.487750612568879</v>
      </c>
      <c r="T25" s="801">
        <f t="shared" si="90"/>
        <v>12.060887123888937</v>
      </c>
      <c r="U25" s="801">
        <f t="shared" si="90"/>
        <v>12.431586993598115</v>
      </c>
      <c r="V25" s="801">
        <f t="shared" si="90"/>
        <v>12.891966623565866</v>
      </c>
      <c r="W25" s="801">
        <f t="shared" si="90"/>
        <v>13.149168727974281</v>
      </c>
      <c r="X25" s="801">
        <f t="shared" si="90"/>
        <v>13.320350247045116</v>
      </c>
      <c r="Y25" s="801">
        <f t="shared" si="90"/>
        <v>13.528204956004251</v>
      </c>
      <c r="Z25" s="801">
        <f t="shared" si="90"/>
        <v>13.803266322492309</v>
      </c>
      <c r="AA25" s="801">
        <f t="shared" si="90"/>
        <v>14.062393594046176</v>
      </c>
      <c r="AB25" s="801">
        <f t="shared" si="90"/>
        <v>14.234621399609106</v>
      </c>
      <c r="AC25" s="801">
        <f t="shared" si="90"/>
        <v>14.336189236658935</v>
      </c>
      <c r="AD25" s="801">
        <f t="shared" si="90"/>
        <v>14.525745808772006</v>
      </c>
      <c r="AE25" s="801">
        <f t="shared" si="90"/>
        <v>14.629217321677178</v>
      </c>
      <c r="AF25" s="801">
        <f t="shared" si="90"/>
        <v>14.801367079923402</v>
      </c>
      <c r="AG25" s="801">
        <f t="shared" si="90"/>
        <v>14.969684601807232</v>
      </c>
      <c r="AH25" s="801">
        <f t="shared" si="90"/>
        <v>15.121948129980476</v>
      </c>
      <c r="AI25" s="801">
        <f t="shared" si="90"/>
        <v>15.323390516643737</v>
      </c>
      <c r="AJ25" s="801">
        <f t="shared" si="90"/>
        <v>15.521017633752583</v>
      </c>
      <c r="AK25" s="801">
        <f t="shared" si="90"/>
        <v>15.763176966206016</v>
      </c>
      <c r="AL25" s="801">
        <f t="shared" si="90"/>
        <v>16.117258413059144</v>
      </c>
      <c r="AM25" s="801">
        <f t="shared" si="90"/>
        <v>16.51303296272155</v>
      </c>
      <c r="AN25" s="801">
        <f t="shared" si="90"/>
        <v>16.993618929872834</v>
      </c>
      <c r="AO25" s="801">
        <f t="shared" si="90"/>
        <v>17.437235353556446</v>
      </c>
      <c r="AP25" s="801">
        <f t="shared" si="90"/>
        <v>17.919522525987844</v>
      </c>
      <c r="AQ25" s="801">
        <f t="shared" si="90"/>
        <v>18.161000923881019</v>
      </c>
      <c r="AR25" s="801">
        <f t="shared" si="90"/>
        <v>18.508607836809013</v>
      </c>
      <c r="AS25" s="801">
        <f>($BB25-$AR25)/10+AR25</f>
        <v>18.515839395504365</v>
      </c>
      <c r="AT25" s="801">
        <f t="shared" ref="AT25:BA25" si="91">($BB25-$AR25)/10+AS25</f>
        <v>18.523070954199717</v>
      </c>
      <c r="AU25" s="801">
        <f t="shared" si="91"/>
        <v>18.530302512895069</v>
      </c>
      <c r="AV25" s="801">
        <f t="shared" si="91"/>
        <v>18.537534071590422</v>
      </c>
      <c r="AW25" s="801">
        <f t="shared" si="91"/>
        <v>18.544765630285774</v>
      </c>
      <c r="AX25" s="801">
        <f t="shared" si="91"/>
        <v>18.551997188981126</v>
      </c>
      <c r="AY25" s="801">
        <f t="shared" si="91"/>
        <v>18.559228747676478</v>
      </c>
      <c r="AZ25" s="801">
        <f t="shared" si="91"/>
        <v>18.56646030637183</v>
      </c>
      <c r="BA25" s="801">
        <f t="shared" si="91"/>
        <v>18.573691865067183</v>
      </c>
      <c r="BB25" s="803">
        <f>'AEO Data'!$B$30*AM25</f>
        <v>18.580923423762542</v>
      </c>
      <c r="BC25" s="801">
        <f>($BQ25-$BB25)/15+BB25</f>
        <v>18.732326935626944</v>
      </c>
      <c r="BD25" s="801">
        <f t="shared" ref="BD25:BP25" si="92">($BQ25-$BB25)/15+BC25</f>
        <v>18.883730447491345</v>
      </c>
      <c r="BE25" s="801">
        <f t="shared" si="92"/>
        <v>19.035133959355747</v>
      </c>
      <c r="BF25" s="801">
        <f t="shared" si="92"/>
        <v>19.186537471220149</v>
      </c>
      <c r="BG25" s="801">
        <f t="shared" si="92"/>
        <v>19.33794098308455</v>
      </c>
      <c r="BH25" s="801">
        <f t="shared" si="92"/>
        <v>19.489344494948952</v>
      </c>
      <c r="BI25" s="801">
        <f t="shared" si="92"/>
        <v>19.640748006813354</v>
      </c>
      <c r="BJ25" s="801">
        <f t="shared" si="92"/>
        <v>19.792151518677755</v>
      </c>
      <c r="BK25" s="801">
        <f t="shared" si="92"/>
        <v>19.943555030542157</v>
      </c>
      <c r="BL25" s="801">
        <f t="shared" si="92"/>
        <v>20.094958542406559</v>
      </c>
      <c r="BM25" s="801">
        <f t="shared" si="92"/>
        <v>20.246362054270961</v>
      </c>
      <c r="BN25" s="801">
        <f t="shared" si="92"/>
        <v>20.397765566135362</v>
      </c>
      <c r="BO25" s="801">
        <f t="shared" si="92"/>
        <v>20.549169077999764</v>
      </c>
      <c r="BP25" s="801">
        <f t="shared" si="92"/>
        <v>20.700572589864166</v>
      </c>
      <c r="BQ25" s="803">
        <f>'AEO Data'!$C$30*BB25</f>
        <v>20.851976101728582</v>
      </c>
      <c r="BR25" s="801">
        <f>($BV25-$BQ25)/5+BQ25</f>
        <v>20.971163273815758</v>
      </c>
      <c r="BS25" s="801">
        <f>($BV25-$BQ25)/5+BR25</f>
        <v>21.090350445902935</v>
      </c>
      <c r="BT25" s="801">
        <f>($BV25-$BQ25)/5+BS25</f>
        <v>21.209537617990112</v>
      </c>
      <c r="BU25" s="801">
        <f>($BV25-$BQ25)/5+BT25</f>
        <v>21.328724790077288</v>
      </c>
      <c r="BV25" s="804">
        <f>'AEO Data'!$D$30*BQ25</f>
        <v>21.447911962164458</v>
      </c>
      <c r="BW25" s="1077">
        <f>+BV25*BW$133/BV$133</f>
        <v>21.519125336431191</v>
      </c>
      <c r="BX25" s="1077">
        <f t="shared" ref="BX25:CZ25" si="93">+BW25*BX$133/BW$133</f>
        <v>21.590575160040096</v>
      </c>
      <c r="BY25" s="1077">
        <f t="shared" si="93"/>
        <v>21.66226221807252</v>
      </c>
      <c r="BZ25" s="1077">
        <f t="shared" si="93"/>
        <v>21.734187298216501</v>
      </c>
      <c r="CA25" s="1077">
        <f t="shared" si="93"/>
        <v>21.806351190775437</v>
      </c>
      <c r="CB25" s="1077">
        <f t="shared" si="93"/>
        <v>21.852884379410604</v>
      </c>
      <c r="CC25" s="1077">
        <f t="shared" si="93"/>
        <v>21.899516866531133</v>
      </c>
      <c r="CD25" s="1077">
        <f t="shared" si="93"/>
        <v>21.946248864032874</v>
      </c>
      <c r="CE25" s="1077">
        <f t="shared" si="93"/>
        <v>21.993080584263836</v>
      </c>
      <c r="CF25" s="1077">
        <f t="shared" si="93"/>
        <v>22.040012240025163</v>
      </c>
      <c r="CG25" s="1077">
        <f t="shared" si="93"/>
        <v>22.055250650944551</v>
      </c>
      <c r="CH25" s="1077">
        <f t="shared" si="93"/>
        <v>22.070499597664231</v>
      </c>
      <c r="CI25" s="1077">
        <f t="shared" si="93"/>
        <v>22.085759087468627</v>
      </c>
      <c r="CJ25" s="1077">
        <f t="shared" si="93"/>
        <v>22.101029127647202</v>
      </c>
      <c r="CK25" s="1077">
        <f t="shared" si="93"/>
        <v>22.116309725494457</v>
      </c>
      <c r="CL25" s="1077">
        <f t="shared" si="93"/>
        <v>22.121489169854147</v>
      </c>
      <c r="CM25" s="1077">
        <f t="shared" si="93"/>
        <v>22.126669827193954</v>
      </c>
      <c r="CN25" s="1077">
        <f t="shared" si="93"/>
        <v>22.131851697797941</v>
      </c>
      <c r="CO25" s="1077">
        <f t="shared" si="93"/>
        <v>22.137034781950248</v>
      </c>
      <c r="CP25" s="1077">
        <f t="shared" si="93"/>
        <v>22.142219079935074</v>
      </c>
      <c r="CQ25" s="1077">
        <f t="shared" si="93"/>
        <v>22.15007638128591</v>
      </c>
      <c r="CR25" s="1077">
        <f t="shared" si="93"/>
        <v>22.157936470848</v>
      </c>
      <c r="CS25" s="1077">
        <f t="shared" si="93"/>
        <v>22.165799349610761</v>
      </c>
      <c r="CT25" s="1077">
        <f t="shared" si="93"/>
        <v>22.173665018563963</v>
      </c>
      <c r="CU25" s="1077">
        <f t="shared" si="93"/>
        <v>22.181533478697713</v>
      </c>
      <c r="CV25" s="1077">
        <f t="shared" si="93"/>
        <v>22.193643072156416</v>
      </c>
      <c r="CW25" s="1077">
        <f t="shared" si="93"/>
        <v>22.205759276621244</v>
      </c>
      <c r="CX25" s="1077">
        <f t="shared" si="93"/>
        <v>22.217882095701352</v>
      </c>
      <c r="CY25" s="1077">
        <f t="shared" si="93"/>
        <v>22.230011533007868</v>
      </c>
      <c r="CZ25" s="1077">
        <f t="shared" si="93"/>
        <v>22.242147592153891</v>
      </c>
    </row>
    <row r="26" spans="1:104" x14ac:dyDescent="0.25">
      <c r="A26" s="727" t="str">
        <f>'HyARC Physical Property Data'!A71</f>
        <v>Commercial Natural Gas</v>
      </c>
      <c r="B26" s="254">
        <v>2011</v>
      </c>
      <c r="C26" s="726">
        <f>VLOOKUP(ref_year,DeflatorTable,2,FALSE)/VLOOKUP(B26,DeflatorTable,2,FALSE)</f>
        <v>1.0771767810026385</v>
      </c>
      <c r="D26" s="1017" t="str">
        <f>'HyARC Physical Property Data'!H71</f>
        <v>mmBtu</v>
      </c>
      <c r="E26" s="726" t="s">
        <v>1040</v>
      </c>
      <c r="F26" s="254">
        <f>'HyARC Physical Property Data'!$E$6</f>
        <v>47.141269049911173</v>
      </c>
      <c r="G26" s="254">
        <f>'HyARC Physical Property Data'!$I$6</f>
        <v>52.224661236371581</v>
      </c>
      <c r="H26" s="852">
        <v>12.491836786393147</v>
      </c>
      <c r="I26" s="852">
        <v>12.491836786393147</v>
      </c>
      <c r="J26" s="852">
        <v>12.491836786393147</v>
      </c>
      <c r="K26" s="852">
        <v>11.540201846875071</v>
      </c>
      <c r="L26" s="852">
        <v>11.906633267965836</v>
      </c>
      <c r="M26" s="852">
        <v>9.3536765847618941</v>
      </c>
      <c r="N26" s="254">
        <f t="shared" ref="N26:AR26" si="94">((N43/(mmBTU_to_GJ))*($C26))*($G26/$F26)</f>
        <v>10.629111361129928</v>
      </c>
      <c r="O26" s="254">
        <f t="shared" si="94"/>
        <v>9.9955549154729031</v>
      </c>
      <c r="P26" s="254">
        <f t="shared" si="94"/>
        <v>9.1313053061952658</v>
      </c>
      <c r="Q26" s="254">
        <f t="shared" si="94"/>
        <v>9.5723721841997591</v>
      </c>
      <c r="R26" s="254">
        <f t="shared" si="94"/>
        <v>9.3150739345461275</v>
      </c>
      <c r="S26" s="254">
        <f t="shared" si="94"/>
        <v>9.1670102569081706</v>
      </c>
      <c r="T26" s="254">
        <f t="shared" si="94"/>
        <v>9.6835669880973843</v>
      </c>
      <c r="U26" s="254">
        <f t="shared" si="94"/>
        <v>9.9819022906517407</v>
      </c>
      <c r="V26" s="254">
        <f t="shared" si="94"/>
        <v>10.374954233193641</v>
      </c>
      <c r="W26" s="254">
        <f t="shared" si="94"/>
        <v>10.576898837373108</v>
      </c>
      <c r="X26" s="254">
        <f t="shared" si="94"/>
        <v>10.709472950445942</v>
      </c>
      <c r="Y26" s="254">
        <f t="shared" si="94"/>
        <v>10.871133827998989</v>
      </c>
      <c r="Z26" s="254">
        <f t="shared" si="94"/>
        <v>11.106678367581321</v>
      </c>
      <c r="AA26" s="254">
        <f t="shared" si="94"/>
        <v>11.324324055865388</v>
      </c>
      <c r="AB26" s="254">
        <f t="shared" si="94"/>
        <v>11.461664710860044</v>
      </c>
      <c r="AC26" s="254">
        <f t="shared" si="94"/>
        <v>11.530251335438004</v>
      </c>
      <c r="AD26" s="254">
        <f t="shared" si="94"/>
        <v>11.690741503240439</v>
      </c>
      <c r="AE26" s="254">
        <f t="shared" si="94"/>
        <v>11.750101577638928</v>
      </c>
      <c r="AF26" s="254">
        <f t="shared" si="94"/>
        <v>11.876771241534755</v>
      </c>
      <c r="AG26" s="254">
        <f t="shared" si="94"/>
        <v>11.995898593723251</v>
      </c>
      <c r="AH26" s="254">
        <f t="shared" si="94"/>
        <v>12.099846308372394</v>
      </c>
      <c r="AI26" s="254">
        <f t="shared" si="94"/>
        <v>12.252762493092598</v>
      </c>
      <c r="AJ26" s="254">
        <f t="shared" si="94"/>
        <v>12.390975242017417</v>
      </c>
      <c r="AK26" s="254">
        <f t="shared" si="94"/>
        <v>12.576341012559455</v>
      </c>
      <c r="AL26" s="254">
        <f t="shared" si="94"/>
        <v>12.876005381738906</v>
      </c>
      <c r="AM26" s="254">
        <f t="shared" si="94"/>
        <v>13.213362080405979</v>
      </c>
      <c r="AN26" s="254">
        <f t="shared" si="94"/>
        <v>13.642549930583472</v>
      </c>
      <c r="AO26" s="254">
        <f t="shared" si="94"/>
        <v>14.027368446772995</v>
      </c>
      <c r="AP26" s="254">
        <f t="shared" si="94"/>
        <v>14.457440833206514</v>
      </c>
      <c r="AQ26" s="254">
        <f t="shared" si="94"/>
        <v>14.646759870007866</v>
      </c>
      <c r="AR26" s="254">
        <f t="shared" si="94"/>
        <v>14.945407361829057</v>
      </c>
      <c r="AS26" s="254">
        <f t="shared" ref="AS26:BA26" si="95">($BB26-$AR26)/10+AR26</f>
        <v>14.937670833817531</v>
      </c>
      <c r="AT26" s="254">
        <f t="shared" si="95"/>
        <v>14.929934305806006</v>
      </c>
      <c r="AU26" s="254">
        <f t="shared" si="95"/>
        <v>14.92219777779448</v>
      </c>
      <c r="AV26" s="254">
        <f t="shared" si="95"/>
        <v>14.914461249782955</v>
      </c>
      <c r="AW26" s="254">
        <f t="shared" si="95"/>
        <v>14.906724721771429</v>
      </c>
      <c r="AX26" s="254">
        <f t="shared" si="95"/>
        <v>14.898988193759903</v>
      </c>
      <c r="AY26" s="254">
        <f t="shared" si="95"/>
        <v>14.891251665748378</v>
      </c>
      <c r="AZ26" s="254">
        <f t="shared" si="95"/>
        <v>14.883515137736852</v>
      </c>
      <c r="BA26" s="254">
        <f t="shared" si="95"/>
        <v>14.875778609725327</v>
      </c>
      <c r="BB26" s="781">
        <f>'AEO Data'!$B$30*AM26</f>
        <v>14.868042081713805</v>
      </c>
      <c r="BC26" s="254">
        <f t="shared" ref="BC26:BP28" si="96">($BQ26-$BB26)/15+BB26</f>
        <v>14.989191807934644</v>
      </c>
      <c r="BD26" s="254">
        <f t="shared" si="96"/>
        <v>15.110341534155483</v>
      </c>
      <c r="BE26" s="254">
        <f t="shared" si="96"/>
        <v>15.231491260376322</v>
      </c>
      <c r="BF26" s="254">
        <f t="shared" si="96"/>
        <v>15.35264098659716</v>
      </c>
      <c r="BG26" s="254">
        <f t="shared" si="96"/>
        <v>15.473790712817999</v>
      </c>
      <c r="BH26" s="254">
        <f t="shared" si="96"/>
        <v>15.594940439038838</v>
      </c>
      <c r="BI26" s="254">
        <f t="shared" si="96"/>
        <v>15.716090165259677</v>
      </c>
      <c r="BJ26" s="254">
        <f t="shared" si="96"/>
        <v>15.837239891480516</v>
      </c>
      <c r="BK26" s="254">
        <f t="shared" si="96"/>
        <v>15.958389617701355</v>
      </c>
      <c r="BL26" s="254">
        <f t="shared" si="96"/>
        <v>16.079539343922193</v>
      </c>
      <c r="BM26" s="254">
        <f t="shared" si="96"/>
        <v>16.200689070143032</v>
      </c>
      <c r="BN26" s="254">
        <f t="shared" si="96"/>
        <v>16.32183879636387</v>
      </c>
      <c r="BO26" s="254">
        <f t="shared" si="96"/>
        <v>16.442988522584709</v>
      </c>
      <c r="BP26" s="254">
        <f t="shared" si="96"/>
        <v>16.564138248805548</v>
      </c>
      <c r="BQ26" s="781">
        <f>'AEO Data'!$C$30*BB26</f>
        <v>16.68528797502638</v>
      </c>
      <c r="BR26" s="254">
        <f t="shared" ref="BR26:BU28" si="97">($BV26-$BQ26)/5+BQ26</f>
        <v>16.780658901959232</v>
      </c>
      <c r="BS26" s="254">
        <f t="shared" si="97"/>
        <v>16.876029828892083</v>
      </c>
      <c r="BT26" s="254">
        <f t="shared" si="97"/>
        <v>16.971400755824934</v>
      </c>
      <c r="BU26" s="254">
        <f t="shared" si="97"/>
        <v>17.066771682757786</v>
      </c>
      <c r="BV26" s="805">
        <f>'AEO Data'!$D$30*BQ26</f>
        <v>17.162142609690644</v>
      </c>
      <c r="BW26" s="1077">
        <f>+BV26*BW$134/BV$134</f>
        <v>17.219125969517879</v>
      </c>
      <c r="BX26" s="1077">
        <f t="shared" ref="BX26:CZ26" si="98">+BW26*BX$134/BW$134</f>
        <v>17.276298530855151</v>
      </c>
      <c r="BY26" s="1077">
        <f t="shared" si="98"/>
        <v>17.333660921907107</v>
      </c>
      <c r="BZ26" s="1077">
        <f t="shared" si="98"/>
        <v>17.391213772964214</v>
      </c>
      <c r="CA26" s="1077">
        <f t="shared" si="98"/>
        <v>17.448957716409694</v>
      </c>
      <c r="CB26" s="1077">
        <f t="shared" si="98"/>
        <v>17.486192540053562</v>
      </c>
      <c r="CC26" s="1077">
        <f t="shared" si="98"/>
        <v>17.523506820139147</v>
      </c>
      <c r="CD26" s="1077">
        <f t="shared" si="98"/>
        <v>17.56090072622079</v>
      </c>
      <c r="CE26" s="1077">
        <f t="shared" si="98"/>
        <v>17.598374428214658</v>
      </c>
      <c r="CF26" s="1077">
        <f t="shared" si="98"/>
        <v>17.635928096399496</v>
      </c>
      <c r="CG26" s="1077">
        <f t="shared" si="98"/>
        <v>17.648121534241135</v>
      </c>
      <c r="CH26" s="1077">
        <f t="shared" si="98"/>
        <v>17.660323402596077</v>
      </c>
      <c r="CI26" s="1077">
        <f t="shared" si="98"/>
        <v>17.672533707293155</v>
      </c>
      <c r="CJ26" s="1077">
        <f t="shared" si="98"/>
        <v>17.684752454165238</v>
      </c>
      <c r="CK26" s="1077">
        <f t="shared" si="98"/>
        <v>17.696979649049226</v>
      </c>
      <c r="CL26" s="1077">
        <f t="shared" si="98"/>
        <v>17.701124125345881</v>
      </c>
      <c r="CM26" s="1077">
        <f t="shared" si="98"/>
        <v>17.705269572242276</v>
      </c>
      <c r="CN26" s="1077">
        <f t="shared" si="98"/>
        <v>17.709415989965713</v>
      </c>
      <c r="CO26" s="1077">
        <f t="shared" si="98"/>
        <v>17.713563378743547</v>
      </c>
      <c r="CP26" s="1077">
        <f t="shared" si="98"/>
        <v>17.717711738803196</v>
      </c>
      <c r="CQ26" s="1077">
        <f t="shared" si="98"/>
        <v>17.723998976765952</v>
      </c>
      <c r="CR26" s="1077">
        <f t="shared" si="98"/>
        <v>17.730288445793402</v>
      </c>
      <c r="CS26" s="1077">
        <f t="shared" si="98"/>
        <v>17.736580146677259</v>
      </c>
      <c r="CT26" s="1077">
        <f t="shared" si="98"/>
        <v>17.742874080209511</v>
      </c>
      <c r="CU26" s="1077">
        <f t="shared" si="98"/>
        <v>17.749170247182427</v>
      </c>
      <c r="CV26" s="1077">
        <f t="shared" si="98"/>
        <v>17.758860074809945</v>
      </c>
      <c r="CW26" s="1077">
        <f t="shared" si="98"/>
        <v>17.768555192417683</v>
      </c>
      <c r="CX26" s="1077">
        <f t="shared" si="98"/>
        <v>17.778255602893598</v>
      </c>
      <c r="CY26" s="1077">
        <f t="shared" si="98"/>
        <v>17.78796130912724</v>
      </c>
      <c r="CZ26" s="1077">
        <f t="shared" si="98"/>
        <v>17.797672314009723</v>
      </c>
    </row>
    <row r="27" spans="1:104" x14ac:dyDescent="0.25">
      <c r="A27" s="727" t="str">
        <f>'HyARC Physical Property Data'!A72</f>
        <v>Industrial Natural Gas</v>
      </c>
      <c r="B27" s="254">
        <v>2011</v>
      </c>
      <c r="C27" s="726">
        <f t="shared" ref="C27:C35" si="99">VLOOKUP(ref_year,DeflatorTable,2,FALSE)/VLOOKUP(B27,DeflatorTable,2,FALSE)</f>
        <v>1.0771767810026385</v>
      </c>
      <c r="D27" s="1017" t="str">
        <f>'HyARC Physical Property Data'!H72</f>
        <v>mmBtu</v>
      </c>
      <c r="E27" s="726" t="s">
        <v>1040</v>
      </c>
      <c r="F27" s="254">
        <f>'HyARC Physical Property Data'!$E$6</f>
        <v>47.141269049911173</v>
      </c>
      <c r="G27" s="254">
        <f>'HyARC Physical Property Data'!$I$6</f>
        <v>52.224661236371581</v>
      </c>
      <c r="H27" s="852">
        <v>8.3524006010892204</v>
      </c>
      <c r="I27" s="852">
        <v>8.3524006010892204</v>
      </c>
      <c r="J27" s="852">
        <v>8.3524006010892204</v>
      </c>
      <c r="K27" s="852">
        <v>7.891606632326889</v>
      </c>
      <c r="L27" s="852">
        <v>9.2420298006250725</v>
      </c>
      <c r="M27" s="852">
        <v>5.091378564817072</v>
      </c>
      <c r="N27" s="254">
        <f t="shared" ref="N27:AR27" si="100">((N44/(mmBTU_to_GJ))*($C27))*($G27/$F27)</f>
        <v>6.2030197526312536</v>
      </c>
      <c r="O27" s="254">
        <f t="shared" si="100"/>
        <v>5.530967881908893</v>
      </c>
      <c r="P27" s="254">
        <f t="shared" si="100"/>
        <v>4.2526580284486375</v>
      </c>
      <c r="Q27" s="254">
        <f t="shared" si="100"/>
        <v>4.9022628122135865</v>
      </c>
      <c r="R27" s="254">
        <f t="shared" si="100"/>
        <v>4.9487111457393711</v>
      </c>
      <c r="S27" s="254">
        <f t="shared" si="100"/>
        <v>5.0024201419600187</v>
      </c>
      <c r="T27" s="254">
        <f t="shared" si="100"/>
        <v>5.5040732290196832</v>
      </c>
      <c r="U27" s="254">
        <f t="shared" si="100"/>
        <v>5.7324521200318364</v>
      </c>
      <c r="V27" s="254">
        <f t="shared" si="100"/>
        <v>6.0189830487143103</v>
      </c>
      <c r="W27" s="254">
        <f t="shared" si="100"/>
        <v>6.1643784130172916</v>
      </c>
      <c r="X27" s="254">
        <f t="shared" si="100"/>
        <v>6.2544314430514243</v>
      </c>
      <c r="Y27" s="254">
        <f t="shared" si="100"/>
        <v>6.3802934868874104</v>
      </c>
      <c r="Z27" s="254">
        <f t="shared" si="100"/>
        <v>6.5919159583386113</v>
      </c>
      <c r="AA27" s="254">
        <f t="shared" si="100"/>
        <v>6.7988318372561878</v>
      </c>
      <c r="AB27" s="254">
        <f t="shared" si="100"/>
        <v>6.9111566305652739</v>
      </c>
      <c r="AC27" s="254">
        <f t="shared" si="100"/>
        <v>6.9577474852780874</v>
      </c>
      <c r="AD27" s="254">
        <f t="shared" si="100"/>
        <v>7.0760185792238648</v>
      </c>
      <c r="AE27" s="254">
        <f t="shared" si="100"/>
        <v>7.1203087347746017</v>
      </c>
      <c r="AF27" s="254">
        <f t="shared" si="100"/>
        <v>7.2355314588866548</v>
      </c>
      <c r="AG27" s="254">
        <f t="shared" si="100"/>
        <v>7.3367328128841169</v>
      </c>
      <c r="AH27" s="254">
        <f t="shared" si="100"/>
        <v>7.4218281416265226</v>
      </c>
      <c r="AI27" s="254">
        <f t="shared" si="100"/>
        <v>7.552074408644514</v>
      </c>
      <c r="AJ27" s="254">
        <f t="shared" si="100"/>
        <v>7.6589686922794975</v>
      </c>
      <c r="AK27" s="254">
        <f t="shared" si="100"/>
        <v>7.8228205503030184</v>
      </c>
      <c r="AL27" s="254">
        <f t="shared" si="100"/>
        <v>8.1087248382107671</v>
      </c>
      <c r="AM27" s="254">
        <f t="shared" si="100"/>
        <v>8.4216617757126304</v>
      </c>
      <c r="AN27" s="254">
        <f t="shared" si="100"/>
        <v>8.8376765961745321</v>
      </c>
      <c r="AO27" s="254">
        <f t="shared" si="100"/>
        <v>9.2227722368943912</v>
      </c>
      <c r="AP27" s="254">
        <f t="shared" si="100"/>
        <v>9.6133017806499446</v>
      </c>
      <c r="AQ27" s="254">
        <f t="shared" si="100"/>
        <v>9.7721812328148197</v>
      </c>
      <c r="AR27" s="254">
        <f t="shared" si="100"/>
        <v>10.045586638844041</v>
      </c>
      <c r="AS27" s="254">
        <f t="shared" ref="AS27:BA27" si="101">($BB27-$AR27)/10+AR27</f>
        <v>9.9886567534439159</v>
      </c>
      <c r="AT27" s="254">
        <f t="shared" si="101"/>
        <v>9.9317268680437891</v>
      </c>
      <c r="AU27" s="254">
        <f t="shared" si="101"/>
        <v>9.8747969826436623</v>
      </c>
      <c r="AV27" s="254">
        <f t="shared" si="101"/>
        <v>9.8178670972435356</v>
      </c>
      <c r="AW27" s="254">
        <f t="shared" si="101"/>
        <v>9.7609372118434088</v>
      </c>
      <c r="AX27" s="254">
        <f t="shared" si="101"/>
        <v>9.704007326443282</v>
      </c>
      <c r="AY27" s="254">
        <f t="shared" si="101"/>
        <v>9.6470774410431552</v>
      </c>
      <c r="AZ27" s="254">
        <f t="shared" si="101"/>
        <v>9.5901475556430285</v>
      </c>
      <c r="BA27" s="254">
        <f t="shared" si="101"/>
        <v>9.5332176702429017</v>
      </c>
      <c r="BB27" s="781">
        <f>'AEO Data'!$B$30*AM27</f>
        <v>9.476287784842782</v>
      </c>
      <c r="BC27" s="254">
        <f t="shared" si="96"/>
        <v>9.5535037131011205</v>
      </c>
      <c r="BD27" s="254">
        <f t="shared" si="96"/>
        <v>9.6307196413594589</v>
      </c>
      <c r="BE27" s="254">
        <f t="shared" si="96"/>
        <v>9.7079355696177974</v>
      </c>
      <c r="BF27" s="254">
        <f t="shared" si="96"/>
        <v>9.7851514978761358</v>
      </c>
      <c r="BG27" s="254">
        <f t="shared" si="96"/>
        <v>9.8623674261344743</v>
      </c>
      <c r="BH27" s="254">
        <f t="shared" si="96"/>
        <v>9.9395833543928127</v>
      </c>
      <c r="BI27" s="254">
        <f t="shared" si="96"/>
        <v>10.016799282651151</v>
      </c>
      <c r="BJ27" s="254">
        <f t="shared" si="96"/>
        <v>10.09401521090949</v>
      </c>
      <c r="BK27" s="254">
        <f t="shared" si="96"/>
        <v>10.171231139167828</v>
      </c>
      <c r="BL27" s="254">
        <f t="shared" si="96"/>
        <v>10.248447067426167</v>
      </c>
      <c r="BM27" s="254">
        <f t="shared" si="96"/>
        <v>10.325662995684505</v>
      </c>
      <c r="BN27" s="254">
        <f t="shared" si="96"/>
        <v>10.402878923942843</v>
      </c>
      <c r="BO27" s="254">
        <f t="shared" si="96"/>
        <v>10.480094852201182</v>
      </c>
      <c r="BP27" s="254">
        <f t="shared" si="96"/>
        <v>10.55731078045952</v>
      </c>
      <c r="BQ27" s="781">
        <f>'AEO Data'!$C$30*BB27</f>
        <v>10.634526708717866</v>
      </c>
      <c r="BR27" s="254">
        <f t="shared" si="97"/>
        <v>10.695312274494174</v>
      </c>
      <c r="BS27" s="254">
        <f t="shared" si="97"/>
        <v>10.756097840270483</v>
      </c>
      <c r="BT27" s="254">
        <f t="shared" si="97"/>
        <v>10.816883406046792</v>
      </c>
      <c r="BU27" s="254">
        <f t="shared" si="97"/>
        <v>10.8776689718231</v>
      </c>
      <c r="BV27" s="805">
        <f>'AEO Data'!$D$30*BQ27</f>
        <v>10.938454537599405</v>
      </c>
      <c r="BW27" s="1077">
        <f>+BV27*BW$135/BV$135</f>
        <v>10.974773423011646</v>
      </c>
      <c r="BX27" s="1077">
        <f t="shared" ref="BX27:CZ27" si="102">+BW27*BX$135/BW$135</f>
        <v>11.011212897802675</v>
      </c>
      <c r="BY27" s="1077">
        <f t="shared" si="102"/>
        <v>11.047773362364691</v>
      </c>
      <c r="BZ27" s="1077">
        <f t="shared" si="102"/>
        <v>11.084455218419302</v>
      </c>
      <c r="CA27" s="1077">
        <f t="shared" si="102"/>
        <v>11.121258869021963</v>
      </c>
      <c r="CB27" s="1077">
        <f t="shared" si="102"/>
        <v>11.144990837396005</v>
      </c>
      <c r="CC27" s="1077">
        <f t="shared" si="102"/>
        <v>11.168773448087572</v>
      </c>
      <c r="CD27" s="1077">
        <f t="shared" si="102"/>
        <v>11.192606809163733</v>
      </c>
      <c r="CE27" s="1077">
        <f t="shared" si="102"/>
        <v>11.216491028922169</v>
      </c>
      <c r="CF27" s="1077">
        <f t="shared" si="102"/>
        <v>11.240426215891658</v>
      </c>
      <c r="CG27" s="1077">
        <f t="shared" si="102"/>
        <v>11.24819781927016</v>
      </c>
      <c r="CH27" s="1077">
        <f t="shared" si="102"/>
        <v>11.255974795916359</v>
      </c>
      <c r="CI27" s="1077">
        <f t="shared" si="102"/>
        <v>11.263757149545318</v>
      </c>
      <c r="CJ27" s="1077">
        <f t="shared" si="102"/>
        <v>11.27154488387467</v>
      </c>
      <c r="CK27" s="1077">
        <f t="shared" si="102"/>
        <v>11.279338002624618</v>
      </c>
      <c r="CL27" s="1077">
        <f t="shared" si="102"/>
        <v>11.281979523941867</v>
      </c>
      <c r="CM27" s="1077">
        <f t="shared" si="102"/>
        <v>11.284621663880072</v>
      </c>
      <c r="CN27" s="1077">
        <f t="shared" si="102"/>
        <v>11.28726442258411</v>
      </c>
      <c r="CO27" s="1077">
        <f t="shared" si="102"/>
        <v>11.28990780019889</v>
      </c>
      <c r="CP27" s="1077">
        <f t="shared" si="102"/>
        <v>11.292551796869356</v>
      </c>
      <c r="CQ27" s="1077">
        <f t="shared" si="102"/>
        <v>11.296559027678859</v>
      </c>
      <c r="CR27" s="1077">
        <f t="shared" si="102"/>
        <v>11.300567680478631</v>
      </c>
      <c r="CS27" s="1077">
        <f t="shared" si="102"/>
        <v>11.304577755773273</v>
      </c>
      <c r="CT27" s="1077">
        <f t="shared" si="102"/>
        <v>11.308589254067567</v>
      </c>
      <c r="CU27" s="1077">
        <f t="shared" si="102"/>
        <v>11.312602175866472</v>
      </c>
      <c r="CV27" s="1077">
        <f t="shared" si="102"/>
        <v>11.318778079504572</v>
      </c>
      <c r="CW27" s="1077">
        <f t="shared" si="102"/>
        <v>11.324957354761789</v>
      </c>
      <c r="CX27" s="1077">
        <f t="shared" si="102"/>
        <v>11.331140003478794</v>
      </c>
      <c r="CY27" s="1077">
        <f t="shared" si="102"/>
        <v>11.337326027497264</v>
      </c>
      <c r="CZ27" s="1077">
        <f t="shared" si="102"/>
        <v>11.343515428659883</v>
      </c>
    </row>
    <row r="28" spans="1:104" x14ac:dyDescent="0.25">
      <c r="A28" s="727" t="str">
        <f>'HyARC Physical Property Data'!A74</f>
        <v>Electric Utility Natural Gas</v>
      </c>
      <c r="B28" s="254">
        <v>2011</v>
      </c>
      <c r="C28" s="726">
        <f t="shared" si="99"/>
        <v>1.0771767810026385</v>
      </c>
      <c r="D28" s="1030" t="str">
        <f>'HyARC Physical Property Data'!H74</f>
        <v>mmBtu</v>
      </c>
      <c r="E28" s="726" t="s">
        <v>1040</v>
      </c>
      <c r="F28" s="254">
        <f>'HyARC Physical Property Data'!$E$6</f>
        <v>47.141269049911173</v>
      </c>
      <c r="G28" s="254">
        <f>'HyARC Physical Property Data'!$I$6</f>
        <v>52.224661236371581</v>
      </c>
      <c r="H28" s="852">
        <v>7.4079259090132386</v>
      </c>
      <c r="I28" s="852">
        <v>7.4079259090132386</v>
      </c>
      <c r="J28" s="852">
        <v>7.4079259090132386</v>
      </c>
      <c r="K28" s="852">
        <v>7.3706710915002853</v>
      </c>
      <c r="L28" s="852">
        <v>9.3158925097981644</v>
      </c>
      <c r="M28" s="852">
        <v>4.7837623175056114</v>
      </c>
      <c r="N28" s="254">
        <f t="shared" ref="N28:AR28" si="103">((N45/(mmBTU_to_GJ))*($C28))*($G28/$F28)</f>
        <v>5.9476183921097752</v>
      </c>
      <c r="O28" s="254">
        <f t="shared" si="103"/>
        <v>5.4007770397969708</v>
      </c>
      <c r="P28" s="254">
        <f t="shared" si="103"/>
        <v>3.7573064138727101</v>
      </c>
      <c r="Q28" s="254">
        <f t="shared" si="103"/>
        <v>4.2027122702379316</v>
      </c>
      <c r="R28" s="254">
        <f t="shared" si="103"/>
        <v>4.2509986746282031</v>
      </c>
      <c r="S28" s="254">
        <f t="shared" si="103"/>
        <v>4.3458453934769246</v>
      </c>
      <c r="T28" s="254">
        <f t="shared" si="103"/>
        <v>4.8441571504850804</v>
      </c>
      <c r="U28" s="254">
        <f t="shared" si="103"/>
        <v>5.0319853704252662</v>
      </c>
      <c r="V28" s="254">
        <f t="shared" si="103"/>
        <v>5.3192198560786403</v>
      </c>
      <c r="W28" s="254">
        <f t="shared" si="103"/>
        <v>5.4545256252362373</v>
      </c>
      <c r="X28" s="254">
        <f t="shared" si="103"/>
        <v>5.5388246451241194</v>
      </c>
      <c r="Y28" s="254">
        <f t="shared" si="103"/>
        <v>5.6639944431945244</v>
      </c>
      <c r="Z28" s="254">
        <f t="shared" si="103"/>
        <v>5.884484899616556</v>
      </c>
      <c r="AA28" s="254">
        <f t="shared" si="103"/>
        <v>6.0953551759139817</v>
      </c>
      <c r="AB28" s="254">
        <f t="shared" si="103"/>
        <v>6.2414495727057346</v>
      </c>
      <c r="AC28" s="254">
        <f t="shared" si="103"/>
        <v>6.309346213759178</v>
      </c>
      <c r="AD28" s="254">
        <f t="shared" si="103"/>
        <v>6.4573499420089364</v>
      </c>
      <c r="AE28" s="254">
        <f t="shared" si="103"/>
        <v>6.5161274893334484</v>
      </c>
      <c r="AF28" s="254">
        <f t="shared" si="103"/>
        <v>6.6361077064030667</v>
      </c>
      <c r="AG28" s="254">
        <f t="shared" si="103"/>
        <v>6.7471554646315317</v>
      </c>
      <c r="AH28" s="254">
        <f t="shared" si="103"/>
        <v>6.8465029120770557</v>
      </c>
      <c r="AI28" s="254">
        <f t="shared" si="103"/>
        <v>6.9944896735188342</v>
      </c>
      <c r="AJ28" s="254">
        <f t="shared" si="103"/>
        <v>7.1183428472899974</v>
      </c>
      <c r="AK28" s="254">
        <f t="shared" si="103"/>
        <v>7.2910592969227492</v>
      </c>
      <c r="AL28" s="254">
        <f t="shared" si="103"/>
        <v>7.5766389532378176</v>
      </c>
      <c r="AM28" s="254">
        <f t="shared" si="103"/>
        <v>7.8957257930721285</v>
      </c>
      <c r="AN28" s="254">
        <f t="shared" si="103"/>
        <v>8.3082759913445337</v>
      </c>
      <c r="AO28" s="254">
        <f t="shared" si="103"/>
        <v>8.6812923959032329</v>
      </c>
      <c r="AP28" s="254">
        <f t="shared" si="103"/>
        <v>9.0738262852414806</v>
      </c>
      <c r="AQ28" s="254">
        <f t="shared" si="103"/>
        <v>9.2242743649608752</v>
      </c>
      <c r="AR28" s="254">
        <f t="shared" si="103"/>
        <v>9.4762823638863765</v>
      </c>
      <c r="AS28" s="254">
        <f t="shared" ref="AS28:BA28" si="104">($BB28-$AR28)/10+AR28</f>
        <v>9.4171031281586099</v>
      </c>
      <c r="AT28" s="254">
        <f t="shared" si="104"/>
        <v>9.3579238924308434</v>
      </c>
      <c r="AU28" s="254">
        <f t="shared" si="104"/>
        <v>9.2987446567030769</v>
      </c>
      <c r="AV28" s="254">
        <f t="shared" si="104"/>
        <v>9.2395654209753104</v>
      </c>
      <c r="AW28" s="254">
        <f t="shared" si="104"/>
        <v>9.1803861852475439</v>
      </c>
      <c r="AX28" s="254">
        <f t="shared" si="104"/>
        <v>9.1212069495197774</v>
      </c>
      <c r="AY28" s="254">
        <f t="shared" si="104"/>
        <v>9.0620277137920109</v>
      </c>
      <c r="AZ28" s="254">
        <f t="shared" si="104"/>
        <v>9.0028484780642444</v>
      </c>
      <c r="BA28" s="254">
        <f t="shared" si="104"/>
        <v>8.9436692423364779</v>
      </c>
      <c r="BB28" s="781">
        <f>'AEO Data'!$B$30*AM28</f>
        <v>8.8844900066087185</v>
      </c>
      <c r="BC28" s="254">
        <f t="shared" si="96"/>
        <v>8.9568837707638682</v>
      </c>
      <c r="BD28" s="254">
        <f t="shared" si="96"/>
        <v>9.029277534919018</v>
      </c>
      <c r="BE28" s="254">
        <f t="shared" si="96"/>
        <v>9.1016712990741677</v>
      </c>
      <c r="BF28" s="254">
        <f t="shared" si="96"/>
        <v>9.1740650632293175</v>
      </c>
      <c r="BG28" s="254">
        <f t="shared" si="96"/>
        <v>9.2464588273844672</v>
      </c>
      <c r="BH28" s="254">
        <f t="shared" si="96"/>
        <v>9.318852591539617</v>
      </c>
      <c r="BI28" s="254">
        <f t="shared" si="96"/>
        <v>9.3912463556947667</v>
      </c>
      <c r="BJ28" s="254">
        <f t="shared" si="96"/>
        <v>9.4636401198499165</v>
      </c>
      <c r="BK28" s="254">
        <f t="shared" si="96"/>
        <v>9.5360338840050662</v>
      </c>
      <c r="BL28" s="254">
        <f t="shared" si="96"/>
        <v>9.608427648160216</v>
      </c>
      <c r="BM28" s="254">
        <f t="shared" si="96"/>
        <v>9.6808214123153657</v>
      </c>
      <c r="BN28" s="254">
        <f t="shared" si="96"/>
        <v>9.7532151764705155</v>
      </c>
      <c r="BO28" s="254">
        <f t="shared" si="96"/>
        <v>9.8256089406256653</v>
      </c>
      <c r="BP28" s="254">
        <f t="shared" si="96"/>
        <v>9.898002704780815</v>
      </c>
      <c r="BQ28" s="781">
        <f>'AEO Data'!$C$30*BB28</f>
        <v>9.9703964689359541</v>
      </c>
      <c r="BR28" s="254">
        <f t="shared" si="97"/>
        <v>10.027385952998422</v>
      </c>
      <c r="BS28" s="254">
        <f t="shared" si="97"/>
        <v>10.08437543706089</v>
      </c>
      <c r="BT28" s="254">
        <f t="shared" si="97"/>
        <v>10.141364921123358</v>
      </c>
      <c r="BU28" s="254">
        <f t="shared" si="97"/>
        <v>10.198354405185826</v>
      </c>
      <c r="BV28" s="805">
        <f>'AEO Data'!$D$30*BQ28</f>
        <v>10.255343889248296</v>
      </c>
      <c r="BW28" s="1077">
        <f>+BV28*BW$136/BV$136</f>
        <v>10.289394646445894</v>
      </c>
      <c r="BX28" s="1077">
        <f t="shared" ref="BX28:CZ28" si="105">+BW28*BX$136/BW$136</f>
        <v>10.323558462169682</v>
      </c>
      <c r="BY28" s="1077">
        <f t="shared" si="105"/>
        <v>10.357835711807217</v>
      </c>
      <c r="BZ28" s="1077">
        <f t="shared" si="105"/>
        <v>10.392226771992446</v>
      </c>
      <c r="CA28" s="1077">
        <f t="shared" si="105"/>
        <v>10.426732020609851</v>
      </c>
      <c r="CB28" s="1077">
        <f t="shared" si="105"/>
        <v>10.448981918528062</v>
      </c>
      <c r="CC28" s="1077">
        <f t="shared" si="105"/>
        <v>10.471279296131797</v>
      </c>
      <c r="CD28" s="1077">
        <f t="shared" si="105"/>
        <v>10.493624254739295</v>
      </c>
      <c r="CE28" s="1077">
        <f t="shared" si="105"/>
        <v>10.516016895885006</v>
      </c>
      <c r="CF28" s="1077">
        <f t="shared" si="105"/>
        <v>10.538457321320044</v>
      </c>
      <c r="CG28" s="1077">
        <f t="shared" si="105"/>
        <v>10.545743585110182</v>
      </c>
      <c r="CH28" s="1077">
        <f t="shared" si="105"/>
        <v>10.553034886605404</v>
      </c>
      <c r="CI28" s="1077">
        <f t="shared" si="105"/>
        <v>10.560331229288767</v>
      </c>
      <c r="CJ28" s="1077">
        <f t="shared" si="105"/>
        <v>10.567632616645735</v>
      </c>
      <c r="CK28" s="1077">
        <f t="shared" si="105"/>
        <v>10.574939052164185</v>
      </c>
      <c r="CL28" s="1077">
        <f t="shared" si="105"/>
        <v>10.577415609469975</v>
      </c>
      <c r="CM28" s="1077">
        <f t="shared" si="105"/>
        <v>10.579892746763608</v>
      </c>
      <c r="CN28" s="1077">
        <f t="shared" si="105"/>
        <v>10.582370464180912</v>
      </c>
      <c r="CO28" s="1077">
        <f t="shared" si="105"/>
        <v>10.584848761857746</v>
      </c>
      <c r="CP28" s="1077">
        <f t="shared" si="105"/>
        <v>10.587327639930004</v>
      </c>
      <c r="CQ28" s="1077">
        <f t="shared" si="105"/>
        <v>10.591084617650559</v>
      </c>
      <c r="CR28" s="1077">
        <f t="shared" si="105"/>
        <v>10.594842928557549</v>
      </c>
      <c r="CS28" s="1077">
        <f t="shared" si="105"/>
        <v>10.598602573124062</v>
      </c>
      <c r="CT28" s="1077">
        <f t="shared" si="105"/>
        <v>10.602363551823357</v>
      </c>
      <c r="CU28" s="1077">
        <f t="shared" si="105"/>
        <v>10.60612586512886</v>
      </c>
      <c r="CV28" s="1077">
        <f t="shared" si="105"/>
        <v>10.611916081234606</v>
      </c>
      <c r="CW28" s="1077">
        <f t="shared" si="105"/>
        <v>10.617709458400572</v>
      </c>
      <c r="CX28" s="1077">
        <f t="shared" si="105"/>
        <v>10.62350599835248</v>
      </c>
      <c r="CY28" s="1077">
        <f t="shared" si="105"/>
        <v>10.629305702816991</v>
      </c>
      <c r="CZ28" s="1077">
        <f t="shared" si="105"/>
        <v>10.635108573521714</v>
      </c>
    </row>
    <row r="29" spans="1:104" x14ac:dyDescent="0.25">
      <c r="A29" s="727" t="str">
        <f>'HyARC Physical Property Data'!A75</f>
        <v>Bio Methane</v>
      </c>
      <c r="B29" s="254">
        <v>2007</v>
      </c>
      <c r="C29" s="726">
        <f t="shared" si="99"/>
        <v>1.1413971588333081</v>
      </c>
      <c r="D29" s="1030" t="str">
        <f>'HyARC Physical Property Data'!H75</f>
        <v>mmBtu</v>
      </c>
      <c r="E29" s="726" t="s">
        <v>1040</v>
      </c>
      <c r="F29" s="254">
        <f>'HyARC Physical Property Data'!$E$6</f>
        <v>47.141269049911173</v>
      </c>
      <c r="G29" s="254">
        <f>'HyARC Physical Property Data'!$I$6</f>
        <v>52.224661236371581</v>
      </c>
      <c r="H29" s="852">
        <v>12.42654028436019</v>
      </c>
      <c r="I29" s="852">
        <v>12.42654028436019</v>
      </c>
      <c r="J29" s="852">
        <v>12.42654028436019</v>
      </c>
      <c r="K29" s="852">
        <v>12.42654028436019</v>
      </c>
      <c r="L29" s="852">
        <v>12.42654028436019</v>
      </c>
      <c r="M29" s="852">
        <v>12.42654028436019</v>
      </c>
      <c r="N29" s="254">
        <f t="shared" ref="N29:AM29" si="106">13.11*($C$29/mmBTU_to_GJ)</f>
        <v>14.183617774696369</v>
      </c>
      <c r="O29" s="254">
        <f t="shared" si="106"/>
        <v>14.183617774696369</v>
      </c>
      <c r="P29" s="254">
        <f t="shared" si="106"/>
        <v>14.183617774696369</v>
      </c>
      <c r="Q29" s="254">
        <f t="shared" si="106"/>
        <v>14.183617774696369</v>
      </c>
      <c r="R29" s="254">
        <f t="shared" si="106"/>
        <v>14.183617774696369</v>
      </c>
      <c r="S29" s="254">
        <f t="shared" si="106"/>
        <v>14.183617774696369</v>
      </c>
      <c r="T29" s="254">
        <f t="shared" si="106"/>
        <v>14.183617774696369</v>
      </c>
      <c r="U29" s="254">
        <f t="shared" si="106"/>
        <v>14.183617774696369</v>
      </c>
      <c r="V29" s="254">
        <f t="shared" si="106"/>
        <v>14.183617774696369</v>
      </c>
      <c r="W29" s="254">
        <f t="shared" si="106"/>
        <v>14.183617774696369</v>
      </c>
      <c r="X29" s="254">
        <f t="shared" si="106"/>
        <v>14.183617774696369</v>
      </c>
      <c r="Y29" s="254">
        <f t="shared" si="106"/>
        <v>14.183617774696369</v>
      </c>
      <c r="Z29" s="254">
        <f t="shared" si="106"/>
        <v>14.183617774696369</v>
      </c>
      <c r="AA29" s="254">
        <f t="shared" si="106"/>
        <v>14.183617774696369</v>
      </c>
      <c r="AB29" s="254">
        <f t="shared" si="106"/>
        <v>14.183617774696369</v>
      </c>
      <c r="AC29" s="254">
        <f t="shared" si="106"/>
        <v>14.183617774696369</v>
      </c>
      <c r="AD29" s="254">
        <f t="shared" si="106"/>
        <v>14.183617774696369</v>
      </c>
      <c r="AE29" s="254">
        <f t="shared" si="106"/>
        <v>14.183617774696369</v>
      </c>
      <c r="AF29" s="254">
        <f t="shared" si="106"/>
        <v>14.183617774696369</v>
      </c>
      <c r="AG29" s="254">
        <f t="shared" si="106"/>
        <v>14.183617774696369</v>
      </c>
      <c r="AH29" s="254">
        <f t="shared" si="106"/>
        <v>14.183617774696369</v>
      </c>
      <c r="AI29" s="254">
        <f t="shared" si="106"/>
        <v>14.183617774696369</v>
      </c>
      <c r="AJ29" s="254">
        <f t="shared" si="106"/>
        <v>14.183617774696369</v>
      </c>
      <c r="AK29" s="254">
        <f t="shared" si="106"/>
        <v>14.183617774696369</v>
      </c>
      <c r="AL29" s="254">
        <f t="shared" si="106"/>
        <v>14.183617774696369</v>
      </c>
      <c r="AM29" s="254">
        <f t="shared" si="106"/>
        <v>14.183617774696369</v>
      </c>
      <c r="AN29" s="254">
        <f t="shared" ref="AN29:BV29" si="107">13.11*($C$29/mmBTU_to_GJ)</f>
        <v>14.183617774696369</v>
      </c>
      <c r="AO29" s="254">
        <f t="shared" si="107"/>
        <v>14.183617774696369</v>
      </c>
      <c r="AP29" s="254">
        <f t="shared" si="107"/>
        <v>14.183617774696369</v>
      </c>
      <c r="AQ29" s="254">
        <f t="shared" si="107"/>
        <v>14.183617774696369</v>
      </c>
      <c r="AR29" s="254">
        <f t="shared" si="107"/>
        <v>14.183617774696369</v>
      </c>
      <c r="AS29" s="254">
        <f t="shared" si="107"/>
        <v>14.183617774696369</v>
      </c>
      <c r="AT29" s="254">
        <f t="shared" si="107"/>
        <v>14.183617774696369</v>
      </c>
      <c r="AU29" s="254">
        <f t="shared" si="107"/>
        <v>14.183617774696369</v>
      </c>
      <c r="AV29" s="254">
        <f t="shared" si="107"/>
        <v>14.183617774696369</v>
      </c>
      <c r="AW29" s="254">
        <f t="shared" si="107"/>
        <v>14.183617774696369</v>
      </c>
      <c r="AX29" s="254">
        <f t="shared" si="107"/>
        <v>14.183617774696369</v>
      </c>
      <c r="AY29" s="254">
        <f t="shared" si="107"/>
        <v>14.183617774696369</v>
      </c>
      <c r="AZ29" s="254">
        <f t="shared" si="107"/>
        <v>14.183617774696369</v>
      </c>
      <c r="BA29" s="254">
        <f t="shared" si="107"/>
        <v>14.183617774696369</v>
      </c>
      <c r="BB29" s="254">
        <f t="shared" si="107"/>
        <v>14.183617774696369</v>
      </c>
      <c r="BC29" s="254">
        <f t="shared" si="107"/>
        <v>14.183617774696369</v>
      </c>
      <c r="BD29" s="254">
        <f t="shared" si="107"/>
        <v>14.183617774696369</v>
      </c>
      <c r="BE29" s="254">
        <f t="shared" si="107"/>
        <v>14.183617774696369</v>
      </c>
      <c r="BF29" s="254">
        <f t="shared" si="107"/>
        <v>14.183617774696369</v>
      </c>
      <c r="BG29" s="254">
        <f t="shared" si="107"/>
        <v>14.183617774696369</v>
      </c>
      <c r="BH29" s="254">
        <f t="shared" si="107"/>
        <v>14.183617774696369</v>
      </c>
      <c r="BI29" s="254">
        <f t="shared" si="107"/>
        <v>14.183617774696369</v>
      </c>
      <c r="BJ29" s="254">
        <f t="shared" si="107"/>
        <v>14.183617774696369</v>
      </c>
      <c r="BK29" s="254">
        <f t="shared" si="107"/>
        <v>14.183617774696369</v>
      </c>
      <c r="BL29" s="254">
        <f t="shared" si="107"/>
        <v>14.183617774696369</v>
      </c>
      <c r="BM29" s="254">
        <f t="shared" si="107"/>
        <v>14.183617774696369</v>
      </c>
      <c r="BN29" s="254">
        <f t="shared" si="107"/>
        <v>14.183617774696369</v>
      </c>
      <c r="BO29" s="254">
        <f t="shared" si="107"/>
        <v>14.183617774696369</v>
      </c>
      <c r="BP29" s="254">
        <f t="shared" si="107"/>
        <v>14.183617774696369</v>
      </c>
      <c r="BQ29" s="254">
        <f t="shared" si="107"/>
        <v>14.183617774696369</v>
      </c>
      <c r="BR29" s="254">
        <f t="shared" si="107"/>
        <v>14.183617774696369</v>
      </c>
      <c r="BS29" s="254">
        <f t="shared" si="107"/>
        <v>14.183617774696369</v>
      </c>
      <c r="BT29" s="254">
        <f t="shared" si="107"/>
        <v>14.183617774696369</v>
      </c>
      <c r="BU29" s="254">
        <f t="shared" si="107"/>
        <v>14.183617774696369</v>
      </c>
      <c r="BV29" s="254">
        <f t="shared" si="107"/>
        <v>14.183617774696369</v>
      </c>
      <c r="BW29" s="1077">
        <f>+BV29*BW$136/BV$136</f>
        <v>14.230711556264829</v>
      </c>
      <c r="BX29" s="1077">
        <f t="shared" ref="BX29:CZ29" si="108">+BW29*BX$136/BW$136</f>
        <v>14.277961703035571</v>
      </c>
      <c r="BY29" s="1077">
        <f t="shared" si="108"/>
        <v>14.325368734187041</v>
      </c>
      <c r="BZ29" s="1077">
        <f t="shared" si="108"/>
        <v>14.372933170621517</v>
      </c>
      <c r="CA29" s="1077">
        <f t="shared" si="108"/>
        <v>14.420655534970821</v>
      </c>
      <c r="CB29" s="1077">
        <f t="shared" si="108"/>
        <v>14.451428179067991</v>
      </c>
      <c r="CC29" s="1077">
        <f t="shared" si="108"/>
        <v>14.482266489779443</v>
      </c>
      <c r="CD29" s="1077">
        <f t="shared" si="108"/>
        <v>14.51317060723302</v>
      </c>
      <c r="CE29" s="1077">
        <f t="shared" si="108"/>
        <v>14.54414067185559</v>
      </c>
      <c r="CF29" s="1077">
        <f t="shared" si="108"/>
        <v>14.575176824373679</v>
      </c>
      <c r="CG29" s="1077">
        <f t="shared" si="108"/>
        <v>14.585254066221541</v>
      </c>
      <c r="CH29" s="1077">
        <f t="shared" si="108"/>
        <v>14.595338275449933</v>
      </c>
      <c r="CI29" s="1077">
        <f t="shared" si="108"/>
        <v>14.605429456876088</v>
      </c>
      <c r="CJ29" s="1077">
        <f t="shared" si="108"/>
        <v>14.615527615320566</v>
      </c>
      <c r="CK29" s="1077">
        <f t="shared" si="108"/>
        <v>14.625632755607262</v>
      </c>
      <c r="CL29" s="1077">
        <f t="shared" si="108"/>
        <v>14.629057949594106</v>
      </c>
      <c r="CM29" s="1077">
        <f t="shared" si="108"/>
        <v>14.632483945731124</v>
      </c>
      <c r="CN29" s="1077">
        <f t="shared" si="108"/>
        <v>14.635910744206171</v>
      </c>
      <c r="CO29" s="1077">
        <f t="shared" si="108"/>
        <v>14.639338345207147</v>
      </c>
      <c r="CP29" s="1077">
        <f t="shared" si="108"/>
        <v>14.642766748922</v>
      </c>
      <c r="CQ29" s="1077">
        <f t="shared" si="108"/>
        <v>14.647962823919764</v>
      </c>
      <c r="CR29" s="1077">
        <f t="shared" si="108"/>
        <v>14.6531607427764</v>
      </c>
      <c r="CS29" s="1077">
        <f t="shared" si="108"/>
        <v>14.658360506146211</v>
      </c>
      <c r="CT29" s="1077">
        <f t="shared" si="108"/>
        <v>14.663562114683737</v>
      </c>
      <c r="CU29" s="1077">
        <f t="shared" si="108"/>
        <v>14.668765569043746</v>
      </c>
      <c r="CV29" s="1077">
        <f t="shared" si="108"/>
        <v>14.676773707333766</v>
      </c>
      <c r="CW29" s="1077">
        <f t="shared" si="108"/>
        <v>14.68478621751715</v>
      </c>
      <c r="CX29" s="1077">
        <f t="shared" si="108"/>
        <v>14.692803101980653</v>
      </c>
      <c r="CY29" s="1077">
        <f t="shared" si="108"/>
        <v>14.700824363112332</v>
      </c>
      <c r="CZ29" s="1077">
        <f t="shared" si="108"/>
        <v>14.708850003301547</v>
      </c>
    </row>
    <row r="30" spans="1:104" x14ac:dyDescent="0.25">
      <c r="A30" s="806" t="str">
        <f>'HyARC Physical Property Data'!A85</f>
        <v>Woody Biomass</v>
      </c>
      <c r="B30" s="254">
        <v>2005</v>
      </c>
      <c r="C30" s="726">
        <f>VLOOKUP(ref_year,DeflatorTable,2,FALSE)/VLOOKUP(B30,DeflatorTable,2,FALSE)</f>
        <v>1.208440716126562</v>
      </c>
      <c r="D30" s="1030" t="str">
        <f>+'HyARC Physical Property Data'!$H$85</f>
        <v>kg</v>
      </c>
      <c r="E30" s="747" t="s">
        <v>1034</v>
      </c>
      <c r="F30" s="254">
        <f>'HyARC Physical Property Data'!$E$45</f>
        <v>19.551069237418005</v>
      </c>
      <c r="G30" s="254">
        <f>'HyARC Physical Property Data'!$I$45</f>
        <v>20.588656379262464</v>
      </c>
      <c r="H30" s="853">
        <v>1.3438238843289665</v>
      </c>
      <c r="I30" s="853">
        <v>1.3438238843289665</v>
      </c>
      <c r="J30" s="853">
        <v>1.3438238843289665</v>
      </c>
      <c r="K30" s="853">
        <v>1.3438238843289665</v>
      </c>
      <c r="L30" s="853">
        <v>1.3438238843289665</v>
      </c>
      <c r="M30" s="853">
        <v>1.3438238843289665</v>
      </c>
      <c r="N30" s="807">
        <f>1.27*($C$30)</f>
        <v>1.5347197094807337</v>
      </c>
      <c r="O30" s="807">
        <f>1.27*($C$30)</f>
        <v>1.5347197094807337</v>
      </c>
      <c r="P30" s="807">
        <f>1.28*($C$30)</f>
        <v>1.5468041166419995</v>
      </c>
      <c r="Q30" s="807">
        <f>1.32*($C$30)</f>
        <v>1.595141745287062</v>
      </c>
      <c r="R30" s="807">
        <f>1.32*($C$30)</f>
        <v>1.595141745287062</v>
      </c>
      <c r="S30" s="807">
        <f>1.34*($C$30)</f>
        <v>1.6193105596095931</v>
      </c>
      <c r="T30" s="807">
        <f>1.34*($C$30)</f>
        <v>1.6193105596095931</v>
      </c>
      <c r="U30" s="807">
        <f>1.36*($C$30)</f>
        <v>1.6434793739321245</v>
      </c>
      <c r="V30" s="807">
        <f>1.36*($C$30)</f>
        <v>1.6434793739321245</v>
      </c>
      <c r="W30" s="807">
        <f>1.38*($C$30)</f>
        <v>1.6676481882546554</v>
      </c>
      <c r="X30" s="807">
        <f>1.4*($C$30)</f>
        <v>1.6918170025771868</v>
      </c>
      <c r="Y30" s="807">
        <f>1.46*($C$30)</f>
        <v>1.7643234455447805</v>
      </c>
      <c r="Z30" s="807">
        <f>1.48*($C$30)</f>
        <v>1.7884922598673119</v>
      </c>
      <c r="AA30" s="807">
        <f>1.48*($C$30)</f>
        <v>1.7884922598673119</v>
      </c>
      <c r="AB30" s="807">
        <f>1.51*($C$30)</f>
        <v>1.8247454813511086</v>
      </c>
      <c r="AC30" s="807">
        <f>1.52*($C$30)</f>
        <v>1.8368298885123742</v>
      </c>
      <c r="AD30" s="807">
        <f>1.62*($C$30)</f>
        <v>1.9576739601250306</v>
      </c>
      <c r="AE30" s="807">
        <f>1.72*($C$30)</f>
        <v>2.0785180317376866</v>
      </c>
      <c r="AF30" s="807">
        <f>1.82*($C$30)</f>
        <v>2.1993621033503428</v>
      </c>
      <c r="AG30" s="807">
        <f>1.91*($C$30)</f>
        <v>2.3081217678017332</v>
      </c>
      <c r="AH30" s="807">
        <f>2.01*($C$30)</f>
        <v>2.4289658394143894</v>
      </c>
      <c r="AI30" s="807">
        <f>2.11*($C$30)</f>
        <v>2.5498099110270456</v>
      </c>
      <c r="AJ30" s="807">
        <f>2.2*($C$30)</f>
        <v>2.6585695754784364</v>
      </c>
      <c r="AK30" s="807">
        <f>2.3*($C$30)</f>
        <v>2.7794136470910926</v>
      </c>
      <c r="AL30" s="807">
        <f>2.4*($C$30)</f>
        <v>2.9002577187037488</v>
      </c>
      <c r="AM30" s="807">
        <f>2.5*($C$30)</f>
        <v>3.021101790316405</v>
      </c>
      <c r="AN30" s="807">
        <f>2.57*($C$30)</f>
        <v>3.1056926404452643</v>
      </c>
      <c r="AO30" s="807">
        <f>2.64*($C$30)</f>
        <v>3.190283490574124</v>
      </c>
      <c r="AP30" s="807">
        <f>2.71*($C$30)</f>
        <v>3.2748743407029832</v>
      </c>
      <c r="AQ30" s="807">
        <f>2.78*($C$30)</f>
        <v>3.359465190831842</v>
      </c>
      <c r="AR30" s="807">
        <f>2.85*($C$30)</f>
        <v>3.4440560409607017</v>
      </c>
      <c r="AS30" s="807">
        <f>2.92*($C$30)</f>
        <v>3.528646891089561</v>
      </c>
      <c r="AT30" s="807">
        <f>2.99*($C$30)</f>
        <v>3.6132377412184207</v>
      </c>
      <c r="AU30" s="807">
        <f>3.07*($C$30)</f>
        <v>3.7099129985085453</v>
      </c>
      <c r="AV30" s="807">
        <f>3.14*($C$30)</f>
        <v>3.794503848637405</v>
      </c>
      <c r="AW30" s="807">
        <f>3.21*($C$30)</f>
        <v>3.8790946987662642</v>
      </c>
      <c r="AX30" s="807">
        <f>3.28*($C$30)</f>
        <v>3.963685548895123</v>
      </c>
      <c r="AY30" s="807">
        <f>3.35*($C$30)</f>
        <v>4.0482763990239832</v>
      </c>
      <c r="AZ30" s="807">
        <f>3.42*($C$30)</f>
        <v>4.1328672491528424</v>
      </c>
      <c r="BA30" s="807">
        <f>3.49*($C$30)</f>
        <v>4.2174580992817017</v>
      </c>
      <c r="BB30" s="807">
        <f>3.56*($C$30)</f>
        <v>4.3020489494105609</v>
      </c>
      <c r="BC30" s="807">
        <f>3.64*($C$30)</f>
        <v>4.3987242067006855</v>
      </c>
      <c r="BD30" s="807">
        <f>3.71*($C$30)</f>
        <v>4.4833150568295448</v>
      </c>
      <c r="BE30" s="807">
        <f>3.78*($C$30)</f>
        <v>4.567905906958404</v>
      </c>
      <c r="BF30" s="807">
        <f>3.85*($C$30)</f>
        <v>4.6524967570872642</v>
      </c>
      <c r="BG30" s="807">
        <f>3.92*($C$30)</f>
        <v>4.7370876072161234</v>
      </c>
      <c r="BH30" s="807">
        <f>3.99*($C$30)</f>
        <v>4.8216784573449827</v>
      </c>
      <c r="BI30" s="807">
        <f>4.06*($C$30)</f>
        <v>4.906269307473841</v>
      </c>
      <c r="BJ30" s="807">
        <f>4.14*($C$30)</f>
        <v>5.0029445647639665</v>
      </c>
      <c r="BK30" s="807">
        <f>4.21*($C$30)</f>
        <v>5.0875354148928258</v>
      </c>
      <c r="BL30" s="807">
        <f>4.28*($C$30)</f>
        <v>5.1721262650216859</v>
      </c>
      <c r="BM30" s="807">
        <f>4.35*($C$30)</f>
        <v>5.2567171151505443</v>
      </c>
      <c r="BN30" s="807">
        <f>4.42*($C$30)</f>
        <v>5.3413079652794044</v>
      </c>
      <c r="BO30" s="807">
        <f>4.49*($C$30)</f>
        <v>5.4258988154082637</v>
      </c>
      <c r="BP30" s="807">
        <f>4.56*($C$30)</f>
        <v>5.5104896655371221</v>
      </c>
      <c r="BQ30" s="807">
        <f>4.63*($C$30)</f>
        <v>5.5950805156659822</v>
      </c>
      <c r="BR30" s="807">
        <f>4.71*($C$30)</f>
        <v>5.6917557729561068</v>
      </c>
      <c r="BS30" s="807">
        <f>4.78*($C$30)</f>
        <v>5.7763466230849669</v>
      </c>
      <c r="BT30" s="807">
        <f>4.85*($C$30)</f>
        <v>5.8609374732138253</v>
      </c>
      <c r="BU30" s="807">
        <f>4.92*($C$30)</f>
        <v>5.9455283233426854</v>
      </c>
      <c r="BV30" s="808">
        <f>4.99*($C$30)</f>
        <v>6.0301191734715447</v>
      </c>
      <c r="BW30" s="1077">
        <f>+BV30*BW$138/BV$138</f>
        <v>6.0446132076616896</v>
      </c>
      <c r="BX30" s="1077">
        <f t="shared" ref="BX30:CZ30" si="109">+BW30*BX$138/BW$138</f>
        <v>6.0591420798079438</v>
      </c>
      <c r="BY30" s="1077">
        <f t="shared" si="109"/>
        <v>6.0737058736470511</v>
      </c>
      <c r="BZ30" s="1077">
        <f t="shared" si="109"/>
        <v>6.0883046731170198</v>
      </c>
      <c r="CA30" s="1077">
        <f t="shared" si="109"/>
        <v>6.1029385623576156</v>
      </c>
      <c r="CB30" s="1077">
        <f t="shared" si="109"/>
        <v>6.1157485681116217</v>
      </c>
      <c r="CC30" s="1077">
        <f t="shared" si="109"/>
        <v>6.1285854619369617</v>
      </c>
      <c r="CD30" s="1077">
        <f t="shared" si="109"/>
        <v>6.1414493002714252</v>
      </c>
      <c r="CE30" s="1077">
        <f t="shared" si="109"/>
        <v>6.1543401396712598</v>
      </c>
      <c r="CF30" s="1077">
        <f t="shared" si="109"/>
        <v>6.167258036811428</v>
      </c>
      <c r="CG30" s="1077">
        <f t="shared" si="109"/>
        <v>6.183149548139812</v>
      </c>
      <c r="CH30" s="1077">
        <f t="shared" si="109"/>
        <v>6.1990820079952069</v>
      </c>
      <c r="CI30" s="1077">
        <f t="shared" si="109"/>
        <v>6.215055521891923</v>
      </c>
      <c r="CJ30" s="1077">
        <f t="shared" si="109"/>
        <v>6.2310701956161552</v>
      </c>
      <c r="CK30" s="1077">
        <f t="shared" si="109"/>
        <v>6.2471261352266838</v>
      </c>
      <c r="CL30" s="1077">
        <f t="shared" si="109"/>
        <v>6.2604975997429575</v>
      </c>
      <c r="CM30" s="1077">
        <f t="shared" si="109"/>
        <v>6.2738976847896071</v>
      </c>
      <c r="CN30" s="1077">
        <f t="shared" si="109"/>
        <v>6.2873264516265444</v>
      </c>
      <c r="CO30" s="1077">
        <f t="shared" si="109"/>
        <v>6.3007839616448056</v>
      </c>
      <c r="CP30" s="1077">
        <f t="shared" si="109"/>
        <v>6.3142702763668277</v>
      </c>
      <c r="CQ30" s="1077">
        <f t="shared" si="109"/>
        <v>6.326614172551615</v>
      </c>
      <c r="CR30" s="1077">
        <f t="shared" si="109"/>
        <v>6.3389822000716718</v>
      </c>
      <c r="CS30" s="1077">
        <f t="shared" si="109"/>
        <v>6.3513744061018391</v>
      </c>
      <c r="CT30" s="1077">
        <f t="shared" si="109"/>
        <v>6.3637908379091801</v>
      </c>
      <c r="CU30" s="1077">
        <f t="shared" si="109"/>
        <v>6.376231542853164</v>
      </c>
      <c r="CV30" s="1077">
        <f t="shared" si="109"/>
        <v>6.3909193633613004</v>
      </c>
      <c r="CW30" s="1077">
        <f t="shared" si="109"/>
        <v>6.4056410176582252</v>
      </c>
      <c r="CX30" s="1077">
        <f t="shared" si="109"/>
        <v>6.4203965836809767</v>
      </c>
      <c r="CY30" s="1077">
        <f t="shared" si="109"/>
        <v>6.4351861395461265</v>
      </c>
      <c r="CZ30" s="1077">
        <f t="shared" si="109"/>
        <v>6.450009763550189</v>
      </c>
    </row>
    <row r="31" spans="1:104" x14ac:dyDescent="0.25">
      <c r="A31" s="806" t="str">
        <f>'HyARC Physical Property Data'!$A$87</f>
        <v>Woody Biomass MYPP</v>
      </c>
      <c r="B31" s="254">
        <v>2007</v>
      </c>
      <c r="C31" s="726">
        <f>VLOOKUP(ref_year,DeflatorTable,2,FALSE)/VLOOKUP(B31,DeflatorTable,2,FALSE)</f>
        <v>1.1413971588333081</v>
      </c>
      <c r="D31" s="1030" t="str">
        <f>+'HyARC Physical Property Data'!$H$87</f>
        <v>kg</v>
      </c>
      <c r="E31" s="747" t="s">
        <v>1034</v>
      </c>
      <c r="F31" s="254">
        <v>18.608000000000001</v>
      </c>
      <c r="G31" s="254"/>
      <c r="H31" s="852">
        <v>4.4443250214961303</v>
      </c>
      <c r="I31" s="852">
        <v>4.4443250214961303</v>
      </c>
      <c r="J31" s="852">
        <v>4.4443250214961303</v>
      </c>
      <c r="K31" s="852">
        <v>4.4443250214961303</v>
      </c>
      <c r="L31" s="852">
        <v>4.4443250214961303</v>
      </c>
      <c r="M31" s="852">
        <v>4.4443250214961303</v>
      </c>
      <c r="N31" s="254">
        <f>4.44432502149613*$C$31</f>
        <v>5.0727399524674635</v>
      </c>
      <c r="O31" s="807">
        <f t="shared" ref="O31:T31" si="110">N31-($N$31-$U$31)/7</f>
        <v>4.9524277749801975</v>
      </c>
      <c r="P31" s="807">
        <f t="shared" si="110"/>
        <v>4.8321155974929315</v>
      </c>
      <c r="Q31" s="807">
        <f t="shared" si="110"/>
        <v>4.7118034200056655</v>
      </c>
      <c r="R31" s="807">
        <f t="shared" si="110"/>
        <v>4.5914912425183996</v>
      </c>
      <c r="S31" s="807">
        <f t="shared" si="110"/>
        <v>4.4711790650311336</v>
      </c>
      <c r="T31" s="807">
        <f t="shared" si="110"/>
        <v>4.3508668875438676</v>
      </c>
      <c r="U31" s="807">
        <f>3.70647033533964*$C$31</f>
        <v>4.2305547100566034</v>
      </c>
      <c r="V31" s="807">
        <f t="shared" ref="V31:BV31" si="111">3.70647033533964*$C$31</f>
        <v>4.2305547100566034</v>
      </c>
      <c r="W31" s="807">
        <f t="shared" si="111"/>
        <v>4.2305547100566034</v>
      </c>
      <c r="X31" s="807">
        <f t="shared" si="111"/>
        <v>4.2305547100566034</v>
      </c>
      <c r="Y31" s="807">
        <f t="shared" si="111"/>
        <v>4.2305547100566034</v>
      </c>
      <c r="Z31" s="807">
        <f t="shared" si="111"/>
        <v>4.2305547100566034</v>
      </c>
      <c r="AA31" s="807">
        <f t="shared" si="111"/>
        <v>4.2305547100566034</v>
      </c>
      <c r="AB31" s="807">
        <f t="shared" si="111"/>
        <v>4.2305547100566034</v>
      </c>
      <c r="AC31" s="807">
        <f t="shared" si="111"/>
        <v>4.2305547100566034</v>
      </c>
      <c r="AD31" s="807">
        <f t="shared" si="111"/>
        <v>4.2305547100566034</v>
      </c>
      <c r="AE31" s="807">
        <f t="shared" si="111"/>
        <v>4.2305547100566034</v>
      </c>
      <c r="AF31" s="807">
        <f t="shared" si="111"/>
        <v>4.2305547100566034</v>
      </c>
      <c r="AG31" s="807">
        <f t="shared" si="111"/>
        <v>4.2305547100566034</v>
      </c>
      <c r="AH31" s="807">
        <f t="shared" si="111"/>
        <v>4.2305547100566034</v>
      </c>
      <c r="AI31" s="807">
        <f t="shared" si="111"/>
        <v>4.2305547100566034</v>
      </c>
      <c r="AJ31" s="807">
        <f t="shared" si="111"/>
        <v>4.2305547100566034</v>
      </c>
      <c r="AK31" s="807">
        <f t="shared" si="111"/>
        <v>4.2305547100566034</v>
      </c>
      <c r="AL31" s="807">
        <f t="shared" si="111"/>
        <v>4.2305547100566034</v>
      </c>
      <c r="AM31" s="807">
        <f t="shared" si="111"/>
        <v>4.2305547100566034</v>
      </c>
      <c r="AN31" s="807">
        <f t="shared" si="111"/>
        <v>4.2305547100566034</v>
      </c>
      <c r="AO31" s="807">
        <f t="shared" si="111"/>
        <v>4.2305547100566034</v>
      </c>
      <c r="AP31" s="807">
        <f t="shared" si="111"/>
        <v>4.2305547100566034</v>
      </c>
      <c r="AQ31" s="807">
        <f t="shared" si="111"/>
        <v>4.2305547100566034</v>
      </c>
      <c r="AR31" s="807">
        <f t="shared" si="111"/>
        <v>4.2305547100566034</v>
      </c>
      <c r="AS31" s="807">
        <f t="shared" si="111"/>
        <v>4.2305547100566034</v>
      </c>
      <c r="AT31" s="807">
        <f t="shared" si="111"/>
        <v>4.2305547100566034</v>
      </c>
      <c r="AU31" s="807">
        <f t="shared" si="111"/>
        <v>4.2305547100566034</v>
      </c>
      <c r="AV31" s="807">
        <f t="shared" si="111"/>
        <v>4.2305547100566034</v>
      </c>
      <c r="AW31" s="807">
        <f t="shared" si="111"/>
        <v>4.2305547100566034</v>
      </c>
      <c r="AX31" s="807">
        <f t="shared" si="111"/>
        <v>4.2305547100566034</v>
      </c>
      <c r="AY31" s="807">
        <f t="shared" si="111"/>
        <v>4.2305547100566034</v>
      </c>
      <c r="AZ31" s="807">
        <f t="shared" si="111"/>
        <v>4.2305547100566034</v>
      </c>
      <c r="BA31" s="807">
        <f t="shared" si="111"/>
        <v>4.2305547100566034</v>
      </c>
      <c r="BB31" s="807">
        <f t="shared" si="111"/>
        <v>4.2305547100566034</v>
      </c>
      <c r="BC31" s="807">
        <f t="shared" si="111"/>
        <v>4.2305547100566034</v>
      </c>
      <c r="BD31" s="807">
        <f t="shared" si="111"/>
        <v>4.2305547100566034</v>
      </c>
      <c r="BE31" s="807">
        <f t="shared" si="111"/>
        <v>4.2305547100566034</v>
      </c>
      <c r="BF31" s="807">
        <f t="shared" si="111"/>
        <v>4.2305547100566034</v>
      </c>
      <c r="BG31" s="807">
        <f t="shared" si="111"/>
        <v>4.2305547100566034</v>
      </c>
      <c r="BH31" s="807">
        <f t="shared" si="111"/>
        <v>4.2305547100566034</v>
      </c>
      <c r="BI31" s="807">
        <f t="shared" si="111"/>
        <v>4.2305547100566034</v>
      </c>
      <c r="BJ31" s="807">
        <f t="shared" si="111"/>
        <v>4.2305547100566034</v>
      </c>
      <c r="BK31" s="807">
        <f t="shared" si="111"/>
        <v>4.2305547100566034</v>
      </c>
      <c r="BL31" s="807">
        <f t="shared" si="111"/>
        <v>4.2305547100566034</v>
      </c>
      <c r="BM31" s="807">
        <f t="shared" si="111"/>
        <v>4.2305547100566034</v>
      </c>
      <c r="BN31" s="807">
        <f t="shared" si="111"/>
        <v>4.2305547100566034</v>
      </c>
      <c r="BO31" s="807">
        <f t="shared" si="111"/>
        <v>4.2305547100566034</v>
      </c>
      <c r="BP31" s="807">
        <f t="shared" si="111"/>
        <v>4.2305547100566034</v>
      </c>
      <c r="BQ31" s="807">
        <f t="shared" si="111"/>
        <v>4.2305547100566034</v>
      </c>
      <c r="BR31" s="807">
        <f t="shared" si="111"/>
        <v>4.2305547100566034</v>
      </c>
      <c r="BS31" s="807">
        <f t="shared" si="111"/>
        <v>4.2305547100566034</v>
      </c>
      <c r="BT31" s="807">
        <f t="shared" si="111"/>
        <v>4.2305547100566034</v>
      </c>
      <c r="BU31" s="807">
        <f t="shared" si="111"/>
        <v>4.2305547100566034</v>
      </c>
      <c r="BV31" s="807">
        <f t="shared" si="111"/>
        <v>4.2305547100566034</v>
      </c>
      <c r="BW31" s="1077">
        <f>+BV31*BW$138/BV$138</f>
        <v>4.2407232992414734</v>
      </c>
      <c r="BX31" s="1077">
        <f t="shared" ref="BX31:CZ31" si="112">+BW31*BX$138/BW$138</f>
        <v>4.2509163297143298</v>
      </c>
      <c r="BY31" s="1077">
        <f t="shared" si="112"/>
        <v>4.2611338602224134</v>
      </c>
      <c r="BZ31" s="1077">
        <f t="shared" si="112"/>
        <v>4.2713759496541703</v>
      </c>
      <c r="CA31" s="1077">
        <f t="shared" si="112"/>
        <v>4.2816426570395922</v>
      </c>
      <c r="CB31" s="1077">
        <f t="shared" si="112"/>
        <v>4.2906297812770164</v>
      </c>
      <c r="CC31" s="1077">
        <f t="shared" si="112"/>
        <v>4.2996357693964899</v>
      </c>
      <c r="CD31" s="1077">
        <f t="shared" si="112"/>
        <v>4.3086606609931088</v>
      </c>
      <c r="CE31" s="1077">
        <f t="shared" si="112"/>
        <v>4.3177044957450779</v>
      </c>
      <c r="CF31" s="1077">
        <f t="shared" si="112"/>
        <v>4.3267673134138871</v>
      </c>
      <c r="CG31" s="1077">
        <f t="shared" si="112"/>
        <v>4.3379163315619822</v>
      </c>
      <c r="CH31" s="1077">
        <f t="shared" si="112"/>
        <v>4.3490940779953462</v>
      </c>
      <c r="CI31" s="1077">
        <f t="shared" si="112"/>
        <v>4.3603006267397229</v>
      </c>
      <c r="CJ31" s="1077">
        <f t="shared" si="112"/>
        <v>4.3715360520116029</v>
      </c>
      <c r="CK31" s="1077">
        <f t="shared" si="112"/>
        <v>4.3828004282187161</v>
      </c>
      <c r="CL31" s="1077">
        <f t="shared" si="112"/>
        <v>4.3921814554525627</v>
      </c>
      <c r="CM31" s="1077">
        <f t="shared" si="112"/>
        <v>4.4015825620108968</v>
      </c>
      <c r="CN31" s="1077">
        <f t="shared" si="112"/>
        <v>4.4110037908718764</v>
      </c>
      <c r="CO31" s="1077">
        <f t="shared" si="112"/>
        <v>4.4204451851056508</v>
      </c>
      <c r="CP31" s="1077">
        <f t="shared" si="112"/>
        <v>4.4299067878745575</v>
      </c>
      <c r="CQ31" s="1077">
        <f t="shared" si="112"/>
        <v>4.4385669033121991</v>
      </c>
      <c r="CR31" s="1077">
        <f t="shared" si="112"/>
        <v>4.4472439485867392</v>
      </c>
      <c r="CS31" s="1077">
        <f t="shared" si="112"/>
        <v>4.4559379567946618</v>
      </c>
      <c r="CT31" s="1077">
        <f t="shared" si="112"/>
        <v>4.4646489610971525</v>
      </c>
      <c r="CU31" s="1077">
        <f t="shared" si="112"/>
        <v>4.4733769947202253</v>
      </c>
      <c r="CV31" s="1077">
        <f t="shared" si="112"/>
        <v>4.4836815387008029</v>
      </c>
      <c r="CW31" s="1077">
        <f t="shared" si="112"/>
        <v>4.494009819475032</v>
      </c>
      <c r="CX31" s="1077">
        <f t="shared" si="112"/>
        <v>4.5043618917212536</v>
      </c>
      <c r="CY31" s="1077">
        <f t="shared" si="112"/>
        <v>4.5147378102437621</v>
      </c>
      <c r="CZ31" s="1077">
        <f t="shared" si="112"/>
        <v>4.525137629973095</v>
      </c>
    </row>
    <row r="32" spans="1:104" x14ac:dyDescent="0.25">
      <c r="A32" s="812" t="str">
        <f>'HyARC Physical Property Data'!A79</f>
        <v>Electric Utility Steam Coal</v>
      </c>
      <c r="B32" s="254">
        <v>2011</v>
      </c>
      <c r="C32" s="726">
        <f>VLOOKUP(ref_year,DeflatorTable,2,FALSE)/VLOOKUP(B32,DeflatorTable,2,FALSE)</f>
        <v>1.0771767810026385</v>
      </c>
      <c r="D32" s="1030" t="str">
        <f>+'HyARC Physical Property Data'!$H$79</f>
        <v>kg</v>
      </c>
      <c r="E32" s="747" t="s">
        <v>1034</v>
      </c>
      <c r="F32" s="254">
        <f>'HyARC Physical Property Data'!E42</f>
        <v>22.7322030001394</v>
      </c>
      <c r="G32" s="254">
        <f>'HyARC Physical Property Data'!I42</f>
        <v>23.967615189707661</v>
      </c>
      <c r="H32" s="852">
        <v>1.7344499599167666</v>
      </c>
      <c r="I32" s="852">
        <v>1.7344499599167666</v>
      </c>
      <c r="J32" s="852">
        <v>1.7344499599167666</v>
      </c>
      <c r="K32" s="852">
        <v>1.7788973636542149</v>
      </c>
      <c r="L32" s="852">
        <v>1.9298772179141501</v>
      </c>
      <c r="M32" s="852">
        <v>1.9810774561110811</v>
      </c>
      <c r="N32" s="254">
        <f t="shared" ref="N32:AR32" si="113">N50*($C32/mmBTU_to_GJ*$G32/$F32)</f>
        <v>2.4738067312648084</v>
      </c>
      <c r="O32" s="254">
        <f t="shared" si="113"/>
        <v>2.562092342657099</v>
      </c>
      <c r="P32" s="254">
        <f t="shared" si="113"/>
        <v>2.5893000409210973</v>
      </c>
      <c r="Q32" s="254">
        <f t="shared" si="113"/>
        <v>2.5157066296517416</v>
      </c>
      <c r="R32" s="254">
        <f t="shared" si="113"/>
        <v>2.5782561311129801</v>
      </c>
      <c r="S32" s="254">
        <f t="shared" si="113"/>
        <v>2.5794316793643168</v>
      </c>
      <c r="T32" s="254">
        <f t="shared" si="113"/>
        <v>2.6463884102586808</v>
      </c>
      <c r="U32" s="254">
        <f t="shared" si="113"/>
        <v>2.6614358584795466</v>
      </c>
      <c r="V32" s="254">
        <f t="shared" si="113"/>
        <v>2.6700253268837741</v>
      </c>
      <c r="W32" s="254">
        <f t="shared" si="113"/>
        <v>2.6738598533226581</v>
      </c>
      <c r="X32" s="254">
        <f t="shared" si="113"/>
        <v>2.7085589804154591</v>
      </c>
      <c r="Y32" s="254">
        <f t="shared" si="113"/>
        <v>2.7412837892912716</v>
      </c>
      <c r="Z32" s="254">
        <f t="shared" si="113"/>
        <v>2.7897299412646319</v>
      </c>
      <c r="AA32" s="254">
        <f t="shared" si="113"/>
        <v>2.829150638531758</v>
      </c>
      <c r="AB32" s="254">
        <f t="shared" si="113"/>
        <v>2.8628658360442274</v>
      </c>
      <c r="AC32" s="254">
        <f t="shared" si="113"/>
        <v>2.8975789577590683</v>
      </c>
      <c r="AD32" s="254">
        <f t="shared" si="113"/>
        <v>2.9373430615208616</v>
      </c>
      <c r="AE32" s="254">
        <f t="shared" si="113"/>
        <v>2.9731875946021442</v>
      </c>
      <c r="AF32" s="254">
        <f t="shared" si="113"/>
        <v>3.0056045217930829</v>
      </c>
      <c r="AG32" s="254">
        <f t="shared" si="113"/>
        <v>3.0446516703026871</v>
      </c>
      <c r="AH32" s="254">
        <f t="shared" si="113"/>
        <v>3.0864493002977911</v>
      </c>
      <c r="AI32" s="254">
        <f t="shared" si="113"/>
        <v>3.1186476960830318</v>
      </c>
      <c r="AJ32" s="254">
        <f t="shared" si="113"/>
        <v>3.1475444375762862</v>
      </c>
      <c r="AK32" s="254">
        <f t="shared" si="113"/>
        <v>3.18024986928312</v>
      </c>
      <c r="AL32" s="254">
        <f t="shared" si="113"/>
        <v>3.2161686815121526</v>
      </c>
      <c r="AM32" s="254">
        <f t="shared" si="113"/>
        <v>3.2620441290677542</v>
      </c>
      <c r="AN32" s="254">
        <f t="shared" si="113"/>
        <v>3.3016661335903748</v>
      </c>
      <c r="AO32" s="254">
        <f t="shared" si="113"/>
        <v>3.3385419626650465</v>
      </c>
      <c r="AP32" s="254">
        <f t="shared" si="113"/>
        <v>3.3748515478018035</v>
      </c>
      <c r="AQ32" s="254">
        <f t="shared" si="113"/>
        <v>3.4125282998609028</v>
      </c>
      <c r="AR32" s="254">
        <f t="shared" si="113"/>
        <v>3.4464921710419247</v>
      </c>
      <c r="AS32" s="254">
        <f t="shared" ref="AS32:BA32" si="114">($BB32-$AR32)/10+AR32</f>
        <v>3.4437798221078069</v>
      </c>
      <c r="AT32" s="254">
        <f t="shared" si="114"/>
        <v>3.441067473173689</v>
      </c>
      <c r="AU32" s="254">
        <f t="shared" si="114"/>
        <v>3.4383551242395711</v>
      </c>
      <c r="AV32" s="254">
        <f t="shared" si="114"/>
        <v>3.4356427753054533</v>
      </c>
      <c r="AW32" s="254">
        <f t="shared" si="114"/>
        <v>3.4329304263713354</v>
      </c>
      <c r="AX32" s="254">
        <f t="shared" si="114"/>
        <v>3.4302180774372175</v>
      </c>
      <c r="AY32" s="254">
        <f t="shared" si="114"/>
        <v>3.4275057285030996</v>
      </c>
      <c r="AZ32" s="254">
        <f t="shared" si="114"/>
        <v>3.4247933795689818</v>
      </c>
      <c r="BA32" s="254">
        <f t="shared" si="114"/>
        <v>3.4220810306348639</v>
      </c>
      <c r="BB32" s="781">
        <f>('AEO Data'!$B$28*AM32)</f>
        <v>3.4193686817007474</v>
      </c>
      <c r="BC32" s="254">
        <f>(($BQ$32-$BB$32)/15+BB32)</f>
        <v>3.4313687390140855</v>
      </c>
      <c r="BD32" s="254">
        <f t="shared" ref="BD32:BP32" si="115">(($BQ$32-$BB$32)/15+BC32)</f>
        <v>3.4433687963274235</v>
      </c>
      <c r="BE32" s="254">
        <f t="shared" si="115"/>
        <v>3.4553688536407616</v>
      </c>
      <c r="BF32" s="254">
        <f t="shared" si="115"/>
        <v>3.4673689109540997</v>
      </c>
      <c r="BG32" s="254">
        <f t="shared" si="115"/>
        <v>3.4793689682674378</v>
      </c>
      <c r="BH32" s="254">
        <f t="shared" si="115"/>
        <v>3.4913690255807759</v>
      </c>
      <c r="BI32" s="254">
        <f t="shared" si="115"/>
        <v>3.503369082894114</v>
      </c>
      <c r="BJ32" s="254">
        <f t="shared" si="115"/>
        <v>3.5153691402074521</v>
      </c>
      <c r="BK32" s="254">
        <f t="shared" si="115"/>
        <v>3.5273691975207901</v>
      </c>
      <c r="BL32" s="254">
        <f t="shared" si="115"/>
        <v>3.5393692548341282</v>
      </c>
      <c r="BM32" s="254">
        <f t="shared" si="115"/>
        <v>3.5513693121474663</v>
      </c>
      <c r="BN32" s="254">
        <f t="shared" si="115"/>
        <v>3.5633693694608044</v>
      </c>
      <c r="BO32" s="254">
        <f t="shared" si="115"/>
        <v>3.5753694267741425</v>
      </c>
      <c r="BP32" s="254">
        <f t="shared" si="115"/>
        <v>3.5873694840874806</v>
      </c>
      <c r="BQ32" s="781">
        <f>('AEO Data'!$C$28*BB32)</f>
        <v>3.5993695414008169</v>
      </c>
      <c r="BR32" s="254">
        <f>(($BV$32-$BQ$32)/5+BQ32)</f>
        <v>3.6109087635521795</v>
      </c>
      <c r="BS32" s="254">
        <f>(($BV$32-$BQ$32)/5+BR32)</f>
        <v>3.6224479857035421</v>
      </c>
      <c r="BT32" s="254">
        <f>(($BV$32-$BQ$32)/5+BS32)</f>
        <v>3.6339872078549047</v>
      </c>
      <c r="BU32" s="254">
        <f>(($BV$32-$BQ$32)/5+BT32)</f>
        <v>3.6455264300062673</v>
      </c>
      <c r="BV32" s="805">
        <f>('AEO Data'!$D$28*BQ32)</f>
        <v>3.657065652157629</v>
      </c>
      <c r="BW32" s="1077">
        <f>+BV32*BW$139/BV$139</f>
        <v>3.6694300274580169</v>
      </c>
      <c r="BX32" s="1077">
        <f t="shared" ref="BX32:CZ32" si="116">+BW32*BX$139/BW$139</f>
        <v>3.6818362061579366</v>
      </c>
      <c r="BY32" s="1077">
        <f t="shared" si="116"/>
        <v>3.6942843295928096</v>
      </c>
      <c r="BZ32" s="1077">
        <f t="shared" si="116"/>
        <v>3.7067745395759086</v>
      </c>
      <c r="CA32" s="1077">
        <f t="shared" si="116"/>
        <v>3.7193069783999695</v>
      </c>
      <c r="CB32" s="1077">
        <f t="shared" si="116"/>
        <v>3.7299559382094629</v>
      </c>
      <c r="CC32" s="1077">
        <f t="shared" si="116"/>
        <v>3.7406353876627754</v>
      </c>
      <c r="CD32" s="1077">
        <f t="shared" si="116"/>
        <v>3.7513454140565434</v>
      </c>
      <c r="CE32" s="1077">
        <f t="shared" si="116"/>
        <v>3.7620861049373482</v>
      </c>
      <c r="CF32" s="1077">
        <f t="shared" si="116"/>
        <v>3.7728575481024307</v>
      </c>
      <c r="CG32" s="1077">
        <f t="shared" si="116"/>
        <v>3.7810815561772397</v>
      </c>
      <c r="CH32" s="1077">
        <f t="shared" si="116"/>
        <v>3.7893234907992221</v>
      </c>
      <c r="CI32" s="1077">
        <f t="shared" si="116"/>
        <v>3.7975833910443488</v>
      </c>
      <c r="CJ32" s="1077">
        <f t="shared" si="116"/>
        <v>3.8058612960737661</v>
      </c>
      <c r="CK32" s="1077">
        <f t="shared" si="116"/>
        <v>3.8141572451339845</v>
      </c>
      <c r="CL32" s="1077">
        <f t="shared" si="116"/>
        <v>3.8197812068711383</v>
      </c>
      <c r="CM32" s="1077">
        <f t="shared" si="116"/>
        <v>3.8254134611205277</v>
      </c>
      <c r="CN32" s="1077">
        <f t="shared" si="116"/>
        <v>3.8310540201094327</v>
      </c>
      <c r="CO32" s="1077">
        <f t="shared" si="116"/>
        <v>3.8367028960831631</v>
      </c>
      <c r="CP32" s="1077">
        <f t="shared" si="116"/>
        <v>3.8423601013050841</v>
      </c>
      <c r="CQ32" s="1077">
        <f t="shared" si="116"/>
        <v>3.8442546108659763</v>
      </c>
      <c r="CR32" s="1077">
        <f t="shared" si="116"/>
        <v>3.8461500545315284</v>
      </c>
      <c r="CS32" s="1077">
        <f t="shared" si="116"/>
        <v>3.8480464327623092</v>
      </c>
      <c r="CT32" s="1077">
        <f t="shared" si="116"/>
        <v>3.8499437460191142</v>
      </c>
      <c r="CU32" s="1077">
        <f t="shared" si="116"/>
        <v>3.8518419947629661</v>
      </c>
      <c r="CV32" s="1077">
        <f t="shared" si="116"/>
        <v>3.8491138019441373</v>
      </c>
      <c r="CW32" s="1077">
        <f t="shared" si="116"/>
        <v>3.8463875414569224</v>
      </c>
      <c r="CX32" s="1077">
        <f t="shared" si="116"/>
        <v>3.8436632119326841</v>
      </c>
      <c r="CY32" s="1077">
        <f t="shared" si="116"/>
        <v>3.8409408120037543</v>
      </c>
      <c r="CZ32" s="1077">
        <f t="shared" si="116"/>
        <v>3.8382203403034345</v>
      </c>
    </row>
    <row r="33" spans="1:106" x14ac:dyDescent="0.25">
      <c r="A33" s="806" t="str">
        <f>'HyARC Physical Property Data'!A76</f>
        <v>Commercial Electricity</v>
      </c>
      <c r="B33" s="254">
        <v>2011</v>
      </c>
      <c r="C33" s="726">
        <f t="shared" si="99"/>
        <v>1.0771767810026385</v>
      </c>
      <c r="D33" s="1030" t="str">
        <f>'HyARC Physical Property Data'!$H$76</f>
        <v>kWh</v>
      </c>
      <c r="E33" s="726" t="s">
        <v>1053</v>
      </c>
      <c r="F33" s="726"/>
      <c r="G33" s="726"/>
      <c r="H33" s="852">
        <v>26.896922396257633</v>
      </c>
      <c r="I33" s="852">
        <v>26.896922396257633</v>
      </c>
      <c r="J33" s="852">
        <v>26.896922396257633</v>
      </c>
      <c r="K33" s="852">
        <v>26.568469730033652</v>
      </c>
      <c r="L33" s="852">
        <v>27.542479456318485</v>
      </c>
      <c r="M33" s="852">
        <v>26.167555894896875</v>
      </c>
      <c r="N33" s="254">
        <f t="shared" ref="N33:AR33" si="117">(N51/(mmBTU_to_GJ))*($C33)</f>
        <v>31.133552693543749</v>
      </c>
      <c r="O33" s="254">
        <f t="shared" si="117"/>
        <v>30.610864657554803</v>
      </c>
      <c r="P33" s="254">
        <f t="shared" si="117"/>
        <v>29.061789491552979</v>
      </c>
      <c r="Q33" s="254">
        <f t="shared" si="117"/>
        <v>28.354246688716874</v>
      </c>
      <c r="R33" s="254">
        <f t="shared" si="117"/>
        <v>28.429556150508322</v>
      </c>
      <c r="S33" s="254">
        <f t="shared" si="117"/>
        <v>28.316980456176768</v>
      </c>
      <c r="T33" s="254">
        <f t="shared" si="117"/>
        <v>28.823692582125577</v>
      </c>
      <c r="U33" s="254">
        <f t="shared" si="117"/>
        <v>29.117226828521051</v>
      </c>
      <c r="V33" s="254">
        <f t="shared" si="117"/>
        <v>29.247133327289326</v>
      </c>
      <c r="W33" s="254">
        <f t="shared" si="117"/>
        <v>29.177516055596545</v>
      </c>
      <c r="X33" s="254">
        <f t="shared" si="117"/>
        <v>29.167046509897588</v>
      </c>
      <c r="Y33" s="254">
        <f t="shared" si="117"/>
        <v>29.278527670097162</v>
      </c>
      <c r="Z33" s="254">
        <f t="shared" si="117"/>
        <v>29.26715860520952</v>
      </c>
      <c r="AA33" s="254">
        <f t="shared" si="117"/>
        <v>29.230231351523717</v>
      </c>
      <c r="AB33" s="254">
        <f t="shared" si="117"/>
        <v>29.234638076629693</v>
      </c>
      <c r="AC33" s="254">
        <f t="shared" si="117"/>
        <v>29.084632786454755</v>
      </c>
      <c r="AD33" s="254">
        <f t="shared" si="117"/>
        <v>28.975210003876501</v>
      </c>
      <c r="AE33" s="254">
        <f t="shared" si="117"/>
        <v>28.966039196438619</v>
      </c>
      <c r="AF33" s="254">
        <f t="shared" si="117"/>
        <v>29.081694289036999</v>
      </c>
      <c r="AG33" s="254">
        <f t="shared" si="117"/>
        <v>29.178046986332202</v>
      </c>
      <c r="AH33" s="254">
        <f t="shared" si="117"/>
        <v>29.254591883104705</v>
      </c>
      <c r="AI33" s="254">
        <f t="shared" si="117"/>
        <v>29.386069732646401</v>
      </c>
      <c r="AJ33" s="254">
        <f t="shared" si="117"/>
        <v>29.520327821405793</v>
      </c>
      <c r="AK33" s="254">
        <f t="shared" si="117"/>
        <v>29.693042652777955</v>
      </c>
      <c r="AL33" s="254">
        <f t="shared" si="117"/>
        <v>29.886409668746637</v>
      </c>
      <c r="AM33" s="254">
        <f t="shared" si="117"/>
        <v>30.281916310070152</v>
      </c>
      <c r="AN33" s="254">
        <f t="shared" si="117"/>
        <v>30.734461248733886</v>
      </c>
      <c r="AO33" s="254">
        <f t="shared" si="117"/>
        <v>31.144263200115045</v>
      </c>
      <c r="AP33" s="254">
        <f t="shared" si="117"/>
        <v>31.594533304780605</v>
      </c>
      <c r="AQ33" s="254">
        <f t="shared" si="117"/>
        <v>32.138219651364906</v>
      </c>
      <c r="AR33" s="254">
        <f t="shared" si="117"/>
        <v>32.414492522727556</v>
      </c>
      <c r="AS33" s="254">
        <f t="shared" ref="AS33:BA33" si="118">($BB33-$AR33)/10+AR33</f>
        <v>32.12574672681761</v>
      </c>
      <c r="AT33" s="254">
        <f t="shared" si="118"/>
        <v>31.837000930907664</v>
      </c>
      <c r="AU33" s="254">
        <f t="shared" si="118"/>
        <v>31.548255134997717</v>
      </c>
      <c r="AV33" s="254">
        <f t="shared" si="118"/>
        <v>31.259509339087771</v>
      </c>
      <c r="AW33" s="254">
        <f t="shared" si="118"/>
        <v>30.970763543177824</v>
      </c>
      <c r="AX33" s="254">
        <f t="shared" si="118"/>
        <v>30.682017747267878</v>
      </c>
      <c r="AY33" s="254">
        <f t="shared" si="118"/>
        <v>30.393271951357931</v>
      </c>
      <c r="AZ33" s="254">
        <f t="shared" si="118"/>
        <v>30.104526155447985</v>
      </c>
      <c r="BA33" s="254">
        <f t="shared" si="118"/>
        <v>29.815780359538039</v>
      </c>
      <c r="BB33" s="781">
        <f>'AEO Data'!$B$33*AM33</f>
        <v>29.527034563628085</v>
      </c>
      <c r="BC33" s="254">
        <f t="shared" ref="BC33:BP33" si="119">($BQ33-$BB33)/15+BB33</f>
        <v>29.544237717052788</v>
      </c>
      <c r="BD33" s="254">
        <f t="shared" si="119"/>
        <v>29.56144087047749</v>
      </c>
      <c r="BE33" s="254">
        <f t="shared" si="119"/>
        <v>29.578644023902193</v>
      </c>
      <c r="BF33" s="254">
        <f t="shared" si="119"/>
        <v>29.595847177326895</v>
      </c>
      <c r="BG33" s="254">
        <f t="shared" si="119"/>
        <v>29.613050330751598</v>
      </c>
      <c r="BH33" s="254">
        <f t="shared" si="119"/>
        <v>29.630253484176301</v>
      </c>
      <c r="BI33" s="254">
        <f t="shared" si="119"/>
        <v>29.647456637601003</v>
      </c>
      <c r="BJ33" s="254">
        <f t="shared" si="119"/>
        <v>29.664659791025706</v>
      </c>
      <c r="BK33" s="254">
        <f t="shared" si="119"/>
        <v>29.681862944450408</v>
      </c>
      <c r="BL33" s="254">
        <f t="shared" si="119"/>
        <v>29.699066097875111</v>
      </c>
      <c r="BM33" s="254">
        <f t="shared" si="119"/>
        <v>29.716269251299813</v>
      </c>
      <c r="BN33" s="254">
        <f t="shared" si="119"/>
        <v>29.733472404724516</v>
      </c>
      <c r="BO33" s="254">
        <f t="shared" si="119"/>
        <v>29.750675558149219</v>
      </c>
      <c r="BP33" s="254">
        <f t="shared" si="119"/>
        <v>29.767878711573921</v>
      </c>
      <c r="BQ33" s="781">
        <f>'AEO Data'!$C$33*BB33</f>
        <v>29.78508186499861</v>
      </c>
      <c r="BR33" s="254">
        <f t="shared" ref="BR33:BU35" si="120">($BV33-$BQ33)/5+BQ33</f>
        <v>29.765026073611775</v>
      </c>
      <c r="BS33" s="254">
        <f t="shared" si="120"/>
        <v>29.744970282224941</v>
      </c>
      <c r="BT33" s="254">
        <f t="shared" si="120"/>
        <v>29.724914490838106</v>
      </c>
      <c r="BU33" s="254">
        <f t="shared" si="120"/>
        <v>29.704858699451272</v>
      </c>
      <c r="BV33" s="805">
        <f>'AEO Data'!$D$33*BQ33</f>
        <v>29.684802908064434</v>
      </c>
      <c r="BW33" s="1077">
        <f>+BV33*BW$140/BV$140</f>
        <v>29.671732577415259</v>
      </c>
      <c r="BX33" s="1077">
        <f t="shared" ref="BX33:CZ33" si="121">+BW33*BX$140/BW$140</f>
        <v>29.658668001681953</v>
      </c>
      <c r="BY33" s="1077">
        <f t="shared" si="121"/>
        <v>29.645609178330599</v>
      </c>
      <c r="BZ33" s="1077">
        <f t="shared" si="121"/>
        <v>29.632556104828407</v>
      </c>
      <c r="CA33" s="1077">
        <f t="shared" si="121"/>
        <v>29.619508778643699</v>
      </c>
      <c r="CB33" s="1077">
        <f t="shared" si="121"/>
        <v>29.595784014667533</v>
      </c>
      <c r="CC33" s="1077">
        <f t="shared" si="121"/>
        <v>29.572078253856809</v>
      </c>
      <c r="CD33" s="1077">
        <f t="shared" si="121"/>
        <v>29.54839148099029</v>
      </c>
      <c r="CE33" s="1077">
        <f t="shared" si="121"/>
        <v>29.524723680858934</v>
      </c>
      <c r="CF33" s="1077">
        <f t="shared" si="121"/>
        <v>29.501074838265872</v>
      </c>
      <c r="CG33" s="1077">
        <f t="shared" si="121"/>
        <v>29.468497232300709</v>
      </c>
      <c r="CH33" s="1077">
        <f t="shared" si="121"/>
        <v>29.435955601309892</v>
      </c>
      <c r="CI33" s="1077">
        <f t="shared" si="121"/>
        <v>29.403449905566777</v>
      </c>
      <c r="CJ33" s="1077">
        <f t="shared" si="121"/>
        <v>29.3709801053886</v>
      </c>
      <c r="CK33" s="1077">
        <f t="shared" si="121"/>
        <v>29.33854616113641</v>
      </c>
      <c r="CL33" s="1077">
        <f t="shared" si="121"/>
        <v>29.303185235347783</v>
      </c>
      <c r="CM33" s="1077">
        <f t="shared" si="121"/>
        <v>29.267866929089987</v>
      </c>
      <c r="CN33" s="1077">
        <f t="shared" si="121"/>
        <v>29.232591190994896</v>
      </c>
      <c r="CO33" s="1077">
        <f t="shared" si="121"/>
        <v>29.1973579697563</v>
      </c>
      <c r="CP33" s="1077">
        <f t="shared" si="121"/>
        <v>29.16216721412983</v>
      </c>
      <c r="CQ33" s="1077">
        <f t="shared" si="121"/>
        <v>29.121407129980525</v>
      </c>
      <c r="CR33" s="1077">
        <f t="shared" si="121"/>
        <v>29.080704016372799</v>
      </c>
      <c r="CS33" s="1077">
        <f t="shared" si="121"/>
        <v>29.040057793678688</v>
      </c>
      <c r="CT33" s="1077">
        <f t="shared" si="121"/>
        <v>28.999468382381522</v>
      </c>
      <c r="CU33" s="1077">
        <f t="shared" si="121"/>
        <v>28.95893570307577</v>
      </c>
      <c r="CV33" s="1077">
        <f t="shared" si="121"/>
        <v>28.919368591982021</v>
      </c>
      <c r="CW33" s="1077">
        <f t="shared" si="121"/>
        <v>28.879855542138877</v>
      </c>
      <c r="CX33" s="1077">
        <f t="shared" si="121"/>
        <v>28.840396479681488</v>
      </c>
      <c r="CY33" s="1077">
        <f t="shared" si="121"/>
        <v>28.800991330845925</v>
      </c>
      <c r="CZ33" s="1077">
        <f t="shared" si="121"/>
        <v>28.761640021969036</v>
      </c>
    </row>
    <row r="34" spans="1:106" x14ac:dyDescent="0.25">
      <c r="A34" s="806" t="str">
        <f>'HyARC Physical Property Data'!A77</f>
        <v>Industrial Electricity</v>
      </c>
      <c r="B34" s="254">
        <v>2011</v>
      </c>
      <c r="C34" s="726">
        <f t="shared" si="99"/>
        <v>1.0771767810026385</v>
      </c>
      <c r="D34" s="1018" t="str">
        <f>'HyARC Physical Property Data'!$H$77</f>
        <v>kWh</v>
      </c>
      <c r="E34" s="726" t="s">
        <v>1053</v>
      </c>
      <c r="F34" s="726"/>
      <c r="G34" s="726"/>
      <c r="H34" s="852">
        <v>17.44160584363896</v>
      </c>
      <c r="I34" s="852">
        <v>17.44160584363896</v>
      </c>
      <c r="J34" s="852">
        <v>17.44160584363896</v>
      </c>
      <c r="K34" s="852">
        <v>17.651840860809763</v>
      </c>
      <c r="L34" s="852">
        <v>19.274322003549859</v>
      </c>
      <c r="M34" s="852">
        <v>18.160650967421709</v>
      </c>
      <c r="N34" s="254">
        <f t="shared" ref="N34:AR34" si="122">(N52/(mmBTU_to_GJ))*($C34)</f>
        <v>20.686330589978613</v>
      </c>
      <c r="O34" s="254">
        <f t="shared" si="122"/>
        <v>20.395642949142793</v>
      </c>
      <c r="P34" s="254">
        <f t="shared" si="122"/>
        <v>18.823552956770747</v>
      </c>
      <c r="Q34" s="254">
        <f t="shared" si="122"/>
        <v>18.524341835586291</v>
      </c>
      <c r="R34" s="254">
        <f t="shared" si="122"/>
        <v>18.425452923007665</v>
      </c>
      <c r="S34" s="254">
        <f t="shared" si="122"/>
        <v>18.26043454526129</v>
      </c>
      <c r="T34" s="254">
        <f t="shared" si="122"/>
        <v>18.754222591879351</v>
      </c>
      <c r="U34" s="254">
        <f t="shared" si="122"/>
        <v>19.028024593279895</v>
      </c>
      <c r="V34" s="254">
        <f t="shared" si="122"/>
        <v>19.177936970576098</v>
      </c>
      <c r="W34" s="254">
        <f t="shared" si="122"/>
        <v>19.120789424026807</v>
      </c>
      <c r="X34" s="254">
        <f t="shared" si="122"/>
        <v>19.113803600770296</v>
      </c>
      <c r="Y34" s="254">
        <f t="shared" si="122"/>
        <v>19.250773520364145</v>
      </c>
      <c r="Z34" s="254">
        <f t="shared" si="122"/>
        <v>19.360178945591421</v>
      </c>
      <c r="AA34" s="254">
        <f t="shared" si="122"/>
        <v>19.49113403256262</v>
      </c>
      <c r="AB34" s="254">
        <f t="shared" si="122"/>
        <v>19.561495628305966</v>
      </c>
      <c r="AC34" s="254">
        <f t="shared" si="122"/>
        <v>19.585178202178344</v>
      </c>
      <c r="AD34" s="254">
        <f t="shared" si="122"/>
        <v>19.679504173492226</v>
      </c>
      <c r="AE34" s="254">
        <f t="shared" si="122"/>
        <v>19.769484680938866</v>
      </c>
      <c r="AF34" s="254">
        <f t="shared" si="122"/>
        <v>19.876209926971701</v>
      </c>
      <c r="AG34" s="254">
        <f t="shared" si="122"/>
        <v>20.022596719978992</v>
      </c>
      <c r="AH34" s="254">
        <f t="shared" si="122"/>
        <v>20.141018778526679</v>
      </c>
      <c r="AI34" s="254">
        <f t="shared" si="122"/>
        <v>20.284500767797521</v>
      </c>
      <c r="AJ34" s="254">
        <f t="shared" si="122"/>
        <v>20.450430916980327</v>
      </c>
      <c r="AK34" s="254">
        <f t="shared" si="122"/>
        <v>20.629529169428153</v>
      </c>
      <c r="AL34" s="254">
        <f t="shared" si="122"/>
        <v>20.858104040315624</v>
      </c>
      <c r="AM34" s="254">
        <f t="shared" si="122"/>
        <v>21.232143722567496</v>
      </c>
      <c r="AN34" s="254">
        <f t="shared" si="122"/>
        <v>21.710953396316075</v>
      </c>
      <c r="AO34" s="254">
        <f t="shared" si="122"/>
        <v>22.126345435731348</v>
      </c>
      <c r="AP34" s="254">
        <f t="shared" si="122"/>
        <v>22.531327148645097</v>
      </c>
      <c r="AQ34" s="254">
        <f t="shared" si="122"/>
        <v>22.961372876364592</v>
      </c>
      <c r="AR34" s="254">
        <f t="shared" si="122"/>
        <v>23.222533621153197</v>
      </c>
      <c r="AS34" s="254">
        <f t="shared" ref="AS34:BA34" si="123">($BB34-$AR34)/10+AR34</f>
        <v>22.97056615223179</v>
      </c>
      <c r="AT34" s="254">
        <f t="shared" si="123"/>
        <v>22.718598683310383</v>
      </c>
      <c r="AU34" s="254">
        <f t="shared" si="123"/>
        <v>22.466631214388975</v>
      </c>
      <c r="AV34" s="254">
        <f t="shared" si="123"/>
        <v>22.214663745467568</v>
      </c>
      <c r="AW34" s="254">
        <f t="shared" si="123"/>
        <v>21.962696276546161</v>
      </c>
      <c r="AX34" s="254">
        <f t="shared" si="123"/>
        <v>21.710728807624754</v>
      </c>
      <c r="AY34" s="254">
        <f t="shared" si="123"/>
        <v>21.458761338703347</v>
      </c>
      <c r="AZ34" s="254">
        <f t="shared" si="123"/>
        <v>21.20679386978194</v>
      </c>
      <c r="BA34" s="254">
        <f t="shared" si="123"/>
        <v>20.954826400860533</v>
      </c>
      <c r="BB34" s="781">
        <f>'AEO Data'!$B$33*AM34</f>
        <v>20.702858931939144</v>
      </c>
      <c r="BC34" s="254">
        <f t="shared" ref="BC34:BP34" si="124">($BQ34-$BB34)/15+BB34</f>
        <v>20.714920910522487</v>
      </c>
      <c r="BD34" s="254">
        <f t="shared" si="124"/>
        <v>20.72698288910583</v>
      </c>
      <c r="BE34" s="254">
        <f t="shared" si="124"/>
        <v>20.739044867689174</v>
      </c>
      <c r="BF34" s="254">
        <f t="shared" si="124"/>
        <v>20.751106846272517</v>
      </c>
      <c r="BG34" s="254">
        <f t="shared" si="124"/>
        <v>20.76316882485586</v>
      </c>
      <c r="BH34" s="254">
        <f t="shared" si="124"/>
        <v>20.775230803439204</v>
      </c>
      <c r="BI34" s="254">
        <f t="shared" si="124"/>
        <v>20.787292782022547</v>
      </c>
      <c r="BJ34" s="254">
        <f t="shared" si="124"/>
        <v>20.79935476060589</v>
      </c>
      <c r="BK34" s="254">
        <f t="shared" si="124"/>
        <v>20.811416739189234</v>
      </c>
      <c r="BL34" s="254">
        <f t="shared" si="124"/>
        <v>20.823478717772577</v>
      </c>
      <c r="BM34" s="254">
        <f t="shared" si="124"/>
        <v>20.83554069635592</v>
      </c>
      <c r="BN34" s="254">
        <f t="shared" si="124"/>
        <v>20.847602674939264</v>
      </c>
      <c r="BO34" s="254">
        <f t="shared" si="124"/>
        <v>20.859664653522607</v>
      </c>
      <c r="BP34" s="254">
        <f t="shared" si="124"/>
        <v>20.87172663210595</v>
      </c>
      <c r="BQ34" s="781">
        <f>'AEO Data'!$C$33*BB34</f>
        <v>20.883788610689287</v>
      </c>
      <c r="BR34" s="254">
        <f t="shared" si="120"/>
        <v>20.869726507061667</v>
      </c>
      <c r="BS34" s="254">
        <f t="shared" si="120"/>
        <v>20.855664403434048</v>
      </c>
      <c r="BT34" s="254">
        <f t="shared" si="120"/>
        <v>20.841602299806429</v>
      </c>
      <c r="BU34" s="254">
        <f t="shared" si="120"/>
        <v>20.827540196178809</v>
      </c>
      <c r="BV34" s="805">
        <f>'AEO Data'!$D$33*BQ34</f>
        <v>20.813478092551186</v>
      </c>
      <c r="BW34" s="1077">
        <f>+BV34*BW$141/BV$141</f>
        <v>20.819767085860629</v>
      </c>
      <c r="BX34" s="1077">
        <f t="shared" ref="BX34:CZ34" si="125">+BW34*BX$141/BW$141</f>
        <v>20.826057979450106</v>
      </c>
      <c r="BY34" s="1077">
        <f t="shared" si="125"/>
        <v>20.832350773893804</v>
      </c>
      <c r="BZ34" s="1077">
        <f t="shared" si="125"/>
        <v>20.838645469766085</v>
      </c>
      <c r="CA34" s="1077">
        <f t="shared" si="125"/>
        <v>20.844942067641483</v>
      </c>
      <c r="CB34" s="1077">
        <f t="shared" si="125"/>
        <v>20.842584664877659</v>
      </c>
      <c r="CC34" s="1077">
        <f t="shared" si="125"/>
        <v>20.840227528717975</v>
      </c>
      <c r="CD34" s="1077">
        <f t="shared" si="125"/>
        <v>20.837870659132275</v>
      </c>
      <c r="CE34" s="1077">
        <f t="shared" si="125"/>
        <v>20.83551405609041</v>
      </c>
      <c r="CF34" s="1077">
        <f t="shared" si="125"/>
        <v>20.833157719562244</v>
      </c>
      <c r="CG34" s="1077">
        <f t="shared" si="125"/>
        <v>20.823707614808125</v>
      </c>
      <c r="CH34" s="1077">
        <f t="shared" si="125"/>
        <v>20.814261796705171</v>
      </c>
      <c r="CI34" s="1077">
        <f t="shared" si="125"/>
        <v>20.804820263308923</v>
      </c>
      <c r="CJ34" s="1077">
        <f t="shared" si="125"/>
        <v>20.795383012675799</v>
      </c>
      <c r="CK34" s="1077">
        <f t="shared" si="125"/>
        <v>20.785950042863099</v>
      </c>
      <c r="CL34" s="1077">
        <f t="shared" si="125"/>
        <v>20.77437772649537</v>
      </c>
      <c r="CM34" s="1077">
        <f t="shared" si="125"/>
        <v>20.762811852869294</v>
      </c>
      <c r="CN34" s="1077">
        <f t="shared" si="125"/>
        <v>20.751252418397954</v>
      </c>
      <c r="CO34" s="1077">
        <f t="shared" si="125"/>
        <v>20.739699419496432</v>
      </c>
      <c r="CP34" s="1077">
        <f t="shared" si="125"/>
        <v>20.728152852581804</v>
      </c>
      <c r="CQ34" s="1077">
        <f t="shared" si="125"/>
        <v>20.712333481367292</v>
      </c>
      <c r="CR34" s="1077">
        <f t="shared" si="125"/>
        <v>20.696526183225924</v>
      </c>
      <c r="CS34" s="1077">
        <f t="shared" si="125"/>
        <v>20.680730948943744</v>
      </c>
      <c r="CT34" s="1077">
        <f t="shared" si="125"/>
        <v>20.664947769313819</v>
      </c>
      <c r="CU34" s="1077">
        <f t="shared" si="125"/>
        <v>20.649176635136243</v>
      </c>
      <c r="CV34" s="1077">
        <f t="shared" si="125"/>
        <v>20.634348778597502</v>
      </c>
      <c r="CW34" s="1077">
        <f t="shared" si="125"/>
        <v>20.619531569714763</v>
      </c>
      <c r="CX34" s="1077">
        <f t="shared" si="125"/>
        <v>20.604725000842109</v>
      </c>
      <c r="CY34" s="1077">
        <f t="shared" si="125"/>
        <v>20.58992906433911</v>
      </c>
      <c r="CZ34" s="1077">
        <f t="shared" si="125"/>
        <v>20.575143752570824</v>
      </c>
    </row>
    <row r="35" spans="1:106" ht="13.8" thickBot="1" x14ac:dyDescent="0.3">
      <c r="A35" s="809" t="str">
        <f>'HyARC Physical Property Data'!A78</f>
        <v>Residential Electricity</v>
      </c>
      <c r="B35" s="732">
        <v>2011</v>
      </c>
      <c r="C35" s="733">
        <f t="shared" si="99"/>
        <v>1.0771767810026385</v>
      </c>
      <c r="D35" s="1019" t="str">
        <f>'HyARC Physical Property Data'!$H$78</f>
        <v>kWh</v>
      </c>
      <c r="E35" s="733" t="s">
        <v>1053</v>
      </c>
      <c r="F35" s="732"/>
      <c r="G35" s="732"/>
      <c r="H35" s="854">
        <v>29.579885763014694</v>
      </c>
      <c r="I35" s="854">
        <v>29.579885763014694</v>
      </c>
      <c r="J35" s="854">
        <v>29.579885763014694</v>
      </c>
      <c r="K35" s="854">
        <v>29.556357578078675</v>
      </c>
      <c r="L35" s="854">
        <v>30.116416605727963</v>
      </c>
      <c r="M35" s="854">
        <v>29.134443020933652</v>
      </c>
      <c r="N35" s="732">
        <f t="shared" ref="N35:AR35" si="126">(N53/(mmBTU_to_GJ))*($C35)</f>
        <v>35.248515023946787</v>
      </c>
      <c r="O35" s="732">
        <f t="shared" si="126"/>
        <v>35.057638277332465</v>
      </c>
      <c r="P35" s="732">
        <f t="shared" si="126"/>
        <v>33.966003843989547</v>
      </c>
      <c r="Q35" s="732">
        <f t="shared" si="126"/>
        <v>33.233617566807133</v>
      </c>
      <c r="R35" s="732">
        <f t="shared" si="126"/>
        <v>33.701326704097838</v>
      </c>
      <c r="S35" s="732">
        <f t="shared" si="126"/>
        <v>33.757355212019654</v>
      </c>
      <c r="T35" s="732">
        <f t="shared" si="126"/>
        <v>34.284141624879645</v>
      </c>
      <c r="U35" s="732">
        <f t="shared" si="126"/>
        <v>34.53730982005527</v>
      </c>
      <c r="V35" s="732">
        <f t="shared" si="126"/>
        <v>34.545858825920035</v>
      </c>
      <c r="W35" s="732">
        <f t="shared" si="126"/>
        <v>34.349778958096259</v>
      </c>
      <c r="X35" s="732">
        <f t="shared" si="126"/>
        <v>34.322062331653513</v>
      </c>
      <c r="Y35" s="732">
        <f t="shared" si="126"/>
        <v>34.366342976028214</v>
      </c>
      <c r="Z35" s="732">
        <f t="shared" si="126"/>
        <v>34.399461822706293</v>
      </c>
      <c r="AA35" s="732">
        <f t="shared" si="126"/>
        <v>34.411956052345289</v>
      </c>
      <c r="AB35" s="732">
        <f t="shared" si="126"/>
        <v>34.551308013105078</v>
      </c>
      <c r="AC35" s="732">
        <f t="shared" si="126"/>
        <v>34.673225025322317</v>
      </c>
      <c r="AD35" s="732">
        <f t="shared" si="126"/>
        <v>34.843428145906536</v>
      </c>
      <c r="AE35" s="732">
        <f t="shared" si="126"/>
        <v>34.985992237617076</v>
      </c>
      <c r="AF35" s="732">
        <f t="shared" si="126"/>
        <v>35.137048158036244</v>
      </c>
      <c r="AG35" s="732">
        <f t="shared" si="126"/>
        <v>35.236409803173729</v>
      </c>
      <c r="AH35" s="732">
        <f t="shared" si="126"/>
        <v>35.28809897335217</v>
      </c>
      <c r="AI35" s="732">
        <f t="shared" si="126"/>
        <v>35.415531539096392</v>
      </c>
      <c r="AJ35" s="732">
        <f t="shared" si="126"/>
        <v>35.539081163325783</v>
      </c>
      <c r="AK35" s="732">
        <f t="shared" si="126"/>
        <v>35.65784015868649</v>
      </c>
      <c r="AL35" s="732">
        <f t="shared" si="126"/>
        <v>35.819984363315783</v>
      </c>
      <c r="AM35" s="732">
        <f t="shared" si="126"/>
        <v>36.165866338206058</v>
      </c>
      <c r="AN35" s="732">
        <f t="shared" si="126"/>
        <v>36.58927134764722</v>
      </c>
      <c r="AO35" s="732">
        <f t="shared" si="126"/>
        <v>36.936418367117263</v>
      </c>
      <c r="AP35" s="732">
        <f t="shared" si="126"/>
        <v>37.270112418562192</v>
      </c>
      <c r="AQ35" s="732">
        <f t="shared" si="126"/>
        <v>37.681875750603361</v>
      </c>
      <c r="AR35" s="732">
        <f t="shared" si="126"/>
        <v>37.878431414047952</v>
      </c>
      <c r="AS35" s="732">
        <f t="shared" ref="AS35:BA35" si="127">($BB35-$AR35)/10+AR35</f>
        <v>37.617018946505915</v>
      </c>
      <c r="AT35" s="732">
        <f t="shared" si="127"/>
        <v>37.355606478963878</v>
      </c>
      <c r="AU35" s="732">
        <f t="shared" si="127"/>
        <v>37.094194011421841</v>
      </c>
      <c r="AV35" s="732">
        <f t="shared" si="127"/>
        <v>36.832781543879804</v>
      </c>
      <c r="AW35" s="732">
        <f t="shared" si="127"/>
        <v>36.571369076337767</v>
      </c>
      <c r="AX35" s="732">
        <f t="shared" si="127"/>
        <v>36.30995660879573</v>
      </c>
      <c r="AY35" s="732">
        <f t="shared" si="127"/>
        <v>36.048544141253693</v>
      </c>
      <c r="AZ35" s="732">
        <f t="shared" si="127"/>
        <v>35.787131673711656</v>
      </c>
      <c r="BA35" s="732">
        <f t="shared" si="127"/>
        <v>35.525719206169619</v>
      </c>
      <c r="BB35" s="810">
        <f>'AEO Data'!$B$33*AM35</f>
        <v>35.264306738627596</v>
      </c>
      <c r="BC35" s="732">
        <f t="shared" ref="BC35:BP35" si="128">($BQ35-$BB35)/15+BB35</f>
        <v>35.284852563435471</v>
      </c>
      <c r="BD35" s="732">
        <f t="shared" si="128"/>
        <v>35.305398388243347</v>
      </c>
      <c r="BE35" s="732">
        <f t="shared" si="128"/>
        <v>35.325944213051223</v>
      </c>
      <c r="BF35" s="732">
        <f t="shared" si="128"/>
        <v>35.346490037859098</v>
      </c>
      <c r="BG35" s="732">
        <f t="shared" si="128"/>
        <v>35.367035862666974</v>
      </c>
      <c r="BH35" s="732">
        <f t="shared" si="128"/>
        <v>35.387581687474849</v>
      </c>
      <c r="BI35" s="732">
        <f t="shared" si="128"/>
        <v>35.408127512282725</v>
      </c>
      <c r="BJ35" s="732">
        <f t="shared" si="128"/>
        <v>35.428673337090601</v>
      </c>
      <c r="BK35" s="732">
        <f t="shared" si="128"/>
        <v>35.449219161898476</v>
      </c>
      <c r="BL35" s="732">
        <f t="shared" si="128"/>
        <v>35.469764986706352</v>
      </c>
      <c r="BM35" s="732">
        <f t="shared" si="128"/>
        <v>35.490310811514227</v>
      </c>
      <c r="BN35" s="732">
        <f t="shared" si="128"/>
        <v>35.510856636322103</v>
      </c>
      <c r="BO35" s="732">
        <f t="shared" si="128"/>
        <v>35.531402461129979</v>
      </c>
      <c r="BP35" s="732">
        <f t="shared" si="128"/>
        <v>35.551948285937854</v>
      </c>
      <c r="BQ35" s="810">
        <f>'AEO Data'!$C$33*BB35</f>
        <v>35.572494110745708</v>
      </c>
      <c r="BR35" s="732">
        <f t="shared" si="120"/>
        <v>35.548541364057677</v>
      </c>
      <c r="BS35" s="732">
        <f t="shared" si="120"/>
        <v>35.524588617369645</v>
      </c>
      <c r="BT35" s="732">
        <f t="shared" si="120"/>
        <v>35.500635870681613</v>
      </c>
      <c r="BU35" s="732">
        <f t="shared" si="120"/>
        <v>35.476683123993581</v>
      </c>
      <c r="BV35" s="811">
        <f>'AEO Data'!$D$33*BQ35</f>
        <v>35.452730377305556</v>
      </c>
      <c r="BW35" s="1077">
        <f>+BV35*BW$142/BV$142</f>
        <v>35.437120406443277</v>
      </c>
      <c r="BX35" s="1077">
        <f t="shared" ref="BX35:CZ35" si="129">+BW35*BX$142/BW$142</f>
        <v>35.42151730871003</v>
      </c>
      <c r="BY35" s="1077">
        <f t="shared" si="129"/>
        <v>35.405921081079541</v>
      </c>
      <c r="BZ35" s="1077">
        <f t="shared" si="129"/>
        <v>35.390331720526888</v>
      </c>
      <c r="CA35" s="1077">
        <f t="shared" si="129"/>
        <v>35.37474922402847</v>
      </c>
      <c r="CB35" s="1077">
        <f t="shared" si="129"/>
        <v>35.346414602332743</v>
      </c>
      <c r="CC35" s="1077">
        <f t="shared" si="129"/>
        <v>35.318102676226502</v>
      </c>
      <c r="CD35" s="1077">
        <f t="shared" si="129"/>
        <v>35.289813427530937</v>
      </c>
      <c r="CE35" s="1077">
        <f t="shared" si="129"/>
        <v>35.261546838081799</v>
      </c>
      <c r="CF35" s="1077">
        <f t="shared" si="129"/>
        <v>35.23330288972938</v>
      </c>
      <c r="CG35" s="1077">
        <f t="shared" si="129"/>
        <v>35.194395268068625</v>
      </c>
      <c r="CH35" s="1077">
        <f t="shared" si="129"/>
        <v>35.155530611526075</v>
      </c>
      <c r="CI35" s="1077">
        <f t="shared" si="129"/>
        <v>35.11670887265597</v>
      </c>
      <c r="CJ35" s="1077">
        <f t="shared" si="129"/>
        <v>35.077930004064953</v>
      </c>
      <c r="CK35" s="1077">
        <f t="shared" si="129"/>
        <v>35.039193958412007</v>
      </c>
      <c r="CL35" s="1077">
        <f t="shared" si="129"/>
        <v>34.996962201921704</v>
      </c>
      <c r="CM35" s="1077">
        <f t="shared" si="129"/>
        <v>34.954781346181527</v>
      </c>
      <c r="CN35" s="1077">
        <f t="shared" si="129"/>
        <v>34.912651329842227</v>
      </c>
      <c r="CO35" s="1077">
        <f t="shared" si="129"/>
        <v>34.870572091628503</v>
      </c>
      <c r="CP35" s="1077">
        <f t="shared" si="129"/>
        <v>34.828543570338908</v>
      </c>
      <c r="CQ35" s="1077">
        <f t="shared" si="129"/>
        <v>34.779863568050295</v>
      </c>
      <c r="CR35" s="1077">
        <f t="shared" si="129"/>
        <v>34.731251606006261</v>
      </c>
      <c r="CS35" s="1077">
        <f t="shared" si="129"/>
        <v>34.682707589106663</v>
      </c>
      <c r="CT35" s="1077">
        <f t="shared" si="129"/>
        <v>34.634231422384289</v>
      </c>
      <c r="CU35" s="1077">
        <f t="shared" si="129"/>
        <v>34.585823011004663</v>
      </c>
      <c r="CV35" s="1077">
        <f t="shared" si="129"/>
        <v>34.538567783278886</v>
      </c>
      <c r="CW35" s="1077">
        <f t="shared" si="129"/>
        <v>34.491377121214782</v>
      </c>
      <c r="CX35" s="1077">
        <f t="shared" si="129"/>
        <v>34.444250936595139</v>
      </c>
      <c r="CY35" s="1077">
        <f t="shared" si="129"/>
        <v>34.397189141323274</v>
      </c>
      <c r="CZ35" s="1077">
        <f t="shared" si="129"/>
        <v>34.350191647422875</v>
      </c>
    </row>
    <row r="36" spans="1:106" ht="13.8" thickTop="1" x14ac:dyDescent="0.25">
      <c r="A36" s="729"/>
      <c r="B36" s="254"/>
      <c r="C36" s="726"/>
      <c r="D36" s="1020"/>
      <c r="E36" s="726"/>
      <c r="F36" s="254"/>
      <c r="G36" s="254"/>
      <c r="H36" s="254"/>
      <c r="I36" s="254"/>
      <c r="J36" s="254"/>
      <c r="K36" s="254"/>
      <c r="L36" s="254"/>
      <c r="M36" s="254"/>
      <c r="N36" s="254"/>
      <c r="O36" s="254"/>
      <c r="P36" s="254"/>
      <c r="Q36" s="254"/>
      <c r="R36" s="254"/>
      <c r="S36" s="254"/>
      <c r="T36" s="254"/>
      <c r="U36" s="254"/>
      <c r="V36" s="254"/>
      <c r="W36" s="254"/>
      <c r="X36" s="254"/>
      <c r="Y36" s="254"/>
      <c r="Z36" s="254"/>
      <c r="AA36" s="254"/>
      <c r="AB36" s="254"/>
      <c r="AC36" s="254"/>
      <c r="AD36" s="254"/>
      <c r="AE36" s="254"/>
      <c r="AF36" s="254"/>
      <c r="AG36" s="254"/>
      <c r="AH36" s="254"/>
      <c r="AI36" s="254"/>
      <c r="AJ36" s="254"/>
      <c r="AK36" s="254"/>
      <c r="AL36" s="254"/>
      <c r="AM36" s="254"/>
      <c r="AN36" s="254"/>
      <c r="AO36" s="254"/>
      <c r="AP36" s="254"/>
      <c r="AQ36" s="254"/>
      <c r="AR36" s="254"/>
      <c r="AS36" s="254"/>
      <c r="AT36" s="254"/>
      <c r="AU36" s="254"/>
      <c r="AV36" s="254"/>
      <c r="AW36" s="254"/>
      <c r="AX36" s="254"/>
      <c r="AY36" s="254"/>
      <c r="AZ36" s="254"/>
      <c r="BA36" s="254"/>
      <c r="BB36" s="254"/>
      <c r="BC36" s="254"/>
      <c r="BD36" s="254"/>
      <c r="BE36" s="254"/>
      <c r="BF36" s="254"/>
      <c r="BG36" s="254"/>
      <c r="BH36" s="254"/>
      <c r="BI36" s="254"/>
      <c r="BJ36" s="254"/>
      <c r="BK36" s="254"/>
      <c r="BL36" s="254"/>
      <c r="BM36" s="254"/>
      <c r="BN36" s="254"/>
      <c r="BO36" s="254"/>
      <c r="BP36" s="254"/>
      <c r="BQ36" s="254"/>
      <c r="BR36" s="254"/>
      <c r="BS36" s="254"/>
      <c r="BT36" s="254"/>
      <c r="BU36" s="254"/>
      <c r="BV36" s="254"/>
      <c r="BW36" s="254"/>
      <c r="BX36" s="254"/>
      <c r="BY36" s="254"/>
      <c r="BZ36" s="254"/>
      <c r="CA36" s="254"/>
      <c r="CB36" s="254"/>
      <c r="CC36" s="254"/>
      <c r="CD36" s="254"/>
      <c r="CE36" s="254"/>
      <c r="CF36" s="254"/>
      <c r="CG36" s="254"/>
      <c r="CH36" s="254"/>
      <c r="CI36" s="254"/>
      <c r="CJ36" s="254"/>
      <c r="CK36" s="254"/>
      <c r="CL36" s="254"/>
      <c r="CM36" s="254"/>
      <c r="CN36" s="254"/>
      <c r="CO36" s="254"/>
      <c r="CP36" s="254"/>
      <c r="CQ36" s="254"/>
      <c r="CR36" s="254"/>
      <c r="CS36" s="254"/>
      <c r="CT36" s="254"/>
      <c r="CU36" s="254"/>
      <c r="CV36" s="254"/>
      <c r="CW36" s="254"/>
      <c r="CX36" s="254"/>
      <c r="CY36" s="254"/>
      <c r="CZ36" s="254"/>
      <c r="DA36" s="254"/>
      <c r="DB36" s="254"/>
    </row>
    <row r="37" spans="1:106" x14ac:dyDescent="0.25">
      <c r="A37" s="729"/>
      <c r="B37" s="254"/>
      <c r="C37" s="726"/>
      <c r="D37" s="1021"/>
      <c r="E37" s="726"/>
      <c r="F37" s="254"/>
      <c r="G37" s="254"/>
      <c r="H37" s="254"/>
      <c r="I37" s="254"/>
      <c r="J37" s="254"/>
      <c r="K37" s="254"/>
      <c r="L37" s="254"/>
      <c r="M37" s="254"/>
      <c r="N37" s="254"/>
      <c r="O37" s="254"/>
      <c r="P37" s="254"/>
      <c r="Q37" s="254"/>
      <c r="R37" s="254"/>
      <c r="S37" s="254"/>
      <c r="T37" s="254"/>
      <c r="U37" s="254"/>
      <c r="V37" s="254"/>
      <c r="W37" s="254"/>
      <c r="X37" s="254"/>
      <c r="Y37" s="254"/>
      <c r="Z37" s="254"/>
      <c r="AA37" s="254"/>
      <c r="AB37" s="254"/>
      <c r="AC37" s="254"/>
      <c r="AD37" s="254"/>
      <c r="AE37" s="254"/>
      <c r="AF37" s="254"/>
      <c r="AG37" s="254"/>
      <c r="AH37" s="254"/>
      <c r="AI37" s="254"/>
      <c r="AJ37" s="254"/>
      <c r="AK37" s="254"/>
      <c r="AL37" s="254"/>
      <c r="AM37" s="254"/>
      <c r="AN37" s="254"/>
      <c r="AO37" s="254"/>
      <c r="AP37" s="254"/>
      <c r="AQ37" s="254"/>
      <c r="AR37" s="254"/>
      <c r="AS37" s="254"/>
      <c r="AT37" s="254"/>
      <c r="AU37" s="254"/>
      <c r="AV37" s="254"/>
      <c r="AW37" s="254"/>
      <c r="AX37" s="254"/>
      <c r="AY37" s="254"/>
      <c r="AZ37" s="254"/>
      <c r="BA37" s="254"/>
      <c r="BB37" s="254"/>
      <c r="BC37" s="254"/>
      <c r="BD37" s="254"/>
      <c r="BE37" s="254"/>
      <c r="BF37" s="254"/>
      <c r="BG37" s="254"/>
      <c r="BH37" s="254"/>
      <c r="BI37" s="254"/>
      <c r="BJ37" s="254"/>
      <c r="BK37" s="254"/>
      <c r="BL37" s="254"/>
      <c r="BM37" s="254"/>
      <c r="BN37" s="254"/>
      <c r="BO37" s="254"/>
      <c r="BP37" s="254"/>
      <c r="BQ37" s="254"/>
      <c r="BR37" s="254"/>
      <c r="BS37" s="254"/>
      <c r="BT37" s="254"/>
      <c r="BU37" s="254"/>
      <c r="BV37" s="254"/>
    </row>
    <row r="38" spans="1:106" ht="13.8" thickBot="1" x14ac:dyDescent="0.3">
      <c r="A38" s="816"/>
      <c r="B38" s="254"/>
      <c r="C38" s="726"/>
      <c r="D38" s="1021"/>
      <c r="E38" s="726"/>
      <c r="F38" s="254"/>
      <c r="G38" s="254"/>
      <c r="H38" s="254"/>
      <c r="I38" s="254"/>
      <c r="J38" s="254"/>
      <c r="K38" s="254"/>
      <c r="L38" s="254"/>
      <c r="M38" s="254"/>
      <c r="N38" s="254"/>
      <c r="O38" s="254"/>
      <c r="P38" s="254"/>
      <c r="Q38" s="254"/>
      <c r="R38" s="254"/>
      <c r="S38" s="254"/>
      <c r="T38" s="254"/>
      <c r="U38" s="254"/>
      <c r="V38" s="254"/>
      <c r="W38" s="254"/>
      <c r="X38" s="254"/>
      <c r="Y38" s="254"/>
      <c r="Z38" s="254"/>
      <c r="AA38" s="254"/>
      <c r="AB38" s="254"/>
      <c r="AC38" s="254"/>
      <c r="AD38" s="254"/>
      <c r="AE38" s="254"/>
      <c r="AF38" s="254"/>
      <c r="AG38" s="254"/>
      <c r="AH38" s="254"/>
      <c r="AI38" s="254"/>
      <c r="AJ38" s="254"/>
      <c r="AK38" s="254"/>
      <c r="AL38" s="254"/>
      <c r="AM38" s="254"/>
      <c r="AN38" s="254"/>
      <c r="AO38" s="254"/>
      <c r="AP38" s="254"/>
      <c r="AQ38" s="254"/>
      <c r="AR38" s="254"/>
      <c r="AS38" s="254"/>
      <c r="AT38" s="254"/>
      <c r="AU38" s="254"/>
      <c r="AV38" s="254"/>
      <c r="AW38" s="254"/>
      <c r="AX38" s="254"/>
      <c r="AY38" s="254"/>
      <c r="AZ38" s="254"/>
      <c r="BA38" s="254"/>
      <c r="BB38" s="254"/>
      <c r="BC38" s="254"/>
      <c r="BD38" s="254"/>
      <c r="BE38" s="254"/>
      <c r="BF38" s="254"/>
      <c r="BG38" s="254"/>
      <c r="BH38" s="254"/>
      <c r="BI38" s="254"/>
      <c r="BJ38" s="254"/>
      <c r="BK38" s="254"/>
      <c r="BL38" s="254"/>
      <c r="BM38" s="254"/>
      <c r="BN38" s="254"/>
      <c r="BO38" s="254"/>
      <c r="BP38" s="254"/>
      <c r="BQ38" s="254"/>
      <c r="BR38" s="254"/>
      <c r="BS38" s="254"/>
      <c r="BT38" s="254"/>
      <c r="BU38" s="254"/>
      <c r="BV38" s="254"/>
    </row>
    <row r="39" spans="1:106" s="836" customFormat="1" x14ac:dyDescent="0.25">
      <c r="A39" s="832" t="s">
        <v>1088</v>
      </c>
      <c r="B39" s="833"/>
      <c r="C39" s="834"/>
      <c r="D39" s="1022"/>
      <c r="E39" s="834"/>
      <c r="F39" s="833"/>
      <c r="G39" s="833"/>
      <c r="H39" s="833"/>
      <c r="I39" s="833"/>
      <c r="J39" s="833"/>
      <c r="K39" s="833"/>
      <c r="L39" s="833"/>
      <c r="M39" s="833"/>
      <c r="N39" s="833"/>
      <c r="O39" s="833"/>
      <c r="P39" s="833"/>
      <c r="Q39" s="833"/>
      <c r="R39" s="833"/>
      <c r="S39" s="833"/>
      <c r="T39" s="833"/>
      <c r="U39" s="833"/>
      <c r="V39" s="833"/>
      <c r="W39" s="833"/>
      <c r="X39" s="833"/>
      <c r="Y39" s="833"/>
      <c r="Z39" s="833"/>
      <c r="AA39" s="833"/>
      <c r="AB39" s="833"/>
      <c r="AC39" s="833"/>
      <c r="AD39" s="833"/>
      <c r="AE39" s="833"/>
      <c r="AF39" s="833"/>
      <c r="AG39" s="833"/>
      <c r="AH39" s="833"/>
      <c r="AI39" s="833"/>
      <c r="AJ39" s="833"/>
      <c r="AK39" s="833"/>
      <c r="AL39" s="833"/>
      <c r="AM39" s="833"/>
      <c r="AN39" s="833"/>
      <c r="AO39" s="833"/>
      <c r="AP39" s="833"/>
      <c r="AQ39" s="833"/>
      <c r="AR39" s="833"/>
      <c r="AS39" s="833"/>
      <c r="AT39" s="833"/>
      <c r="AU39" s="833"/>
      <c r="AV39" s="833"/>
      <c r="AW39" s="833"/>
      <c r="AX39" s="833"/>
      <c r="AY39" s="833"/>
      <c r="AZ39" s="833"/>
      <c r="BA39" s="833"/>
      <c r="BB39" s="833"/>
      <c r="BC39" s="833"/>
      <c r="BD39" s="833"/>
      <c r="BE39" s="833"/>
      <c r="BF39" s="833"/>
      <c r="BG39" s="833"/>
      <c r="BH39" s="833"/>
      <c r="BI39" s="833"/>
      <c r="BJ39" s="833"/>
      <c r="BK39" s="833"/>
      <c r="BL39" s="833"/>
      <c r="BM39" s="833"/>
      <c r="BN39" s="833"/>
      <c r="BO39" s="833"/>
      <c r="BP39" s="833"/>
      <c r="BQ39" s="833"/>
      <c r="BR39" s="833"/>
      <c r="BS39" s="833"/>
      <c r="BT39" s="833"/>
      <c r="BU39" s="833"/>
      <c r="BV39" s="835"/>
    </row>
    <row r="40" spans="1:106" s="836" customFormat="1" x14ac:dyDescent="0.25">
      <c r="A40" s="837" t="s">
        <v>1089</v>
      </c>
      <c r="B40" s="838"/>
      <c r="C40" s="839"/>
      <c r="D40" s="1023"/>
      <c r="E40" s="839"/>
      <c r="F40" s="838"/>
      <c r="G40" s="838"/>
      <c r="H40" s="838"/>
      <c r="I40" s="838"/>
      <c r="J40" s="838"/>
      <c r="K40" s="838"/>
      <c r="L40" s="838"/>
      <c r="M40" s="838"/>
      <c r="N40" s="838"/>
      <c r="O40" s="838"/>
      <c r="P40" s="838"/>
      <c r="Q40" s="838"/>
      <c r="R40" s="838"/>
      <c r="S40" s="838"/>
      <c r="T40" s="838"/>
      <c r="U40" s="838"/>
      <c r="V40" s="838"/>
      <c r="W40" s="838"/>
      <c r="X40" s="838"/>
      <c r="Y40" s="838"/>
      <c r="Z40" s="838"/>
      <c r="AA40" s="838"/>
      <c r="AB40" s="838"/>
      <c r="AC40" s="838"/>
      <c r="AD40" s="838"/>
      <c r="AE40" s="838"/>
      <c r="AF40" s="838"/>
      <c r="AG40" s="838"/>
      <c r="AH40" s="838"/>
      <c r="AI40" s="838"/>
      <c r="AJ40" s="838"/>
      <c r="AK40" s="838"/>
      <c r="AL40" s="838"/>
      <c r="AM40" s="838"/>
      <c r="AN40" s="838"/>
      <c r="AO40" s="838"/>
      <c r="AP40" s="838"/>
      <c r="AQ40" s="838"/>
      <c r="AR40" s="838"/>
      <c r="AS40" s="838"/>
      <c r="AT40" s="838"/>
      <c r="AU40" s="838"/>
      <c r="AV40" s="838"/>
      <c r="AW40" s="838"/>
      <c r="AX40" s="838"/>
      <c r="AY40" s="838"/>
      <c r="AZ40" s="838"/>
      <c r="BA40" s="838"/>
      <c r="BB40" s="838"/>
      <c r="BC40" s="838"/>
      <c r="BD40" s="838"/>
      <c r="BE40" s="838"/>
      <c r="BF40" s="838"/>
      <c r="BG40" s="838"/>
      <c r="BH40" s="838"/>
      <c r="BI40" s="838"/>
      <c r="BJ40" s="838"/>
      <c r="BK40" s="838"/>
      <c r="BL40" s="838"/>
      <c r="BM40" s="838"/>
      <c r="BN40" s="838"/>
      <c r="BO40" s="838"/>
      <c r="BP40" s="838"/>
      <c r="BQ40" s="838"/>
      <c r="BR40" s="838"/>
      <c r="BS40" s="838"/>
      <c r="BT40" s="838"/>
      <c r="BU40" s="838"/>
      <c r="BV40" s="840"/>
    </row>
    <row r="41" spans="1:106" s="836" customFormat="1" x14ac:dyDescent="0.25">
      <c r="A41" s="841"/>
      <c r="B41" s="838"/>
      <c r="C41" s="839"/>
      <c r="D41" s="1023"/>
      <c r="E41" s="839"/>
      <c r="F41" s="838"/>
      <c r="G41" s="838"/>
      <c r="H41" s="838"/>
      <c r="I41" s="838"/>
      <c r="J41" s="838"/>
      <c r="K41" s="838"/>
      <c r="L41" s="838"/>
      <c r="M41" s="838"/>
      <c r="N41" s="838"/>
      <c r="O41" s="838"/>
      <c r="P41" s="838"/>
      <c r="Q41" s="838"/>
      <c r="R41" s="838"/>
      <c r="S41" s="838"/>
      <c r="T41" s="838"/>
      <c r="U41" s="838"/>
      <c r="V41" s="838"/>
      <c r="W41" s="838"/>
      <c r="X41" s="838"/>
      <c r="Y41" s="838"/>
      <c r="Z41" s="838"/>
      <c r="AA41" s="838"/>
      <c r="AB41" s="838"/>
      <c r="AC41" s="838"/>
      <c r="AD41" s="838"/>
      <c r="AE41" s="838"/>
      <c r="AF41" s="838"/>
      <c r="AG41" s="838"/>
      <c r="AH41" s="838"/>
      <c r="AI41" s="838"/>
      <c r="AJ41" s="838"/>
      <c r="AK41" s="838"/>
      <c r="AL41" s="838"/>
      <c r="AM41" s="838"/>
      <c r="AN41" s="838"/>
      <c r="AO41" s="838"/>
      <c r="AP41" s="838"/>
      <c r="AQ41" s="838"/>
      <c r="AR41" s="838"/>
      <c r="AS41" s="838"/>
      <c r="AT41" s="838"/>
      <c r="AU41" s="838"/>
      <c r="AV41" s="838"/>
      <c r="AW41" s="838"/>
      <c r="AX41" s="838"/>
      <c r="AY41" s="838"/>
      <c r="AZ41" s="838"/>
      <c r="BA41" s="838"/>
      <c r="BB41" s="838"/>
      <c r="BC41" s="838"/>
      <c r="BD41" s="838"/>
      <c r="BE41" s="838"/>
      <c r="BF41" s="838"/>
      <c r="BG41" s="838"/>
      <c r="BH41" s="838"/>
      <c r="BI41" s="838"/>
      <c r="BJ41" s="838"/>
      <c r="BK41" s="838"/>
      <c r="BL41" s="838"/>
      <c r="BM41" s="838"/>
      <c r="BN41" s="838"/>
      <c r="BO41" s="838"/>
      <c r="BP41" s="838"/>
      <c r="BQ41" s="838"/>
      <c r="BR41" s="838"/>
      <c r="BS41" s="838"/>
      <c r="BT41" s="838"/>
      <c r="BU41" s="838"/>
      <c r="BV41" s="840"/>
    </row>
    <row r="42" spans="1:106" s="836" customFormat="1" x14ac:dyDescent="0.25">
      <c r="A42" s="841" t="s">
        <v>670</v>
      </c>
      <c r="B42" s="838"/>
      <c r="C42" s="839"/>
      <c r="D42" s="1023"/>
      <c r="E42" s="839"/>
      <c r="F42" s="838"/>
      <c r="G42" s="838"/>
      <c r="H42" s="838"/>
      <c r="I42" s="838"/>
      <c r="J42" s="838"/>
      <c r="K42" s="838"/>
      <c r="L42" s="838"/>
      <c r="M42" s="838"/>
      <c r="N42" s="842">
        <v>11.359373</v>
      </c>
      <c r="O42" s="842">
        <v>10.802343</v>
      </c>
      <c r="P42" s="842">
        <v>10.464380999999999</v>
      </c>
      <c r="Q42" s="842">
        <v>10.477905</v>
      </c>
      <c r="R42" s="842">
        <v>10.253485</v>
      </c>
      <c r="S42" s="842">
        <v>10.156079999999999</v>
      </c>
      <c r="T42" s="842">
        <v>10.662777999999999</v>
      </c>
      <c r="U42" s="842">
        <v>10.990506</v>
      </c>
      <c r="V42" s="842">
        <v>11.397518</v>
      </c>
      <c r="W42" s="842">
        <v>11.624905</v>
      </c>
      <c r="X42" s="842">
        <v>11.776242999999999</v>
      </c>
      <c r="Y42" s="842">
        <v>11.960003</v>
      </c>
      <c r="Z42" s="842">
        <v>12.203179</v>
      </c>
      <c r="AA42" s="842">
        <v>12.432268000000001</v>
      </c>
      <c r="AB42" s="842">
        <v>12.584531</v>
      </c>
      <c r="AC42" s="842">
        <v>12.674325</v>
      </c>
      <c r="AD42" s="842">
        <v>12.841908</v>
      </c>
      <c r="AE42" s="842">
        <v>12.933384999999999</v>
      </c>
      <c r="AF42" s="842">
        <v>13.085578999999999</v>
      </c>
      <c r="AG42" s="842">
        <v>13.234385</v>
      </c>
      <c r="AH42" s="842">
        <v>13.368997999999999</v>
      </c>
      <c r="AI42" s="842">
        <v>13.547089</v>
      </c>
      <c r="AJ42" s="842">
        <v>13.721807</v>
      </c>
      <c r="AK42" s="842">
        <v>13.935895</v>
      </c>
      <c r="AL42" s="842">
        <v>14.248931000000001</v>
      </c>
      <c r="AM42" s="842">
        <v>14.598827</v>
      </c>
      <c r="AN42" s="842">
        <v>15.023702999999999</v>
      </c>
      <c r="AO42" s="842">
        <v>15.415895000000001</v>
      </c>
      <c r="AP42" s="842">
        <v>15.842275000000001</v>
      </c>
      <c r="AQ42" s="842">
        <v>16.055761</v>
      </c>
      <c r="AR42" s="842">
        <v>16.363073</v>
      </c>
      <c r="AS42" s="838"/>
      <c r="AT42" s="838"/>
      <c r="AU42" s="838"/>
      <c r="AV42" s="838"/>
      <c r="AW42" s="838"/>
      <c r="AX42" s="838"/>
      <c r="AY42" s="838"/>
      <c r="AZ42" s="838"/>
      <c r="BA42" s="838"/>
      <c r="BB42" s="838"/>
      <c r="BC42" s="838"/>
      <c r="BD42" s="838"/>
      <c r="BE42" s="838"/>
      <c r="BF42" s="838"/>
      <c r="BG42" s="838"/>
      <c r="BH42" s="838"/>
      <c r="BI42" s="838"/>
      <c r="BJ42" s="838"/>
      <c r="BK42" s="838"/>
      <c r="BL42" s="838"/>
      <c r="BM42" s="838"/>
      <c r="BN42" s="838"/>
      <c r="BO42" s="838"/>
      <c r="BP42" s="838"/>
      <c r="BQ42" s="838"/>
      <c r="BR42" s="838"/>
      <c r="BS42" s="838"/>
      <c r="BT42" s="838"/>
      <c r="BU42" s="838"/>
      <c r="BV42" s="840"/>
    </row>
    <row r="43" spans="1:106" s="836" customFormat="1" x14ac:dyDescent="0.25">
      <c r="A43" s="841" t="s">
        <v>1067</v>
      </c>
      <c r="B43" s="838"/>
      <c r="C43" s="839"/>
      <c r="D43" s="1023"/>
      <c r="E43" s="839"/>
      <c r="F43" s="838"/>
      <c r="G43" s="838"/>
      <c r="H43" s="838"/>
      <c r="I43" s="838"/>
      <c r="J43" s="838"/>
      <c r="K43" s="838"/>
      <c r="L43" s="838"/>
      <c r="M43" s="838"/>
      <c r="N43" s="842">
        <v>9.3969749999999994</v>
      </c>
      <c r="O43" s="842">
        <v>8.8368610000000007</v>
      </c>
      <c r="P43" s="842">
        <v>8.0727960000000003</v>
      </c>
      <c r="Q43" s="842">
        <v>8.4627339999999993</v>
      </c>
      <c r="R43" s="842">
        <v>8.2352620000000005</v>
      </c>
      <c r="S43" s="842">
        <v>8.1043620000000001</v>
      </c>
      <c r="T43" s="842">
        <v>8.5610389999999992</v>
      </c>
      <c r="U43" s="842">
        <v>8.8247909999999994</v>
      </c>
      <c r="V43" s="842">
        <v>9.1722800000000007</v>
      </c>
      <c r="W43" s="842">
        <v>9.3508150000000008</v>
      </c>
      <c r="X43" s="842">
        <v>9.4680210000000002</v>
      </c>
      <c r="Y43" s="842">
        <v>9.6109419999999997</v>
      </c>
      <c r="Z43" s="842">
        <v>9.8191819999999996</v>
      </c>
      <c r="AA43" s="842">
        <v>10.011597999999999</v>
      </c>
      <c r="AB43" s="842">
        <v>10.133018</v>
      </c>
      <c r="AC43" s="842">
        <v>10.193654</v>
      </c>
      <c r="AD43" s="842">
        <v>10.33554</v>
      </c>
      <c r="AE43" s="842">
        <v>10.388019</v>
      </c>
      <c r="AF43" s="842">
        <v>10.500005</v>
      </c>
      <c r="AG43" s="842">
        <v>10.605323</v>
      </c>
      <c r="AH43" s="842">
        <v>10.697221000000001</v>
      </c>
      <c r="AI43" s="842">
        <v>10.832411</v>
      </c>
      <c r="AJ43" s="842">
        <v>10.954602</v>
      </c>
      <c r="AK43" s="842">
        <v>11.11848</v>
      </c>
      <c r="AL43" s="842">
        <v>11.383407</v>
      </c>
      <c r="AM43" s="842">
        <v>11.681657</v>
      </c>
      <c r="AN43" s="842">
        <v>12.061093</v>
      </c>
      <c r="AO43" s="842">
        <v>12.401303</v>
      </c>
      <c r="AP43" s="842">
        <v>12.781521</v>
      </c>
      <c r="AQ43" s="842">
        <v>12.948893999999999</v>
      </c>
      <c r="AR43" s="842">
        <v>13.212922000000001</v>
      </c>
      <c r="AS43" s="838"/>
      <c r="AT43" s="838"/>
      <c r="AU43" s="838"/>
      <c r="AV43" s="838"/>
      <c r="AW43" s="838"/>
      <c r="AX43" s="838"/>
      <c r="AY43" s="838"/>
      <c r="AZ43" s="838"/>
      <c r="BA43" s="838"/>
      <c r="BB43" s="838"/>
      <c r="BC43" s="838"/>
      <c r="BD43" s="838"/>
      <c r="BE43" s="838"/>
      <c r="BF43" s="838"/>
      <c r="BG43" s="838"/>
      <c r="BH43" s="838"/>
      <c r="BI43" s="838"/>
      <c r="BJ43" s="838"/>
      <c r="BK43" s="838"/>
      <c r="BL43" s="838"/>
      <c r="BM43" s="838"/>
      <c r="BN43" s="838"/>
      <c r="BO43" s="838"/>
      <c r="BP43" s="838"/>
      <c r="BQ43" s="838"/>
      <c r="BR43" s="838"/>
      <c r="BS43" s="838"/>
      <c r="BT43" s="838"/>
      <c r="BU43" s="838"/>
      <c r="BV43" s="840"/>
    </row>
    <row r="44" spans="1:106" s="836" customFormat="1" x14ac:dyDescent="0.25">
      <c r="A44" s="841" t="s">
        <v>282</v>
      </c>
      <c r="B44" s="838"/>
      <c r="C44" s="839"/>
      <c r="D44" s="1023"/>
      <c r="E44" s="839"/>
      <c r="F44" s="838"/>
      <c r="G44" s="838"/>
      <c r="H44" s="838"/>
      <c r="I44" s="838"/>
      <c r="J44" s="838"/>
      <c r="K44" s="838"/>
      <c r="L44" s="838"/>
      <c r="M44" s="838"/>
      <c r="N44" s="842">
        <v>5.4839599999999997</v>
      </c>
      <c r="O44" s="842">
        <v>4.8898130000000002</v>
      </c>
      <c r="P44" s="842">
        <v>3.7596859999999999</v>
      </c>
      <c r="Q44" s="842">
        <v>4.3339879999999997</v>
      </c>
      <c r="R44" s="842">
        <v>4.3750520000000002</v>
      </c>
      <c r="S44" s="842">
        <v>4.4225349999999999</v>
      </c>
      <c r="T44" s="842">
        <v>4.8660360000000003</v>
      </c>
      <c r="U44" s="842">
        <v>5.0679410000000003</v>
      </c>
      <c r="V44" s="842">
        <v>5.3212570000000001</v>
      </c>
      <c r="W44" s="842">
        <v>5.4497980000000004</v>
      </c>
      <c r="X44" s="842">
        <v>5.5294119999999998</v>
      </c>
      <c r="Y44" s="842">
        <v>5.6406840000000003</v>
      </c>
      <c r="Z44" s="842">
        <v>5.8277749999999999</v>
      </c>
      <c r="AA44" s="842">
        <v>6.0107049999999997</v>
      </c>
      <c r="AB44" s="842">
        <v>6.1100089999999998</v>
      </c>
      <c r="AC44" s="842">
        <v>6.1511990000000001</v>
      </c>
      <c r="AD44" s="842">
        <v>6.2557600000000004</v>
      </c>
      <c r="AE44" s="842">
        <v>6.2949159999999997</v>
      </c>
      <c r="AF44" s="842">
        <v>6.396782</v>
      </c>
      <c r="AG44" s="842">
        <v>6.4862520000000004</v>
      </c>
      <c r="AH44" s="842">
        <v>6.561483</v>
      </c>
      <c r="AI44" s="842">
        <v>6.6766310000000004</v>
      </c>
      <c r="AJ44" s="842">
        <v>6.771134</v>
      </c>
      <c r="AK44" s="842">
        <v>6.9159920000000001</v>
      </c>
      <c r="AL44" s="842">
        <v>7.1687539999999998</v>
      </c>
      <c r="AM44" s="842">
        <v>7.4454149999999997</v>
      </c>
      <c r="AN44" s="842">
        <v>7.813205</v>
      </c>
      <c r="AO44" s="842">
        <v>8.1536600000000004</v>
      </c>
      <c r="AP44" s="842">
        <v>8.4989190000000008</v>
      </c>
      <c r="AQ44" s="842">
        <v>8.6393810000000002</v>
      </c>
      <c r="AR44" s="842">
        <v>8.8810929999999999</v>
      </c>
      <c r="AS44" s="838"/>
      <c r="AT44" s="838"/>
      <c r="AU44" s="838"/>
      <c r="AV44" s="838"/>
      <c r="AW44" s="838"/>
      <c r="AX44" s="838"/>
      <c r="AY44" s="838"/>
      <c r="AZ44" s="838"/>
      <c r="BA44" s="838"/>
      <c r="BB44" s="838"/>
      <c r="BC44" s="838"/>
      <c r="BD44" s="838"/>
      <c r="BE44" s="838"/>
      <c r="BF44" s="838"/>
      <c r="BG44" s="838"/>
      <c r="BH44" s="838"/>
      <c r="BI44" s="838"/>
      <c r="BJ44" s="838"/>
      <c r="BK44" s="838"/>
      <c r="BL44" s="838"/>
      <c r="BM44" s="838"/>
      <c r="BN44" s="838"/>
      <c r="BO44" s="838"/>
      <c r="BP44" s="838"/>
      <c r="BQ44" s="838"/>
      <c r="BR44" s="838"/>
      <c r="BS44" s="838"/>
      <c r="BT44" s="838"/>
      <c r="BU44" s="838"/>
      <c r="BV44" s="840"/>
    </row>
    <row r="45" spans="1:106" s="836" customFormat="1" x14ac:dyDescent="0.25">
      <c r="A45" s="843" t="str">
        <f>'HyARC Physical Property Data'!$A$74</f>
        <v>Electric Utility Natural Gas</v>
      </c>
      <c r="B45" s="838"/>
      <c r="C45" s="839"/>
      <c r="D45" s="1023"/>
      <c r="E45" s="839"/>
      <c r="F45" s="838"/>
      <c r="G45" s="838"/>
      <c r="H45" s="838"/>
      <c r="I45" s="838"/>
      <c r="J45" s="838"/>
      <c r="K45" s="838"/>
      <c r="L45" s="838"/>
      <c r="M45" s="838"/>
      <c r="N45" s="842">
        <v>5.258165</v>
      </c>
      <c r="O45" s="842">
        <v>4.7747140000000003</v>
      </c>
      <c r="P45" s="842">
        <v>3.3217560000000002</v>
      </c>
      <c r="Q45" s="842">
        <v>3.7155300000000002</v>
      </c>
      <c r="R45" s="842">
        <v>3.758219</v>
      </c>
      <c r="S45" s="842">
        <v>3.8420709999999998</v>
      </c>
      <c r="T45" s="842">
        <v>4.2826180000000003</v>
      </c>
      <c r="U45" s="842">
        <v>4.4486730000000003</v>
      </c>
      <c r="V45" s="842">
        <v>4.7026110000000001</v>
      </c>
      <c r="W45" s="842">
        <v>4.8222319999999996</v>
      </c>
      <c r="X45" s="842">
        <v>4.8967590000000003</v>
      </c>
      <c r="Y45" s="842">
        <v>5.0074189999999996</v>
      </c>
      <c r="Z45" s="842">
        <v>5.20235</v>
      </c>
      <c r="AA45" s="842">
        <v>5.388776</v>
      </c>
      <c r="AB45" s="842">
        <v>5.5179349999999996</v>
      </c>
      <c r="AC45" s="842">
        <v>5.5779610000000002</v>
      </c>
      <c r="AD45" s="842">
        <v>5.7088080000000003</v>
      </c>
      <c r="AE45" s="842">
        <v>5.7607720000000002</v>
      </c>
      <c r="AF45" s="842">
        <v>5.8668440000000004</v>
      </c>
      <c r="AG45" s="842">
        <v>5.9650189999999998</v>
      </c>
      <c r="AH45" s="842">
        <v>6.0528500000000003</v>
      </c>
      <c r="AI45" s="842">
        <v>6.1836820000000001</v>
      </c>
      <c r="AJ45" s="842">
        <v>6.2931780000000002</v>
      </c>
      <c r="AK45" s="842">
        <v>6.4458729999999997</v>
      </c>
      <c r="AL45" s="842">
        <v>6.6983480000000002</v>
      </c>
      <c r="AM45" s="842">
        <v>6.9804459999999997</v>
      </c>
      <c r="AN45" s="842">
        <v>7.345173</v>
      </c>
      <c r="AO45" s="842">
        <v>7.6749489999999998</v>
      </c>
      <c r="AP45" s="842">
        <v>8.0219799999999992</v>
      </c>
      <c r="AQ45" s="842">
        <v>8.1549879999999995</v>
      </c>
      <c r="AR45" s="842">
        <v>8.3777830000000009</v>
      </c>
      <c r="AS45" s="838"/>
      <c r="AT45" s="838"/>
      <c r="AU45" s="838"/>
      <c r="AV45" s="838"/>
      <c r="AW45" s="838"/>
      <c r="AX45" s="838"/>
      <c r="AY45" s="838"/>
      <c r="AZ45" s="838"/>
      <c r="BA45" s="838"/>
      <c r="BB45" s="838"/>
      <c r="BC45" s="838"/>
      <c r="BD45" s="838"/>
      <c r="BE45" s="838"/>
      <c r="BF45" s="838"/>
      <c r="BG45" s="838"/>
      <c r="BH45" s="838"/>
      <c r="BI45" s="838"/>
      <c r="BJ45" s="838"/>
      <c r="BK45" s="838"/>
      <c r="BL45" s="838"/>
      <c r="BM45" s="838"/>
      <c r="BN45" s="838"/>
      <c r="BO45" s="838"/>
      <c r="BP45" s="838"/>
      <c r="BQ45" s="838"/>
      <c r="BR45" s="838"/>
      <c r="BS45" s="838"/>
      <c r="BT45" s="838"/>
      <c r="BU45" s="838"/>
      <c r="BV45" s="840"/>
    </row>
    <row r="46" spans="1:106" s="836" customFormat="1" x14ac:dyDescent="0.25">
      <c r="A46" s="841" t="str">
        <f>'HyARC Physical Property Data'!$A$85</f>
        <v>Woody Biomass</v>
      </c>
      <c r="B46" s="838"/>
      <c r="C46" s="839"/>
      <c r="D46" s="1023"/>
      <c r="E46" s="839"/>
      <c r="F46" s="838"/>
      <c r="G46" s="838"/>
      <c r="H46" s="838"/>
      <c r="I46" s="838"/>
      <c r="J46" s="838"/>
      <c r="K46" s="838"/>
      <c r="L46" s="838"/>
      <c r="M46" s="838"/>
      <c r="N46" s="842"/>
      <c r="O46" s="842"/>
      <c r="P46" s="842"/>
      <c r="Q46" s="842"/>
      <c r="R46" s="842"/>
      <c r="S46" s="842"/>
      <c r="T46" s="842"/>
      <c r="U46" s="842"/>
      <c r="V46" s="842"/>
      <c r="W46" s="842"/>
      <c r="X46" s="842"/>
      <c r="Y46" s="842"/>
      <c r="Z46" s="842"/>
      <c r="AA46" s="842"/>
      <c r="AB46" s="842"/>
      <c r="AC46" s="842"/>
      <c r="AD46" s="842"/>
      <c r="AE46" s="842"/>
      <c r="AF46" s="842"/>
      <c r="AG46" s="842"/>
      <c r="AH46" s="842"/>
      <c r="AI46" s="842"/>
      <c r="AJ46" s="842"/>
      <c r="AK46" s="842"/>
      <c r="AL46" s="842"/>
      <c r="AM46" s="842"/>
      <c r="AN46" s="842"/>
      <c r="AO46" s="842"/>
      <c r="AP46" s="842"/>
      <c r="AQ46" s="842"/>
      <c r="AR46" s="842"/>
      <c r="AS46" s="838"/>
      <c r="AT46" s="838"/>
      <c r="AU46" s="838"/>
      <c r="AV46" s="838"/>
      <c r="AW46" s="838"/>
      <c r="AX46" s="838"/>
      <c r="AY46" s="838"/>
      <c r="AZ46" s="838"/>
      <c r="BA46" s="838"/>
      <c r="BB46" s="838"/>
      <c r="BC46" s="838"/>
      <c r="BD46" s="838"/>
      <c r="BE46" s="838"/>
      <c r="BF46" s="838"/>
      <c r="BG46" s="838"/>
      <c r="BH46" s="838"/>
      <c r="BI46" s="838"/>
      <c r="BJ46" s="838"/>
      <c r="BK46" s="838"/>
      <c r="BL46" s="838"/>
      <c r="BM46" s="838"/>
      <c r="BN46" s="838"/>
      <c r="BO46" s="838"/>
      <c r="BP46" s="838"/>
      <c r="BQ46" s="838"/>
      <c r="BR46" s="838"/>
      <c r="BS46" s="838"/>
      <c r="BT46" s="838"/>
      <c r="BU46" s="838"/>
      <c r="BV46" s="840"/>
    </row>
    <row r="47" spans="1:106" s="836" customFormat="1" x14ac:dyDescent="0.25">
      <c r="A47" s="841" t="s">
        <v>1090</v>
      </c>
      <c r="B47" s="838"/>
      <c r="C47" s="839"/>
      <c r="D47" s="1023"/>
      <c r="E47" s="839"/>
      <c r="F47" s="838"/>
      <c r="G47" s="838"/>
      <c r="H47" s="838"/>
      <c r="I47" s="838"/>
      <c r="J47" s="838"/>
      <c r="K47" s="838"/>
      <c r="L47" s="838"/>
      <c r="M47" s="838"/>
      <c r="N47" s="842">
        <v>13.6</v>
      </c>
      <c r="O47" s="842">
        <v>13.6</v>
      </c>
      <c r="P47" s="842">
        <v>13.6</v>
      </c>
      <c r="Q47" s="842">
        <v>13.6</v>
      </c>
      <c r="R47" s="842">
        <v>13.6</v>
      </c>
      <c r="S47" s="842">
        <v>13.6</v>
      </c>
      <c r="T47" s="842">
        <v>13.6</v>
      </c>
      <c r="U47" s="842">
        <v>14.11</v>
      </c>
      <c r="V47" s="842">
        <v>14.11</v>
      </c>
      <c r="W47" s="842">
        <v>14.11</v>
      </c>
      <c r="X47" s="842">
        <v>14.11</v>
      </c>
      <c r="Y47" s="842">
        <v>14.11</v>
      </c>
      <c r="Z47" s="842">
        <v>14.11</v>
      </c>
      <c r="AA47" s="842">
        <v>14.11</v>
      </c>
      <c r="AB47" s="842">
        <v>14.11</v>
      </c>
      <c r="AC47" s="842">
        <v>14.11</v>
      </c>
      <c r="AD47" s="842">
        <v>14.11</v>
      </c>
      <c r="AE47" s="842">
        <v>14.11</v>
      </c>
      <c r="AF47" s="842">
        <v>14.11</v>
      </c>
      <c r="AG47" s="842">
        <v>14.11</v>
      </c>
      <c r="AH47" s="842">
        <v>14.11</v>
      </c>
      <c r="AI47" s="842">
        <v>14.11</v>
      </c>
      <c r="AJ47" s="842">
        <v>14.11</v>
      </c>
      <c r="AK47" s="842">
        <v>14.11</v>
      </c>
      <c r="AL47" s="842">
        <v>14.11</v>
      </c>
      <c r="AM47" s="842">
        <v>14.11</v>
      </c>
      <c r="AN47" s="842">
        <v>14.11</v>
      </c>
      <c r="AO47" s="842">
        <v>14.11</v>
      </c>
      <c r="AP47" s="842">
        <v>14.11</v>
      </c>
      <c r="AQ47" s="842">
        <v>14.11</v>
      </c>
      <c r="AR47" s="842">
        <v>14.11</v>
      </c>
      <c r="AS47" s="842">
        <v>14.11</v>
      </c>
      <c r="AT47" s="842">
        <v>14.11</v>
      </c>
      <c r="AU47" s="842">
        <v>14.11</v>
      </c>
      <c r="AV47" s="842">
        <v>14.11</v>
      </c>
      <c r="AW47" s="842">
        <v>14.11</v>
      </c>
      <c r="AX47" s="842">
        <v>14.11</v>
      </c>
      <c r="AY47" s="842">
        <v>14.11</v>
      </c>
      <c r="AZ47" s="842">
        <v>14.11</v>
      </c>
      <c r="BA47" s="842">
        <v>14.11</v>
      </c>
      <c r="BB47" s="842">
        <v>14.11</v>
      </c>
      <c r="BC47" s="842">
        <v>14.11</v>
      </c>
      <c r="BD47" s="842">
        <v>14.11</v>
      </c>
      <c r="BE47" s="842">
        <v>14.11</v>
      </c>
      <c r="BF47" s="842">
        <v>14.11</v>
      </c>
      <c r="BG47" s="842">
        <v>14.11</v>
      </c>
      <c r="BH47" s="842">
        <v>14.11</v>
      </c>
      <c r="BI47" s="842">
        <v>14.11</v>
      </c>
      <c r="BJ47" s="842">
        <v>14.11</v>
      </c>
      <c r="BK47" s="842">
        <v>14.11</v>
      </c>
      <c r="BL47" s="842">
        <v>14.11</v>
      </c>
      <c r="BM47" s="842">
        <v>14.11</v>
      </c>
      <c r="BN47" s="842">
        <v>14.11</v>
      </c>
      <c r="BO47" s="842">
        <v>14.11</v>
      </c>
      <c r="BP47" s="842">
        <v>14.11</v>
      </c>
      <c r="BQ47" s="842">
        <v>14.11</v>
      </c>
      <c r="BR47" s="842">
        <v>14.11</v>
      </c>
      <c r="BS47" s="842">
        <v>14.11</v>
      </c>
      <c r="BT47" s="842">
        <v>14.11</v>
      </c>
      <c r="BU47" s="842">
        <v>14.11</v>
      </c>
      <c r="BV47" s="844">
        <v>14.11</v>
      </c>
    </row>
    <row r="48" spans="1:106" s="836" customFormat="1" x14ac:dyDescent="0.25">
      <c r="A48" s="841" t="s">
        <v>310</v>
      </c>
      <c r="B48" s="838"/>
      <c r="C48" s="839"/>
      <c r="D48" s="1023"/>
      <c r="E48" s="839"/>
      <c r="F48" s="838"/>
      <c r="G48" s="838"/>
      <c r="H48" s="838"/>
      <c r="I48" s="838"/>
      <c r="J48" s="838"/>
      <c r="K48" s="838"/>
      <c r="L48" s="838"/>
      <c r="M48" s="838"/>
      <c r="N48" s="842">
        <v>23.6</v>
      </c>
      <c r="O48" s="842">
        <v>23.6</v>
      </c>
      <c r="P48" s="842">
        <v>23.6</v>
      </c>
      <c r="Q48" s="842">
        <v>23.6</v>
      </c>
      <c r="R48" s="842">
        <v>23.6</v>
      </c>
      <c r="S48" s="842">
        <v>23.6</v>
      </c>
      <c r="T48" s="842">
        <v>23.6</v>
      </c>
      <c r="U48" s="842">
        <v>23.6</v>
      </c>
      <c r="V48" s="842">
        <v>23.6</v>
      </c>
      <c r="W48" s="842">
        <v>23.6</v>
      </c>
      <c r="X48" s="842">
        <v>23.6</v>
      </c>
      <c r="Y48" s="842">
        <v>23.6</v>
      </c>
      <c r="Z48" s="842">
        <v>23.6</v>
      </c>
      <c r="AA48" s="842">
        <v>23.6</v>
      </c>
      <c r="AB48" s="842">
        <v>23.6</v>
      </c>
      <c r="AC48" s="842">
        <v>23.6</v>
      </c>
      <c r="AD48" s="842">
        <v>23.6</v>
      </c>
      <c r="AE48" s="842">
        <v>23.6</v>
      </c>
      <c r="AF48" s="842">
        <v>23.6</v>
      </c>
      <c r="AG48" s="842">
        <v>23.6</v>
      </c>
      <c r="AH48" s="842">
        <v>23.6</v>
      </c>
      <c r="AI48" s="842">
        <v>23.6</v>
      </c>
      <c r="AJ48" s="842">
        <v>23.6</v>
      </c>
      <c r="AK48" s="842">
        <v>23.6</v>
      </c>
      <c r="AL48" s="842">
        <v>23.6</v>
      </c>
      <c r="AM48" s="842">
        <v>23.6</v>
      </c>
      <c r="AN48" s="842">
        <v>23.6</v>
      </c>
      <c r="AO48" s="842">
        <v>23.6</v>
      </c>
      <c r="AP48" s="842">
        <v>23.6</v>
      </c>
      <c r="AQ48" s="842">
        <v>23.6</v>
      </c>
      <c r="AR48" s="842">
        <v>23.6</v>
      </c>
      <c r="AS48" s="842">
        <v>23.6</v>
      </c>
      <c r="AT48" s="842">
        <v>23.6</v>
      </c>
      <c r="AU48" s="842">
        <v>23.6</v>
      </c>
      <c r="AV48" s="842">
        <v>23.6</v>
      </c>
      <c r="AW48" s="842">
        <v>23.6</v>
      </c>
      <c r="AX48" s="842">
        <v>23.6</v>
      </c>
      <c r="AY48" s="842">
        <v>23.6</v>
      </c>
      <c r="AZ48" s="842">
        <v>23.6</v>
      </c>
      <c r="BA48" s="842">
        <v>23.6</v>
      </c>
      <c r="BB48" s="842">
        <v>23.6</v>
      </c>
      <c r="BC48" s="842">
        <v>23.6</v>
      </c>
      <c r="BD48" s="842">
        <v>23.6</v>
      </c>
      <c r="BE48" s="842">
        <v>23.6</v>
      </c>
      <c r="BF48" s="842">
        <v>23.6</v>
      </c>
      <c r="BG48" s="842">
        <v>23.6</v>
      </c>
      <c r="BH48" s="842">
        <v>23.6</v>
      </c>
      <c r="BI48" s="842">
        <v>23.6</v>
      </c>
      <c r="BJ48" s="842">
        <v>23.6</v>
      </c>
      <c r="BK48" s="842">
        <v>23.6</v>
      </c>
      <c r="BL48" s="842">
        <v>23.6</v>
      </c>
      <c r="BM48" s="842">
        <v>23.6</v>
      </c>
      <c r="BN48" s="842">
        <v>23.6</v>
      </c>
      <c r="BO48" s="842">
        <v>23.6</v>
      </c>
      <c r="BP48" s="842">
        <v>23.6</v>
      </c>
      <c r="BQ48" s="842">
        <v>23.6</v>
      </c>
      <c r="BR48" s="842">
        <v>23.6</v>
      </c>
      <c r="BS48" s="842">
        <v>23.6</v>
      </c>
      <c r="BT48" s="842">
        <v>23.6</v>
      </c>
      <c r="BU48" s="842">
        <v>23.6</v>
      </c>
      <c r="BV48" s="844">
        <v>23.6</v>
      </c>
    </row>
    <row r="49" spans="1:104" s="836" customFormat="1" x14ac:dyDescent="0.25">
      <c r="A49" s="843" t="s">
        <v>1091</v>
      </c>
      <c r="B49" s="838"/>
      <c r="C49" s="839"/>
      <c r="D49" s="1023"/>
      <c r="E49" s="839"/>
      <c r="F49" s="838"/>
      <c r="G49" s="838"/>
      <c r="H49" s="838"/>
      <c r="I49" s="838"/>
      <c r="J49" s="838"/>
      <c r="K49" s="838"/>
      <c r="L49" s="838"/>
      <c r="M49" s="838"/>
      <c r="N49" s="842">
        <v>25.561684</v>
      </c>
      <c r="O49" s="842">
        <v>25.303816000000001</v>
      </c>
      <c r="P49" s="842">
        <v>33.642014000000003</v>
      </c>
      <c r="Q49" s="842">
        <v>31.120284999999999</v>
      </c>
      <c r="R49" s="842">
        <v>24.805427999999999</v>
      </c>
      <c r="S49" s="842">
        <v>24.941547</v>
      </c>
      <c r="T49" s="842">
        <v>24.510408000000002</v>
      </c>
      <c r="U49" s="842">
        <v>24.773121</v>
      </c>
      <c r="V49" s="842">
        <v>25.840997999999999</v>
      </c>
      <c r="W49" s="842">
        <v>26.808551999999999</v>
      </c>
      <c r="X49" s="842">
        <v>29.644617</v>
      </c>
      <c r="Y49" s="842">
        <v>29.383793000000001</v>
      </c>
      <c r="Z49" s="842">
        <v>28.224442</v>
      </c>
      <c r="AA49" s="842">
        <v>28.253482999999999</v>
      </c>
      <c r="AB49" s="842">
        <v>27.145426</v>
      </c>
      <c r="AC49" s="842">
        <v>27.272445999999999</v>
      </c>
      <c r="AD49" s="842">
        <v>27.519344</v>
      </c>
      <c r="AE49" s="842">
        <v>26.363682000000001</v>
      </c>
      <c r="AF49" s="842">
        <v>26.241467</v>
      </c>
      <c r="AG49" s="842">
        <v>26.599018000000001</v>
      </c>
      <c r="AH49" s="842">
        <v>26.941008</v>
      </c>
      <c r="AI49" s="842">
        <v>27.294556</v>
      </c>
      <c r="AJ49" s="842">
        <v>27.667862</v>
      </c>
      <c r="AK49" s="842">
        <v>28.194492</v>
      </c>
      <c r="AL49" s="842">
        <v>28.632065000000001</v>
      </c>
      <c r="AM49" s="842">
        <v>29.186733</v>
      </c>
      <c r="AN49" s="842">
        <v>29.790071000000001</v>
      </c>
      <c r="AO49" s="842">
        <v>30.397635000000001</v>
      </c>
      <c r="AP49" s="842">
        <v>30.990224999999999</v>
      </c>
      <c r="AQ49" s="842">
        <v>31.671036000000001</v>
      </c>
      <c r="AR49" s="842">
        <v>30.576360999999999</v>
      </c>
      <c r="AS49" s="838"/>
      <c r="AT49" s="838"/>
      <c r="AU49" s="838"/>
      <c r="AV49" s="838"/>
      <c r="AW49" s="838"/>
      <c r="AX49" s="838"/>
      <c r="AY49" s="838"/>
      <c r="AZ49" s="838"/>
      <c r="BA49" s="838"/>
      <c r="BB49" s="838"/>
      <c r="BC49" s="838"/>
      <c r="BD49" s="838"/>
      <c r="BE49" s="838"/>
      <c r="BF49" s="838"/>
      <c r="BG49" s="838"/>
      <c r="BH49" s="838"/>
      <c r="BI49" s="838"/>
      <c r="BJ49" s="838"/>
      <c r="BK49" s="838"/>
      <c r="BL49" s="838"/>
      <c r="BM49" s="838"/>
      <c r="BN49" s="838"/>
      <c r="BO49" s="838"/>
      <c r="BP49" s="838"/>
      <c r="BQ49" s="838"/>
      <c r="BR49" s="838"/>
      <c r="BS49" s="838"/>
      <c r="BT49" s="838"/>
      <c r="BU49" s="838"/>
      <c r="BV49" s="840"/>
    </row>
    <row r="50" spans="1:104" s="836" customFormat="1" x14ac:dyDescent="0.25">
      <c r="A50" s="841" t="s">
        <v>1069</v>
      </c>
      <c r="B50" s="838"/>
      <c r="C50" s="839"/>
      <c r="D50" s="1023"/>
      <c r="E50" s="839"/>
      <c r="F50" s="838"/>
      <c r="G50" s="838"/>
      <c r="H50" s="838"/>
      <c r="I50" s="838"/>
      <c r="J50" s="838"/>
      <c r="K50" s="838"/>
      <c r="L50" s="838"/>
      <c r="M50" s="838"/>
      <c r="N50" s="842">
        <v>2.2979889999999998</v>
      </c>
      <c r="O50" s="842">
        <v>2.38</v>
      </c>
      <c r="P50" s="842">
        <v>2.4052739999999999</v>
      </c>
      <c r="Q50" s="842">
        <v>2.3369110000000002</v>
      </c>
      <c r="R50" s="842">
        <v>2.3950149999999999</v>
      </c>
      <c r="S50" s="842">
        <v>2.3961070000000002</v>
      </c>
      <c r="T50" s="842">
        <v>2.4583050000000002</v>
      </c>
      <c r="U50" s="842">
        <v>2.472283</v>
      </c>
      <c r="V50" s="842">
        <v>2.4802620000000002</v>
      </c>
      <c r="W50" s="842">
        <v>2.4838239999999998</v>
      </c>
      <c r="X50" s="842">
        <v>2.516057</v>
      </c>
      <c r="Y50" s="842">
        <v>2.5464560000000001</v>
      </c>
      <c r="Z50" s="842">
        <v>2.591459</v>
      </c>
      <c r="AA50" s="842">
        <v>2.6280779999999999</v>
      </c>
      <c r="AB50" s="842">
        <v>2.6593969999999998</v>
      </c>
      <c r="AC50" s="842">
        <v>2.691643</v>
      </c>
      <c r="AD50" s="842">
        <v>2.7285810000000001</v>
      </c>
      <c r="AE50" s="842">
        <v>2.7618779999999998</v>
      </c>
      <c r="AF50" s="842">
        <v>2.7919909999999999</v>
      </c>
      <c r="AG50" s="842">
        <v>2.8282630000000002</v>
      </c>
      <c r="AH50" s="842">
        <v>2.8670900000000001</v>
      </c>
      <c r="AI50" s="842">
        <v>2.8969999999999998</v>
      </c>
      <c r="AJ50" s="842">
        <v>2.9238430000000002</v>
      </c>
      <c r="AK50" s="842">
        <v>2.954224</v>
      </c>
      <c r="AL50" s="842">
        <v>2.98759</v>
      </c>
      <c r="AM50" s="842">
        <v>3.030205</v>
      </c>
      <c r="AN50" s="842">
        <v>3.0670109999999999</v>
      </c>
      <c r="AO50" s="842">
        <v>3.1012659999999999</v>
      </c>
      <c r="AP50" s="842">
        <v>3.134995</v>
      </c>
      <c r="AQ50" s="842">
        <v>3.169994</v>
      </c>
      <c r="AR50" s="842">
        <v>3.2015440000000002</v>
      </c>
      <c r="AS50" s="838"/>
      <c r="AT50" s="838"/>
      <c r="AU50" s="838"/>
      <c r="AV50" s="838"/>
      <c r="AW50" s="838"/>
      <c r="AX50" s="838"/>
      <c r="AY50" s="838"/>
      <c r="AZ50" s="838"/>
      <c r="BA50" s="838"/>
      <c r="BB50" s="838"/>
      <c r="BC50" s="838"/>
      <c r="BD50" s="838"/>
      <c r="BE50" s="838"/>
      <c r="BF50" s="838"/>
      <c r="BG50" s="838"/>
      <c r="BH50" s="838"/>
      <c r="BI50" s="838"/>
      <c r="BJ50" s="838"/>
      <c r="BK50" s="838"/>
      <c r="BL50" s="838"/>
      <c r="BM50" s="838"/>
      <c r="BN50" s="838"/>
      <c r="BO50" s="838"/>
      <c r="BP50" s="838"/>
      <c r="BQ50" s="838"/>
      <c r="BR50" s="838"/>
      <c r="BS50" s="838"/>
      <c r="BT50" s="838"/>
      <c r="BU50" s="838"/>
      <c r="BV50" s="840"/>
    </row>
    <row r="51" spans="1:104" s="836" customFormat="1" x14ac:dyDescent="0.25">
      <c r="A51" s="841" t="s">
        <v>672</v>
      </c>
      <c r="B51" s="838"/>
      <c r="C51" s="839"/>
      <c r="D51" s="1023"/>
      <c r="E51" s="839"/>
      <c r="F51" s="838"/>
      <c r="G51" s="838"/>
      <c r="H51" s="838"/>
      <c r="I51" s="838"/>
      <c r="J51" s="838"/>
      <c r="K51" s="838"/>
      <c r="L51" s="838"/>
      <c r="M51" s="838"/>
      <c r="N51" s="842">
        <v>30.492578999999999</v>
      </c>
      <c r="O51" s="842">
        <v>29.980651999999999</v>
      </c>
      <c r="P51" s="842">
        <v>28.463469</v>
      </c>
      <c r="Q51" s="842">
        <v>27.770492999999998</v>
      </c>
      <c r="R51" s="842">
        <v>27.844252000000001</v>
      </c>
      <c r="S51" s="842">
        <v>27.733993999999999</v>
      </c>
      <c r="T51" s="842">
        <v>28.230274000000001</v>
      </c>
      <c r="U51" s="842">
        <v>28.517765000000001</v>
      </c>
      <c r="V51" s="842">
        <v>28.644997</v>
      </c>
      <c r="W51" s="842">
        <v>28.576813000000001</v>
      </c>
      <c r="X51" s="842">
        <v>28.566559000000002</v>
      </c>
      <c r="Y51" s="842">
        <v>28.675744999999999</v>
      </c>
      <c r="Z51" s="842">
        <v>28.66461</v>
      </c>
      <c r="AA51" s="842">
        <v>28.628443000000001</v>
      </c>
      <c r="AB51" s="842">
        <v>28.632759</v>
      </c>
      <c r="AC51" s="842">
        <v>28.485842000000002</v>
      </c>
      <c r="AD51" s="842">
        <v>28.378672000000002</v>
      </c>
      <c r="AE51" s="842">
        <v>28.369689999999999</v>
      </c>
      <c r="AF51" s="842">
        <v>28.482963999999999</v>
      </c>
      <c r="AG51" s="842">
        <v>28.577332999999999</v>
      </c>
      <c r="AH51" s="842">
        <v>28.652301999999999</v>
      </c>
      <c r="AI51" s="842">
        <v>28.781072999999999</v>
      </c>
      <c r="AJ51" s="842">
        <v>28.912566999999999</v>
      </c>
      <c r="AK51" s="842">
        <v>29.081726</v>
      </c>
      <c r="AL51" s="842">
        <v>29.271111999999999</v>
      </c>
      <c r="AM51" s="842">
        <v>29.658476</v>
      </c>
      <c r="AN51" s="842">
        <v>30.101704000000002</v>
      </c>
      <c r="AO51" s="842">
        <v>30.503069</v>
      </c>
      <c r="AP51" s="842">
        <v>30.944068999999999</v>
      </c>
      <c r="AQ51" s="842">
        <v>31.476562000000001</v>
      </c>
      <c r="AR51" s="842">
        <v>31.747146999999998</v>
      </c>
      <c r="AS51" s="838"/>
      <c r="AT51" s="838"/>
      <c r="AU51" s="838"/>
      <c r="AV51" s="838"/>
      <c r="AW51" s="838"/>
      <c r="AX51" s="838"/>
      <c r="AY51" s="838"/>
      <c r="AZ51" s="838"/>
      <c r="BA51" s="838"/>
      <c r="BB51" s="838"/>
      <c r="BC51" s="838"/>
      <c r="BD51" s="838"/>
      <c r="BE51" s="838"/>
      <c r="BF51" s="838"/>
      <c r="BG51" s="838"/>
      <c r="BH51" s="838"/>
      <c r="BI51" s="838"/>
      <c r="BJ51" s="838"/>
      <c r="BK51" s="838"/>
      <c r="BL51" s="838"/>
      <c r="BM51" s="838"/>
      <c r="BN51" s="838"/>
      <c r="BO51" s="838"/>
      <c r="BP51" s="838"/>
      <c r="BQ51" s="838"/>
      <c r="BR51" s="838"/>
      <c r="BS51" s="838"/>
      <c r="BT51" s="838"/>
      <c r="BU51" s="838"/>
      <c r="BV51" s="840"/>
    </row>
    <row r="52" spans="1:104" s="836" customFormat="1" x14ac:dyDescent="0.25">
      <c r="A52" s="841" t="s">
        <v>687</v>
      </c>
      <c r="B52" s="838"/>
      <c r="C52" s="839"/>
      <c r="D52" s="1023"/>
      <c r="E52" s="839"/>
      <c r="F52" s="838"/>
      <c r="G52" s="838"/>
      <c r="H52" s="838"/>
      <c r="I52" s="838"/>
      <c r="J52" s="838"/>
      <c r="K52" s="838"/>
      <c r="L52" s="838"/>
      <c r="M52" s="838"/>
      <c r="N52" s="842">
        <v>20.260442999999999</v>
      </c>
      <c r="O52" s="842">
        <v>19.975739999999998</v>
      </c>
      <c r="P52" s="842">
        <v>18.436015999999999</v>
      </c>
      <c r="Q52" s="842">
        <v>18.142965</v>
      </c>
      <c r="R52" s="842">
        <v>18.046112000000001</v>
      </c>
      <c r="S52" s="842">
        <v>17.884491000000001</v>
      </c>
      <c r="T52" s="842">
        <v>18.368113000000001</v>
      </c>
      <c r="U52" s="842">
        <v>18.636278000000001</v>
      </c>
      <c r="V52" s="842">
        <v>18.783104000000002</v>
      </c>
      <c r="W52" s="842">
        <v>18.727132999999998</v>
      </c>
      <c r="X52" s="842">
        <v>18.720291</v>
      </c>
      <c r="Y52" s="842">
        <v>18.854441000000001</v>
      </c>
      <c r="Z52" s="842">
        <v>18.961594000000002</v>
      </c>
      <c r="AA52" s="842">
        <v>19.089853000000002</v>
      </c>
      <c r="AB52" s="842">
        <v>19.158766</v>
      </c>
      <c r="AC52" s="842">
        <v>19.181961000000001</v>
      </c>
      <c r="AD52" s="842">
        <v>19.274345</v>
      </c>
      <c r="AE52" s="842">
        <v>19.362473000000001</v>
      </c>
      <c r="AF52" s="842">
        <v>19.467001</v>
      </c>
      <c r="AG52" s="842">
        <v>19.610374</v>
      </c>
      <c r="AH52" s="842">
        <v>19.726358000000001</v>
      </c>
      <c r="AI52" s="842">
        <v>19.866886000000001</v>
      </c>
      <c r="AJ52" s="842">
        <v>20.029399999999999</v>
      </c>
      <c r="AK52" s="842">
        <v>20.204810999999999</v>
      </c>
      <c r="AL52" s="842">
        <v>20.42868</v>
      </c>
      <c r="AM52" s="842">
        <v>20.795019</v>
      </c>
      <c r="AN52" s="842">
        <v>21.263971000000002</v>
      </c>
      <c r="AO52" s="842">
        <v>21.670811</v>
      </c>
      <c r="AP52" s="842">
        <v>22.067454999999999</v>
      </c>
      <c r="AQ52" s="842">
        <v>22.488647</v>
      </c>
      <c r="AR52" s="842">
        <v>22.744430999999999</v>
      </c>
      <c r="AS52" s="838"/>
      <c r="AT52" s="838"/>
      <c r="AU52" s="838"/>
      <c r="AV52" s="838"/>
      <c r="AW52" s="838"/>
      <c r="AX52" s="838"/>
      <c r="AY52" s="838"/>
      <c r="AZ52" s="838"/>
      <c r="BA52" s="838"/>
      <c r="BB52" s="838"/>
      <c r="BC52" s="838"/>
      <c r="BD52" s="838"/>
      <c r="BE52" s="838"/>
      <c r="BF52" s="838"/>
      <c r="BG52" s="838"/>
      <c r="BH52" s="838"/>
      <c r="BI52" s="838"/>
      <c r="BJ52" s="838"/>
      <c r="BK52" s="838"/>
      <c r="BL52" s="838"/>
      <c r="BM52" s="838"/>
      <c r="BN52" s="838"/>
      <c r="BO52" s="838"/>
      <c r="BP52" s="838"/>
      <c r="BQ52" s="838"/>
      <c r="BR52" s="838"/>
      <c r="BS52" s="838"/>
      <c r="BT52" s="838"/>
      <c r="BU52" s="838"/>
      <c r="BV52" s="840"/>
    </row>
    <row r="53" spans="1:104" s="836" customFormat="1" ht="13.8" thickBot="1" x14ac:dyDescent="0.3">
      <c r="A53" s="845" t="s">
        <v>673</v>
      </c>
      <c r="B53" s="846"/>
      <c r="C53" s="847"/>
      <c r="D53" s="1024"/>
      <c r="E53" s="847"/>
      <c r="F53" s="846"/>
      <c r="G53" s="846"/>
      <c r="H53" s="846"/>
      <c r="I53" s="846"/>
      <c r="J53" s="846"/>
      <c r="K53" s="846"/>
      <c r="L53" s="846"/>
      <c r="M53" s="846"/>
      <c r="N53" s="848">
        <v>34.522823000000002</v>
      </c>
      <c r="O53" s="848">
        <v>34.335875999999999</v>
      </c>
      <c r="P53" s="848">
        <v>33.266716000000002</v>
      </c>
      <c r="Q53" s="848">
        <v>32.549408</v>
      </c>
      <c r="R53" s="848">
        <v>33.007488000000002</v>
      </c>
      <c r="S53" s="848">
        <v>33.062362999999998</v>
      </c>
      <c r="T53" s="848">
        <v>33.578304000000003</v>
      </c>
      <c r="U53" s="848">
        <v>33.826259999999998</v>
      </c>
      <c r="V53" s="848">
        <v>33.834632999999997</v>
      </c>
      <c r="W53" s="848">
        <v>33.642589999999998</v>
      </c>
      <c r="X53" s="848">
        <v>33.615443999999997</v>
      </c>
      <c r="Y53" s="848">
        <v>33.658813000000002</v>
      </c>
      <c r="Z53" s="848">
        <v>33.691249999999997</v>
      </c>
      <c r="AA53" s="848">
        <v>33.703487000000003</v>
      </c>
      <c r="AB53" s="848">
        <v>33.839970000000001</v>
      </c>
      <c r="AC53" s="848">
        <v>33.959377000000003</v>
      </c>
      <c r="AD53" s="848">
        <v>34.126075999999998</v>
      </c>
      <c r="AE53" s="848">
        <v>34.265704999999997</v>
      </c>
      <c r="AF53" s="848">
        <v>34.413651000000002</v>
      </c>
      <c r="AG53" s="848">
        <v>34.510967000000001</v>
      </c>
      <c r="AH53" s="848">
        <v>34.561591999999997</v>
      </c>
      <c r="AI53" s="848">
        <v>34.686400999999996</v>
      </c>
      <c r="AJ53" s="848">
        <v>34.807406999999998</v>
      </c>
      <c r="AK53" s="848">
        <v>34.923721</v>
      </c>
      <c r="AL53" s="848">
        <v>35.082526999999999</v>
      </c>
      <c r="AM53" s="848">
        <v>35.421287999999997</v>
      </c>
      <c r="AN53" s="848">
        <v>35.835976000000002</v>
      </c>
      <c r="AO53" s="848">
        <v>36.175975999999999</v>
      </c>
      <c r="AP53" s="848">
        <v>36.502800000000001</v>
      </c>
      <c r="AQ53" s="848">
        <v>36.906086000000002</v>
      </c>
      <c r="AR53" s="848">
        <v>37.098595000000003</v>
      </c>
      <c r="AS53" s="846"/>
      <c r="AT53" s="846"/>
      <c r="AU53" s="846"/>
      <c r="AV53" s="846"/>
      <c r="AW53" s="846"/>
      <c r="AX53" s="846"/>
      <c r="AY53" s="846"/>
      <c r="AZ53" s="846"/>
      <c r="BA53" s="846"/>
      <c r="BB53" s="846"/>
      <c r="BC53" s="846"/>
      <c r="BD53" s="846"/>
      <c r="BE53" s="846"/>
      <c r="BF53" s="846"/>
      <c r="BG53" s="846"/>
      <c r="BH53" s="846"/>
      <c r="BI53" s="846"/>
      <c r="BJ53" s="846"/>
      <c r="BK53" s="846"/>
      <c r="BL53" s="846"/>
      <c r="BM53" s="846"/>
      <c r="BN53" s="846"/>
      <c r="BO53" s="846"/>
      <c r="BP53" s="846"/>
      <c r="BQ53" s="846"/>
      <c r="BR53" s="846"/>
      <c r="BS53" s="846"/>
      <c r="BT53" s="846"/>
      <c r="BU53" s="846"/>
      <c r="BV53" s="849"/>
    </row>
    <row r="54" spans="1:104" x14ac:dyDescent="0.25">
      <c r="A54" s="729"/>
      <c r="B54" s="254"/>
      <c r="C54" s="726"/>
      <c r="D54" s="1021"/>
      <c r="E54" s="726"/>
      <c r="F54" s="254"/>
      <c r="G54" s="254"/>
      <c r="H54" s="254"/>
      <c r="I54" s="254"/>
      <c r="J54" s="254"/>
      <c r="K54" s="254"/>
      <c r="L54" s="254"/>
      <c r="M54" s="254"/>
      <c r="N54" s="254"/>
      <c r="O54" s="254"/>
      <c r="P54" s="254"/>
      <c r="Q54" s="254"/>
      <c r="R54" s="254"/>
      <c r="S54" s="254"/>
      <c r="T54" s="254"/>
      <c r="U54" s="254"/>
      <c r="V54" s="254"/>
      <c r="W54" s="254"/>
      <c r="X54" s="254"/>
      <c r="Y54" s="254"/>
      <c r="Z54" s="254"/>
      <c r="AA54" s="254"/>
      <c r="AB54" s="254"/>
      <c r="AC54" s="254"/>
      <c r="AD54" s="254"/>
      <c r="AE54" s="254"/>
      <c r="AF54" s="254"/>
      <c r="AG54" s="254"/>
      <c r="AH54" s="254"/>
      <c r="AI54" s="254"/>
      <c r="AJ54" s="254"/>
      <c r="AK54" s="254"/>
      <c r="AL54" s="254"/>
      <c r="AM54" s="254"/>
      <c r="AN54" s="254"/>
      <c r="AO54" s="254"/>
      <c r="AP54" s="254"/>
      <c r="AQ54" s="254"/>
      <c r="AR54" s="254"/>
      <c r="AS54" s="254"/>
      <c r="AT54" s="254"/>
      <c r="AU54" s="254"/>
      <c r="AV54" s="254"/>
      <c r="AW54" s="254"/>
      <c r="AX54" s="254"/>
      <c r="AY54" s="254"/>
      <c r="AZ54" s="254"/>
      <c r="BA54" s="254"/>
      <c r="BB54" s="254"/>
      <c r="BC54" s="254"/>
      <c r="BD54" s="254"/>
      <c r="BE54" s="254"/>
      <c r="BF54" s="254"/>
      <c r="BG54" s="254"/>
      <c r="BH54" s="254"/>
      <c r="BI54" s="254"/>
      <c r="BJ54" s="254"/>
      <c r="BK54" s="254"/>
      <c r="BL54" s="254"/>
      <c r="BM54" s="254"/>
      <c r="BN54" s="254"/>
      <c r="BO54" s="254"/>
      <c r="BP54" s="254"/>
      <c r="BQ54" s="254"/>
      <c r="BR54" s="254"/>
      <c r="BS54" s="254"/>
      <c r="BT54" s="254"/>
      <c r="BU54" s="254"/>
      <c r="BV54" s="728"/>
    </row>
    <row r="55" spans="1:104" ht="13.8" thickBot="1" x14ac:dyDescent="0.3">
      <c r="A55" s="729"/>
      <c r="B55" s="254"/>
      <c r="C55" s="726"/>
      <c r="D55" s="1021"/>
      <c r="E55" s="733"/>
      <c r="F55" s="732"/>
      <c r="G55" s="254"/>
      <c r="H55" s="254"/>
      <c r="I55" s="254"/>
      <c r="J55" s="254"/>
      <c r="K55" s="254"/>
      <c r="L55" s="254"/>
      <c r="M55" s="254"/>
      <c r="N55" s="254"/>
      <c r="O55" s="254"/>
      <c r="P55" s="254"/>
      <c r="Q55" s="254"/>
      <c r="R55" s="254"/>
      <c r="S55" s="254"/>
      <c r="T55" s="254"/>
      <c r="U55" s="254"/>
      <c r="V55" s="254"/>
      <c r="W55" s="254"/>
      <c r="X55" s="254"/>
      <c r="Y55" s="254"/>
      <c r="Z55" s="254"/>
      <c r="AA55" s="254"/>
      <c r="AB55" s="254"/>
      <c r="AC55" s="254"/>
      <c r="AD55" s="254"/>
      <c r="AE55" s="254"/>
      <c r="AF55" s="254"/>
      <c r="AG55" s="254"/>
      <c r="AH55" s="254"/>
      <c r="AI55" s="254"/>
      <c r="AJ55" s="254"/>
      <c r="AK55" s="254"/>
      <c r="AL55" s="254"/>
      <c r="AM55" s="254"/>
      <c r="AN55" s="254"/>
      <c r="AO55" s="254"/>
      <c r="AP55" s="254"/>
      <c r="AQ55" s="254"/>
      <c r="AR55" s="254"/>
      <c r="AS55" s="254"/>
      <c r="AT55" s="254"/>
      <c r="AU55" s="254"/>
      <c r="AV55" s="254"/>
      <c r="AW55" s="254"/>
      <c r="AX55" s="254"/>
      <c r="AY55" s="254"/>
      <c r="AZ55" s="254"/>
      <c r="BA55" s="254"/>
      <c r="BB55" s="254"/>
      <c r="BC55" s="254"/>
      <c r="BD55" s="254"/>
      <c r="BE55" s="254"/>
      <c r="BF55" s="254"/>
      <c r="BG55" s="254"/>
      <c r="BH55" s="254"/>
      <c r="BI55" s="254"/>
      <c r="BJ55" s="254"/>
      <c r="BK55" s="254"/>
      <c r="BL55" s="254"/>
      <c r="BM55" s="254"/>
      <c r="BN55" s="254"/>
      <c r="BO55" s="254"/>
      <c r="BP55" s="254"/>
      <c r="BQ55" s="254"/>
      <c r="BR55" s="254"/>
      <c r="BS55" s="254"/>
      <c r="BT55" s="254"/>
      <c r="BU55" s="254"/>
      <c r="BV55" s="728"/>
    </row>
    <row r="56" spans="1:104" ht="13.8" thickTop="1" x14ac:dyDescent="0.25">
      <c r="A56" s="719" t="s">
        <v>1086</v>
      </c>
      <c r="B56" s="720" t="str">
        <f>"Prices are in $(" &amp; ref_year&amp;")/GJ LHV"</f>
        <v>Prices are in $(2016)/GJ LHV</v>
      </c>
      <c r="C56" s="720"/>
      <c r="D56" s="1025"/>
      <c r="E56" s="720"/>
      <c r="F56" s="721"/>
      <c r="G56" s="721"/>
      <c r="H56" s="721"/>
      <c r="I56" s="721"/>
      <c r="J56" s="721"/>
      <c r="K56" s="721"/>
      <c r="L56" s="721"/>
      <c r="M56" s="721"/>
      <c r="N56" s="721"/>
      <c r="O56" s="721"/>
      <c r="P56" s="721"/>
      <c r="Q56" s="721"/>
      <c r="R56" s="721"/>
      <c r="S56" s="721"/>
      <c r="T56" s="721"/>
      <c r="U56" s="721"/>
      <c r="V56" s="721"/>
      <c r="W56" s="721"/>
      <c r="X56" s="721"/>
      <c r="Y56" s="721"/>
      <c r="Z56" s="721"/>
      <c r="AA56" s="721"/>
      <c r="AB56" s="721"/>
      <c r="AC56" s="721"/>
      <c r="AD56" s="721"/>
      <c r="AE56" s="721"/>
      <c r="AF56" s="721"/>
      <c r="AG56" s="721"/>
      <c r="AH56" s="721"/>
      <c r="AI56" s="721"/>
      <c r="AJ56" s="721"/>
      <c r="AK56" s="721"/>
      <c r="AL56" s="721"/>
      <c r="AM56" s="721"/>
      <c r="AN56" s="721"/>
      <c r="AO56" s="721"/>
      <c r="AP56" s="721"/>
      <c r="AQ56" s="721"/>
      <c r="AR56" s="721"/>
      <c r="AS56" s="734" t="s">
        <v>761</v>
      </c>
      <c r="AT56" s="735"/>
      <c r="AU56" s="735"/>
      <c r="AV56" s="735"/>
      <c r="AW56" s="735"/>
      <c r="AX56" s="735"/>
      <c r="AY56" s="735"/>
      <c r="AZ56" s="735"/>
      <c r="BA56" s="735"/>
      <c r="BB56" s="735"/>
      <c r="BC56" s="735"/>
      <c r="BD56" s="735"/>
      <c r="BE56" s="735"/>
      <c r="BF56" s="735"/>
      <c r="BG56" s="735"/>
      <c r="BH56" s="735"/>
      <c r="BI56" s="735"/>
      <c r="BJ56" s="735"/>
      <c r="BK56" s="735"/>
      <c r="BL56" s="735"/>
      <c r="BM56" s="735"/>
      <c r="BN56" s="735"/>
      <c r="BO56" s="735"/>
      <c r="BP56" s="735"/>
      <c r="BQ56" s="735"/>
      <c r="BR56" s="735"/>
      <c r="BS56" s="735"/>
      <c r="BT56" s="735"/>
      <c r="BU56" s="735"/>
      <c r="BV56" s="736"/>
    </row>
    <row r="57" spans="1:104" ht="40.200000000000003" thickBot="1" x14ac:dyDescent="0.3">
      <c r="A57" s="905" t="s">
        <v>1066</v>
      </c>
      <c r="B57" s="906" t="s">
        <v>667</v>
      </c>
      <c r="C57" s="906" t="s">
        <v>668</v>
      </c>
      <c r="D57" s="1026" t="s">
        <v>679</v>
      </c>
      <c r="E57" s="906" t="s">
        <v>680</v>
      </c>
      <c r="F57" s="907" t="s">
        <v>669</v>
      </c>
      <c r="G57" s="907" t="s">
        <v>681</v>
      </c>
      <c r="H57" s="850">
        <v>2004</v>
      </c>
      <c r="I57" s="850">
        <v>2005</v>
      </c>
      <c r="J57" s="850">
        <v>2006</v>
      </c>
      <c r="K57" s="850">
        <v>2007</v>
      </c>
      <c r="L57" s="850">
        <v>2008</v>
      </c>
      <c r="M57" s="850">
        <v>2009</v>
      </c>
      <c r="N57" s="907">
        <v>2010</v>
      </c>
      <c r="O57" s="907">
        <v>2011</v>
      </c>
      <c r="P57" s="907">
        <v>2012</v>
      </c>
      <c r="Q57" s="907">
        <v>2013</v>
      </c>
      <c r="R57" s="907">
        <v>2014</v>
      </c>
      <c r="S57" s="907">
        <v>2015</v>
      </c>
      <c r="T57" s="907">
        <v>2016</v>
      </c>
      <c r="U57" s="907">
        <v>2017</v>
      </c>
      <c r="V57" s="907">
        <v>2018</v>
      </c>
      <c r="W57" s="907">
        <v>2019</v>
      </c>
      <c r="X57" s="907">
        <v>2020</v>
      </c>
      <c r="Y57" s="907">
        <v>2021</v>
      </c>
      <c r="Z57" s="907">
        <v>2022</v>
      </c>
      <c r="AA57" s="907">
        <v>2023</v>
      </c>
      <c r="AB57" s="907">
        <v>2024</v>
      </c>
      <c r="AC57" s="907">
        <v>2025</v>
      </c>
      <c r="AD57" s="907">
        <v>2026</v>
      </c>
      <c r="AE57" s="907">
        <v>2027</v>
      </c>
      <c r="AF57" s="907">
        <v>2028</v>
      </c>
      <c r="AG57" s="907">
        <v>2029</v>
      </c>
      <c r="AH57" s="907">
        <v>2030</v>
      </c>
      <c r="AI57" s="907">
        <v>2031</v>
      </c>
      <c r="AJ57" s="907">
        <v>2032</v>
      </c>
      <c r="AK57" s="907">
        <v>2033</v>
      </c>
      <c r="AL57" s="907">
        <v>2034</v>
      </c>
      <c r="AM57" s="907">
        <v>2035</v>
      </c>
      <c r="AN57" s="907">
        <v>2036</v>
      </c>
      <c r="AO57" s="907">
        <v>2037</v>
      </c>
      <c r="AP57" s="907">
        <v>2038</v>
      </c>
      <c r="AQ57" s="907">
        <v>2039</v>
      </c>
      <c r="AR57" s="907">
        <v>2040</v>
      </c>
      <c r="AS57" s="907">
        <v>2041</v>
      </c>
      <c r="AT57" s="907">
        <v>2042</v>
      </c>
      <c r="AU57" s="907">
        <v>2043</v>
      </c>
      <c r="AV57" s="907">
        <v>2044</v>
      </c>
      <c r="AW57" s="907">
        <v>2045</v>
      </c>
      <c r="AX57" s="907">
        <v>2046</v>
      </c>
      <c r="AY57" s="907">
        <v>2047</v>
      </c>
      <c r="AZ57" s="907">
        <v>2048</v>
      </c>
      <c r="BA57" s="907">
        <v>2049</v>
      </c>
      <c r="BB57" s="907">
        <v>2050</v>
      </c>
      <c r="BC57" s="907">
        <v>2051</v>
      </c>
      <c r="BD57" s="907">
        <v>2052</v>
      </c>
      <c r="BE57" s="907">
        <v>2053</v>
      </c>
      <c r="BF57" s="907">
        <v>2054</v>
      </c>
      <c r="BG57" s="907">
        <v>2055</v>
      </c>
      <c r="BH57" s="907">
        <v>2056</v>
      </c>
      <c r="BI57" s="907">
        <v>2057</v>
      </c>
      <c r="BJ57" s="907">
        <v>2058</v>
      </c>
      <c r="BK57" s="907">
        <v>2059</v>
      </c>
      <c r="BL57" s="907">
        <v>2060</v>
      </c>
      <c r="BM57" s="907">
        <v>2061</v>
      </c>
      <c r="BN57" s="907">
        <v>2062</v>
      </c>
      <c r="BO57" s="907">
        <v>2063</v>
      </c>
      <c r="BP57" s="907">
        <v>2064</v>
      </c>
      <c r="BQ57" s="907">
        <v>2065</v>
      </c>
      <c r="BR57" s="907">
        <v>2066</v>
      </c>
      <c r="BS57" s="907">
        <v>2067</v>
      </c>
      <c r="BT57" s="907">
        <v>2068</v>
      </c>
      <c r="BU57" s="907">
        <v>2069</v>
      </c>
      <c r="BV57" s="908">
        <v>2070</v>
      </c>
      <c r="BW57" s="1078">
        <f t="shared" ref="BW57" si="130">+BV57+1</f>
        <v>2071</v>
      </c>
      <c r="BX57" s="1078">
        <f t="shared" ref="BX57" si="131">+BW57+1</f>
        <v>2072</v>
      </c>
      <c r="BY57" s="1078">
        <f t="shared" ref="BY57" si="132">+BX57+1</f>
        <v>2073</v>
      </c>
      <c r="BZ57" s="1078">
        <f t="shared" ref="BZ57" si="133">+BY57+1</f>
        <v>2074</v>
      </c>
      <c r="CA57" s="1078">
        <f t="shared" ref="CA57" si="134">+BZ57+1</f>
        <v>2075</v>
      </c>
      <c r="CB57" s="1078">
        <f t="shared" ref="CB57" si="135">+CA57+1</f>
        <v>2076</v>
      </c>
      <c r="CC57" s="1078">
        <f t="shared" ref="CC57" si="136">+CB57+1</f>
        <v>2077</v>
      </c>
      <c r="CD57" s="1078">
        <f t="shared" ref="CD57" si="137">+CC57+1</f>
        <v>2078</v>
      </c>
      <c r="CE57" s="1078">
        <f t="shared" ref="CE57" si="138">+CD57+1</f>
        <v>2079</v>
      </c>
      <c r="CF57" s="1078">
        <f t="shared" ref="CF57" si="139">+CE57+1</f>
        <v>2080</v>
      </c>
      <c r="CG57" s="1078">
        <f t="shared" ref="CG57" si="140">+CF57+1</f>
        <v>2081</v>
      </c>
      <c r="CH57" s="1078">
        <f t="shared" ref="CH57" si="141">+CG57+1</f>
        <v>2082</v>
      </c>
      <c r="CI57" s="1078">
        <f t="shared" ref="CI57" si="142">+CH57+1</f>
        <v>2083</v>
      </c>
      <c r="CJ57" s="1078">
        <f t="shared" ref="CJ57" si="143">+CI57+1</f>
        <v>2084</v>
      </c>
      <c r="CK57" s="1078">
        <f t="shared" ref="CK57" si="144">+CJ57+1</f>
        <v>2085</v>
      </c>
      <c r="CL57" s="1078">
        <f t="shared" ref="CL57" si="145">+CK57+1</f>
        <v>2086</v>
      </c>
      <c r="CM57" s="1078">
        <f t="shared" ref="CM57" si="146">+CL57+1</f>
        <v>2087</v>
      </c>
      <c r="CN57" s="1078">
        <f t="shared" ref="CN57" si="147">+CM57+1</f>
        <v>2088</v>
      </c>
      <c r="CO57" s="1078">
        <f t="shared" ref="CO57" si="148">+CN57+1</f>
        <v>2089</v>
      </c>
      <c r="CP57" s="1078">
        <f t="shared" ref="CP57" si="149">+CO57+1</f>
        <v>2090</v>
      </c>
      <c r="CQ57" s="1078">
        <f t="shared" ref="CQ57" si="150">+CP57+1</f>
        <v>2091</v>
      </c>
      <c r="CR57" s="1078">
        <f t="shared" ref="CR57" si="151">+CQ57+1</f>
        <v>2092</v>
      </c>
      <c r="CS57" s="1078">
        <f t="shared" ref="CS57" si="152">+CR57+1</f>
        <v>2093</v>
      </c>
      <c r="CT57" s="1078">
        <f t="shared" ref="CT57" si="153">+CS57+1</f>
        <v>2094</v>
      </c>
      <c r="CU57" s="1078">
        <f t="shared" ref="CU57" si="154">+CT57+1</f>
        <v>2095</v>
      </c>
      <c r="CV57" s="1078">
        <f t="shared" ref="CV57" si="155">+CU57+1</f>
        <v>2096</v>
      </c>
      <c r="CW57" s="1078">
        <f t="shared" ref="CW57" si="156">+CV57+1</f>
        <v>2097</v>
      </c>
      <c r="CX57" s="1078">
        <f t="shared" ref="CX57" si="157">+CW57+1</f>
        <v>2098</v>
      </c>
      <c r="CY57" s="1078">
        <f t="shared" ref="CY57" si="158">+CX57+1</f>
        <v>2099</v>
      </c>
      <c r="CZ57" s="1078">
        <f t="shared" ref="CZ57" si="159">+CY57+1</f>
        <v>2100</v>
      </c>
    </row>
    <row r="58" spans="1:104" ht="13.8" thickBot="1" x14ac:dyDescent="0.3">
      <c r="A58" s="722" t="s">
        <v>1072</v>
      </c>
      <c r="B58" s="723"/>
      <c r="C58" s="723"/>
      <c r="D58" s="1027"/>
      <c r="E58" s="723"/>
      <c r="F58" s="723"/>
      <c r="G58" s="723"/>
      <c r="H58" s="723"/>
      <c r="I58" s="723"/>
      <c r="J58" s="723"/>
      <c r="K58" s="723"/>
      <c r="L58" s="723"/>
      <c r="M58" s="723"/>
      <c r="N58" s="723"/>
      <c r="O58" s="723"/>
      <c r="P58" s="723"/>
      <c r="Q58" s="723"/>
      <c r="R58" s="723"/>
      <c r="S58" s="723"/>
      <c r="T58" s="723"/>
      <c r="U58" s="723"/>
      <c r="V58" s="723"/>
      <c r="W58" s="723"/>
      <c r="X58" s="723"/>
      <c r="Y58" s="723"/>
      <c r="Z58" s="723"/>
      <c r="AA58" s="723"/>
      <c r="AB58" s="723"/>
      <c r="AC58" s="723"/>
      <c r="AD58" s="723"/>
      <c r="AE58" s="723"/>
      <c r="AF58" s="723"/>
      <c r="AG58" s="723"/>
      <c r="AH58" s="723"/>
      <c r="AI58" s="723"/>
      <c r="AJ58" s="723"/>
      <c r="AK58" s="723"/>
      <c r="AL58" s="723"/>
      <c r="AM58" s="723"/>
      <c r="AN58" s="723"/>
      <c r="AO58" s="723"/>
      <c r="AP58" s="723"/>
      <c r="AQ58" s="723"/>
      <c r="AR58" s="723"/>
      <c r="AS58" s="723"/>
      <c r="AT58" s="723"/>
      <c r="AU58" s="723"/>
      <c r="AV58" s="723"/>
      <c r="AW58" s="723"/>
      <c r="AX58" s="723"/>
      <c r="AY58" s="723"/>
      <c r="AZ58" s="723"/>
      <c r="BA58" s="723"/>
      <c r="BB58" s="723"/>
      <c r="BC58" s="723"/>
      <c r="BD58" s="723"/>
      <c r="BE58" s="723"/>
      <c r="BF58" s="723"/>
      <c r="BG58" s="723"/>
      <c r="BH58" s="723"/>
      <c r="BI58" s="723"/>
      <c r="BJ58" s="723"/>
      <c r="BK58" s="723"/>
      <c r="BL58" s="723"/>
      <c r="BM58" s="723"/>
      <c r="BN58" s="723"/>
      <c r="BO58" s="723"/>
      <c r="BP58" s="723"/>
      <c r="BQ58" s="723"/>
      <c r="BR58" s="723"/>
      <c r="BS58" s="723"/>
      <c r="BT58" s="723"/>
      <c r="BU58" s="723"/>
      <c r="BV58" s="724"/>
    </row>
    <row r="59" spans="1:104" x14ac:dyDescent="0.25">
      <c r="A59" s="725" t="str">
        <f>'HyARC Physical Property Data'!A73</f>
        <v>Residential Natural Gas</v>
      </c>
      <c r="B59" s="254">
        <v>2011</v>
      </c>
      <c r="C59" s="726">
        <f>VLOOKUP(ref_year,DeflatorTable,2,FALSE)/VLOOKUP(B59,DeflatorTable,2,FALSE)</f>
        <v>1.0771767810026385</v>
      </c>
      <c r="D59" s="1028" t="str">
        <f>'HyARC Physical Property Data'!H73</f>
        <v>mmBtu</v>
      </c>
      <c r="E59" s="726" t="s">
        <v>1040</v>
      </c>
      <c r="F59" s="254">
        <f>'HyARC Physical Property Data'!$E$6</f>
        <v>47.141269049911173</v>
      </c>
      <c r="G59" s="254">
        <f>'HyARC Physical Property Data'!$I$6</f>
        <v>52.224661236371581</v>
      </c>
      <c r="H59" s="852">
        <v>13.568796522291001</v>
      </c>
      <c r="I59" s="852">
        <v>13.568796522291001</v>
      </c>
      <c r="J59" s="852">
        <v>13.568796522291001</v>
      </c>
      <c r="K59" s="852">
        <v>12.569562315288914</v>
      </c>
      <c r="L59" s="852">
        <v>12.891154499364562</v>
      </c>
      <c r="M59" s="852">
        <v>11.574514296329017</v>
      </c>
      <c r="N59" s="254">
        <f t="shared" ref="N59:AR59" si="160">N74*(1/mmBTU_to_GJ*$C59*$G59/$F59)</f>
        <v>12.848820030872973</v>
      </c>
      <c r="O59" s="254">
        <f t="shared" si="160"/>
        <v>12.218751960936617</v>
      </c>
      <c r="P59" s="254">
        <f t="shared" si="160"/>
        <v>11.847089507654712</v>
      </c>
      <c r="Q59" s="254">
        <f t="shared" si="160"/>
        <v>11.878954304161503</v>
      </c>
      <c r="R59" s="254">
        <f t="shared" si="160"/>
        <v>11.689024462272872</v>
      </c>
      <c r="S59" s="254">
        <f t="shared" si="160"/>
        <v>11.571127769223187</v>
      </c>
      <c r="T59" s="254">
        <f t="shared" si="160"/>
        <v>12.158272077211455</v>
      </c>
      <c r="U59" s="254">
        <f t="shared" si="160"/>
        <v>12.546766735129951</v>
      </c>
      <c r="V59" s="254">
        <f t="shared" si="160"/>
        <v>13.025386814796633</v>
      </c>
      <c r="W59" s="254">
        <f t="shared" si="160"/>
        <v>13.318825496567992</v>
      </c>
      <c r="X59" s="254">
        <f t="shared" si="160"/>
        <v>13.569389054574135</v>
      </c>
      <c r="Y59" s="254">
        <f t="shared" si="160"/>
        <v>13.810438757785679</v>
      </c>
      <c r="Z59" s="254">
        <f t="shared" si="160"/>
        <v>14.116363879109715</v>
      </c>
      <c r="AA59" s="254">
        <f t="shared" si="160"/>
        <v>14.398431406172943</v>
      </c>
      <c r="AB59" s="254">
        <f t="shared" si="160"/>
        <v>14.538561404399491</v>
      </c>
      <c r="AC59" s="254">
        <f t="shared" si="160"/>
        <v>14.725122769343848</v>
      </c>
      <c r="AD59" s="254">
        <f t="shared" si="160"/>
        <v>14.945168695396804</v>
      </c>
      <c r="AE59" s="254">
        <f t="shared" si="160"/>
        <v>15.119136164337942</v>
      </c>
      <c r="AF59" s="254">
        <f t="shared" si="160"/>
        <v>15.386893885550919</v>
      </c>
      <c r="AG59" s="254">
        <f t="shared" si="160"/>
        <v>15.591935497746983</v>
      </c>
      <c r="AH59" s="254">
        <f t="shared" si="160"/>
        <v>15.825560525786523</v>
      </c>
      <c r="AI59" s="801">
        <f t="shared" si="160"/>
        <v>16.097797484306195</v>
      </c>
      <c r="AJ59" s="801">
        <f t="shared" si="160"/>
        <v>16.489221744402556</v>
      </c>
      <c r="AK59" s="801">
        <f t="shared" si="160"/>
        <v>16.917726397778729</v>
      </c>
      <c r="AL59" s="801">
        <f t="shared" si="160"/>
        <v>17.360396073577061</v>
      </c>
      <c r="AM59" s="801">
        <f t="shared" si="160"/>
        <v>17.767820033598468</v>
      </c>
      <c r="AN59" s="801">
        <f t="shared" si="160"/>
        <v>18.289975811421051</v>
      </c>
      <c r="AO59" s="801">
        <f t="shared" si="160"/>
        <v>18.631226958079775</v>
      </c>
      <c r="AP59" s="801">
        <f t="shared" si="160"/>
        <v>19.172403658768356</v>
      </c>
      <c r="AQ59" s="801">
        <f t="shared" si="160"/>
        <v>19.659398554853915</v>
      </c>
      <c r="AR59" s="801">
        <f t="shared" si="160"/>
        <v>19.991300990315715</v>
      </c>
      <c r="AS59" s="801">
        <f>($BB59-$AR59)/10+AR59</f>
        <v>19.99145536068955</v>
      </c>
      <c r="AT59" s="801">
        <f t="shared" ref="AT59:BA59" si="161">($BB59-$AR59)/10+AS59</f>
        <v>19.991609731063384</v>
      </c>
      <c r="AU59" s="801">
        <f t="shared" si="161"/>
        <v>19.991764101437219</v>
      </c>
      <c r="AV59" s="801">
        <f t="shared" si="161"/>
        <v>19.991918471811054</v>
      </c>
      <c r="AW59" s="801">
        <f t="shared" si="161"/>
        <v>19.992072842184889</v>
      </c>
      <c r="AX59" s="801">
        <f t="shared" si="161"/>
        <v>19.992227212558724</v>
      </c>
      <c r="AY59" s="801">
        <f t="shared" si="161"/>
        <v>19.992381582932559</v>
      </c>
      <c r="AZ59" s="801">
        <f t="shared" si="161"/>
        <v>19.992535953306394</v>
      </c>
      <c r="BA59" s="801">
        <f t="shared" si="161"/>
        <v>19.992690323680229</v>
      </c>
      <c r="BB59" s="803">
        <f>'AEO Data'!$B$30*AM59</f>
        <v>19.992844694054046</v>
      </c>
      <c r="BC59" s="801">
        <f>($BQ59-$BB59)/15+BB59</f>
        <v>20.155753007586423</v>
      </c>
      <c r="BD59" s="801">
        <f t="shared" ref="BD59:BP62" si="162">($BQ59-$BB59)/15+BC59</f>
        <v>20.3186613211188</v>
      </c>
      <c r="BE59" s="801">
        <f t="shared" si="162"/>
        <v>20.481569634651176</v>
      </c>
      <c r="BF59" s="801">
        <f t="shared" si="162"/>
        <v>20.644477948183553</v>
      </c>
      <c r="BG59" s="801">
        <f t="shared" si="162"/>
        <v>20.80738626171593</v>
      </c>
      <c r="BH59" s="801">
        <f t="shared" si="162"/>
        <v>20.970294575248307</v>
      </c>
      <c r="BI59" s="801">
        <f t="shared" si="162"/>
        <v>21.133202888780684</v>
      </c>
      <c r="BJ59" s="801">
        <f t="shared" si="162"/>
        <v>21.29611120231306</v>
      </c>
      <c r="BK59" s="801">
        <f t="shared" si="162"/>
        <v>21.459019515845437</v>
      </c>
      <c r="BL59" s="801">
        <f t="shared" si="162"/>
        <v>21.621927829377814</v>
      </c>
      <c r="BM59" s="801">
        <f t="shared" si="162"/>
        <v>21.784836142910191</v>
      </c>
      <c r="BN59" s="801">
        <f t="shared" si="162"/>
        <v>21.947744456442567</v>
      </c>
      <c r="BO59" s="801">
        <f t="shared" si="162"/>
        <v>22.110652769974944</v>
      </c>
      <c r="BP59" s="801">
        <f t="shared" si="162"/>
        <v>22.273561083507321</v>
      </c>
      <c r="BQ59" s="803">
        <f>'AEO Data'!$C$30*BB59</f>
        <v>22.43646939703968</v>
      </c>
      <c r="BR59" s="800">
        <f>($BV59-$BQ59)/5+BQ59</f>
        <v>22.564713325864819</v>
      </c>
      <c r="BS59" s="801">
        <f t="shared" ref="BS59:BU62" si="163">($BV59-$BQ59)/5+BR59</f>
        <v>22.692957254689958</v>
      </c>
      <c r="BT59" s="801">
        <f t="shared" si="163"/>
        <v>22.821201183515097</v>
      </c>
      <c r="BU59" s="801">
        <f t="shared" si="163"/>
        <v>22.949445112340236</v>
      </c>
      <c r="BV59" s="804">
        <f>'AEO Data'!$D$30*BQ59</f>
        <v>23.077689041165382</v>
      </c>
      <c r="BW59" s="1077">
        <f>+BV59*BW$133/BV$133</f>
        <v>23.154313754554682</v>
      </c>
      <c r="BX59" s="1077">
        <f t="shared" ref="BX59:CZ59" si="164">+BW59*BX$133/BW$133</f>
        <v>23.231192884523196</v>
      </c>
      <c r="BY59" s="1077">
        <f t="shared" si="164"/>
        <v>23.308327275808772</v>
      </c>
      <c r="BZ59" s="1077">
        <f t="shared" si="164"/>
        <v>23.385717775954042</v>
      </c>
      <c r="CA59" s="1077">
        <f t="shared" si="164"/>
        <v>23.463365235315731</v>
      </c>
      <c r="CB59" s="1077">
        <f t="shared" si="164"/>
        <v>23.513434373015976</v>
      </c>
      <c r="CC59" s="1077">
        <f t="shared" si="164"/>
        <v>23.563610354663151</v>
      </c>
      <c r="CD59" s="1077">
        <f t="shared" si="164"/>
        <v>23.613893408254576</v>
      </c>
      <c r="CE59" s="1077">
        <f t="shared" si="164"/>
        <v>23.664283762274096</v>
      </c>
      <c r="CF59" s="1077">
        <f t="shared" si="164"/>
        <v>23.714781645693119</v>
      </c>
      <c r="CG59" s="1077">
        <f t="shared" si="164"/>
        <v>23.731177988110947</v>
      </c>
      <c r="CH59" s="1077">
        <f t="shared" si="164"/>
        <v>23.747585666920095</v>
      </c>
      <c r="CI59" s="1077">
        <f t="shared" si="164"/>
        <v>23.764004689958508</v>
      </c>
      <c r="CJ59" s="1077">
        <f t="shared" si="164"/>
        <v>23.780435065069565</v>
      </c>
      <c r="CK59" s="1077">
        <f t="shared" si="164"/>
        <v>23.796876800102055</v>
      </c>
      <c r="CL59" s="1077">
        <f t="shared" si="164"/>
        <v>23.802449818424297</v>
      </c>
      <c r="CM59" s="1077">
        <f t="shared" si="164"/>
        <v>23.808024141898198</v>
      </c>
      <c r="CN59" s="1077">
        <f t="shared" si="164"/>
        <v>23.813599770829413</v>
      </c>
      <c r="CO59" s="1077">
        <f t="shared" si="164"/>
        <v>23.819176705523667</v>
      </c>
      <c r="CP59" s="1077">
        <f t="shared" si="164"/>
        <v>23.82475494628676</v>
      </c>
      <c r="CQ59" s="1077">
        <f t="shared" si="164"/>
        <v>23.833209305741288</v>
      </c>
      <c r="CR59" s="1077">
        <f t="shared" si="164"/>
        <v>23.841666665276783</v>
      </c>
      <c r="CS59" s="1077">
        <f t="shared" si="164"/>
        <v>23.850127025957839</v>
      </c>
      <c r="CT59" s="1077">
        <f t="shared" si="164"/>
        <v>23.858590388849432</v>
      </c>
      <c r="CU59" s="1077">
        <f t="shared" si="164"/>
        <v>23.867056755016911</v>
      </c>
      <c r="CV59" s="1077">
        <f t="shared" si="164"/>
        <v>23.880086528392884</v>
      </c>
      <c r="CW59" s="1077">
        <f t="shared" si="164"/>
        <v>23.893123415130006</v>
      </c>
      <c r="CX59" s="1077">
        <f t="shared" si="164"/>
        <v>23.906167419111679</v>
      </c>
      <c r="CY59" s="1077">
        <f t="shared" si="164"/>
        <v>23.919218544223433</v>
      </c>
      <c r="CZ59" s="1077">
        <f t="shared" si="164"/>
        <v>23.932276794352919</v>
      </c>
    </row>
    <row r="60" spans="1:104" x14ac:dyDescent="0.25">
      <c r="A60" s="725" t="str">
        <f>'HyARC Physical Property Data'!A71</f>
        <v>Commercial Natural Gas</v>
      </c>
      <c r="B60" s="254">
        <v>2011</v>
      </c>
      <c r="C60" s="726">
        <f t="shared" ref="C60:C68" si="165">VLOOKUP(ref_year,DeflatorTable,2,FALSE)/VLOOKUP(B60,DeflatorTable,2,FALSE)</f>
        <v>1.0771767810026385</v>
      </c>
      <c r="D60" s="1028" t="str">
        <f>'HyARC Physical Property Data'!H71</f>
        <v>mmBtu</v>
      </c>
      <c r="E60" s="726" t="s">
        <v>1040</v>
      </c>
      <c r="F60" s="254">
        <f>'HyARC Physical Property Data'!$E$6</f>
        <v>47.141269049911173</v>
      </c>
      <c r="G60" s="254">
        <f>'HyARC Physical Property Data'!$I$6</f>
        <v>52.224661236371581</v>
      </c>
      <c r="H60" s="852">
        <v>11.78211597551449</v>
      </c>
      <c r="I60" s="852">
        <v>11.78211597551449</v>
      </c>
      <c r="J60" s="852">
        <v>11.78211597551449</v>
      </c>
      <c r="K60" s="852">
        <v>10.884547954455588</v>
      </c>
      <c r="L60" s="852">
        <v>11.412186165255939</v>
      </c>
      <c r="M60" s="852">
        <v>10.075756967258858</v>
      </c>
      <c r="N60" s="254">
        <f t="shared" ref="N60:AR60" si="166">N75*(1/mmBTU_to_GJ*$C60*$G60/$F60)</f>
        <v>10.629111361129928</v>
      </c>
      <c r="O60" s="254">
        <f t="shared" si="166"/>
        <v>9.9955492598702431</v>
      </c>
      <c r="P60" s="254">
        <f t="shared" si="166"/>
        <v>9.1410917610380729</v>
      </c>
      <c r="Q60" s="254">
        <f t="shared" si="166"/>
        <v>9.5969684001679578</v>
      </c>
      <c r="R60" s="254">
        <f t="shared" si="166"/>
        <v>9.4058916020598868</v>
      </c>
      <c r="S60" s="254">
        <f t="shared" si="166"/>
        <v>9.2495164507528447</v>
      </c>
      <c r="T60" s="254">
        <f t="shared" si="166"/>
        <v>9.7764218036892636</v>
      </c>
      <c r="U60" s="254">
        <f t="shared" si="166"/>
        <v>10.090174279094695</v>
      </c>
      <c r="V60" s="254">
        <f t="shared" si="166"/>
        <v>10.498071047498478</v>
      </c>
      <c r="W60" s="254">
        <f t="shared" si="166"/>
        <v>10.736649252347618</v>
      </c>
      <c r="X60" s="254">
        <f t="shared" si="166"/>
        <v>10.944404422699936</v>
      </c>
      <c r="Y60" s="254">
        <f t="shared" si="166"/>
        <v>11.141369834297564</v>
      </c>
      <c r="Z60" s="254">
        <f t="shared" si="166"/>
        <v>11.405591672727528</v>
      </c>
      <c r="AA60" s="254">
        <f t="shared" si="166"/>
        <v>11.642166663114509</v>
      </c>
      <c r="AB60" s="254">
        <f t="shared" si="166"/>
        <v>11.748018053618996</v>
      </c>
      <c r="AC60" s="254">
        <f t="shared" si="166"/>
        <v>11.902757604636774</v>
      </c>
      <c r="AD60" s="254">
        <f t="shared" si="166"/>
        <v>12.090527006309296</v>
      </c>
      <c r="AE60" s="254">
        <f t="shared" si="166"/>
        <v>12.220015422570853</v>
      </c>
      <c r="AF60" s="254">
        <f t="shared" si="166"/>
        <v>12.435619438294673</v>
      </c>
      <c r="AG60" s="254">
        <f t="shared" si="166"/>
        <v>12.592485495912598</v>
      </c>
      <c r="AH60" s="254">
        <f t="shared" si="166"/>
        <v>12.770738780549461</v>
      </c>
      <c r="AI60" s="254">
        <f t="shared" si="166"/>
        <v>12.989189826652307</v>
      </c>
      <c r="AJ60" s="254">
        <f t="shared" si="166"/>
        <v>13.318649041764999</v>
      </c>
      <c r="AK60" s="254">
        <f t="shared" si="166"/>
        <v>13.691788738461685</v>
      </c>
      <c r="AL60" s="254">
        <f t="shared" si="166"/>
        <v>14.075018030303756</v>
      </c>
      <c r="AM60" s="254">
        <f t="shared" si="166"/>
        <v>14.417815418729715</v>
      </c>
      <c r="AN60" s="254">
        <f t="shared" si="166"/>
        <v>14.885419515535311</v>
      </c>
      <c r="AO60" s="254">
        <f t="shared" si="166"/>
        <v>15.176266800167872</v>
      </c>
      <c r="AP60" s="254">
        <f t="shared" si="166"/>
        <v>15.67029726596243</v>
      </c>
      <c r="AQ60" s="254">
        <f t="shared" si="166"/>
        <v>16.106982183025981</v>
      </c>
      <c r="AR60" s="254">
        <f t="shared" si="166"/>
        <v>16.379635393901427</v>
      </c>
      <c r="AS60" s="254">
        <f t="shared" ref="AS60:BA60" si="167">($BB60-$AR60)/10+AR60</f>
        <v>16.364004498297199</v>
      </c>
      <c r="AT60" s="254">
        <f t="shared" si="167"/>
        <v>16.348373602692966</v>
      </c>
      <c r="AU60" s="254">
        <f t="shared" si="167"/>
        <v>16.332742707088734</v>
      </c>
      <c r="AV60" s="254">
        <f t="shared" si="167"/>
        <v>16.317111811484502</v>
      </c>
      <c r="AW60" s="254">
        <f t="shared" si="167"/>
        <v>16.301480915880269</v>
      </c>
      <c r="AX60" s="254">
        <f t="shared" si="167"/>
        <v>16.285850020276037</v>
      </c>
      <c r="AY60" s="254">
        <f t="shared" si="167"/>
        <v>16.270219124671804</v>
      </c>
      <c r="AZ60" s="254">
        <f t="shared" si="167"/>
        <v>16.254588229067572</v>
      </c>
      <c r="BA60" s="254">
        <f t="shared" si="167"/>
        <v>16.23895733346334</v>
      </c>
      <c r="BB60" s="781">
        <f>'AEO Data'!$B$30*AM60</f>
        <v>16.223326437859122</v>
      </c>
      <c r="BC60" s="254">
        <f>($BQ60-$BB60)/15+BB60</f>
        <v>16.355519469432206</v>
      </c>
      <c r="BD60" s="254">
        <f t="shared" si="162"/>
        <v>16.487712501005291</v>
      </c>
      <c r="BE60" s="254">
        <f t="shared" si="162"/>
        <v>16.619905532578375</v>
      </c>
      <c r="BF60" s="254">
        <f t="shared" si="162"/>
        <v>16.75209856415146</v>
      </c>
      <c r="BG60" s="254">
        <f t="shared" si="162"/>
        <v>16.884291595724545</v>
      </c>
      <c r="BH60" s="254">
        <f t="shared" si="162"/>
        <v>17.016484627297629</v>
      </c>
      <c r="BI60" s="254">
        <f t="shared" si="162"/>
        <v>17.148677658870714</v>
      </c>
      <c r="BJ60" s="254">
        <f t="shared" si="162"/>
        <v>17.280870690443798</v>
      </c>
      <c r="BK60" s="254">
        <f t="shared" si="162"/>
        <v>17.413063722016883</v>
      </c>
      <c r="BL60" s="254">
        <f t="shared" si="162"/>
        <v>17.545256753589968</v>
      </c>
      <c r="BM60" s="254">
        <f t="shared" si="162"/>
        <v>17.677449785163052</v>
      </c>
      <c r="BN60" s="254">
        <f t="shared" si="162"/>
        <v>17.809642816736137</v>
      </c>
      <c r="BO60" s="254">
        <f t="shared" si="162"/>
        <v>17.941835848309221</v>
      </c>
      <c r="BP60" s="254">
        <f t="shared" si="162"/>
        <v>18.074028879882306</v>
      </c>
      <c r="BQ60" s="781">
        <f>'AEO Data'!$C$30*BB60</f>
        <v>18.206221911455369</v>
      </c>
      <c r="BR60" s="725">
        <f>($BV60-$BQ60)/5+BQ60</f>
        <v>18.310286298131796</v>
      </c>
      <c r="BS60" s="254">
        <f t="shared" si="163"/>
        <v>18.414350684808223</v>
      </c>
      <c r="BT60" s="254">
        <f t="shared" si="163"/>
        <v>18.51841507148465</v>
      </c>
      <c r="BU60" s="254">
        <f t="shared" si="163"/>
        <v>18.622479458161077</v>
      </c>
      <c r="BV60" s="805">
        <f>'AEO Data'!$D$30*BQ60</f>
        <v>18.726543844837511</v>
      </c>
      <c r="BW60" s="1077">
        <f>+BV60*BW$134/BV$134</f>
        <v>18.788721476762582</v>
      </c>
      <c r="BX60" s="1077">
        <f t="shared" ref="BX60:CZ60" si="168">+BW60*BX$134/BW$134</f>
        <v>18.851105556708379</v>
      </c>
      <c r="BY60" s="1077">
        <f t="shared" si="168"/>
        <v>18.913696770143034</v>
      </c>
      <c r="BZ60" s="1077">
        <f t="shared" si="168"/>
        <v>18.976495804810636</v>
      </c>
      <c r="CA60" s="1077">
        <f t="shared" si="168"/>
        <v>19.039503350738787</v>
      </c>
      <c r="CB60" s="1077">
        <f t="shared" si="168"/>
        <v>19.080132284630061</v>
      </c>
      <c r="CC60" s="1077">
        <f t="shared" si="168"/>
        <v>19.120847917750758</v>
      </c>
      <c r="CD60" s="1077">
        <f t="shared" si="168"/>
        <v>19.161650435110815</v>
      </c>
      <c r="CE60" s="1077">
        <f t="shared" si="168"/>
        <v>19.20254002211496</v>
      </c>
      <c r="CF60" s="1077">
        <f t="shared" si="168"/>
        <v>19.243516864563571</v>
      </c>
      <c r="CG60" s="1077">
        <f t="shared" si="168"/>
        <v>19.25682178537409</v>
      </c>
      <c r="CH60" s="1077">
        <f t="shared" si="168"/>
        <v>19.270135905174534</v>
      </c>
      <c r="CI60" s="1077">
        <f t="shared" si="168"/>
        <v>19.283459230325061</v>
      </c>
      <c r="CJ60" s="1077">
        <f t="shared" si="168"/>
        <v>19.296791767190232</v>
      </c>
      <c r="CK60" s="1077">
        <f t="shared" si="168"/>
        <v>19.310133522139004</v>
      </c>
      <c r="CL60" s="1077">
        <f t="shared" si="168"/>
        <v>19.314655784821952</v>
      </c>
      <c r="CM60" s="1077">
        <f t="shared" si="168"/>
        <v>19.319179106578872</v>
      </c>
      <c r="CN60" s="1077">
        <f t="shared" si="168"/>
        <v>19.323703487657788</v>
      </c>
      <c r="CO60" s="1077">
        <f t="shared" si="168"/>
        <v>19.328228928306782</v>
      </c>
      <c r="CP60" s="1077">
        <f t="shared" si="168"/>
        <v>19.332755428773996</v>
      </c>
      <c r="CQ60" s="1077">
        <f t="shared" si="168"/>
        <v>19.339615774830435</v>
      </c>
      <c r="CR60" s="1077">
        <f t="shared" si="168"/>
        <v>19.34647855532247</v>
      </c>
      <c r="CS60" s="1077">
        <f t="shared" si="168"/>
        <v>19.353343771113977</v>
      </c>
      <c r="CT60" s="1077">
        <f t="shared" si="168"/>
        <v>19.360211423069138</v>
      </c>
      <c r="CU60" s="1077">
        <f t="shared" si="168"/>
        <v>19.36708151205244</v>
      </c>
      <c r="CV60" s="1077">
        <f t="shared" si="168"/>
        <v>19.37765460808377</v>
      </c>
      <c r="CW60" s="1077">
        <f t="shared" si="168"/>
        <v>19.388233476299188</v>
      </c>
      <c r="CX60" s="1077">
        <f t="shared" si="168"/>
        <v>19.398818119849906</v>
      </c>
      <c r="CY60" s="1077">
        <f t="shared" si="168"/>
        <v>19.409408541888862</v>
      </c>
      <c r="CZ60" s="1077">
        <f t="shared" si="168"/>
        <v>19.420004745570715</v>
      </c>
    </row>
    <row r="61" spans="1:104" x14ac:dyDescent="0.25">
      <c r="A61" s="725" t="str">
        <f>'HyARC Physical Property Data'!A72</f>
        <v>Industrial Natural Gas</v>
      </c>
      <c r="B61" s="254">
        <v>2011</v>
      </c>
      <c r="C61" s="726">
        <f t="shared" si="165"/>
        <v>1.0771767810026385</v>
      </c>
      <c r="D61" s="1028" t="str">
        <f>'HyARC Physical Property Data'!H72</f>
        <v>mmBtu</v>
      </c>
      <c r="E61" s="726" t="s">
        <v>1040</v>
      </c>
      <c r="F61" s="254">
        <f>'HyARC Physical Property Data'!$E$6</f>
        <v>47.141269049911173</v>
      </c>
      <c r="G61" s="254">
        <f>'HyARC Physical Property Data'!$I$6</f>
        <v>52.224661236371581</v>
      </c>
      <c r="H61" s="852">
        <v>7.8800725307970341</v>
      </c>
      <c r="I61" s="852">
        <v>7.8800725307970341</v>
      </c>
      <c r="J61" s="852">
        <v>7.8800725307970341</v>
      </c>
      <c r="K61" s="852">
        <v>7.4431315976064605</v>
      </c>
      <c r="L61" s="852">
        <v>8.8750360136942668</v>
      </c>
      <c r="M61" s="852">
        <v>6.5580125743803235</v>
      </c>
      <c r="N61" s="254">
        <f t="shared" ref="N61:AR61" si="169">N76*(1/mmBTU_to_GJ*$C61*$G61/$F61)</f>
        <v>6.2030163592696592</v>
      </c>
      <c r="O61" s="254">
        <f t="shared" si="169"/>
        <v>5.5300347074699987</v>
      </c>
      <c r="P61" s="254">
        <f t="shared" si="169"/>
        <v>4.260790785073671</v>
      </c>
      <c r="Q61" s="254">
        <f t="shared" si="169"/>
        <v>4.9204025921851677</v>
      </c>
      <c r="R61" s="254">
        <f t="shared" si="169"/>
        <v>4.9951990684837728</v>
      </c>
      <c r="S61" s="254">
        <f t="shared" si="169"/>
        <v>5.0372880634792523</v>
      </c>
      <c r="T61" s="254">
        <f t="shared" si="169"/>
        <v>5.5611676689925886</v>
      </c>
      <c r="U61" s="254">
        <f t="shared" si="169"/>
        <v>5.805087024993802</v>
      </c>
      <c r="V61" s="254">
        <f t="shared" si="169"/>
        <v>6.0936211681384362</v>
      </c>
      <c r="W61" s="254">
        <f t="shared" si="169"/>
        <v>6.2815263042747977</v>
      </c>
      <c r="X61" s="254">
        <f t="shared" si="169"/>
        <v>6.446729851334049</v>
      </c>
      <c r="Y61" s="254">
        <f t="shared" si="169"/>
        <v>6.6107547707989633</v>
      </c>
      <c r="Z61" s="254">
        <f t="shared" si="169"/>
        <v>6.8493465490944869</v>
      </c>
      <c r="AA61" s="254">
        <f t="shared" si="169"/>
        <v>7.0700971632388772</v>
      </c>
      <c r="AB61" s="254">
        <f t="shared" si="169"/>
        <v>7.1542932511583484</v>
      </c>
      <c r="AC61" s="254">
        <f t="shared" si="169"/>
        <v>7.2893513049194398</v>
      </c>
      <c r="AD61" s="254">
        <f t="shared" si="169"/>
        <v>7.4302708252773213</v>
      </c>
      <c r="AE61" s="254">
        <f t="shared" si="169"/>
        <v>7.5360419062240371</v>
      </c>
      <c r="AF61" s="254">
        <f t="shared" si="169"/>
        <v>7.7520157983618185</v>
      </c>
      <c r="AG61" s="254">
        <f t="shared" si="169"/>
        <v>7.8975966664320465</v>
      </c>
      <c r="AH61" s="254">
        <f t="shared" si="169"/>
        <v>8.0540057513550476</v>
      </c>
      <c r="AI61" s="254">
        <f t="shared" si="169"/>
        <v>8.2613853896907425</v>
      </c>
      <c r="AJ61" s="254">
        <f t="shared" si="169"/>
        <v>8.5847569141002449</v>
      </c>
      <c r="AK61" s="254">
        <f t="shared" si="169"/>
        <v>8.9483974605692502</v>
      </c>
      <c r="AL61" s="254">
        <f t="shared" si="169"/>
        <v>9.3215688286408334</v>
      </c>
      <c r="AM61" s="254">
        <f t="shared" si="169"/>
        <v>9.648490940400265</v>
      </c>
      <c r="AN61" s="254">
        <f t="shared" si="169"/>
        <v>10.068364012996796</v>
      </c>
      <c r="AO61" s="254">
        <f t="shared" si="169"/>
        <v>10.306145908991411</v>
      </c>
      <c r="AP61" s="254">
        <f t="shared" si="169"/>
        <v>10.735979628992679</v>
      </c>
      <c r="AQ61" s="254">
        <f t="shared" si="169"/>
        <v>11.099317035159109</v>
      </c>
      <c r="AR61" s="254">
        <f t="shared" si="169"/>
        <v>11.325040055162141</v>
      </c>
      <c r="AS61" s="254">
        <f t="shared" ref="AS61:BA61" si="170">($BB61-$AR61)/10+AR61</f>
        <v>11.278211053887526</v>
      </c>
      <c r="AT61" s="254">
        <f t="shared" si="170"/>
        <v>11.231382052612911</v>
      </c>
      <c r="AU61" s="254">
        <f t="shared" si="170"/>
        <v>11.184553051338296</v>
      </c>
      <c r="AV61" s="254">
        <f t="shared" si="170"/>
        <v>11.137724050063682</v>
      </c>
      <c r="AW61" s="254">
        <f t="shared" si="170"/>
        <v>11.090895048789067</v>
      </c>
      <c r="AX61" s="254">
        <f t="shared" si="170"/>
        <v>11.044066047514452</v>
      </c>
      <c r="AY61" s="254">
        <f t="shared" si="170"/>
        <v>10.997237046239837</v>
      </c>
      <c r="AZ61" s="254">
        <f t="shared" si="170"/>
        <v>10.950408044965222</v>
      </c>
      <c r="BA61" s="254">
        <f t="shared" si="170"/>
        <v>10.903579043690607</v>
      </c>
      <c r="BB61" s="781">
        <f>'AEO Data'!$B$30*AM61</f>
        <v>10.856750042415998</v>
      </c>
      <c r="BC61" s="254">
        <f>($BQ61-$BB61)/15+BB61</f>
        <v>10.945214433897943</v>
      </c>
      <c r="BD61" s="254">
        <f t="shared" si="162"/>
        <v>11.033678825379889</v>
      </c>
      <c r="BE61" s="254">
        <f t="shared" si="162"/>
        <v>11.122143216861835</v>
      </c>
      <c r="BF61" s="254">
        <f t="shared" si="162"/>
        <v>11.21060760834378</v>
      </c>
      <c r="BG61" s="254">
        <f t="shared" si="162"/>
        <v>11.299071999825726</v>
      </c>
      <c r="BH61" s="254">
        <f t="shared" si="162"/>
        <v>11.387536391307671</v>
      </c>
      <c r="BI61" s="254">
        <f t="shared" si="162"/>
        <v>11.476000782789617</v>
      </c>
      <c r="BJ61" s="254">
        <f t="shared" si="162"/>
        <v>11.564465174271563</v>
      </c>
      <c r="BK61" s="254">
        <f t="shared" si="162"/>
        <v>11.652929565753508</v>
      </c>
      <c r="BL61" s="254">
        <f t="shared" si="162"/>
        <v>11.741393957235454</v>
      </c>
      <c r="BM61" s="254">
        <f t="shared" si="162"/>
        <v>11.8298583487174</v>
      </c>
      <c r="BN61" s="254">
        <f t="shared" si="162"/>
        <v>11.918322740199345</v>
      </c>
      <c r="BO61" s="254">
        <f t="shared" si="162"/>
        <v>12.006787131681291</v>
      </c>
      <c r="BP61" s="254">
        <f t="shared" si="162"/>
        <v>12.095251523163236</v>
      </c>
      <c r="BQ61" s="781">
        <f>'AEO Data'!$C$30*BB61</f>
        <v>12.183715914645184</v>
      </c>
      <c r="BR61" s="725">
        <f>($BV61-$BQ61)/5+BQ61</f>
        <v>12.253356443595324</v>
      </c>
      <c r="BS61" s="254">
        <f t="shared" si="163"/>
        <v>12.322996972545464</v>
      </c>
      <c r="BT61" s="254">
        <f t="shared" si="163"/>
        <v>12.392637501495605</v>
      </c>
      <c r="BU61" s="254">
        <f t="shared" si="163"/>
        <v>12.462278030445745</v>
      </c>
      <c r="BV61" s="805">
        <f>'AEO Data'!$D$30*BQ61</f>
        <v>12.531918559395887</v>
      </c>
      <c r="BW61" s="1077">
        <f>+BV61*BW$135/BV$135</f>
        <v>12.573528213903272</v>
      </c>
      <c r="BX61" s="1077">
        <f t="shared" ref="BX61:CZ61" si="171">+BW61*BX$135/BW$135</f>
        <v>12.61527602469854</v>
      </c>
      <c r="BY61" s="1077">
        <f t="shared" si="171"/>
        <v>12.657162450501191</v>
      </c>
      <c r="BZ61" s="1077">
        <f t="shared" si="171"/>
        <v>12.699187951553807</v>
      </c>
      <c r="CA61" s="1077">
        <f t="shared" si="171"/>
        <v>12.741352989627112</v>
      </c>
      <c r="CB61" s="1077">
        <f t="shared" si="171"/>
        <v>12.768542122597896</v>
      </c>
      <c r="CC61" s="1077">
        <f t="shared" si="171"/>
        <v>12.795789275227369</v>
      </c>
      <c r="CD61" s="1077">
        <f t="shared" si="171"/>
        <v>12.823094571325321</v>
      </c>
      <c r="CE61" s="1077">
        <f t="shared" si="171"/>
        <v>12.85045813496574</v>
      </c>
      <c r="CF61" s="1077">
        <f t="shared" si="171"/>
        <v>12.87788009048738</v>
      </c>
      <c r="CG61" s="1077">
        <f t="shared" si="171"/>
        <v>12.886783825496796</v>
      </c>
      <c r="CH61" s="1077">
        <f t="shared" si="171"/>
        <v>12.895693716526967</v>
      </c>
      <c r="CI61" s="1077">
        <f t="shared" si="171"/>
        <v>12.904609767834151</v>
      </c>
      <c r="CJ61" s="1077">
        <f t="shared" si="171"/>
        <v>12.913531983677547</v>
      </c>
      <c r="CK61" s="1077">
        <f t="shared" si="171"/>
        <v>12.922460368319303</v>
      </c>
      <c r="CL61" s="1077">
        <f t="shared" si="171"/>
        <v>12.925486694379064</v>
      </c>
      <c r="CM61" s="1077">
        <f t="shared" si="171"/>
        <v>12.928513729177656</v>
      </c>
      <c r="CN61" s="1077">
        <f t="shared" si="171"/>
        <v>12.931541472881056</v>
      </c>
      <c r="CO61" s="1077">
        <f t="shared" si="171"/>
        <v>12.934569925655282</v>
      </c>
      <c r="CP61" s="1077">
        <f t="shared" si="171"/>
        <v>12.937599087666396</v>
      </c>
      <c r="CQ61" s="1077">
        <f t="shared" si="171"/>
        <v>12.942190073530147</v>
      </c>
      <c r="CR61" s="1077">
        <f t="shared" si="171"/>
        <v>12.946782688533204</v>
      </c>
      <c r="CS61" s="1077">
        <f t="shared" si="171"/>
        <v>12.951376933253679</v>
      </c>
      <c r="CT61" s="1077">
        <f t="shared" si="171"/>
        <v>12.955972808269884</v>
      </c>
      <c r="CU61" s="1077">
        <f t="shared" si="171"/>
        <v>12.960570314160341</v>
      </c>
      <c r="CV61" s="1077">
        <f t="shared" si="171"/>
        <v>12.967645895190305</v>
      </c>
      <c r="CW61" s="1077">
        <f t="shared" si="171"/>
        <v>12.974725339001436</v>
      </c>
      <c r="CX61" s="1077">
        <f t="shared" si="171"/>
        <v>12.981808647702545</v>
      </c>
      <c r="CY61" s="1077">
        <f t="shared" si="171"/>
        <v>12.988895823403597</v>
      </c>
      <c r="CZ61" s="1077">
        <f t="shared" si="171"/>
        <v>12.995986868215709</v>
      </c>
    </row>
    <row r="62" spans="1:104" x14ac:dyDescent="0.25">
      <c r="A62" s="725" t="str">
        <f>'HyARC Physical Property Data'!A74</f>
        <v>Electric Utility Natural Gas</v>
      </c>
      <c r="B62" s="254">
        <v>2011</v>
      </c>
      <c r="C62" s="726">
        <f t="shared" si="165"/>
        <v>1.0771767810026385</v>
      </c>
      <c r="D62" s="1028" t="str">
        <f>'HyARC Physical Property Data'!H74</f>
        <v>mmBtu</v>
      </c>
      <c r="E62" s="726" t="s">
        <v>1040</v>
      </c>
      <c r="F62" s="254">
        <f>'HyARC Physical Property Data'!$E$6</f>
        <v>47.141269049911173</v>
      </c>
      <c r="G62" s="254">
        <f>'HyARC Physical Property Data'!$I$6</f>
        <v>52.224661236371581</v>
      </c>
      <c r="H62" s="852">
        <v>6.9870463159656619</v>
      </c>
      <c r="I62" s="852">
        <v>6.9870463159656619</v>
      </c>
      <c r="J62" s="852">
        <v>6.9870463159656619</v>
      </c>
      <c r="K62" s="852">
        <v>6.9519071777354364</v>
      </c>
      <c r="L62" s="852">
        <v>9.0904707383294223</v>
      </c>
      <c r="M62" s="852">
        <v>6.2626950486669273</v>
      </c>
      <c r="N62" s="254">
        <f t="shared" ref="N62:AR62" si="172">N77*(1/mmBTU_to_GJ*$C62*$G62/$F62)</f>
        <v>5.9476195232303075</v>
      </c>
      <c r="O62" s="254">
        <f t="shared" si="172"/>
        <v>5.4007770397969699</v>
      </c>
      <c r="P62" s="254">
        <f t="shared" si="172"/>
        <v>3.7643838350413934</v>
      </c>
      <c r="Q62" s="254">
        <f t="shared" si="172"/>
        <v>4.2147881130374945</v>
      </c>
      <c r="R62" s="254">
        <f t="shared" si="172"/>
        <v>4.337012473242587</v>
      </c>
      <c r="S62" s="254">
        <f t="shared" si="172"/>
        <v>4.4297507834196734</v>
      </c>
      <c r="T62" s="254">
        <f t="shared" si="172"/>
        <v>4.9169062986207761</v>
      </c>
      <c r="U62" s="254">
        <f t="shared" si="172"/>
        <v>5.1166395621601932</v>
      </c>
      <c r="V62" s="254">
        <f t="shared" si="172"/>
        <v>5.3977920127130385</v>
      </c>
      <c r="W62" s="254">
        <f t="shared" si="172"/>
        <v>5.5768800643025109</v>
      </c>
      <c r="X62" s="254">
        <f t="shared" si="172"/>
        <v>5.731085726429189</v>
      </c>
      <c r="Y62" s="254">
        <f t="shared" si="172"/>
        <v>5.8852472748551197</v>
      </c>
      <c r="Z62" s="254">
        <f t="shared" si="172"/>
        <v>6.1240381303642737</v>
      </c>
      <c r="AA62" s="254">
        <f t="shared" si="172"/>
        <v>6.3478846214047309</v>
      </c>
      <c r="AB62" s="254">
        <f t="shared" si="172"/>
        <v>6.46780941356828</v>
      </c>
      <c r="AC62" s="254">
        <f t="shared" si="172"/>
        <v>6.6168153146093855</v>
      </c>
      <c r="AD62" s="254">
        <f t="shared" si="172"/>
        <v>6.7826918783851724</v>
      </c>
      <c r="AE62" s="254">
        <f t="shared" si="172"/>
        <v>6.9152648603374747</v>
      </c>
      <c r="AF62" s="254">
        <f t="shared" si="172"/>
        <v>7.1044436381928611</v>
      </c>
      <c r="AG62" s="254">
        <f t="shared" si="172"/>
        <v>7.2503909893154548</v>
      </c>
      <c r="AH62" s="254">
        <f t="shared" si="172"/>
        <v>7.4075070245709522</v>
      </c>
      <c r="AI62" s="254">
        <f t="shared" si="172"/>
        <v>7.6133030941618562</v>
      </c>
      <c r="AJ62" s="254">
        <f t="shared" si="172"/>
        <v>7.9366802741740186</v>
      </c>
      <c r="AK62" s="254">
        <f t="shared" si="172"/>
        <v>8.2829207934993665</v>
      </c>
      <c r="AL62" s="254">
        <f t="shared" si="172"/>
        <v>8.6352320367199251</v>
      </c>
      <c r="AM62" s="254">
        <f t="shared" si="172"/>
        <v>8.9389684398145519</v>
      </c>
      <c r="AN62" s="254">
        <f t="shared" si="172"/>
        <v>9.3489317654302884</v>
      </c>
      <c r="AO62" s="254">
        <f t="shared" si="172"/>
        <v>9.5889623290425074</v>
      </c>
      <c r="AP62" s="254">
        <f t="shared" si="172"/>
        <v>10.016230667677213</v>
      </c>
      <c r="AQ62" s="254">
        <f t="shared" si="172"/>
        <v>10.374123990723158</v>
      </c>
      <c r="AR62" s="254">
        <f t="shared" si="172"/>
        <v>10.560031568000021</v>
      </c>
      <c r="AS62" s="254">
        <f t="shared" ref="AS62:BA62" si="173">($BB62-$AR62)/10+AR62</f>
        <v>10.509865972613389</v>
      </c>
      <c r="AT62" s="254">
        <f t="shared" si="173"/>
        <v>10.459700377226756</v>
      </c>
      <c r="AU62" s="254">
        <f t="shared" si="173"/>
        <v>10.409534781840124</v>
      </c>
      <c r="AV62" s="254">
        <f t="shared" si="173"/>
        <v>10.359369186453492</v>
      </c>
      <c r="AW62" s="254">
        <f t="shared" si="173"/>
        <v>10.30920359106686</v>
      </c>
      <c r="AX62" s="254">
        <f t="shared" si="173"/>
        <v>10.259037995680227</v>
      </c>
      <c r="AY62" s="254">
        <f t="shared" si="173"/>
        <v>10.208872400293595</v>
      </c>
      <c r="AZ62" s="254">
        <f t="shared" si="173"/>
        <v>10.158706804906963</v>
      </c>
      <c r="BA62" s="254">
        <f t="shared" si="173"/>
        <v>10.108541209520331</v>
      </c>
      <c r="BB62" s="781">
        <f>'AEO Data'!$B$30*AM62</f>
        <v>10.058375614133693</v>
      </c>
      <c r="BC62" s="254">
        <f>($BQ62-$BB62)/15+BB62</f>
        <v>10.140334586618534</v>
      </c>
      <c r="BD62" s="254">
        <f t="shared" si="162"/>
        <v>10.222293559103376</v>
      </c>
      <c r="BE62" s="254">
        <f t="shared" si="162"/>
        <v>10.304252531588217</v>
      </c>
      <c r="BF62" s="254">
        <f t="shared" si="162"/>
        <v>10.386211504073058</v>
      </c>
      <c r="BG62" s="254">
        <f t="shared" si="162"/>
        <v>10.4681704765579</v>
      </c>
      <c r="BH62" s="254">
        <f t="shared" si="162"/>
        <v>10.550129449042741</v>
      </c>
      <c r="BI62" s="254">
        <f t="shared" si="162"/>
        <v>10.632088421527582</v>
      </c>
      <c r="BJ62" s="254">
        <f t="shared" si="162"/>
        <v>10.714047394012423</v>
      </c>
      <c r="BK62" s="254">
        <f t="shared" si="162"/>
        <v>10.796006366497265</v>
      </c>
      <c r="BL62" s="254">
        <f t="shared" si="162"/>
        <v>10.877965338982106</v>
      </c>
      <c r="BM62" s="254">
        <f t="shared" si="162"/>
        <v>10.959924311466947</v>
      </c>
      <c r="BN62" s="254">
        <f t="shared" si="162"/>
        <v>11.041883283951789</v>
      </c>
      <c r="BO62" s="254">
        <f t="shared" si="162"/>
        <v>11.12384225643663</v>
      </c>
      <c r="BP62" s="254">
        <f t="shared" si="162"/>
        <v>11.205801228921471</v>
      </c>
      <c r="BQ62" s="781">
        <f>'AEO Data'!$C$30*BB62</f>
        <v>11.287760201406321</v>
      </c>
      <c r="BR62" s="725">
        <f>($BV62-$BQ62)/5+BQ62</f>
        <v>11.35227956451322</v>
      </c>
      <c r="BS62" s="254">
        <f t="shared" si="163"/>
        <v>11.416798927620118</v>
      </c>
      <c r="BT62" s="254">
        <f t="shared" si="163"/>
        <v>11.481318290727016</v>
      </c>
      <c r="BU62" s="254">
        <f t="shared" si="163"/>
        <v>11.545837653833914</v>
      </c>
      <c r="BV62" s="805">
        <f>'AEO Data'!$D$30*BQ62</f>
        <v>11.610357016940812</v>
      </c>
      <c r="BW62" s="1077">
        <f>+BV62*BW$136/BV$136</f>
        <v>11.648906816150932</v>
      </c>
      <c r="BX62" s="1077">
        <f t="shared" ref="BX62:CZ63" si="174">+BW62*BX$136/BW$136</f>
        <v>11.687584612029626</v>
      </c>
      <c r="BY62" s="1077">
        <f t="shared" si="174"/>
        <v>11.726390829563474</v>
      </c>
      <c r="BZ62" s="1077">
        <f t="shared" si="174"/>
        <v>11.765325895150129</v>
      </c>
      <c r="CA62" s="1077">
        <f t="shared" si="174"/>
        <v>11.804390236603014</v>
      </c>
      <c r="CB62" s="1077">
        <f t="shared" si="174"/>
        <v>11.829579958294525</v>
      </c>
      <c r="CC62" s="1077">
        <f t="shared" si="174"/>
        <v>11.854823433044533</v>
      </c>
      <c r="CD62" s="1077">
        <f t="shared" si="174"/>
        <v>11.880120775558206</v>
      </c>
      <c r="CE62" s="1077">
        <f t="shared" si="174"/>
        <v>11.905472100785488</v>
      </c>
      <c r="CF62" s="1077">
        <f t="shared" si="174"/>
        <v>11.930877523921614</v>
      </c>
      <c r="CG62" s="1077">
        <f t="shared" si="174"/>
        <v>11.939126503657128</v>
      </c>
      <c r="CH62" s="1077">
        <f t="shared" si="174"/>
        <v>11.947381186717189</v>
      </c>
      <c r="CI62" s="1077">
        <f t="shared" si="174"/>
        <v>11.955641577045064</v>
      </c>
      <c r="CJ62" s="1077">
        <f t="shared" si="174"/>
        <v>11.963907678586745</v>
      </c>
      <c r="CK62" s="1077">
        <f t="shared" si="174"/>
        <v>11.97217949529095</v>
      </c>
      <c r="CL62" s="1077">
        <f t="shared" si="174"/>
        <v>11.974983273965139</v>
      </c>
      <c r="CM62" s="1077">
        <f t="shared" si="174"/>
        <v>11.977787709259525</v>
      </c>
      <c r="CN62" s="1077">
        <f t="shared" si="174"/>
        <v>11.980592801327882</v>
      </c>
      <c r="CO62" s="1077">
        <f t="shared" si="174"/>
        <v>11.98339855032402</v>
      </c>
      <c r="CP62" s="1077">
        <f t="shared" si="174"/>
        <v>11.986204956401787</v>
      </c>
      <c r="CQ62" s="1077">
        <f t="shared" si="174"/>
        <v>11.990458334261309</v>
      </c>
      <c r="CR62" s="1077">
        <f t="shared" si="174"/>
        <v>11.99471322145788</v>
      </c>
      <c r="CS62" s="1077">
        <f t="shared" si="174"/>
        <v>11.9989696185271</v>
      </c>
      <c r="CT62" s="1077">
        <f t="shared" si="174"/>
        <v>12.003227526004752</v>
      </c>
      <c r="CU62" s="1077">
        <f t="shared" si="174"/>
        <v>12.007486944426816</v>
      </c>
      <c r="CV62" s="1077">
        <f t="shared" si="174"/>
        <v>12.014042207411556</v>
      </c>
      <c r="CW62" s="1077">
        <f t="shared" si="174"/>
        <v>12.020601049119556</v>
      </c>
      <c r="CX62" s="1077">
        <f t="shared" si="174"/>
        <v>12.027163471504549</v>
      </c>
      <c r="CY62" s="1077">
        <f t="shared" si="174"/>
        <v>12.033729476521339</v>
      </c>
      <c r="CZ62" s="1077">
        <f t="shared" si="174"/>
        <v>12.040299066125799</v>
      </c>
    </row>
    <row r="63" spans="1:104" x14ac:dyDescent="0.25">
      <c r="A63" s="725" t="str">
        <f>'HyARC Physical Property Data'!A75</f>
        <v>Bio Methane</v>
      </c>
      <c r="B63" s="254">
        <v>2007</v>
      </c>
      <c r="C63" s="726">
        <f t="shared" si="165"/>
        <v>1.1413971588333081</v>
      </c>
      <c r="D63" s="1031" t="str">
        <f>'HyARC Physical Property Data'!H75</f>
        <v>mmBtu</v>
      </c>
      <c r="E63" s="726" t="s">
        <v>1040</v>
      </c>
      <c r="F63" s="254">
        <f>'HyARC Physical Property Data'!$E$6</f>
        <v>47.141269049911173</v>
      </c>
      <c r="G63" s="254">
        <f>'HyARC Physical Property Data'!$I$6</f>
        <v>52.224661236371581</v>
      </c>
      <c r="H63" s="852">
        <v>12.42654028436019</v>
      </c>
      <c r="I63" s="852">
        <v>12.42654028436019</v>
      </c>
      <c r="J63" s="852">
        <v>12.42654028436019</v>
      </c>
      <c r="K63" s="852">
        <v>12.42654028436019</v>
      </c>
      <c r="L63" s="852">
        <v>12.42654028436019</v>
      </c>
      <c r="M63" s="852">
        <v>12.42654028436019</v>
      </c>
      <c r="N63" s="254">
        <f t="shared" ref="N63:AM63" si="175">13.11*($C$63/mmBTU_to_GJ)</f>
        <v>14.183617774696369</v>
      </c>
      <c r="O63" s="254">
        <f t="shared" si="175"/>
        <v>14.183617774696369</v>
      </c>
      <c r="P63" s="254">
        <f t="shared" si="175"/>
        <v>14.183617774696369</v>
      </c>
      <c r="Q63" s="254">
        <f t="shared" si="175"/>
        <v>14.183617774696369</v>
      </c>
      <c r="R63" s="254">
        <f t="shared" si="175"/>
        <v>14.183617774696369</v>
      </c>
      <c r="S63" s="254">
        <f t="shared" si="175"/>
        <v>14.183617774696369</v>
      </c>
      <c r="T63" s="254">
        <f t="shared" si="175"/>
        <v>14.183617774696369</v>
      </c>
      <c r="U63" s="254">
        <f t="shared" si="175"/>
        <v>14.183617774696369</v>
      </c>
      <c r="V63" s="254">
        <f t="shared" si="175"/>
        <v>14.183617774696369</v>
      </c>
      <c r="W63" s="254">
        <f t="shared" si="175"/>
        <v>14.183617774696369</v>
      </c>
      <c r="X63" s="254">
        <f t="shared" si="175"/>
        <v>14.183617774696369</v>
      </c>
      <c r="Y63" s="254">
        <f t="shared" si="175"/>
        <v>14.183617774696369</v>
      </c>
      <c r="Z63" s="254">
        <f t="shared" si="175"/>
        <v>14.183617774696369</v>
      </c>
      <c r="AA63" s="254">
        <f t="shared" si="175"/>
        <v>14.183617774696369</v>
      </c>
      <c r="AB63" s="254">
        <f t="shared" si="175"/>
        <v>14.183617774696369</v>
      </c>
      <c r="AC63" s="254">
        <f t="shared" si="175"/>
        <v>14.183617774696369</v>
      </c>
      <c r="AD63" s="254">
        <f t="shared" si="175"/>
        <v>14.183617774696369</v>
      </c>
      <c r="AE63" s="254">
        <f t="shared" si="175"/>
        <v>14.183617774696369</v>
      </c>
      <c r="AF63" s="254">
        <f t="shared" si="175"/>
        <v>14.183617774696369</v>
      </c>
      <c r="AG63" s="254">
        <f t="shared" si="175"/>
        <v>14.183617774696369</v>
      </c>
      <c r="AH63" s="254">
        <f t="shared" si="175"/>
        <v>14.183617774696369</v>
      </c>
      <c r="AI63" s="254">
        <f t="shared" si="175"/>
        <v>14.183617774696369</v>
      </c>
      <c r="AJ63" s="254">
        <f t="shared" si="175"/>
        <v>14.183617774696369</v>
      </c>
      <c r="AK63" s="254">
        <f t="shared" si="175"/>
        <v>14.183617774696369</v>
      </c>
      <c r="AL63" s="254">
        <f t="shared" si="175"/>
        <v>14.183617774696369</v>
      </c>
      <c r="AM63" s="254">
        <f t="shared" si="175"/>
        <v>14.183617774696369</v>
      </c>
      <c r="AN63" s="254">
        <f t="shared" ref="AN63:BV63" si="176">13.11*($C$63/mmBTU_to_GJ)</f>
        <v>14.183617774696369</v>
      </c>
      <c r="AO63" s="254">
        <f t="shared" si="176"/>
        <v>14.183617774696369</v>
      </c>
      <c r="AP63" s="254">
        <f t="shared" si="176"/>
        <v>14.183617774696369</v>
      </c>
      <c r="AQ63" s="254">
        <f t="shared" si="176"/>
        <v>14.183617774696369</v>
      </c>
      <c r="AR63" s="254">
        <f t="shared" si="176"/>
        <v>14.183617774696369</v>
      </c>
      <c r="AS63" s="254">
        <f t="shared" si="176"/>
        <v>14.183617774696369</v>
      </c>
      <c r="AT63" s="254">
        <f t="shared" si="176"/>
        <v>14.183617774696369</v>
      </c>
      <c r="AU63" s="254">
        <f t="shared" si="176"/>
        <v>14.183617774696369</v>
      </c>
      <c r="AV63" s="254">
        <f t="shared" si="176"/>
        <v>14.183617774696369</v>
      </c>
      <c r="AW63" s="254">
        <f t="shared" si="176"/>
        <v>14.183617774696369</v>
      </c>
      <c r="AX63" s="254">
        <f t="shared" si="176"/>
        <v>14.183617774696369</v>
      </c>
      <c r="AY63" s="254">
        <f t="shared" si="176"/>
        <v>14.183617774696369</v>
      </c>
      <c r="AZ63" s="254">
        <f t="shared" si="176"/>
        <v>14.183617774696369</v>
      </c>
      <c r="BA63" s="254">
        <f t="shared" si="176"/>
        <v>14.183617774696369</v>
      </c>
      <c r="BB63" s="254">
        <f t="shared" si="176"/>
        <v>14.183617774696369</v>
      </c>
      <c r="BC63" s="254">
        <f t="shared" si="176"/>
        <v>14.183617774696369</v>
      </c>
      <c r="BD63" s="254">
        <f t="shared" si="176"/>
        <v>14.183617774696369</v>
      </c>
      <c r="BE63" s="254">
        <f t="shared" si="176"/>
        <v>14.183617774696369</v>
      </c>
      <c r="BF63" s="254">
        <f t="shared" si="176"/>
        <v>14.183617774696369</v>
      </c>
      <c r="BG63" s="254">
        <f t="shared" si="176"/>
        <v>14.183617774696369</v>
      </c>
      <c r="BH63" s="254">
        <f t="shared" si="176"/>
        <v>14.183617774696369</v>
      </c>
      <c r="BI63" s="254">
        <f t="shared" si="176"/>
        <v>14.183617774696369</v>
      </c>
      <c r="BJ63" s="254">
        <f t="shared" si="176"/>
        <v>14.183617774696369</v>
      </c>
      <c r="BK63" s="254">
        <f t="shared" si="176"/>
        <v>14.183617774696369</v>
      </c>
      <c r="BL63" s="254">
        <f t="shared" si="176"/>
        <v>14.183617774696369</v>
      </c>
      <c r="BM63" s="254">
        <f t="shared" si="176"/>
        <v>14.183617774696369</v>
      </c>
      <c r="BN63" s="254">
        <f t="shared" si="176"/>
        <v>14.183617774696369</v>
      </c>
      <c r="BO63" s="254">
        <f t="shared" si="176"/>
        <v>14.183617774696369</v>
      </c>
      <c r="BP63" s="254">
        <f t="shared" si="176"/>
        <v>14.183617774696369</v>
      </c>
      <c r="BQ63" s="254">
        <f t="shared" si="176"/>
        <v>14.183617774696369</v>
      </c>
      <c r="BR63" s="725">
        <f t="shared" si="176"/>
        <v>14.183617774696369</v>
      </c>
      <c r="BS63" s="254">
        <f t="shared" si="176"/>
        <v>14.183617774696369</v>
      </c>
      <c r="BT63" s="254">
        <f t="shared" si="176"/>
        <v>14.183617774696369</v>
      </c>
      <c r="BU63" s="254">
        <f t="shared" si="176"/>
        <v>14.183617774696369</v>
      </c>
      <c r="BV63" s="728">
        <f t="shared" si="176"/>
        <v>14.183617774696369</v>
      </c>
      <c r="BW63" s="1077">
        <f>+BV63*BW$136/BV$136</f>
        <v>14.230711556264829</v>
      </c>
      <c r="BX63" s="1077">
        <f t="shared" si="174"/>
        <v>14.277961703035571</v>
      </c>
      <c r="BY63" s="1077">
        <f t="shared" si="174"/>
        <v>14.325368734187041</v>
      </c>
      <c r="BZ63" s="1077">
        <f t="shared" si="174"/>
        <v>14.372933170621517</v>
      </c>
      <c r="CA63" s="1077">
        <f t="shared" si="174"/>
        <v>14.420655534970821</v>
      </c>
      <c r="CB63" s="1077">
        <f t="shared" si="174"/>
        <v>14.451428179067991</v>
      </c>
      <c r="CC63" s="1077">
        <f t="shared" si="174"/>
        <v>14.482266489779443</v>
      </c>
      <c r="CD63" s="1077">
        <f t="shared" si="174"/>
        <v>14.51317060723302</v>
      </c>
      <c r="CE63" s="1077">
        <f t="shared" si="174"/>
        <v>14.54414067185559</v>
      </c>
      <c r="CF63" s="1077">
        <f t="shared" si="174"/>
        <v>14.575176824373679</v>
      </c>
      <c r="CG63" s="1077">
        <f t="shared" si="174"/>
        <v>14.585254066221541</v>
      </c>
      <c r="CH63" s="1077">
        <f t="shared" si="174"/>
        <v>14.595338275449933</v>
      </c>
      <c r="CI63" s="1077">
        <f t="shared" si="174"/>
        <v>14.605429456876088</v>
      </c>
      <c r="CJ63" s="1077">
        <f t="shared" si="174"/>
        <v>14.615527615320566</v>
      </c>
      <c r="CK63" s="1077">
        <f t="shared" si="174"/>
        <v>14.625632755607262</v>
      </c>
      <c r="CL63" s="1077">
        <f t="shared" si="174"/>
        <v>14.629057949594106</v>
      </c>
      <c r="CM63" s="1077">
        <f t="shared" si="174"/>
        <v>14.632483945731124</v>
      </c>
      <c r="CN63" s="1077">
        <f t="shared" si="174"/>
        <v>14.635910744206171</v>
      </c>
      <c r="CO63" s="1077">
        <f t="shared" si="174"/>
        <v>14.639338345207147</v>
      </c>
      <c r="CP63" s="1077">
        <f t="shared" si="174"/>
        <v>14.642766748922</v>
      </c>
      <c r="CQ63" s="1077">
        <f t="shared" si="174"/>
        <v>14.647962823919764</v>
      </c>
      <c r="CR63" s="1077">
        <f t="shared" si="174"/>
        <v>14.6531607427764</v>
      </c>
      <c r="CS63" s="1077">
        <f t="shared" si="174"/>
        <v>14.658360506146211</v>
      </c>
      <c r="CT63" s="1077">
        <f t="shared" si="174"/>
        <v>14.663562114683737</v>
      </c>
      <c r="CU63" s="1077">
        <f t="shared" si="174"/>
        <v>14.668765569043746</v>
      </c>
      <c r="CV63" s="1077">
        <f t="shared" si="174"/>
        <v>14.676773707333766</v>
      </c>
      <c r="CW63" s="1077">
        <f t="shared" si="174"/>
        <v>14.68478621751715</v>
      </c>
      <c r="CX63" s="1077">
        <f t="shared" si="174"/>
        <v>14.692803101980653</v>
      </c>
      <c r="CY63" s="1077">
        <f t="shared" si="174"/>
        <v>14.700824363112332</v>
      </c>
      <c r="CZ63" s="1077">
        <f t="shared" si="174"/>
        <v>14.708850003301547</v>
      </c>
    </row>
    <row r="64" spans="1:104" x14ac:dyDescent="0.25">
      <c r="A64" s="806" t="str">
        <f>'HyARC Physical Property Data'!A85</f>
        <v>Woody Biomass</v>
      </c>
      <c r="B64" s="254">
        <v>2005</v>
      </c>
      <c r="C64" s="726">
        <f>VLOOKUP(ref_year,DeflatorTable,2,FALSE)/VLOOKUP(B64,DeflatorTable,2,FALSE)</f>
        <v>1.208440716126562</v>
      </c>
      <c r="D64" s="1030" t="str">
        <f>+'HyARC Physical Property Data'!$H$85</f>
        <v>kg</v>
      </c>
      <c r="E64" s="747" t="s">
        <v>1034</v>
      </c>
      <c r="F64" s="254">
        <f>'HyARC Physical Property Data'!$E$45</f>
        <v>19.551069237418005</v>
      </c>
      <c r="G64" s="254">
        <f>'HyARC Physical Property Data'!$I$45</f>
        <v>20.588656379262464</v>
      </c>
      <c r="H64" s="852">
        <v>1.3438238843289665</v>
      </c>
      <c r="I64" s="852">
        <v>1.3438238843289665</v>
      </c>
      <c r="J64" s="852">
        <v>1.3438238843289665</v>
      </c>
      <c r="K64" s="852">
        <v>1.3438238843289665</v>
      </c>
      <c r="L64" s="852">
        <v>1.3438238843289665</v>
      </c>
      <c r="M64" s="852">
        <v>1.3438238843289665</v>
      </c>
      <c r="N64" s="254">
        <f>1.27*($C$64)</f>
        <v>1.5347197094807337</v>
      </c>
      <c r="O64" s="254">
        <f>1.27*($C$64)</f>
        <v>1.5347197094807337</v>
      </c>
      <c r="P64" s="254">
        <f>1.28*($C$64)</f>
        <v>1.5468041166419995</v>
      </c>
      <c r="Q64" s="254">
        <f>1.32*($C$64)</f>
        <v>1.595141745287062</v>
      </c>
      <c r="R64" s="254">
        <f>1.32*($C$64)</f>
        <v>1.595141745287062</v>
      </c>
      <c r="S64" s="254">
        <f>1.34*($C$64)</f>
        <v>1.6193105596095931</v>
      </c>
      <c r="T64" s="254">
        <f>1.34*($C$64)</f>
        <v>1.6193105596095931</v>
      </c>
      <c r="U64" s="254">
        <f>1.36*($C$64)</f>
        <v>1.6434793739321245</v>
      </c>
      <c r="V64" s="254">
        <f>1.36*($C$64)</f>
        <v>1.6434793739321245</v>
      </c>
      <c r="W64" s="254">
        <f>1.38*($C$64)</f>
        <v>1.6676481882546554</v>
      </c>
      <c r="X64" s="254">
        <f>1.4*($C$64)</f>
        <v>1.6918170025771868</v>
      </c>
      <c r="Y64" s="254">
        <f>1.46*($C$64)</f>
        <v>1.7643234455447805</v>
      </c>
      <c r="Z64" s="254">
        <f>1.48*($C$64)</f>
        <v>1.7884922598673119</v>
      </c>
      <c r="AA64" s="254">
        <f>1.48*($C$64)</f>
        <v>1.7884922598673119</v>
      </c>
      <c r="AB64" s="254">
        <f>1.51*($C$64)</f>
        <v>1.8247454813511086</v>
      </c>
      <c r="AC64" s="254">
        <f>1.52*($C$64)</f>
        <v>1.8368298885123742</v>
      </c>
      <c r="AD64" s="254">
        <f>1.62*($C$64)</f>
        <v>1.9576739601250306</v>
      </c>
      <c r="AE64" s="254">
        <f>1.72*($C$64)</f>
        <v>2.0785180317376866</v>
      </c>
      <c r="AF64" s="254">
        <f>1.82*($C$64)</f>
        <v>2.1993621033503428</v>
      </c>
      <c r="AG64" s="254">
        <f>1.91*($C$64)</f>
        <v>2.3081217678017332</v>
      </c>
      <c r="AH64" s="254">
        <f>2.01*($C$64)</f>
        <v>2.4289658394143894</v>
      </c>
      <c r="AI64" s="254">
        <f>2.11*($C$64)</f>
        <v>2.5498099110270456</v>
      </c>
      <c r="AJ64" s="254">
        <f>2.2*($C$64)</f>
        <v>2.6585695754784364</v>
      </c>
      <c r="AK64" s="254">
        <f>2.3*($C$64)</f>
        <v>2.7794136470910926</v>
      </c>
      <c r="AL64" s="254">
        <f>2.4*($C$64)</f>
        <v>2.9002577187037488</v>
      </c>
      <c r="AM64" s="254">
        <f>2.5*($C$64)</f>
        <v>3.021101790316405</v>
      </c>
      <c r="AN64" s="254">
        <f>2.57*($C$64)</f>
        <v>3.1056926404452643</v>
      </c>
      <c r="AO64" s="254">
        <f>2.64*($C$64)</f>
        <v>3.190283490574124</v>
      </c>
      <c r="AP64" s="254">
        <f>2.71*($C$64)</f>
        <v>3.2748743407029832</v>
      </c>
      <c r="AQ64" s="254">
        <f>2.78*($C$64)</f>
        <v>3.359465190831842</v>
      </c>
      <c r="AR64" s="254">
        <f>2.85*($C$64)</f>
        <v>3.4440560409607017</v>
      </c>
      <c r="AS64" s="254">
        <f>2.92*($C$64)</f>
        <v>3.528646891089561</v>
      </c>
      <c r="AT64" s="254">
        <f>2.99*($C$64)</f>
        <v>3.6132377412184207</v>
      </c>
      <c r="AU64" s="254">
        <f>3.07*($C$64)</f>
        <v>3.7099129985085453</v>
      </c>
      <c r="AV64" s="254">
        <f>3.14*($C$64)</f>
        <v>3.794503848637405</v>
      </c>
      <c r="AW64" s="254">
        <f>3.21*($C$64)</f>
        <v>3.8790946987662642</v>
      </c>
      <c r="AX64" s="254">
        <f>3.28*($C$64)</f>
        <v>3.963685548895123</v>
      </c>
      <c r="AY64" s="254">
        <f>3.35*($C$64)</f>
        <v>4.0482763990239832</v>
      </c>
      <c r="AZ64" s="254">
        <f>3.42*($C$64)</f>
        <v>4.1328672491528424</v>
      </c>
      <c r="BA64" s="254">
        <f>3.49*($C$64)</f>
        <v>4.2174580992817017</v>
      </c>
      <c r="BB64" s="254">
        <f>3.56*($C$64)</f>
        <v>4.3020489494105609</v>
      </c>
      <c r="BC64" s="254">
        <f>3.64*($C$64)</f>
        <v>4.3987242067006855</v>
      </c>
      <c r="BD64" s="254">
        <f>3.71*($C$64)</f>
        <v>4.4833150568295448</v>
      </c>
      <c r="BE64" s="254">
        <f>3.78*($C$64)</f>
        <v>4.567905906958404</v>
      </c>
      <c r="BF64" s="254">
        <f>3.85*($C$64)</f>
        <v>4.6524967570872642</v>
      </c>
      <c r="BG64" s="254">
        <f>3.92*($C$64)</f>
        <v>4.7370876072161234</v>
      </c>
      <c r="BH64" s="254">
        <f>3.99*($C$64)</f>
        <v>4.8216784573449827</v>
      </c>
      <c r="BI64" s="254">
        <f>4.06*($C$64)</f>
        <v>4.906269307473841</v>
      </c>
      <c r="BJ64" s="254">
        <f>4.14*($C$64)</f>
        <v>5.0029445647639665</v>
      </c>
      <c r="BK64" s="254">
        <f>4.21*($C$64)</f>
        <v>5.0875354148928258</v>
      </c>
      <c r="BL64" s="254">
        <f>4.28*($C$64)</f>
        <v>5.1721262650216859</v>
      </c>
      <c r="BM64" s="254">
        <f>4.35*($C$64)</f>
        <v>5.2567171151505443</v>
      </c>
      <c r="BN64" s="254">
        <f>4.42*($C$64)</f>
        <v>5.3413079652794044</v>
      </c>
      <c r="BO64" s="254">
        <f>4.49*($C$64)</f>
        <v>5.4258988154082637</v>
      </c>
      <c r="BP64" s="254">
        <f>4.56*($C$64)</f>
        <v>5.5104896655371221</v>
      </c>
      <c r="BQ64" s="254">
        <f>4.63*($C$64)</f>
        <v>5.5950805156659822</v>
      </c>
      <c r="BR64" s="725">
        <f>4.71*($C$64)</f>
        <v>5.6917557729561068</v>
      </c>
      <c r="BS64" s="254">
        <f>4.78*($C$64)</f>
        <v>5.7763466230849669</v>
      </c>
      <c r="BT64" s="254">
        <f>4.85*($C$64)</f>
        <v>5.8609374732138253</v>
      </c>
      <c r="BU64" s="254">
        <f>4.92*($C$64)</f>
        <v>5.9455283233426854</v>
      </c>
      <c r="BV64" s="728">
        <f>4.99*($C$64)</f>
        <v>6.0301191734715447</v>
      </c>
      <c r="BW64" s="1077">
        <f>+BV64*BW$138/BV$138</f>
        <v>6.0446132076616896</v>
      </c>
      <c r="BX64" s="1077">
        <f t="shared" ref="BX64:CZ64" si="177">+BW64*BX$138/BW$138</f>
        <v>6.0591420798079438</v>
      </c>
      <c r="BY64" s="1077">
        <f t="shared" si="177"/>
        <v>6.0737058736470511</v>
      </c>
      <c r="BZ64" s="1077">
        <f t="shared" si="177"/>
        <v>6.0883046731170198</v>
      </c>
      <c r="CA64" s="1077">
        <f t="shared" si="177"/>
        <v>6.1029385623576156</v>
      </c>
      <c r="CB64" s="1077">
        <f t="shared" si="177"/>
        <v>6.1157485681116217</v>
      </c>
      <c r="CC64" s="1077">
        <f t="shared" si="177"/>
        <v>6.1285854619369617</v>
      </c>
      <c r="CD64" s="1077">
        <f t="shared" si="177"/>
        <v>6.1414493002714252</v>
      </c>
      <c r="CE64" s="1077">
        <f t="shared" si="177"/>
        <v>6.1543401396712598</v>
      </c>
      <c r="CF64" s="1077">
        <f t="shared" si="177"/>
        <v>6.167258036811428</v>
      </c>
      <c r="CG64" s="1077">
        <f t="shared" si="177"/>
        <v>6.183149548139812</v>
      </c>
      <c r="CH64" s="1077">
        <f t="shared" si="177"/>
        <v>6.1990820079952069</v>
      </c>
      <c r="CI64" s="1077">
        <f t="shared" si="177"/>
        <v>6.215055521891923</v>
      </c>
      <c r="CJ64" s="1077">
        <f t="shared" si="177"/>
        <v>6.2310701956161552</v>
      </c>
      <c r="CK64" s="1077">
        <f t="shared" si="177"/>
        <v>6.2471261352266838</v>
      </c>
      <c r="CL64" s="1077">
        <f t="shared" si="177"/>
        <v>6.2604975997429575</v>
      </c>
      <c r="CM64" s="1077">
        <f t="shared" si="177"/>
        <v>6.2738976847896071</v>
      </c>
      <c r="CN64" s="1077">
        <f t="shared" si="177"/>
        <v>6.2873264516265444</v>
      </c>
      <c r="CO64" s="1077">
        <f t="shared" si="177"/>
        <v>6.3007839616448056</v>
      </c>
      <c r="CP64" s="1077">
        <f t="shared" si="177"/>
        <v>6.3142702763668277</v>
      </c>
      <c r="CQ64" s="1077">
        <f t="shared" si="177"/>
        <v>6.326614172551615</v>
      </c>
      <c r="CR64" s="1077">
        <f t="shared" si="177"/>
        <v>6.3389822000716718</v>
      </c>
      <c r="CS64" s="1077">
        <f t="shared" si="177"/>
        <v>6.3513744061018391</v>
      </c>
      <c r="CT64" s="1077">
        <f t="shared" si="177"/>
        <v>6.3637908379091801</v>
      </c>
      <c r="CU64" s="1077">
        <f t="shared" si="177"/>
        <v>6.376231542853164</v>
      </c>
      <c r="CV64" s="1077">
        <f t="shared" si="177"/>
        <v>6.3909193633613004</v>
      </c>
      <c r="CW64" s="1077">
        <f t="shared" si="177"/>
        <v>6.4056410176582252</v>
      </c>
      <c r="CX64" s="1077">
        <f t="shared" si="177"/>
        <v>6.4203965836809767</v>
      </c>
      <c r="CY64" s="1077">
        <f t="shared" si="177"/>
        <v>6.4351861395461265</v>
      </c>
      <c r="CZ64" s="1077">
        <f t="shared" si="177"/>
        <v>6.450009763550189</v>
      </c>
    </row>
    <row r="65" spans="1:104" x14ac:dyDescent="0.25">
      <c r="A65" s="753" t="str">
        <f>'HyARC Physical Property Data'!A79</f>
        <v>Electric Utility Steam Coal</v>
      </c>
      <c r="B65" s="254">
        <v>2011</v>
      </c>
      <c r="C65" s="726">
        <f>VLOOKUP(ref_year,DeflatorTable,2,FALSE)/VLOOKUP(B65,DeflatorTable,2,FALSE)</f>
        <v>1.0771767810026385</v>
      </c>
      <c r="D65" s="1030" t="str">
        <f>+'HyARC Physical Property Data'!$H$79</f>
        <v>kg</v>
      </c>
      <c r="E65" s="747" t="s">
        <v>1034</v>
      </c>
      <c r="F65" s="254">
        <f>'HyARC Physical Property Data'!$E$42</f>
        <v>22.7322030001394</v>
      </c>
      <c r="G65" s="254">
        <f>'HyARC Physical Property Data'!$I$42</f>
        <v>23.967615189707661</v>
      </c>
      <c r="H65" s="852">
        <v>1.6359074751967535</v>
      </c>
      <c r="I65" s="852">
        <v>1.6359074751967535</v>
      </c>
      <c r="J65" s="852">
        <v>1.6359074751967535</v>
      </c>
      <c r="K65" s="852">
        <v>1.6778298347292193</v>
      </c>
      <c r="L65" s="852">
        <v>1.8315470257945772</v>
      </c>
      <c r="M65" s="852">
        <v>1.8060149340317679</v>
      </c>
      <c r="N65" s="254">
        <f t="shared" ref="N65:AR65" si="178">N79*($C65/mmBTU_to_GJ*$G65/$F65)</f>
        <v>2.4738067312648084</v>
      </c>
      <c r="O65" s="254">
        <f t="shared" si="178"/>
        <v>2.562092342657099</v>
      </c>
      <c r="P65" s="254">
        <f t="shared" si="178"/>
        <v>2.5992975836043981</v>
      </c>
      <c r="Q65" s="254">
        <f t="shared" si="178"/>
        <v>2.5097040133060879</v>
      </c>
      <c r="R65" s="254">
        <f t="shared" si="178"/>
        <v>2.6554020233616504</v>
      </c>
      <c r="S65" s="254">
        <f t="shared" si="178"/>
        <v>2.6808248690608902</v>
      </c>
      <c r="T65" s="254">
        <f t="shared" si="178"/>
        <v>2.7666904873496958</v>
      </c>
      <c r="U65" s="254">
        <f t="shared" si="178"/>
        <v>2.7733379328185648</v>
      </c>
      <c r="V65" s="254">
        <f t="shared" si="178"/>
        <v>2.7935332489312734</v>
      </c>
      <c r="W65" s="254">
        <f t="shared" si="178"/>
        <v>2.8081877712256396</v>
      </c>
      <c r="X65" s="254">
        <f t="shared" si="178"/>
        <v>2.8455997019753716</v>
      </c>
      <c r="Y65" s="254">
        <f t="shared" si="178"/>
        <v>2.875157420232656</v>
      </c>
      <c r="Z65" s="254">
        <f t="shared" si="178"/>
        <v>2.9218811571857422</v>
      </c>
      <c r="AA65" s="254">
        <f t="shared" si="178"/>
        <v>2.9595180783974975</v>
      </c>
      <c r="AB65" s="254">
        <f t="shared" si="178"/>
        <v>3.001801214126441</v>
      </c>
      <c r="AC65" s="254">
        <f t="shared" si="178"/>
        <v>3.0485410987203423</v>
      </c>
      <c r="AD65" s="254">
        <f t="shared" si="178"/>
        <v>3.0887358062372043</v>
      </c>
      <c r="AE65" s="254">
        <f t="shared" si="178"/>
        <v>3.1212689964420113</v>
      </c>
      <c r="AF65" s="254">
        <f t="shared" si="178"/>
        <v>3.1614959992405027</v>
      </c>
      <c r="AG65" s="254">
        <f t="shared" si="178"/>
        <v>3.2059762906296831</v>
      </c>
      <c r="AH65" s="254">
        <f t="shared" si="178"/>
        <v>3.2488525830312334</v>
      </c>
      <c r="AI65" s="254">
        <f t="shared" si="178"/>
        <v>3.2862978855719831</v>
      </c>
      <c r="AJ65" s="254">
        <f t="shared" si="178"/>
        <v>3.3267574143982119</v>
      </c>
      <c r="AK65" s="254">
        <f t="shared" si="178"/>
        <v>3.3693139835116237</v>
      </c>
      <c r="AL65" s="254">
        <f t="shared" si="178"/>
        <v>3.4131279155898357</v>
      </c>
      <c r="AM65" s="254">
        <f t="shared" si="178"/>
        <v>3.462467570354963</v>
      </c>
      <c r="AN65" s="254">
        <f t="shared" si="178"/>
        <v>3.500480193343015</v>
      </c>
      <c r="AO65" s="254">
        <f t="shared" si="178"/>
        <v>3.5291401027709814</v>
      </c>
      <c r="AP65" s="254">
        <f t="shared" si="178"/>
        <v>3.5647628749184039</v>
      </c>
      <c r="AQ65" s="254">
        <f t="shared" si="178"/>
        <v>3.6129969545423934</v>
      </c>
      <c r="AR65" s="254">
        <f t="shared" si="178"/>
        <v>3.658942375208194</v>
      </c>
      <c r="AS65" s="254">
        <f>($BB65-$AR65)/10+AR65</f>
        <v>3.6559939686764786</v>
      </c>
      <c r="AT65" s="254">
        <f t="shared" ref="AT65:BA65" si="179">($BB65-$AR65)/10+AS65</f>
        <v>3.6530455621447633</v>
      </c>
      <c r="AU65" s="254">
        <f t="shared" si="179"/>
        <v>3.6500971556130479</v>
      </c>
      <c r="AV65" s="254">
        <f t="shared" si="179"/>
        <v>3.6471487490813326</v>
      </c>
      <c r="AW65" s="254">
        <f t="shared" si="179"/>
        <v>3.6442003425496172</v>
      </c>
      <c r="AX65" s="254">
        <f t="shared" si="179"/>
        <v>3.6412519360179019</v>
      </c>
      <c r="AY65" s="254">
        <f t="shared" si="179"/>
        <v>3.6383035294861865</v>
      </c>
      <c r="AZ65" s="254">
        <f t="shared" si="179"/>
        <v>3.6353551229544712</v>
      </c>
      <c r="BA65" s="254">
        <f t="shared" si="179"/>
        <v>3.6324067164227558</v>
      </c>
      <c r="BB65" s="781">
        <f>('AEO Data'!$B$28*AM65)</f>
        <v>3.6294583098910396</v>
      </c>
      <c r="BC65" s="254">
        <f>($BQ65-$BB65)/15+BB65</f>
        <v>3.6421956634171884</v>
      </c>
      <c r="BD65" s="254">
        <f t="shared" ref="BD65:BP68" si="180">($BQ65-$BB65)/15+BC65</f>
        <v>3.6549330169433372</v>
      </c>
      <c r="BE65" s="254">
        <f t="shared" si="180"/>
        <v>3.667670370469486</v>
      </c>
      <c r="BF65" s="254">
        <f t="shared" si="180"/>
        <v>3.6804077239956348</v>
      </c>
      <c r="BG65" s="254">
        <f t="shared" si="180"/>
        <v>3.6931450775217836</v>
      </c>
      <c r="BH65" s="254">
        <f t="shared" si="180"/>
        <v>3.7058824310479324</v>
      </c>
      <c r="BI65" s="254">
        <f t="shared" si="180"/>
        <v>3.7186197845740812</v>
      </c>
      <c r="BJ65" s="254">
        <f t="shared" si="180"/>
        <v>3.73135713810023</v>
      </c>
      <c r="BK65" s="254">
        <f t="shared" si="180"/>
        <v>3.7440944916263788</v>
      </c>
      <c r="BL65" s="254">
        <f t="shared" si="180"/>
        <v>3.7568318451525275</v>
      </c>
      <c r="BM65" s="254">
        <f t="shared" si="180"/>
        <v>3.7695691986786763</v>
      </c>
      <c r="BN65" s="254">
        <f t="shared" si="180"/>
        <v>3.7823065522048251</v>
      </c>
      <c r="BO65" s="254">
        <f t="shared" si="180"/>
        <v>3.7950439057309739</v>
      </c>
      <c r="BP65" s="254">
        <f t="shared" si="180"/>
        <v>3.8077812592571227</v>
      </c>
      <c r="BQ65" s="781">
        <f>('AEO Data'!$C$28*BB65)</f>
        <v>3.8205186127832693</v>
      </c>
      <c r="BR65" s="725">
        <f t="shared" ref="BR65:BU68" si="181">($BV65-$BQ65)/5+BQ65</f>
        <v>3.8327668169477032</v>
      </c>
      <c r="BS65" s="254">
        <f t="shared" si="181"/>
        <v>3.845015021112137</v>
      </c>
      <c r="BT65" s="254">
        <f t="shared" si="181"/>
        <v>3.8572632252765708</v>
      </c>
      <c r="BU65" s="254">
        <f t="shared" si="181"/>
        <v>3.8695114294410047</v>
      </c>
      <c r="BV65" s="805">
        <f>('AEO Data'!$D$28*BQ65)</f>
        <v>3.8817596336054376</v>
      </c>
      <c r="BW65" s="1077">
        <f>+BV65*BW$139/BV$139</f>
        <v>3.8948836892010701</v>
      </c>
      <c r="BX65" s="1077">
        <f t="shared" ref="BX65:CZ65" si="182">+BW65*BX$139/BW$139</f>
        <v>3.9080521166413131</v>
      </c>
      <c r="BY65" s="1077">
        <f t="shared" si="182"/>
        <v>3.9212650659453869</v>
      </c>
      <c r="BZ65" s="1077">
        <f t="shared" si="182"/>
        <v>3.934522687639721</v>
      </c>
      <c r="CA65" s="1077">
        <f t="shared" si="182"/>
        <v>3.9478251327596676</v>
      </c>
      <c r="CB65" s="1077">
        <f t="shared" si="182"/>
        <v>3.9591283759223899</v>
      </c>
      <c r="CC65" s="1077">
        <f t="shared" si="182"/>
        <v>3.9704639820448935</v>
      </c>
      <c r="CD65" s="1077">
        <f t="shared" si="182"/>
        <v>3.9818320437874131</v>
      </c>
      <c r="CE65" s="1077">
        <f t="shared" si="182"/>
        <v>3.9932326540754852</v>
      </c>
      <c r="CF65" s="1077">
        <f t="shared" si="182"/>
        <v>4.0046659061007048</v>
      </c>
      <c r="CG65" s="1077">
        <f t="shared" si="182"/>
        <v>4.0133952059294913</v>
      </c>
      <c r="CH65" s="1077">
        <f t="shared" si="182"/>
        <v>4.0221435337314686</v>
      </c>
      <c r="CI65" s="1077">
        <f t="shared" si="182"/>
        <v>4.0309109309834765</v>
      </c>
      <c r="CJ65" s="1077">
        <f t="shared" si="182"/>
        <v>4.0396974392527643</v>
      </c>
      <c r="CK65" s="1077">
        <f t="shared" si="182"/>
        <v>4.0485031001971885</v>
      </c>
      <c r="CL65" s="1077">
        <f t="shared" si="182"/>
        <v>4.0544726040914778</v>
      </c>
      <c r="CM65" s="1077">
        <f t="shared" si="182"/>
        <v>4.0604509099987238</v>
      </c>
      <c r="CN65" s="1077">
        <f t="shared" si="182"/>
        <v>4.0664380308974657</v>
      </c>
      <c r="CO65" s="1077">
        <f t="shared" si="182"/>
        <v>4.0724339797853757</v>
      </c>
      <c r="CP65" s="1077">
        <f t="shared" si="182"/>
        <v>4.0784387696792948</v>
      </c>
      <c r="CQ65" s="1077">
        <f t="shared" si="182"/>
        <v>4.0804496799112764</v>
      </c>
      <c r="CR65" s="1077">
        <f t="shared" si="182"/>
        <v>4.0824615816402954</v>
      </c>
      <c r="CS65" s="1077">
        <f t="shared" si="182"/>
        <v>4.0844744753552202</v>
      </c>
      <c r="CT65" s="1077">
        <f t="shared" si="182"/>
        <v>4.0864883615451566</v>
      </c>
      <c r="CU65" s="1077">
        <f t="shared" si="182"/>
        <v>4.0885032406994535</v>
      </c>
      <c r="CV65" s="1077">
        <f t="shared" si="182"/>
        <v>4.0856074248284502</v>
      </c>
      <c r="CW65" s="1077">
        <f t="shared" si="182"/>
        <v>4.0827136600135576</v>
      </c>
      <c r="CX65" s="1077">
        <f t="shared" si="182"/>
        <v>4.0798219448020498</v>
      </c>
      <c r="CY65" s="1077">
        <f t="shared" si="182"/>
        <v>4.0769322777422268</v>
      </c>
      <c r="CZ65" s="1077">
        <f t="shared" si="182"/>
        <v>4.0740446573834195</v>
      </c>
    </row>
    <row r="66" spans="1:104" x14ac:dyDescent="0.25">
      <c r="A66" s="729" t="str">
        <f>'HyARC Physical Property Data'!A76</f>
        <v>Commercial Electricity</v>
      </c>
      <c r="B66" s="254">
        <v>2011</v>
      </c>
      <c r="C66" s="726">
        <f t="shared" si="165"/>
        <v>1.0771767810026385</v>
      </c>
      <c r="D66" s="1030" t="str">
        <f>'HyARC Physical Property Data'!$H$76</f>
        <v>kWh</v>
      </c>
      <c r="E66" s="726" t="s">
        <v>1053</v>
      </c>
      <c r="F66" s="730"/>
      <c r="G66" s="726"/>
      <c r="H66" s="852">
        <v>26.764062885406638</v>
      </c>
      <c r="I66" s="852">
        <v>26.764062885406638</v>
      </c>
      <c r="J66" s="852">
        <v>26.764062885406638</v>
      </c>
      <c r="K66" s="852">
        <v>26.478521097803213</v>
      </c>
      <c r="L66" s="852">
        <v>27.879470162766175</v>
      </c>
      <c r="M66" s="852">
        <v>27.895326399478549</v>
      </c>
      <c r="N66" s="254">
        <f>N80*($C66)</f>
        <v>32.845898091688653</v>
      </c>
      <c r="O66" s="254">
        <f t="shared" ref="O66:AR68" si="183">O80*($C66)</f>
        <v>32.294462213720315</v>
      </c>
      <c r="P66" s="254">
        <f t="shared" si="183"/>
        <v>30.700817944591027</v>
      </c>
      <c r="Q66" s="254">
        <f t="shared" si="183"/>
        <v>29.936886325857518</v>
      </c>
      <c r="R66" s="254">
        <f t="shared" si="183"/>
        <v>30.351947314643798</v>
      </c>
      <c r="S66" s="254">
        <f t="shared" si="183"/>
        <v>30.31116863324538</v>
      </c>
      <c r="T66" s="254">
        <f t="shared" si="183"/>
        <v>30.903469366754614</v>
      </c>
      <c r="U66" s="254">
        <f t="shared" si="183"/>
        <v>31.264578879287598</v>
      </c>
      <c r="V66" s="254">
        <f t="shared" si="183"/>
        <v>31.3554312005277</v>
      </c>
      <c r="W66" s="254">
        <f t="shared" si="183"/>
        <v>31.211201538258571</v>
      </c>
      <c r="X66" s="254">
        <f t="shared" si="183"/>
        <v>31.282410463720318</v>
      </c>
      <c r="Y66" s="254">
        <f t="shared" si="183"/>
        <v>31.412854417546175</v>
      </c>
      <c r="Z66" s="254">
        <f t="shared" si="183"/>
        <v>31.504922871372031</v>
      </c>
      <c r="AA66" s="254">
        <f t="shared" si="183"/>
        <v>31.44926299274406</v>
      </c>
      <c r="AB66" s="254">
        <f t="shared" si="183"/>
        <v>31.362652593667544</v>
      </c>
      <c r="AC66" s="254">
        <f t="shared" si="183"/>
        <v>31.455675426121374</v>
      </c>
      <c r="AD66" s="254">
        <f t="shared" si="183"/>
        <v>31.429995531662264</v>
      </c>
      <c r="AE66" s="254">
        <f t="shared" si="183"/>
        <v>31.467324015831135</v>
      </c>
      <c r="AF66" s="254">
        <f t="shared" si="183"/>
        <v>31.469078736807386</v>
      </c>
      <c r="AG66" s="254">
        <f t="shared" si="183"/>
        <v>31.609617991424798</v>
      </c>
      <c r="AH66" s="254">
        <f t="shared" si="183"/>
        <v>31.830758075857517</v>
      </c>
      <c r="AI66" s="254">
        <f t="shared" si="183"/>
        <v>32.094287220976256</v>
      </c>
      <c r="AJ66" s="254">
        <f t="shared" si="183"/>
        <v>32.269189492084429</v>
      </c>
      <c r="AK66" s="254">
        <f t="shared" si="183"/>
        <v>32.612192740105542</v>
      </c>
      <c r="AL66" s="254">
        <f t="shared" si="183"/>
        <v>33.178551825197886</v>
      </c>
      <c r="AM66" s="254">
        <f t="shared" si="183"/>
        <v>33.706074378627967</v>
      </c>
      <c r="AN66" s="254">
        <f t="shared" si="183"/>
        <v>34.261722017810023</v>
      </c>
      <c r="AO66" s="254">
        <f t="shared" si="183"/>
        <v>34.758917736147751</v>
      </c>
      <c r="AP66" s="254">
        <f t="shared" si="183"/>
        <v>35.188647718337727</v>
      </c>
      <c r="AQ66" s="254">
        <f t="shared" si="183"/>
        <v>35.787504149736144</v>
      </c>
      <c r="AR66" s="254">
        <f t="shared" si="183"/>
        <v>36.169038011213715</v>
      </c>
      <c r="AS66" s="254">
        <f t="shared" ref="AS66:BA66" si="184">($BB66-$AR66)/10+AR66</f>
        <v>35.838717572225882</v>
      </c>
      <c r="AT66" s="254">
        <f t="shared" si="184"/>
        <v>35.508397133238049</v>
      </c>
      <c r="AU66" s="254">
        <f t="shared" si="184"/>
        <v>35.178076694250215</v>
      </c>
      <c r="AV66" s="254">
        <f t="shared" si="184"/>
        <v>34.847756255262382</v>
      </c>
      <c r="AW66" s="254">
        <f t="shared" si="184"/>
        <v>34.517435816274549</v>
      </c>
      <c r="AX66" s="254">
        <f t="shared" si="184"/>
        <v>34.187115377286716</v>
      </c>
      <c r="AY66" s="254">
        <f t="shared" si="184"/>
        <v>33.856794938298883</v>
      </c>
      <c r="AZ66" s="254">
        <f t="shared" si="184"/>
        <v>33.52647449931105</v>
      </c>
      <c r="BA66" s="254">
        <f t="shared" si="184"/>
        <v>33.196154060323217</v>
      </c>
      <c r="BB66" s="781">
        <f>'AEO Data'!$B$33*AM66</f>
        <v>32.865833621335355</v>
      </c>
      <c r="BC66" s="254">
        <f>($BQ66-$BB66)/15+BB66</f>
        <v>32.884982038593449</v>
      </c>
      <c r="BD66" s="254">
        <f t="shared" si="180"/>
        <v>32.904130455851544</v>
      </c>
      <c r="BE66" s="254">
        <f t="shared" si="180"/>
        <v>32.923278873109638</v>
      </c>
      <c r="BF66" s="254">
        <f t="shared" si="180"/>
        <v>32.942427290367732</v>
      </c>
      <c r="BG66" s="254">
        <f t="shared" si="180"/>
        <v>32.961575707625826</v>
      </c>
      <c r="BH66" s="254">
        <f t="shared" si="180"/>
        <v>32.98072412488392</v>
      </c>
      <c r="BI66" s="254">
        <f t="shared" si="180"/>
        <v>32.999872542142015</v>
      </c>
      <c r="BJ66" s="254">
        <f t="shared" si="180"/>
        <v>33.019020959400109</v>
      </c>
      <c r="BK66" s="254">
        <f t="shared" si="180"/>
        <v>33.038169376658203</v>
      </c>
      <c r="BL66" s="254">
        <f t="shared" si="180"/>
        <v>33.057317793916297</v>
      </c>
      <c r="BM66" s="254">
        <f t="shared" si="180"/>
        <v>33.076466211174392</v>
      </c>
      <c r="BN66" s="254">
        <f t="shared" si="180"/>
        <v>33.095614628432486</v>
      </c>
      <c r="BO66" s="254">
        <f t="shared" si="180"/>
        <v>33.11476304569058</v>
      </c>
      <c r="BP66" s="254">
        <f t="shared" si="180"/>
        <v>33.133911462948674</v>
      </c>
      <c r="BQ66" s="781">
        <f>'AEO Data'!$C$33*BB66</f>
        <v>33.153059880206783</v>
      </c>
      <c r="BR66" s="725">
        <f t="shared" si="181"/>
        <v>33.130736260086941</v>
      </c>
      <c r="BS66" s="254">
        <f t="shared" si="181"/>
        <v>33.108412639967099</v>
      </c>
      <c r="BT66" s="254">
        <f t="shared" si="181"/>
        <v>33.086089019847257</v>
      </c>
      <c r="BU66" s="254">
        <f t="shared" si="181"/>
        <v>33.063765399727416</v>
      </c>
      <c r="BV66" s="805">
        <f>'AEO Data'!$D$33*BQ66</f>
        <v>33.04144177960756</v>
      </c>
      <c r="BW66" s="1077">
        <f>+BV66*BW$140/BV$140</f>
        <v>33.026893508206783</v>
      </c>
      <c r="BX66" s="1077">
        <f t="shared" ref="BX66:CZ66" si="185">+BW66*BX$140/BW$140</f>
        <v>33.012351642464765</v>
      </c>
      <c r="BY66" s="1077">
        <f t="shared" si="185"/>
        <v>32.997816179561063</v>
      </c>
      <c r="BZ66" s="1077">
        <f t="shared" si="185"/>
        <v>32.983287116676486</v>
      </c>
      <c r="CA66" s="1077">
        <f t="shared" si="185"/>
        <v>32.968764450993078</v>
      </c>
      <c r="CB66" s="1077">
        <f t="shared" si="185"/>
        <v>32.94235698552729</v>
      </c>
      <c r="CC66" s="1077">
        <f t="shared" si="185"/>
        <v>32.915970672028941</v>
      </c>
      <c r="CD66" s="1077">
        <f t="shared" si="185"/>
        <v>32.889605493555642</v>
      </c>
      <c r="CE66" s="1077">
        <f t="shared" si="185"/>
        <v>32.863261433178565</v>
      </c>
      <c r="CF66" s="1077">
        <f t="shared" si="185"/>
        <v>32.83693847398245</v>
      </c>
      <c r="CG66" s="1077">
        <f t="shared" si="185"/>
        <v>32.800677122537721</v>
      </c>
      <c r="CH66" s="1077">
        <f t="shared" si="185"/>
        <v>32.764455813973655</v>
      </c>
      <c r="CI66" s="1077">
        <f t="shared" si="185"/>
        <v>32.728274504071479</v>
      </c>
      <c r="CJ66" s="1077">
        <f t="shared" si="185"/>
        <v>32.692133148661256</v>
      </c>
      <c r="CK66" s="1077">
        <f t="shared" si="185"/>
        <v>32.656031703621828</v>
      </c>
      <c r="CL66" s="1077">
        <f t="shared" si="185"/>
        <v>32.61667230567209</v>
      </c>
      <c r="CM66" s="1077">
        <f t="shared" si="185"/>
        <v>32.57736034649939</v>
      </c>
      <c r="CN66" s="1077">
        <f t="shared" si="185"/>
        <v>32.538095768927107</v>
      </c>
      <c r="CO66" s="1077">
        <f t="shared" si="185"/>
        <v>32.498878515847522</v>
      </c>
      <c r="CP66" s="1077">
        <f t="shared" si="185"/>
        <v>32.459708530221761</v>
      </c>
      <c r="CQ66" s="1077">
        <f t="shared" si="185"/>
        <v>32.414339458662745</v>
      </c>
      <c r="CR66" s="1077">
        <f t="shared" si="185"/>
        <v>32.369033799646459</v>
      </c>
      <c r="CS66" s="1077">
        <f t="shared" si="185"/>
        <v>32.323791464540925</v>
      </c>
      <c r="CT66" s="1077">
        <f t="shared" si="185"/>
        <v>32.27861236483804</v>
      </c>
      <c r="CU66" s="1077">
        <f t="shared" si="185"/>
        <v>32.233496412153421</v>
      </c>
      <c r="CV66" s="1077">
        <f t="shared" si="185"/>
        <v>32.189455210275135</v>
      </c>
      <c r="CW66" s="1077">
        <f t="shared" si="185"/>
        <v>32.145474182677603</v>
      </c>
      <c r="CX66" s="1077">
        <f t="shared" si="185"/>
        <v>32.101553247143634</v>
      </c>
      <c r="CY66" s="1077">
        <f t="shared" si="185"/>
        <v>32.057692321568368</v>
      </c>
      <c r="CZ66" s="1077">
        <f t="shared" si="185"/>
        <v>32.013891323959122</v>
      </c>
    </row>
    <row r="67" spans="1:104" x14ac:dyDescent="0.25">
      <c r="A67" s="729" t="str">
        <f>'HyARC Physical Property Data'!A77</f>
        <v>Industrial Electricity</v>
      </c>
      <c r="B67" s="254">
        <v>2011</v>
      </c>
      <c r="C67" s="726">
        <f t="shared" si="165"/>
        <v>1.0771767810026385</v>
      </c>
      <c r="D67" s="1018" t="str">
        <f>'HyARC Physical Property Data'!$H$77</f>
        <v>kWh</v>
      </c>
      <c r="E67" s="726" t="s">
        <v>1053</v>
      </c>
      <c r="F67" s="737"/>
      <c r="G67" s="220"/>
      <c r="H67" s="855">
        <v>17.365230901091444</v>
      </c>
      <c r="I67" s="855">
        <v>17.365230901091444</v>
      </c>
      <c r="J67" s="855">
        <v>17.365230901091444</v>
      </c>
      <c r="K67" s="855">
        <v>17.575551809904887</v>
      </c>
      <c r="L67" s="855">
        <v>19.530121721487372</v>
      </c>
      <c r="M67" s="855">
        <v>19.467200489895287</v>
      </c>
      <c r="N67" s="220">
        <f t="shared" ref="N67:AC68" si="186">N81*($C67)</f>
        <v>21.824080926781001</v>
      </c>
      <c r="O67" s="220">
        <f t="shared" si="186"/>
        <v>21.517382844986805</v>
      </c>
      <c r="P67" s="220">
        <f t="shared" si="186"/>
        <v>19.878853696569919</v>
      </c>
      <c r="Q67" s="220">
        <f t="shared" si="186"/>
        <v>19.559017289577834</v>
      </c>
      <c r="R67" s="220">
        <f t="shared" si="186"/>
        <v>19.681393189313983</v>
      </c>
      <c r="S67" s="220">
        <f t="shared" si="186"/>
        <v>19.595758712401054</v>
      </c>
      <c r="T67" s="220">
        <f t="shared" si="186"/>
        <v>20.147114879287596</v>
      </c>
      <c r="U67" s="220">
        <f t="shared" si="186"/>
        <v>20.469555899736147</v>
      </c>
      <c r="V67" s="220">
        <f t="shared" si="186"/>
        <v>20.570052184696571</v>
      </c>
      <c r="W67" s="220">
        <f t="shared" si="186"/>
        <v>20.520463274406332</v>
      </c>
      <c r="X67" s="220">
        <f t="shared" si="186"/>
        <v>20.569618082453825</v>
      </c>
      <c r="Y67" s="220">
        <f t="shared" si="186"/>
        <v>20.73793341754617</v>
      </c>
      <c r="Z67" s="220">
        <f t="shared" si="186"/>
        <v>20.92149511279683</v>
      </c>
      <c r="AA67" s="220">
        <f t="shared" si="186"/>
        <v>21.047268428100264</v>
      </c>
      <c r="AB67" s="220">
        <f t="shared" si="186"/>
        <v>21.075329960422163</v>
      </c>
      <c r="AC67" s="220">
        <f t="shared" si="186"/>
        <v>21.244222662269127</v>
      </c>
      <c r="AD67" s="220">
        <f t="shared" si="183"/>
        <v>21.339939513852244</v>
      </c>
      <c r="AE67" s="220">
        <f t="shared" si="183"/>
        <v>21.483012288258571</v>
      </c>
      <c r="AF67" s="220">
        <f t="shared" si="183"/>
        <v>21.593541397757257</v>
      </c>
      <c r="AG67" s="220">
        <f t="shared" si="183"/>
        <v>21.800339950527704</v>
      </c>
      <c r="AH67" s="220">
        <f t="shared" si="183"/>
        <v>21.997833850263849</v>
      </c>
      <c r="AI67" s="220">
        <f t="shared" si="183"/>
        <v>22.197943135224271</v>
      </c>
      <c r="AJ67" s="220">
        <f t="shared" si="183"/>
        <v>22.447729658970974</v>
      </c>
      <c r="AK67" s="220">
        <f t="shared" si="183"/>
        <v>22.811336067282323</v>
      </c>
      <c r="AL67" s="220">
        <f t="shared" si="183"/>
        <v>23.297994842348285</v>
      </c>
      <c r="AM67" s="220">
        <f t="shared" si="183"/>
        <v>23.815261595646437</v>
      </c>
      <c r="AN67" s="220">
        <f t="shared" si="183"/>
        <v>24.308689349604222</v>
      </c>
      <c r="AO67" s="220">
        <f t="shared" si="183"/>
        <v>24.764817703166226</v>
      </c>
      <c r="AP67" s="220">
        <f t="shared" si="183"/>
        <v>25.184108765171505</v>
      </c>
      <c r="AQ67" s="220">
        <f t="shared" si="183"/>
        <v>25.713819064643797</v>
      </c>
      <c r="AR67" s="220">
        <f t="shared" si="183"/>
        <v>26.032369322559369</v>
      </c>
      <c r="AS67" s="254">
        <f t="shared" ref="AS67:BA67" si="187">($BB67-$AR67)/10+AR67</f>
        <v>25.751290753982193</v>
      </c>
      <c r="AT67" s="254">
        <f t="shared" si="187"/>
        <v>25.470212185405018</v>
      </c>
      <c r="AU67" s="254">
        <f t="shared" si="187"/>
        <v>25.189133616827842</v>
      </c>
      <c r="AV67" s="254">
        <f t="shared" si="187"/>
        <v>24.908055048250667</v>
      </c>
      <c r="AW67" s="254">
        <f t="shared" si="187"/>
        <v>24.626976479673491</v>
      </c>
      <c r="AX67" s="254">
        <f t="shared" si="187"/>
        <v>24.345897911096316</v>
      </c>
      <c r="AY67" s="254">
        <f t="shared" si="187"/>
        <v>24.06481934251914</v>
      </c>
      <c r="AZ67" s="254">
        <f t="shared" si="187"/>
        <v>23.783740773941965</v>
      </c>
      <c r="BA67" s="254">
        <f t="shared" si="187"/>
        <v>23.502662205364789</v>
      </c>
      <c r="BB67" s="781">
        <f>'AEO Data'!$B$33*AM67</f>
        <v>23.22158363678761</v>
      </c>
      <c r="BC67" s="254">
        <f>($BQ67-$BB67)/15+BB67</f>
        <v>23.235113084359032</v>
      </c>
      <c r="BD67" s="254">
        <f t="shared" si="180"/>
        <v>23.248642531930454</v>
      </c>
      <c r="BE67" s="254">
        <f t="shared" si="180"/>
        <v>23.262171979501876</v>
      </c>
      <c r="BF67" s="254">
        <f t="shared" si="180"/>
        <v>23.275701427073297</v>
      </c>
      <c r="BG67" s="254">
        <f t="shared" si="180"/>
        <v>23.289230874644719</v>
      </c>
      <c r="BH67" s="254">
        <f t="shared" si="180"/>
        <v>23.302760322216141</v>
      </c>
      <c r="BI67" s="254">
        <f t="shared" si="180"/>
        <v>23.316289769787563</v>
      </c>
      <c r="BJ67" s="254">
        <f t="shared" si="180"/>
        <v>23.329819217358985</v>
      </c>
      <c r="BK67" s="254">
        <f t="shared" si="180"/>
        <v>23.343348664930406</v>
      </c>
      <c r="BL67" s="254">
        <f t="shared" si="180"/>
        <v>23.356878112501828</v>
      </c>
      <c r="BM67" s="254">
        <f t="shared" si="180"/>
        <v>23.37040756007325</v>
      </c>
      <c r="BN67" s="254">
        <f t="shared" si="180"/>
        <v>23.383937007644672</v>
      </c>
      <c r="BO67" s="254">
        <f t="shared" si="180"/>
        <v>23.397466455216094</v>
      </c>
      <c r="BP67" s="254">
        <f t="shared" si="180"/>
        <v>23.410995902787516</v>
      </c>
      <c r="BQ67" s="781">
        <f>'AEO Data'!$C$33*BB67</f>
        <v>23.424525350358955</v>
      </c>
      <c r="BR67" s="725">
        <f t="shared" si="181"/>
        <v>23.408752441092101</v>
      </c>
      <c r="BS67" s="254">
        <f t="shared" si="181"/>
        <v>23.392979531825247</v>
      </c>
      <c r="BT67" s="254">
        <f t="shared" si="181"/>
        <v>23.377206622558393</v>
      </c>
      <c r="BU67" s="254">
        <f t="shared" si="181"/>
        <v>23.36143371329154</v>
      </c>
      <c r="BV67" s="805">
        <f>'AEO Data'!$D$33*BQ67</f>
        <v>23.345660804024686</v>
      </c>
      <c r="BW67" s="1077">
        <f>+BV67*BW$141/BV$141</f>
        <v>23.3527149207825</v>
      </c>
      <c r="BX67" s="1077">
        <f t="shared" ref="BX67:CZ67" si="188">+BW67*BX$141/BW$141</f>
        <v>23.359771169009782</v>
      </c>
      <c r="BY67" s="1077">
        <f t="shared" si="188"/>
        <v>23.366829549350573</v>
      </c>
      <c r="BZ67" s="1077">
        <f t="shared" si="188"/>
        <v>23.373890062449121</v>
      </c>
      <c r="CA67" s="1077">
        <f t="shared" si="188"/>
        <v>23.380952708949849</v>
      </c>
      <c r="CB67" s="1077">
        <f t="shared" si="188"/>
        <v>23.378308502870599</v>
      </c>
      <c r="CC67" s="1077">
        <f t="shared" si="188"/>
        <v>23.375664595830738</v>
      </c>
      <c r="CD67" s="1077">
        <f t="shared" si="188"/>
        <v>23.373020987796441</v>
      </c>
      <c r="CE67" s="1077">
        <f t="shared" si="188"/>
        <v>23.370377678733899</v>
      </c>
      <c r="CF67" s="1077">
        <f t="shared" si="188"/>
        <v>23.367734668609302</v>
      </c>
      <c r="CG67" s="1077">
        <f t="shared" si="188"/>
        <v>23.357134857315337</v>
      </c>
      <c r="CH67" s="1077">
        <f t="shared" si="188"/>
        <v>23.346539854189601</v>
      </c>
      <c r="CI67" s="1077">
        <f t="shared" si="188"/>
        <v>23.335949657051067</v>
      </c>
      <c r="CJ67" s="1077">
        <f t="shared" si="188"/>
        <v>23.325364263719699</v>
      </c>
      <c r="CK67" s="1077">
        <f t="shared" si="188"/>
        <v>23.314783672016446</v>
      </c>
      <c r="CL67" s="1077">
        <f t="shared" si="188"/>
        <v>23.301803459317899</v>
      </c>
      <c r="CM67" s="1077">
        <f t="shared" si="188"/>
        <v>23.288830473189584</v>
      </c>
      <c r="CN67" s="1077">
        <f t="shared" si="188"/>
        <v>23.275864709608204</v>
      </c>
      <c r="CO67" s="1077">
        <f t="shared" si="188"/>
        <v>23.262906164552696</v>
      </c>
      <c r="CP67" s="1077">
        <f t="shared" si="188"/>
        <v>23.249954834004228</v>
      </c>
      <c r="CQ67" s="1077">
        <f t="shared" si="188"/>
        <v>23.232210866712229</v>
      </c>
      <c r="CR67" s="1077">
        <f t="shared" si="188"/>
        <v>23.214480441312137</v>
      </c>
      <c r="CS67" s="1077">
        <f t="shared" si="188"/>
        <v>23.196763547469015</v>
      </c>
      <c r="CT67" s="1077">
        <f t="shared" si="188"/>
        <v>23.179060174855813</v>
      </c>
      <c r="CU67" s="1077">
        <f t="shared" si="188"/>
        <v>23.161370313153348</v>
      </c>
      <c r="CV67" s="1077">
        <f t="shared" si="188"/>
        <v>23.144738488925565</v>
      </c>
      <c r="CW67" s="1077">
        <f t="shared" si="188"/>
        <v>23.128118607755269</v>
      </c>
      <c r="CX67" s="1077">
        <f t="shared" si="188"/>
        <v>23.111510661066333</v>
      </c>
      <c r="CY67" s="1077">
        <f t="shared" si="188"/>
        <v>23.094914640288788</v>
      </c>
      <c r="CZ67" s="1077">
        <f t="shared" si="188"/>
        <v>23.078330536858825</v>
      </c>
    </row>
    <row r="68" spans="1:104" ht="13.8" thickBot="1" x14ac:dyDescent="0.3">
      <c r="A68" s="731" t="str">
        <f>'HyARC Physical Property Data'!A78</f>
        <v>Residential Electricity</v>
      </c>
      <c r="B68" s="732">
        <v>2011</v>
      </c>
      <c r="C68" s="733">
        <f t="shared" si="165"/>
        <v>1.0771767810026385</v>
      </c>
      <c r="D68" s="1019" t="str">
        <f>'HyARC Physical Property Data'!$H$78</f>
        <v>kWh</v>
      </c>
      <c r="E68" s="733" t="s">
        <v>1053</v>
      </c>
      <c r="F68" s="738"/>
      <c r="G68" s="482"/>
      <c r="H68" s="856">
        <v>29.433773538887177</v>
      </c>
      <c r="I68" s="856">
        <v>29.433773538887177</v>
      </c>
      <c r="J68" s="856">
        <v>29.433773538887177</v>
      </c>
      <c r="K68" s="856">
        <v>29.415861064534436</v>
      </c>
      <c r="L68" s="856">
        <v>30.500905105766051</v>
      </c>
      <c r="M68" s="856">
        <v>30.574559070308627</v>
      </c>
      <c r="N68" s="482">
        <f t="shared" si="186"/>
        <v>37.187183350263851</v>
      </c>
      <c r="O68" s="482">
        <f t="shared" si="183"/>
        <v>36.985808382585752</v>
      </c>
      <c r="P68" s="482">
        <f t="shared" si="183"/>
        <v>35.861648381926123</v>
      </c>
      <c r="Q68" s="482">
        <f t="shared" si="183"/>
        <v>35.074328023746702</v>
      </c>
      <c r="R68" s="482">
        <f t="shared" si="183"/>
        <v>35.926786339050132</v>
      </c>
      <c r="S68" s="482">
        <f t="shared" si="183"/>
        <v>36.073591531002634</v>
      </c>
      <c r="T68" s="482">
        <f t="shared" si="183"/>
        <v>36.674317941292877</v>
      </c>
      <c r="U68" s="482">
        <f t="shared" si="183"/>
        <v>36.975630139182059</v>
      </c>
      <c r="V68" s="482">
        <f t="shared" si="183"/>
        <v>36.950708577176783</v>
      </c>
      <c r="W68" s="482">
        <f t="shared" si="183"/>
        <v>36.706312246042216</v>
      </c>
      <c r="X68" s="482">
        <f t="shared" si="183"/>
        <v>36.737241222955141</v>
      </c>
      <c r="Y68" s="482">
        <f t="shared" si="183"/>
        <v>36.822931713060683</v>
      </c>
      <c r="Z68" s="482">
        <f t="shared" si="183"/>
        <v>36.936536162269128</v>
      </c>
      <c r="AA68" s="482">
        <f t="shared" si="183"/>
        <v>36.968069435356199</v>
      </c>
      <c r="AB68" s="482">
        <f t="shared" si="183"/>
        <v>37.072613750659634</v>
      </c>
      <c r="AC68" s="482">
        <f t="shared" si="183"/>
        <v>37.406478230870711</v>
      </c>
      <c r="AD68" s="482">
        <f t="shared" si="183"/>
        <v>37.597953943931394</v>
      </c>
      <c r="AE68" s="482">
        <f t="shared" si="183"/>
        <v>37.769102253957783</v>
      </c>
      <c r="AF68" s="482">
        <f t="shared" si="183"/>
        <v>37.892630732849597</v>
      </c>
      <c r="AG68" s="482">
        <f t="shared" si="183"/>
        <v>38.064576153693928</v>
      </c>
      <c r="AH68" s="482">
        <f t="shared" si="183"/>
        <v>38.24699927308707</v>
      </c>
      <c r="AI68" s="482">
        <f t="shared" si="183"/>
        <v>38.482771726912929</v>
      </c>
      <c r="AJ68" s="482">
        <f t="shared" si="183"/>
        <v>38.653685212401051</v>
      </c>
      <c r="AK68" s="482">
        <f t="shared" si="183"/>
        <v>38.945181098284962</v>
      </c>
      <c r="AL68" s="482">
        <f t="shared" si="183"/>
        <v>39.434103021767804</v>
      </c>
      <c r="AM68" s="482">
        <f t="shared" si="183"/>
        <v>39.943878010554087</v>
      </c>
      <c r="AN68" s="482">
        <f t="shared" si="183"/>
        <v>40.396384895778361</v>
      </c>
      <c r="AO68" s="482">
        <f t="shared" si="183"/>
        <v>40.762839359498678</v>
      </c>
      <c r="AP68" s="482">
        <f t="shared" si="183"/>
        <v>41.106692500000001</v>
      </c>
      <c r="AQ68" s="482">
        <f t="shared" si="183"/>
        <v>41.598897658311344</v>
      </c>
      <c r="AR68" s="482">
        <f t="shared" si="183"/>
        <v>41.849125824538255</v>
      </c>
      <c r="AS68" s="732">
        <f t="shared" ref="AS68:BA68" si="189">($BB68-$AR68)/10+AR68</f>
        <v>41.559027079314276</v>
      </c>
      <c r="AT68" s="732">
        <f t="shared" si="189"/>
        <v>41.268928334090297</v>
      </c>
      <c r="AU68" s="732">
        <f t="shared" si="189"/>
        <v>40.978829588866319</v>
      </c>
      <c r="AV68" s="732">
        <f t="shared" si="189"/>
        <v>40.68873084364234</v>
      </c>
      <c r="AW68" s="732">
        <f t="shared" si="189"/>
        <v>40.398632098418361</v>
      </c>
      <c r="AX68" s="732">
        <f t="shared" si="189"/>
        <v>40.108533353194382</v>
      </c>
      <c r="AY68" s="732">
        <f t="shared" si="189"/>
        <v>39.818434607970403</v>
      </c>
      <c r="AZ68" s="732">
        <f t="shared" si="189"/>
        <v>39.528335862746424</v>
      </c>
      <c r="BA68" s="732">
        <f t="shared" si="189"/>
        <v>39.238237117522445</v>
      </c>
      <c r="BB68" s="810">
        <f>'AEO Data'!$B$33*AM68</f>
        <v>38.948138372298473</v>
      </c>
      <c r="BC68" s="732">
        <f>($BQ68-$BB68)/15+BB68</f>
        <v>38.9708304851343</v>
      </c>
      <c r="BD68" s="732">
        <f t="shared" si="180"/>
        <v>38.993522597970127</v>
      </c>
      <c r="BE68" s="732">
        <f t="shared" si="180"/>
        <v>39.016214710805954</v>
      </c>
      <c r="BF68" s="732">
        <f t="shared" si="180"/>
        <v>39.038906823641781</v>
      </c>
      <c r="BG68" s="732">
        <f t="shared" si="180"/>
        <v>39.061598936477608</v>
      </c>
      <c r="BH68" s="732">
        <f t="shared" si="180"/>
        <v>39.084291049313435</v>
      </c>
      <c r="BI68" s="732">
        <f t="shared" si="180"/>
        <v>39.106983162149263</v>
      </c>
      <c r="BJ68" s="732">
        <f t="shared" si="180"/>
        <v>39.12967527498509</v>
      </c>
      <c r="BK68" s="732">
        <f t="shared" si="180"/>
        <v>39.152367387820917</v>
      </c>
      <c r="BL68" s="732">
        <f t="shared" si="180"/>
        <v>39.175059500656744</v>
      </c>
      <c r="BM68" s="732">
        <f t="shared" si="180"/>
        <v>39.197751613492571</v>
      </c>
      <c r="BN68" s="732">
        <f t="shared" si="180"/>
        <v>39.220443726328398</v>
      </c>
      <c r="BO68" s="732">
        <f t="shared" si="180"/>
        <v>39.243135839164225</v>
      </c>
      <c r="BP68" s="732">
        <f t="shared" si="180"/>
        <v>39.265827952000052</v>
      </c>
      <c r="BQ68" s="810">
        <f>'AEO Data'!$C$33*BB68</f>
        <v>39.288520064835851</v>
      </c>
      <c r="BR68" s="815">
        <f t="shared" si="181"/>
        <v>39.262065131259057</v>
      </c>
      <c r="BS68" s="732">
        <f t="shared" si="181"/>
        <v>39.235610197682263</v>
      </c>
      <c r="BT68" s="732">
        <f t="shared" si="181"/>
        <v>39.209155264105469</v>
      </c>
      <c r="BU68" s="732">
        <f t="shared" si="181"/>
        <v>39.182700330528675</v>
      </c>
      <c r="BV68" s="811">
        <f>'AEO Data'!$D$33*BQ68</f>
        <v>39.156245396951888</v>
      </c>
      <c r="BW68" s="1077">
        <f>+BV68*BW$142/BV$142</f>
        <v>39.139004754462078</v>
      </c>
      <c r="BX68" s="1077">
        <f t="shared" ref="BX68:CZ68" si="190">+BW68*BX$142/BW$142</f>
        <v>39.121771703092165</v>
      </c>
      <c r="BY68" s="1077">
        <f t="shared" si="190"/>
        <v>39.104546239499747</v>
      </c>
      <c r="BZ68" s="1077">
        <f t="shared" si="190"/>
        <v>39.087328360343896</v>
      </c>
      <c r="CA68" s="1077">
        <f t="shared" si="190"/>
        <v>39.070118062285161</v>
      </c>
      <c r="CB68" s="1077">
        <f t="shared" si="190"/>
        <v>39.038823507859021</v>
      </c>
      <c r="CC68" s="1077">
        <f t="shared" si="190"/>
        <v>39.007554019882264</v>
      </c>
      <c r="CD68" s="1077">
        <f t="shared" si="190"/>
        <v>38.976309578277061</v>
      </c>
      <c r="CE68" s="1077">
        <f t="shared" si="190"/>
        <v>38.94509016298165</v>
      </c>
      <c r="CF68" s="1077">
        <f t="shared" si="190"/>
        <v>38.913895753950342</v>
      </c>
      <c r="CG68" s="1077">
        <f t="shared" si="190"/>
        <v>38.870923707359104</v>
      </c>
      <c r="CH68" s="1077">
        <f t="shared" si="190"/>
        <v>38.827999114171142</v>
      </c>
      <c r="CI68" s="1077">
        <f t="shared" si="190"/>
        <v>38.785121921984356</v>
      </c>
      <c r="CJ68" s="1077">
        <f t="shared" si="190"/>
        <v>38.742292078454511</v>
      </c>
      <c r="CK68" s="1077">
        <f t="shared" si="190"/>
        <v>38.699509531295178</v>
      </c>
      <c r="CL68" s="1077">
        <f t="shared" si="190"/>
        <v>38.652866099235652</v>
      </c>
      <c r="CM68" s="1077">
        <f t="shared" si="190"/>
        <v>38.606278885194918</v>
      </c>
      <c r="CN68" s="1077">
        <f t="shared" si="190"/>
        <v>38.559747821414987</v>
      </c>
      <c r="CO68" s="1077">
        <f t="shared" si="190"/>
        <v>38.513272840219521</v>
      </c>
      <c r="CP68" s="1077">
        <f t="shared" si="190"/>
        <v>38.466853874013751</v>
      </c>
      <c r="CQ68" s="1077">
        <f t="shared" si="190"/>
        <v>38.413088590063794</v>
      </c>
      <c r="CR68" s="1077">
        <f t="shared" si="190"/>
        <v>38.359398454078047</v>
      </c>
      <c r="CS68" s="1077">
        <f t="shared" si="190"/>
        <v>38.305783361021881</v>
      </c>
      <c r="CT68" s="1077">
        <f t="shared" si="190"/>
        <v>38.252243206007478</v>
      </c>
      <c r="CU68" s="1077">
        <f t="shared" si="190"/>
        <v>38.198777884293627</v>
      </c>
      <c r="CV68" s="1077">
        <f t="shared" si="190"/>
        <v>38.146586211792602</v>
      </c>
      <c r="CW68" s="1077">
        <f t="shared" si="190"/>
        <v>38.094465849705919</v>
      </c>
      <c r="CX68" s="1077">
        <f t="shared" si="190"/>
        <v>38.042416700600896</v>
      </c>
      <c r="CY68" s="1077">
        <f t="shared" si="190"/>
        <v>37.990438667177955</v>
      </c>
      <c r="CZ68" s="1077">
        <f t="shared" si="190"/>
        <v>37.93853165227047</v>
      </c>
    </row>
    <row r="69" spans="1:104" ht="13.8" thickTop="1" x14ac:dyDescent="0.25">
      <c r="D69" s="879"/>
    </row>
    <row r="70" spans="1:104" ht="13.8" thickBot="1" x14ac:dyDescent="0.3">
      <c r="D70" s="879"/>
      <c r="E70" s="814"/>
    </row>
    <row r="71" spans="1:104" s="836" customFormat="1" x14ac:dyDescent="0.25">
      <c r="A71" s="832" t="s">
        <v>1092</v>
      </c>
      <c r="B71" s="833"/>
      <c r="C71" s="834"/>
      <c r="D71" s="1022"/>
      <c r="E71" s="834"/>
      <c r="F71" s="833"/>
      <c r="G71" s="833"/>
      <c r="H71" s="833"/>
      <c r="I71" s="833"/>
      <c r="J71" s="833"/>
      <c r="K71" s="833"/>
      <c r="L71" s="833"/>
      <c r="M71" s="833"/>
      <c r="N71" s="833"/>
      <c r="O71" s="833"/>
      <c r="P71" s="833"/>
      <c r="Q71" s="833"/>
      <c r="R71" s="833"/>
      <c r="S71" s="833"/>
      <c r="T71" s="833"/>
      <c r="U71" s="833"/>
      <c r="V71" s="833"/>
      <c r="W71" s="833"/>
      <c r="X71" s="833"/>
      <c r="Y71" s="833"/>
      <c r="Z71" s="833"/>
      <c r="AA71" s="833"/>
      <c r="AB71" s="833"/>
      <c r="AC71" s="833"/>
      <c r="AD71" s="833"/>
      <c r="AE71" s="833"/>
      <c r="AF71" s="833"/>
      <c r="AG71" s="833"/>
      <c r="AH71" s="833"/>
      <c r="AI71" s="833"/>
      <c r="AJ71" s="833"/>
      <c r="AK71" s="833"/>
      <c r="AL71" s="833"/>
      <c r="AM71" s="833"/>
      <c r="AN71" s="833"/>
      <c r="AO71" s="833"/>
      <c r="AP71" s="833"/>
      <c r="AQ71" s="833"/>
      <c r="AR71" s="833"/>
      <c r="AS71" s="833"/>
      <c r="AT71" s="833"/>
      <c r="AU71" s="833"/>
      <c r="AV71" s="833"/>
      <c r="AW71" s="833"/>
      <c r="AX71" s="833"/>
      <c r="AY71" s="833"/>
      <c r="AZ71" s="833"/>
      <c r="BA71" s="833"/>
      <c r="BB71" s="833"/>
      <c r="BC71" s="833"/>
      <c r="BD71" s="833"/>
      <c r="BE71" s="833"/>
      <c r="BF71" s="833"/>
      <c r="BG71" s="833"/>
      <c r="BH71" s="833"/>
      <c r="BI71" s="833"/>
      <c r="BJ71" s="833"/>
      <c r="BK71" s="833"/>
      <c r="BL71" s="833"/>
      <c r="BM71" s="833"/>
      <c r="BN71" s="833"/>
      <c r="BO71" s="833"/>
      <c r="BP71" s="833"/>
      <c r="BQ71" s="833"/>
      <c r="BR71" s="833"/>
      <c r="BS71" s="833"/>
      <c r="BT71" s="833"/>
      <c r="BU71" s="833"/>
      <c r="BV71" s="835"/>
    </row>
    <row r="72" spans="1:104" s="836" customFormat="1" x14ac:dyDescent="0.25">
      <c r="A72" s="837" t="s">
        <v>1089</v>
      </c>
      <c r="B72" s="838"/>
      <c r="C72" s="839"/>
      <c r="D72" s="1023"/>
      <c r="E72" s="839"/>
      <c r="F72" s="838"/>
      <c r="G72" s="838"/>
      <c r="H72" s="838"/>
      <c r="I72" s="838"/>
      <c r="J72" s="838"/>
      <c r="K72" s="838"/>
      <c r="L72" s="838"/>
      <c r="M72" s="838"/>
      <c r="N72" s="838"/>
      <c r="O72" s="838"/>
      <c r="P72" s="838"/>
      <c r="Q72" s="838"/>
      <c r="R72" s="838"/>
      <c r="S72" s="838"/>
      <c r="T72" s="838"/>
      <c r="U72" s="838"/>
      <c r="V72" s="838"/>
      <c r="W72" s="838"/>
      <c r="X72" s="838"/>
      <c r="Y72" s="838"/>
      <c r="Z72" s="838"/>
      <c r="AA72" s="838"/>
      <c r="AB72" s="838"/>
      <c r="AC72" s="838"/>
      <c r="AD72" s="838"/>
      <c r="AE72" s="838"/>
      <c r="AF72" s="838"/>
      <c r="AG72" s="838"/>
      <c r="AH72" s="838"/>
      <c r="AI72" s="838"/>
      <c r="AJ72" s="838"/>
      <c r="AK72" s="838"/>
      <c r="AL72" s="838"/>
      <c r="AM72" s="838"/>
      <c r="AN72" s="838"/>
      <c r="AO72" s="838"/>
      <c r="AP72" s="838"/>
      <c r="AQ72" s="838"/>
      <c r="AR72" s="838"/>
      <c r="AS72" s="838"/>
      <c r="AT72" s="838"/>
      <c r="AU72" s="838"/>
      <c r="AV72" s="838"/>
      <c r="AW72" s="838"/>
      <c r="AX72" s="838"/>
      <c r="AY72" s="838"/>
      <c r="AZ72" s="838"/>
      <c r="BA72" s="838"/>
      <c r="BB72" s="838"/>
      <c r="BC72" s="838"/>
      <c r="BD72" s="838"/>
      <c r="BE72" s="838"/>
      <c r="BF72" s="838"/>
      <c r="BG72" s="838"/>
      <c r="BH72" s="838"/>
      <c r="BI72" s="838"/>
      <c r="BJ72" s="838"/>
      <c r="BK72" s="838"/>
      <c r="BL72" s="838"/>
      <c r="BM72" s="838"/>
      <c r="BN72" s="838"/>
      <c r="BO72" s="838"/>
      <c r="BP72" s="838"/>
      <c r="BQ72" s="838"/>
      <c r="BR72" s="838"/>
      <c r="BS72" s="838"/>
      <c r="BT72" s="838"/>
      <c r="BU72" s="838"/>
      <c r="BV72" s="840"/>
    </row>
    <row r="73" spans="1:104" s="836" customFormat="1" x14ac:dyDescent="0.25">
      <c r="A73" s="841"/>
      <c r="B73" s="838"/>
      <c r="C73" s="839"/>
      <c r="D73" s="1023"/>
      <c r="E73" s="857"/>
      <c r="F73" s="838"/>
      <c r="G73" s="838"/>
      <c r="H73" s="838"/>
      <c r="I73" s="838"/>
      <c r="J73" s="838"/>
      <c r="K73" s="838"/>
      <c r="L73" s="838"/>
      <c r="M73" s="838"/>
      <c r="N73" s="838"/>
      <c r="O73" s="838"/>
      <c r="P73" s="838"/>
      <c r="Q73" s="838"/>
      <c r="R73" s="838"/>
      <c r="S73" s="838"/>
      <c r="T73" s="838"/>
      <c r="U73" s="838"/>
      <c r="V73" s="838"/>
      <c r="W73" s="838"/>
      <c r="X73" s="838"/>
      <c r="Y73" s="838"/>
      <c r="Z73" s="838"/>
      <c r="AA73" s="838"/>
      <c r="AB73" s="838"/>
      <c r="AC73" s="838"/>
      <c r="AD73" s="838"/>
      <c r="AE73" s="838"/>
      <c r="AF73" s="838"/>
      <c r="AG73" s="838"/>
      <c r="AH73" s="838"/>
      <c r="AI73" s="838"/>
      <c r="AJ73" s="838"/>
      <c r="AK73" s="838"/>
      <c r="AL73" s="838"/>
      <c r="AM73" s="838"/>
      <c r="AN73" s="838"/>
      <c r="AO73" s="838"/>
      <c r="AP73" s="838"/>
      <c r="AQ73" s="838"/>
      <c r="AR73" s="838"/>
      <c r="AS73" s="838"/>
      <c r="AT73" s="838"/>
      <c r="AU73" s="838"/>
      <c r="AV73" s="838"/>
      <c r="AW73" s="838"/>
      <c r="AX73" s="838"/>
      <c r="AY73" s="838"/>
      <c r="AZ73" s="838"/>
      <c r="BA73" s="838"/>
      <c r="BB73" s="838"/>
      <c r="BC73" s="838"/>
      <c r="BD73" s="838"/>
      <c r="BE73" s="838"/>
      <c r="BF73" s="838"/>
      <c r="BG73" s="838"/>
      <c r="BH73" s="838"/>
      <c r="BI73" s="838"/>
      <c r="BJ73" s="838"/>
      <c r="BK73" s="838"/>
      <c r="BL73" s="838"/>
      <c r="BM73" s="838"/>
      <c r="BN73" s="838"/>
      <c r="BO73" s="838"/>
      <c r="BP73" s="838"/>
      <c r="BQ73" s="838"/>
      <c r="BR73" s="838"/>
      <c r="BS73" s="838"/>
      <c r="BT73" s="838"/>
      <c r="BU73" s="838"/>
      <c r="BV73" s="840"/>
    </row>
    <row r="74" spans="1:104" s="836" customFormat="1" x14ac:dyDescent="0.25">
      <c r="A74" s="841" t="s">
        <v>670</v>
      </c>
      <c r="B74" s="838"/>
      <c r="C74" s="839"/>
      <c r="D74" s="1023"/>
      <c r="E74" s="839"/>
      <c r="F74" s="838"/>
      <c r="G74" s="838"/>
      <c r="H74" s="838"/>
      <c r="I74" s="838"/>
      <c r="J74" s="838"/>
      <c r="K74" s="838"/>
      <c r="L74" s="838"/>
      <c r="M74" s="838"/>
      <c r="N74" s="842">
        <v>11.359373</v>
      </c>
      <c r="O74" s="842">
        <v>10.802343</v>
      </c>
      <c r="P74" s="842">
        <v>10.473763999999999</v>
      </c>
      <c r="Q74" s="842">
        <v>10.501935</v>
      </c>
      <c r="R74" s="842">
        <v>10.334021999999999</v>
      </c>
      <c r="S74" s="842">
        <v>10.229792</v>
      </c>
      <c r="T74" s="842">
        <v>10.748874000000001</v>
      </c>
      <c r="U74" s="842">
        <v>11.092333999999999</v>
      </c>
      <c r="V74" s="842">
        <v>11.515472000000001</v>
      </c>
      <c r="W74" s="842">
        <v>11.774895000000001</v>
      </c>
      <c r="X74" s="842">
        <v>11.996413</v>
      </c>
      <c r="Y74" s="842">
        <v>12.209519999999999</v>
      </c>
      <c r="Z74" s="842">
        <v>12.479982</v>
      </c>
      <c r="AA74" s="842">
        <v>12.729352</v>
      </c>
      <c r="AB74" s="842">
        <v>12.853237999999999</v>
      </c>
      <c r="AC74" s="842">
        <v>13.018173000000001</v>
      </c>
      <c r="AD74" s="842">
        <v>13.212711000000001</v>
      </c>
      <c r="AE74" s="842">
        <v>13.366512</v>
      </c>
      <c r="AF74" s="842">
        <v>13.603230999999999</v>
      </c>
      <c r="AG74" s="842">
        <v>13.784504</v>
      </c>
      <c r="AH74" s="842">
        <v>13.991047</v>
      </c>
      <c r="AI74" s="842">
        <v>14.231726</v>
      </c>
      <c r="AJ74" s="842">
        <v>14.577776</v>
      </c>
      <c r="AK74" s="842">
        <v>14.956607999999999</v>
      </c>
      <c r="AL74" s="842">
        <v>15.347963</v>
      </c>
      <c r="AM74" s="842">
        <v>15.708157999999999</v>
      </c>
      <c r="AN74" s="842">
        <v>16.169785000000001</v>
      </c>
      <c r="AO74" s="842">
        <v>16.471478000000001</v>
      </c>
      <c r="AP74" s="842">
        <v>16.949921</v>
      </c>
      <c r="AQ74" s="842">
        <v>17.380462999999999</v>
      </c>
      <c r="AR74" s="842">
        <v>17.673891000000001</v>
      </c>
      <c r="AS74" s="838"/>
      <c r="AT74" s="838"/>
      <c r="AU74" s="838"/>
      <c r="AV74" s="838"/>
      <c r="AW74" s="838"/>
      <c r="AX74" s="838"/>
      <c r="AY74" s="838"/>
      <c r="AZ74" s="838"/>
      <c r="BA74" s="838"/>
      <c r="BB74" s="838"/>
      <c r="BC74" s="838"/>
      <c r="BD74" s="838"/>
      <c r="BE74" s="838"/>
      <c r="BF74" s="838"/>
      <c r="BG74" s="838"/>
      <c r="BH74" s="838"/>
      <c r="BI74" s="838"/>
      <c r="BJ74" s="838"/>
      <c r="BK74" s="838"/>
      <c r="BL74" s="838"/>
      <c r="BM74" s="838"/>
      <c r="BN74" s="838"/>
      <c r="BO74" s="838"/>
      <c r="BP74" s="838"/>
      <c r="BQ74" s="838"/>
      <c r="BR74" s="838"/>
      <c r="BS74" s="838"/>
      <c r="BT74" s="838"/>
      <c r="BU74" s="838"/>
      <c r="BV74" s="840"/>
    </row>
    <row r="75" spans="1:104" s="836" customFormat="1" x14ac:dyDescent="0.25">
      <c r="A75" s="841" t="s">
        <v>1067</v>
      </c>
      <c r="B75" s="838"/>
      <c r="C75" s="839"/>
      <c r="D75" s="1023"/>
      <c r="E75" s="839"/>
      <c r="F75" s="838"/>
      <c r="G75" s="838"/>
      <c r="H75" s="838"/>
      <c r="I75" s="838"/>
      <c r="J75" s="838"/>
      <c r="K75" s="838"/>
      <c r="L75" s="838"/>
      <c r="M75" s="838"/>
      <c r="N75" s="842">
        <v>9.3969749999999994</v>
      </c>
      <c r="O75" s="842">
        <v>8.8368559999999992</v>
      </c>
      <c r="P75" s="842">
        <v>8.081448</v>
      </c>
      <c r="Q75" s="842">
        <v>8.4844790000000003</v>
      </c>
      <c r="R75" s="842">
        <v>8.3155520000000003</v>
      </c>
      <c r="S75" s="842">
        <v>8.1773039999999995</v>
      </c>
      <c r="T75" s="842">
        <v>8.6431299999999993</v>
      </c>
      <c r="U75" s="842">
        <v>8.9205120000000004</v>
      </c>
      <c r="V75" s="842">
        <v>9.2811249999999994</v>
      </c>
      <c r="W75" s="842">
        <v>9.4920469999999995</v>
      </c>
      <c r="X75" s="842">
        <v>9.6757190000000008</v>
      </c>
      <c r="Y75" s="842">
        <v>9.8498520000000003</v>
      </c>
      <c r="Z75" s="842">
        <v>10.083444999999999</v>
      </c>
      <c r="AA75" s="842">
        <v>10.292596</v>
      </c>
      <c r="AB75" s="842">
        <v>10.386177</v>
      </c>
      <c r="AC75" s="842">
        <v>10.522978999999999</v>
      </c>
      <c r="AD75" s="842">
        <v>10.688981999999999</v>
      </c>
      <c r="AE75" s="842">
        <v>10.803459999999999</v>
      </c>
      <c r="AF75" s="842">
        <v>10.994071</v>
      </c>
      <c r="AG75" s="842">
        <v>11.132752999999999</v>
      </c>
      <c r="AH75" s="842">
        <v>11.290343</v>
      </c>
      <c r="AI75" s="842">
        <v>11.483471</v>
      </c>
      <c r="AJ75" s="842">
        <v>11.774739</v>
      </c>
      <c r="AK75" s="842">
        <v>12.104623999999999</v>
      </c>
      <c r="AL75" s="842">
        <v>12.443429</v>
      </c>
      <c r="AM75" s="842">
        <v>12.746489</v>
      </c>
      <c r="AN75" s="842">
        <v>13.159888</v>
      </c>
      <c r="AO75" s="842">
        <v>13.417020000000001</v>
      </c>
      <c r="AP75" s="842">
        <v>13.853782000000001</v>
      </c>
      <c r="AQ75" s="842">
        <v>14.239846</v>
      </c>
      <c r="AR75" s="842">
        <v>14.480893</v>
      </c>
      <c r="AS75" s="838"/>
      <c r="AT75" s="838"/>
      <c r="AU75" s="838"/>
      <c r="AV75" s="838"/>
      <c r="AW75" s="838"/>
      <c r="AX75" s="838"/>
      <c r="AY75" s="838"/>
      <c r="AZ75" s="838"/>
      <c r="BA75" s="838"/>
      <c r="BB75" s="838"/>
      <c r="BC75" s="838"/>
      <c r="BD75" s="838"/>
      <c r="BE75" s="838"/>
      <c r="BF75" s="838"/>
      <c r="BG75" s="838"/>
      <c r="BH75" s="838"/>
      <c r="BI75" s="838"/>
      <c r="BJ75" s="838"/>
      <c r="BK75" s="838"/>
      <c r="BL75" s="838"/>
      <c r="BM75" s="838"/>
      <c r="BN75" s="838"/>
      <c r="BO75" s="838"/>
      <c r="BP75" s="838"/>
      <c r="BQ75" s="838"/>
      <c r="BR75" s="838"/>
      <c r="BS75" s="838"/>
      <c r="BT75" s="838"/>
      <c r="BU75" s="838"/>
      <c r="BV75" s="840"/>
    </row>
    <row r="76" spans="1:104" s="836" customFormat="1" x14ac:dyDescent="0.25">
      <c r="A76" s="841" t="s">
        <v>282</v>
      </c>
      <c r="B76" s="838"/>
      <c r="C76" s="839"/>
      <c r="D76" s="1023"/>
      <c r="E76" s="839"/>
      <c r="F76" s="838"/>
      <c r="G76" s="838"/>
      <c r="H76" s="838"/>
      <c r="I76" s="838"/>
      <c r="J76" s="838"/>
      <c r="K76" s="838"/>
      <c r="L76" s="838"/>
      <c r="M76" s="838"/>
      <c r="N76" s="842">
        <v>5.4839570000000002</v>
      </c>
      <c r="O76" s="842">
        <v>4.8889880000000003</v>
      </c>
      <c r="P76" s="842">
        <v>3.7668759999999999</v>
      </c>
      <c r="Q76" s="842">
        <v>4.3500249999999996</v>
      </c>
      <c r="R76" s="842">
        <v>4.4161510000000002</v>
      </c>
      <c r="S76" s="842">
        <v>4.4533610000000001</v>
      </c>
      <c r="T76" s="842">
        <v>4.916512</v>
      </c>
      <c r="U76" s="842">
        <v>5.1321560000000002</v>
      </c>
      <c r="V76" s="842">
        <v>5.3872429999999998</v>
      </c>
      <c r="W76" s="842">
        <v>5.5533659999999996</v>
      </c>
      <c r="X76" s="842">
        <v>5.6994189999999998</v>
      </c>
      <c r="Y76" s="842">
        <v>5.84443</v>
      </c>
      <c r="Z76" s="842">
        <v>6.055364</v>
      </c>
      <c r="AA76" s="842">
        <v>6.2505249999999997</v>
      </c>
      <c r="AB76" s="842">
        <v>6.3249610000000001</v>
      </c>
      <c r="AC76" s="842">
        <v>6.4443630000000001</v>
      </c>
      <c r="AD76" s="842">
        <v>6.5689469999999996</v>
      </c>
      <c r="AE76" s="842">
        <v>6.6624569999999999</v>
      </c>
      <c r="AF76" s="842">
        <v>6.8533949999999999</v>
      </c>
      <c r="AG76" s="842">
        <v>6.9821</v>
      </c>
      <c r="AH76" s="842">
        <v>7.1203779999999997</v>
      </c>
      <c r="AI76" s="842">
        <v>7.3037179999999999</v>
      </c>
      <c r="AJ76" s="842">
        <v>7.5896039999999996</v>
      </c>
      <c r="AK76" s="842">
        <v>7.9110909999999999</v>
      </c>
      <c r="AL76" s="842">
        <v>8.2410040000000002</v>
      </c>
      <c r="AM76" s="842">
        <v>8.5300290000000007</v>
      </c>
      <c r="AN76" s="842">
        <v>8.90123</v>
      </c>
      <c r="AO76" s="842">
        <v>9.1114479999999993</v>
      </c>
      <c r="AP76" s="842">
        <v>9.4914550000000002</v>
      </c>
      <c r="AQ76" s="842">
        <v>9.8126739999999995</v>
      </c>
      <c r="AR76" s="842">
        <v>10.012231</v>
      </c>
      <c r="AS76" s="838"/>
      <c r="AT76" s="838"/>
      <c r="AU76" s="838"/>
      <c r="AV76" s="838"/>
      <c r="AW76" s="838"/>
      <c r="AX76" s="838"/>
      <c r="AY76" s="838"/>
      <c r="AZ76" s="838"/>
      <c r="BA76" s="838"/>
      <c r="BB76" s="838"/>
      <c r="BC76" s="838"/>
      <c r="BD76" s="838"/>
      <c r="BE76" s="838"/>
      <c r="BF76" s="838"/>
      <c r="BG76" s="838"/>
      <c r="BH76" s="838"/>
      <c r="BI76" s="838"/>
      <c r="BJ76" s="838"/>
      <c r="BK76" s="838"/>
      <c r="BL76" s="838"/>
      <c r="BM76" s="838"/>
      <c r="BN76" s="838"/>
      <c r="BO76" s="838"/>
      <c r="BP76" s="838"/>
      <c r="BQ76" s="838"/>
      <c r="BR76" s="838"/>
      <c r="BS76" s="838"/>
      <c r="BT76" s="838"/>
      <c r="BU76" s="838"/>
      <c r="BV76" s="840"/>
    </row>
    <row r="77" spans="1:104" s="836" customFormat="1" x14ac:dyDescent="0.25">
      <c r="A77" s="843" t="str">
        <f>'HyARC Physical Property Data'!$A$74</f>
        <v>Electric Utility Natural Gas</v>
      </c>
      <c r="B77" s="838"/>
      <c r="C77" s="839"/>
      <c r="D77" s="1023"/>
      <c r="E77" s="839"/>
      <c r="F77" s="838"/>
      <c r="G77" s="838"/>
      <c r="H77" s="838"/>
      <c r="I77" s="838"/>
      <c r="J77" s="838"/>
      <c r="K77" s="838"/>
      <c r="L77" s="838"/>
      <c r="M77" s="838"/>
      <c r="N77" s="842">
        <v>5.2581660000000001</v>
      </c>
      <c r="O77" s="842">
        <v>4.7747140000000003</v>
      </c>
      <c r="P77" s="842">
        <v>3.3280129999999999</v>
      </c>
      <c r="Q77" s="842">
        <v>3.7262059999999999</v>
      </c>
      <c r="R77" s="842">
        <v>3.8342619999999998</v>
      </c>
      <c r="S77" s="842">
        <v>3.9162499999999998</v>
      </c>
      <c r="T77" s="842">
        <v>4.3469340000000001</v>
      </c>
      <c r="U77" s="842">
        <v>4.5235139999999996</v>
      </c>
      <c r="V77" s="842">
        <v>4.7720750000000001</v>
      </c>
      <c r="W77" s="842">
        <v>4.9304030000000001</v>
      </c>
      <c r="X77" s="842">
        <v>5.0667330000000002</v>
      </c>
      <c r="Y77" s="842">
        <v>5.2030240000000001</v>
      </c>
      <c r="Z77" s="842">
        <v>5.4141339999999998</v>
      </c>
      <c r="AA77" s="842">
        <v>5.6120320000000001</v>
      </c>
      <c r="AB77" s="842">
        <v>5.7180549999999997</v>
      </c>
      <c r="AC77" s="842">
        <v>5.8497880000000002</v>
      </c>
      <c r="AD77" s="842">
        <v>5.9964360000000001</v>
      </c>
      <c r="AE77" s="842">
        <v>6.1136410000000003</v>
      </c>
      <c r="AF77" s="842">
        <v>6.2808900000000003</v>
      </c>
      <c r="AG77" s="842">
        <v>6.4099190000000004</v>
      </c>
      <c r="AH77" s="842">
        <v>6.5488220000000004</v>
      </c>
      <c r="AI77" s="842">
        <v>6.7307620000000004</v>
      </c>
      <c r="AJ77" s="842">
        <v>7.0166529999999998</v>
      </c>
      <c r="AK77" s="842">
        <v>7.3227570000000002</v>
      </c>
      <c r="AL77" s="842">
        <v>7.6342280000000002</v>
      </c>
      <c r="AM77" s="842">
        <v>7.902755</v>
      </c>
      <c r="AN77" s="842">
        <v>8.2651950000000003</v>
      </c>
      <c r="AO77" s="842">
        <v>8.4774010000000004</v>
      </c>
      <c r="AP77" s="842">
        <v>8.8551400000000005</v>
      </c>
      <c r="AQ77" s="842">
        <v>9.1715459999999993</v>
      </c>
      <c r="AR77" s="842">
        <v>9.3359030000000001</v>
      </c>
      <c r="AS77" s="838"/>
      <c r="AT77" s="838"/>
      <c r="AU77" s="838"/>
      <c r="AV77" s="838"/>
      <c r="AW77" s="838"/>
      <c r="AX77" s="838"/>
      <c r="AY77" s="838"/>
      <c r="AZ77" s="838"/>
      <c r="BA77" s="838"/>
      <c r="BB77" s="838"/>
      <c r="BC77" s="838"/>
      <c r="BD77" s="838"/>
      <c r="BE77" s="838"/>
      <c r="BF77" s="838"/>
      <c r="BG77" s="838"/>
      <c r="BH77" s="838"/>
      <c r="BI77" s="838"/>
      <c r="BJ77" s="838"/>
      <c r="BK77" s="838"/>
      <c r="BL77" s="838"/>
      <c r="BM77" s="838"/>
      <c r="BN77" s="838"/>
      <c r="BO77" s="838"/>
      <c r="BP77" s="838"/>
      <c r="BQ77" s="838"/>
      <c r="BR77" s="838"/>
      <c r="BS77" s="838"/>
      <c r="BT77" s="838"/>
      <c r="BU77" s="838"/>
      <c r="BV77" s="840"/>
    </row>
    <row r="78" spans="1:104" s="836" customFormat="1" x14ac:dyDescent="0.25">
      <c r="A78" s="843" t="s">
        <v>1063</v>
      </c>
      <c r="B78" s="838"/>
      <c r="C78" s="839"/>
      <c r="D78" s="1023"/>
      <c r="E78" s="839"/>
      <c r="F78" s="838"/>
      <c r="G78" s="838"/>
      <c r="H78" s="838"/>
      <c r="I78" s="838"/>
      <c r="J78" s="838"/>
      <c r="K78" s="838"/>
      <c r="L78" s="838"/>
      <c r="M78" s="838"/>
      <c r="N78" s="842"/>
      <c r="O78" s="842"/>
      <c r="P78" s="842"/>
      <c r="Q78" s="842"/>
      <c r="R78" s="842"/>
      <c r="S78" s="842"/>
      <c r="T78" s="842"/>
      <c r="U78" s="842"/>
      <c r="V78" s="842"/>
      <c r="W78" s="842"/>
      <c r="X78" s="842"/>
      <c r="Y78" s="842"/>
      <c r="Z78" s="842"/>
      <c r="AA78" s="842"/>
      <c r="AB78" s="842"/>
      <c r="AC78" s="842"/>
      <c r="AD78" s="842"/>
      <c r="AE78" s="842"/>
      <c r="AF78" s="842"/>
      <c r="AG78" s="842"/>
      <c r="AH78" s="842"/>
      <c r="AI78" s="842"/>
      <c r="AJ78" s="842"/>
      <c r="AK78" s="842"/>
      <c r="AL78" s="842"/>
      <c r="AM78" s="842"/>
      <c r="AN78" s="842"/>
      <c r="AO78" s="842"/>
      <c r="AP78" s="842"/>
      <c r="AQ78" s="842"/>
      <c r="AR78" s="842"/>
      <c r="AS78" s="838"/>
      <c r="AT78" s="838"/>
      <c r="AU78" s="838"/>
      <c r="AV78" s="838"/>
      <c r="AW78" s="838"/>
      <c r="AX78" s="838"/>
      <c r="AY78" s="838"/>
      <c r="AZ78" s="838"/>
      <c r="BA78" s="838"/>
      <c r="BB78" s="838"/>
      <c r="BC78" s="838"/>
      <c r="BD78" s="838"/>
      <c r="BE78" s="838"/>
      <c r="BF78" s="838"/>
      <c r="BG78" s="838"/>
      <c r="BH78" s="838"/>
      <c r="BI78" s="838"/>
      <c r="BJ78" s="838"/>
      <c r="BK78" s="838"/>
      <c r="BL78" s="838"/>
      <c r="BM78" s="838"/>
      <c r="BN78" s="838"/>
      <c r="BO78" s="838"/>
      <c r="BP78" s="838"/>
      <c r="BQ78" s="838"/>
      <c r="BR78" s="838"/>
      <c r="BS78" s="838"/>
      <c r="BT78" s="838"/>
      <c r="BU78" s="838"/>
      <c r="BV78" s="840"/>
    </row>
    <row r="79" spans="1:104" s="836" customFormat="1" x14ac:dyDescent="0.25">
      <c r="A79" s="841" t="s">
        <v>1069</v>
      </c>
      <c r="B79" s="838"/>
      <c r="C79" s="839"/>
      <c r="D79" s="1023"/>
      <c r="E79" s="839"/>
      <c r="F79" s="838"/>
      <c r="G79" s="838"/>
      <c r="H79" s="838"/>
      <c r="I79" s="838"/>
      <c r="J79" s="838"/>
      <c r="K79" s="838"/>
      <c r="L79" s="838"/>
      <c r="M79" s="838"/>
      <c r="N79" s="842">
        <v>2.2979889999999998</v>
      </c>
      <c r="O79" s="842">
        <v>2.38</v>
      </c>
      <c r="P79" s="842">
        <v>2.414561</v>
      </c>
      <c r="Q79" s="842">
        <v>2.3313350000000002</v>
      </c>
      <c r="R79" s="842">
        <v>2.4666779999999999</v>
      </c>
      <c r="S79" s="842">
        <v>2.490294</v>
      </c>
      <c r="T79" s="842">
        <v>2.5700569999999998</v>
      </c>
      <c r="U79" s="842">
        <v>2.5762320000000001</v>
      </c>
      <c r="V79" s="842">
        <v>2.594992</v>
      </c>
      <c r="W79" s="842">
        <v>2.6086049999999998</v>
      </c>
      <c r="X79" s="842">
        <v>2.6433580000000001</v>
      </c>
      <c r="Y79" s="842">
        <v>2.6708150000000002</v>
      </c>
      <c r="Z79" s="842">
        <v>2.7142179999999998</v>
      </c>
      <c r="AA79" s="842">
        <v>2.74918</v>
      </c>
      <c r="AB79" s="842">
        <v>2.7884579999999999</v>
      </c>
      <c r="AC79" s="842">
        <v>2.8318759999999998</v>
      </c>
      <c r="AD79" s="842">
        <v>2.8692139999999999</v>
      </c>
      <c r="AE79" s="842">
        <v>2.899435</v>
      </c>
      <c r="AF79" s="842">
        <v>2.9368029999999998</v>
      </c>
      <c r="AG79" s="842">
        <v>2.9781219999999999</v>
      </c>
      <c r="AH79" s="842">
        <v>3.0179510000000001</v>
      </c>
      <c r="AI79" s="842">
        <v>3.0527350000000002</v>
      </c>
      <c r="AJ79" s="842">
        <v>3.090319</v>
      </c>
      <c r="AK79" s="842">
        <v>3.1298509999999999</v>
      </c>
      <c r="AL79" s="842">
        <v>3.1705510000000001</v>
      </c>
      <c r="AM79" s="842">
        <v>3.2163840000000001</v>
      </c>
      <c r="AN79" s="842">
        <v>3.2516949999999998</v>
      </c>
      <c r="AO79" s="842">
        <v>3.2783180000000001</v>
      </c>
      <c r="AP79" s="842">
        <v>3.3114089999999998</v>
      </c>
      <c r="AQ79" s="842">
        <v>3.3562150000000002</v>
      </c>
      <c r="AR79" s="842">
        <v>3.398895</v>
      </c>
      <c r="AS79" s="838"/>
      <c r="AT79" s="838"/>
      <c r="AU79" s="838"/>
      <c r="AV79" s="838"/>
      <c r="AW79" s="838"/>
      <c r="AX79" s="838"/>
      <c r="AY79" s="838"/>
      <c r="AZ79" s="838"/>
      <c r="BA79" s="838"/>
      <c r="BB79" s="838"/>
      <c r="BC79" s="838"/>
      <c r="BD79" s="838"/>
      <c r="BE79" s="838"/>
      <c r="BF79" s="838"/>
      <c r="BG79" s="838"/>
      <c r="BH79" s="838"/>
      <c r="BI79" s="838"/>
      <c r="BJ79" s="838"/>
      <c r="BK79" s="838"/>
      <c r="BL79" s="838"/>
      <c r="BM79" s="838"/>
      <c r="BN79" s="838"/>
      <c r="BO79" s="838"/>
      <c r="BP79" s="838"/>
      <c r="BQ79" s="838"/>
      <c r="BR79" s="838"/>
      <c r="BS79" s="838"/>
      <c r="BT79" s="838"/>
      <c r="BU79" s="838"/>
      <c r="BV79" s="840"/>
    </row>
    <row r="80" spans="1:104" s="836" customFormat="1" x14ac:dyDescent="0.25">
      <c r="A80" s="841" t="s">
        <v>672</v>
      </c>
      <c r="B80" s="838"/>
      <c r="C80" s="839"/>
      <c r="D80" s="1023"/>
      <c r="E80" s="839"/>
      <c r="F80" s="838"/>
      <c r="G80" s="838"/>
      <c r="H80" s="838"/>
      <c r="I80" s="838"/>
      <c r="J80" s="838"/>
      <c r="K80" s="838"/>
      <c r="L80" s="838"/>
      <c r="M80" s="838"/>
      <c r="N80" s="842">
        <v>30.492578999999999</v>
      </c>
      <c r="O80" s="842">
        <v>29.980651999999999</v>
      </c>
      <c r="P80" s="842">
        <v>28.501187999999999</v>
      </c>
      <c r="Q80" s="842">
        <v>27.791989999999998</v>
      </c>
      <c r="R80" s="842">
        <v>28.177313000000002</v>
      </c>
      <c r="S80" s="842">
        <v>28.139455999999999</v>
      </c>
      <c r="T80" s="842">
        <v>28.689319999999999</v>
      </c>
      <c r="U80" s="842">
        <v>29.024557000000001</v>
      </c>
      <c r="V80" s="842">
        <v>29.108899999999998</v>
      </c>
      <c r="W80" s="842">
        <v>28.975003999999998</v>
      </c>
      <c r="X80" s="842">
        <v>29.041111000000001</v>
      </c>
      <c r="Y80" s="842">
        <v>29.162209000000001</v>
      </c>
      <c r="Z80" s="842">
        <v>29.247681</v>
      </c>
      <c r="AA80" s="842">
        <v>29.196009</v>
      </c>
      <c r="AB80" s="842">
        <v>29.115604000000001</v>
      </c>
      <c r="AC80" s="842">
        <v>29.201962000000002</v>
      </c>
      <c r="AD80" s="842">
        <v>29.178121999999998</v>
      </c>
      <c r="AE80" s="842">
        <v>29.212776000000002</v>
      </c>
      <c r="AF80" s="842">
        <v>29.214404999999999</v>
      </c>
      <c r="AG80" s="842">
        <v>29.344874999999998</v>
      </c>
      <c r="AH80" s="842">
        <v>29.550170999999999</v>
      </c>
      <c r="AI80" s="842">
        <v>29.794819</v>
      </c>
      <c r="AJ80" s="842">
        <v>29.957190000000001</v>
      </c>
      <c r="AK80" s="842">
        <v>30.275618000000001</v>
      </c>
      <c r="AL80" s="842">
        <v>30.801399</v>
      </c>
      <c r="AM80" s="842">
        <v>31.291125999999998</v>
      </c>
      <c r="AN80" s="842">
        <v>31.806963</v>
      </c>
      <c r="AO80" s="842">
        <v>32.268535999999997</v>
      </c>
      <c r="AP80" s="842">
        <v>32.667476999999998</v>
      </c>
      <c r="AQ80" s="842">
        <v>33.223427000000001</v>
      </c>
      <c r="AR80" s="842">
        <v>33.577624999999998</v>
      </c>
      <c r="AS80" s="838"/>
      <c r="AT80" s="838"/>
      <c r="AU80" s="838"/>
      <c r="AV80" s="838"/>
      <c r="AW80" s="838"/>
      <c r="AX80" s="838"/>
      <c r="AY80" s="838"/>
      <c r="AZ80" s="838"/>
      <c r="BA80" s="838"/>
      <c r="BB80" s="838"/>
      <c r="BC80" s="838"/>
      <c r="BD80" s="838"/>
      <c r="BE80" s="838"/>
      <c r="BF80" s="838"/>
      <c r="BG80" s="838"/>
      <c r="BH80" s="838"/>
      <c r="BI80" s="838"/>
      <c r="BJ80" s="838"/>
      <c r="BK80" s="838"/>
      <c r="BL80" s="838"/>
      <c r="BM80" s="838"/>
      <c r="BN80" s="838"/>
      <c r="BO80" s="838"/>
      <c r="BP80" s="838"/>
      <c r="BQ80" s="838"/>
      <c r="BR80" s="838"/>
      <c r="BS80" s="838"/>
      <c r="BT80" s="838"/>
      <c r="BU80" s="838"/>
      <c r="BV80" s="840"/>
    </row>
    <row r="81" spans="1:104" s="836" customFormat="1" x14ac:dyDescent="0.25">
      <c r="A81" s="841" t="s">
        <v>687</v>
      </c>
      <c r="B81" s="838"/>
      <c r="C81" s="839"/>
      <c r="D81" s="1023"/>
      <c r="E81" s="839"/>
      <c r="F81" s="838"/>
      <c r="G81" s="838"/>
      <c r="H81" s="838"/>
      <c r="I81" s="838"/>
      <c r="J81" s="838"/>
      <c r="K81" s="838"/>
      <c r="L81" s="838"/>
      <c r="M81" s="838"/>
      <c r="N81" s="842">
        <v>20.260445000000001</v>
      </c>
      <c r="O81" s="842">
        <v>19.975721</v>
      </c>
      <c r="P81" s="842">
        <v>18.454588000000001</v>
      </c>
      <c r="Q81" s="842">
        <v>18.157667</v>
      </c>
      <c r="R81" s="842">
        <v>18.271274999999999</v>
      </c>
      <c r="S81" s="842">
        <v>18.191776000000001</v>
      </c>
      <c r="T81" s="842">
        <v>18.703628999999999</v>
      </c>
      <c r="U81" s="842">
        <v>19.002967999999999</v>
      </c>
      <c r="V81" s="842">
        <v>19.096264000000001</v>
      </c>
      <c r="W81" s="842">
        <v>19.050228000000001</v>
      </c>
      <c r="X81" s="842">
        <v>19.095860999999999</v>
      </c>
      <c r="Y81" s="842">
        <v>19.252116999999998</v>
      </c>
      <c r="Z81" s="842">
        <v>19.422526999999999</v>
      </c>
      <c r="AA81" s="842">
        <v>19.539289</v>
      </c>
      <c r="AB81" s="842">
        <v>19.565339999999999</v>
      </c>
      <c r="AC81" s="842">
        <v>19.722131999999998</v>
      </c>
      <c r="AD81" s="842">
        <v>19.810991000000001</v>
      </c>
      <c r="AE81" s="842">
        <v>19.943812999999999</v>
      </c>
      <c r="AF81" s="842">
        <v>20.046423000000001</v>
      </c>
      <c r="AG81" s="842">
        <v>20.238405</v>
      </c>
      <c r="AH81" s="842">
        <v>20.421748999999998</v>
      </c>
      <c r="AI81" s="842">
        <v>20.607520999999998</v>
      </c>
      <c r="AJ81" s="842">
        <v>20.839410999999998</v>
      </c>
      <c r="AK81" s="842">
        <v>21.176966</v>
      </c>
      <c r="AL81" s="842">
        <v>21.628757</v>
      </c>
      <c r="AM81" s="842">
        <v>22.108962999999999</v>
      </c>
      <c r="AN81" s="842">
        <v>22.567038</v>
      </c>
      <c r="AO81" s="842">
        <v>22.990486000000001</v>
      </c>
      <c r="AP81" s="842">
        <v>23.379736000000001</v>
      </c>
      <c r="AQ81" s="842">
        <v>23.871493999999998</v>
      </c>
      <c r="AR81" s="842">
        <v>24.167221000000001</v>
      </c>
      <c r="AS81" s="838"/>
      <c r="AT81" s="838"/>
      <c r="AU81" s="838"/>
      <c r="AV81" s="838"/>
      <c r="AW81" s="838"/>
      <c r="AX81" s="838"/>
      <c r="AY81" s="838"/>
      <c r="AZ81" s="838"/>
      <c r="BA81" s="838"/>
      <c r="BB81" s="838"/>
      <c r="BC81" s="838"/>
      <c r="BD81" s="838"/>
      <c r="BE81" s="838"/>
      <c r="BF81" s="838"/>
      <c r="BG81" s="838"/>
      <c r="BH81" s="838"/>
      <c r="BI81" s="838"/>
      <c r="BJ81" s="838"/>
      <c r="BK81" s="838"/>
      <c r="BL81" s="838"/>
      <c r="BM81" s="838"/>
      <c r="BN81" s="838"/>
      <c r="BO81" s="838"/>
      <c r="BP81" s="838"/>
      <c r="BQ81" s="838"/>
      <c r="BR81" s="838"/>
      <c r="BS81" s="838"/>
      <c r="BT81" s="838"/>
      <c r="BU81" s="838"/>
      <c r="BV81" s="840"/>
    </row>
    <row r="82" spans="1:104" s="836" customFormat="1" ht="13.8" thickBot="1" x14ac:dyDescent="0.3">
      <c r="A82" s="845" t="s">
        <v>673</v>
      </c>
      <c r="B82" s="846"/>
      <c r="C82" s="847"/>
      <c r="D82" s="1024"/>
      <c r="E82" s="847"/>
      <c r="F82" s="846"/>
      <c r="G82" s="846"/>
      <c r="H82" s="846"/>
      <c r="I82" s="846"/>
      <c r="J82" s="846"/>
      <c r="K82" s="846"/>
      <c r="L82" s="846"/>
      <c r="M82" s="846"/>
      <c r="N82" s="848">
        <v>34.522823000000002</v>
      </c>
      <c r="O82" s="848">
        <v>34.335875999999999</v>
      </c>
      <c r="P82" s="848">
        <v>33.292259000000001</v>
      </c>
      <c r="Q82" s="848">
        <v>32.561348000000002</v>
      </c>
      <c r="R82" s="848">
        <v>33.352730000000001</v>
      </c>
      <c r="S82" s="848">
        <v>33.489016999999997</v>
      </c>
      <c r="T82" s="848">
        <v>34.046703000000001</v>
      </c>
      <c r="U82" s="848">
        <v>34.326427000000002</v>
      </c>
      <c r="V82" s="848">
        <v>34.303291000000002</v>
      </c>
      <c r="W82" s="848">
        <v>34.076405000000001</v>
      </c>
      <c r="X82" s="848">
        <v>34.105117999999997</v>
      </c>
      <c r="Y82" s="848">
        <v>34.184669</v>
      </c>
      <c r="Z82" s="848">
        <v>34.290134000000002</v>
      </c>
      <c r="AA82" s="848">
        <v>34.319408000000003</v>
      </c>
      <c r="AB82" s="848">
        <v>34.416462000000003</v>
      </c>
      <c r="AC82" s="848">
        <v>34.726405999999997</v>
      </c>
      <c r="AD82" s="848">
        <v>34.904162999999997</v>
      </c>
      <c r="AE82" s="848">
        <v>35.063048999999999</v>
      </c>
      <c r="AF82" s="848">
        <v>35.177726999999997</v>
      </c>
      <c r="AG82" s="848">
        <v>35.337353</v>
      </c>
      <c r="AH82" s="848">
        <v>35.506706000000001</v>
      </c>
      <c r="AI82" s="848">
        <v>35.725586</v>
      </c>
      <c r="AJ82" s="848">
        <v>35.884253999999999</v>
      </c>
      <c r="AK82" s="848">
        <v>36.154865000000001</v>
      </c>
      <c r="AL82" s="848">
        <v>36.608756999999997</v>
      </c>
      <c r="AM82" s="848">
        <v>37.082008000000002</v>
      </c>
      <c r="AN82" s="848">
        <v>37.502094</v>
      </c>
      <c r="AO82" s="848">
        <v>37.842292999999998</v>
      </c>
      <c r="AP82" s="848">
        <v>38.16151</v>
      </c>
      <c r="AQ82" s="848">
        <v>38.618450000000003</v>
      </c>
      <c r="AR82" s="848">
        <v>38.850749999999998</v>
      </c>
      <c r="AS82" s="846"/>
      <c r="AT82" s="846"/>
      <c r="AU82" s="846"/>
      <c r="AV82" s="846"/>
      <c r="AW82" s="846"/>
      <c r="AX82" s="846"/>
      <c r="AY82" s="846"/>
      <c r="AZ82" s="846"/>
      <c r="BA82" s="846"/>
      <c r="BB82" s="846"/>
      <c r="BC82" s="846"/>
      <c r="BD82" s="846"/>
      <c r="BE82" s="846"/>
      <c r="BF82" s="846"/>
      <c r="BG82" s="846"/>
      <c r="BH82" s="846"/>
      <c r="BI82" s="846"/>
      <c r="BJ82" s="846"/>
      <c r="BK82" s="846"/>
      <c r="BL82" s="846"/>
      <c r="BM82" s="846"/>
      <c r="BN82" s="846"/>
      <c r="BO82" s="846"/>
      <c r="BP82" s="846"/>
      <c r="BQ82" s="846"/>
      <c r="BR82" s="846"/>
      <c r="BS82" s="846"/>
      <c r="BT82" s="846"/>
      <c r="BU82" s="846"/>
      <c r="BV82" s="849"/>
    </row>
    <row r="83" spans="1:104" x14ac:dyDescent="0.25">
      <c r="D83" s="879"/>
      <c r="E83" s="814"/>
    </row>
    <row r="84" spans="1:104" x14ac:dyDescent="0.25">
      <c r="D84" s="879"/>
    </row>
    <row r="85" spans="1:104" ht="13.8" thickBot="1" x14ac:dyDescent="0.3">
      <c r="D85" s="879"/>
    </row>
    <row r="86" spans="1:104" ht="13.8" thickTop="1" x14ac:dyDescent="0.25">
      <c r="A86" s="719" t="s">
        <v>1087</v>
      </c>
      <c r="B86" s="720" t="str">
        <f>"Prices are in $(" &amp; ref_year&amp;")/GJ LHV"</f>
        <v>Prices are in $(2016)/GJ LHV</v>
      </c>
      <c r="C86" s="720"/>
      <c r="D86" s="1025"/>
      <c r="E86" s="720"/>
      <c r="F86" s="721"/>
      <c r="G86" s="721"/>
      <c r="H86" s="721"/>
      <c r="I86" s="721"/>
      <c r="J86" s="721"/>
      <c r="K86" s="721"/>
      <c r="L86" s="721"/>
      <c r="M86" s="721"/>
      <c r="N86" s="721"/>
      <c r="O86" s="721"/>
      <c r="P86" s="721"/>
      <c r="Q86" s="721"/>
      <c r="R86" s="721"/>
      <c r="S86" s="721"/>
      <c r="T86" s="721"/>
      <c r="U86" s="721"/>
      <c r="V86" s="721"/>
      <c r="W86" s="721"/>
      <c r="X86" s="721"/>
      <c r="Y86" s="721"/>
      <c r="Z86" s="721"/>
      <c r="AA86" s="721"/>
      <c r="AB86" s="721"/>
      <c r="AC86" s="721"/>
      <c r="AD86" s="721"/>
      <c r="AE86" s="721"/>
      <c r="AF86" s="721"/>
      <c r="AG86" s="721"/>
      <c r="AH86" s="721"/>
      <c r="AI86" s="721"/>
      <c r="AJ86" s="721"/>
      <c r="AK86" s="721"/>
      <c r="AL86" s="721"/>
      <c r="AM86" s="721"/>
      <c r="AN86" s="721"/>
      <c r="AO86" s="721"/>
      <c r="AP86" s="721"/>
      <c r="AQ86" s="721"/>
      <c r="AR86" s="721"/>
      <c r="AS86" s="734" t="s">
        <v>761</v>
      </c>
      <c r="AT86" s="735"/>
      <c r="AU86" s="735"/>
      <c r="AV86" s="735"/>
      <c r="AW86" s="735"/>
      <c r="AX86" s="735"/>
      <c r="AY86" s="735"/>
      <c r="AZ86" s="735"/>
      <c r="BA86" s="735"/>
      <c r="BB86" s="735"/>
      <c r="BC86" s="735"/>
      <c r="BD86" s="735"/>
      <c r="BE86" s="735"/>
      <c r="BF86" s="735"/>
      <c r="BG86" s="735"/>
      <c r="BH86" s="735"/>
      <c r="BI86" s="735"/>
      <c r="BJ86" s="735"/>
      <c r="BK86" s="735"/>
      <c r="BL86" s="735"/>
      <c r="BM86" s="735"/>
      <c r="BN86" s="735"/>
      <c r="BO86" s="735"/>
      <c r="BP86" s="735"/>
      <c r="BQ86" s="735"/>
      <c r="BR86" s="735"/>
      <c r="BS86" s="735"/>
      <c r="BT86" s="735"/>
      <c r="BU86" s="735"/>
      <c r="BV86" s="736"/>
    </row>
    <row r="87" spans="1:104" ht="40.200000000000003" thickBot="1" x14ac:dyDescent="0.3">
      <c r="A87" s="905" t="s">
        <v>1066</v>
      </c>
      <c r="B87" s="906" t="s">
        <v>667</v>
      </c>
      <c r="C87" s="906" t="s">
        <v>668</v>
      </c>
      <c r="D87" s="1026" t="s">
        <v>679</v>
      </c>
      <c r="E87" s="906" t="s">
        <v>680</v>
      </c>
      <c r="F87" s="907" t="s">
        <v>669</v>
      </c>
      <c r="G87" s="907" t="s">
        <v>681</v>
      </c>
      <c r="H87" s="741">
        <v>2004</v>
      </c>
      <c r="I87" s="741">
        <v>2005</v>
      </c>
      <c r="J87" s="741">
        <v>2006</v>
      </c>
      <c r="K87" s="741">
        <v>2007</v>
      </c>
      <c r="L87" s="741">
        <v>2008</v>
      </c>
      <c r="M87" s="741">
        <v>2009</v>
      </c>
      <c r="N87" s="741">
        <v>2010</v>
      </c>
      <c r="O87" s="741">
        <v>2011</v>
      </c>
      <c r="P87" s="741">
        <v>2012</v>
      </c>
      <c r="Q87" s="741">
        <v>2013</v>
      </c>
      <c r="R87" s="741">
        <v>2014</v>
      </c>
      <c r="S87" s="741">
        <v>2015</v>
      </c>
      <c r="T87" s="741">
        <v>2016</v>
      </c>
      <c r="U87" s="741">
        <v>2017</v>
      </c>
      <c r="V87" s="741">
        <v>2018</v>
      </c>
      <c r="W87" s="741">
        <v>2019</v>
      </c>
      <c r="X87" s="741">
        <v>2020</v>
      </c>
      <c r="Y87" s="741">
        <v>2021</v>
      </c>
      <c r="Z87" s="741">
        <v>2022</v>
      </c>
      <c r="AA87" s="741">
        <v>2023</v>
      </c>
      <c r="AB87" s="741">
        <v>2024</v>
      </c>
      <c r="AC87" s="741">
        <v>2025</v>
      </c>
      <c r="AD87" s="741">
        <v>2026</v>
      </c>
      <c r="AE87" s="741">
        <v>2027</v>
      </c>
      <c r="AF87" s="741">
        <v>2028</v>
      </c>
      <c r="AG87" s="741">
        <v>2029</v>
      </c>
      <c r="AH87" s="741">
        <v>2030</v>
      </c>
      <c r="AI87" s="741">
        <v>2031</v>
      </c>
      <c r="AJ87" s="741">
        <v>2032</v>
      </c>
      <c r="AK87" s="741">
        <v>2033</v>
      </c>
      <c r="AL87" s="741">
        <v>2034</v>
      </c>
      <c r="AM87" s="741">
        <v>2035</v>
      </c>
      <c r="AN87" s="741">
        <v>2036</v>
      </c>
      <c r="AO87" s="741">
        <v>2037</v>
      </c>
      <c r="AP87" s="741">
        <v>2038</v>
      </c>
      <c r="AQ87" s="741">
        <v>2039</v>
      </c>
      <c r="AR87" s="741">
        <v>2040</v>
      </c>
      <c r="AS87" s="741">
        <v>2041</v>
      </c>
      <c r="AT87" s="741">
        <v>2042</v>
      </c>
      <c r="AU87" s="741">
        <v>2043</v>
      </c>
      <c r="AV87" s="741">
        <v>2044</v>
      </c>
      <c r="AW87" s="741">
        <v>2045</v>
      </c>
      <c r="AX87" s="741">
        <v>2046</v>
      </c>
      <c r="AY87" s="741">
        <v>2047</v>
      </c>
      <c r="AZ87" s="741">
        <v>2048</v>
      </c>
      <c r="BA87" s="741">
        <v>2049</v>
      </c>
      <c r="BB87" s="741">
        <v>2050</v>
      </c>
      <c r="BC87" s="741">
        <v>2051</v>
      </c>
      <c r="BD87" s="741">
        <v>2052</v>
      </c>
      <c r="BE87" s="741">
        <v>2053</v>
      </c>
      <c r="BF87" s="741">
        <v>2054</v>
      </c>
      <c r="BG87" s="741">
        <v>2055</v>
      </c>
      <c r="BH87" s="741">
        <v>2056</v>
      </c>
      <c r="BI87" s="741">
        <v>2057</v>
      </c>
      <c r="BJ87" s="741">
        <v>2058</v>
      </c>
      <c r="BK87" s="741">
        <v>2059</v>
      </c>
      <c r="BL87" s="741">
        <v>2060</v>
      </c>
      <c r="BM87" s="741">
        <v>2061</v>
      </c>
      <c r="BN87" s="741">
        <v>2062</v>
      </c>
      <c r="BO87" s="741">
        <v>2063</v>
      </c>
      <c r="BP87" s="741">
        <v>2064</v>
      </c>
      <c r="BQ87" s="741">
        <v>2065</v>
      </c>
      <c r="BR87" s="741">
        <v>2066</v>
      </c>
      <c r="BS87" s="741">
        <v>2067</v>
      </c>
      <c r="BT87" s="741">
        <v>2068</v>
      </c>
      <c r="BU87" s="741">
        <v>2069</v>
      </c>
      <c r="BV87" s="742">
        <v>2070</v>
      </c>
      <c r="BW87" s="1078">
        <f t="shared" ref="BW87" si="191">+BV87+1</f>
        <v>2071</v>
      </c>
      <c r="BX87" s="1078">
        <f t="shared" ref="BX87" si="192">+BW87+1</f>
        <v>2072</v>
      </c>
      <c r="BY87" s="1078">
        <f t="shared" ref="BY87" si="193">+BX87+1</f>
        <v>2073</v>
      </c>
      <c r="BZ87" s="1078">
        <f t="shared" ref="BZ87" si="194">+BY87+1</f>
        <v>2074</v>
      </c>
      <c r="CA87" s="1078">
        <f t="shared" ref="CA87" si="195">+BZ87+1</f>
        <v>2075</v>
      </c>
      <c r="CB87" s="1078">
        <f t="shared" ref="CB87" si="196">+CA87+1</f>
        <v>2076</v>
      </c>
      <c r="CC87" s="1078">
        <f t="shared" ref="CC87" si="197">+CB87+1</f>
        <v>2077</v>
      </c>
      <c r="CD87" s="1078">
        <f t="shared" ref="CD87" si="198">+CC87+1</f>
        <v>2078</v>
      </c>
      <c r="CE87" s="1078">
        <f t="shared" ref="CE87" si="199">+CD87+1</f>
        <v>2079</v>
      </c>
      <c r="CF87" s="1078">
        <f t="shared" ref="CF87" si="200">+CE87+1</f>
        <v>2080</v>
      </c>
      <c r="CG87" s="1078">
        <f t="shared" ref="CG87" si="201">+CF87+1</f>
        <v>2081</v>
      </c>
      <c r="CH87" s="1078">
        <f t="shared" ref="CH87" si="202">+CG87+1</f>
        <v>2082</v>
      </c>
      <c r="CI87" s="1078">
        <f t="shared" ref="CI87" si="203">+CH87+1</f>
        <v>2083</v>
      </c>
      <c r="CJ87" s="1078">
        <f t="shared" ref="CJ87" si="204">+CI87+1</f>
        <v>2084</v>
      </c>
      <c r="CK87" s="1078">
        <f t="shared" ref="CK87" si="205">+CJ87+1</f>
        <v>2085</v>
      </c>
      <c r="CL87" s="1078">
        <f t="shared" ref="CL87" si="206">+CK87+1</f>
        <v>2086</v>
      </c>
      <c r="CM87" s="1078">
        <f t="shared" ref="CM87" si="207">+CL87+1</f>
        <v>2087</v>
      </c>
      <c r="CN87" s="1078">
        <f t="shared" ref="CN87" si="208">+CM87+1</f>
        <v>2088</v>
      </c>
      <c r="CO87" s="1078">
        <f t="shared" ref="CO87" si="209">+CN87+1</f>
        <v>2089</v>
      </c>
      <c r="CP87" s="1078">
        <f t="shared" ref="CP87" si="210">+CO87+1</f>
        <v>2090</v>
      </c>
      <c r="CQ87" s="1078">
        <f t="shared" ref="CQ87" si="211">+CP87+1</f>
        <v>2091</v>
      </c>
      <c r="CR87" s="1078">
        <f t="shared" ref="CR87" si="212">+CQ87+1</f>
        <v>2092</v>
      </c>
      <c r="CS87" s="1078">
        <f t="shared" ref="CS87" si="213">+CR87+1</f>
        <v>2093</v>
      </c>
      <c r="CT87" s="1078">
        <f t="shared" ref="CT87" si="214">+CS87+1</f>
        <v>2094</v>
      </c>
      <c r="CU87" s="1078">
        <f t="shared" ref="CU87" si="215">+CT87+1</f>
        <v>2095</v>
      </c>
      <c r="CV87" s="1078">
        <f t="shared" ref="CV87" si="216">+CU87+1</f>
        <v>2096</v>
      </c>
      <c r="CW87" s="1078">
        <f t="shared" ref="CW87" si="217">+CV87+1</f>
        <v>2097</v>
      </c>
      <c r="CX87" s="1078">
        <f t="shared" ref="CX87" si="218">+CW87+1</f>
        <v>2098</v>
      </c>
      <c r="CY87" s="1078">
        <f t="shared" ref="CY87" si="219">+CX87+1</f>
        <v>2099</v>
      </c>
      <c r="CZ87" s="1078">
        <f t="shared" ref="CZ87" si="220">+CY87+1</f>
        <v>2100</v>
      </c>
    </row>
    <row r="88" spans="1:104" ht="13.8" thickBot="1" x14ac:dyDescent="0.3">
      <c r="A88" s="722" t="s">
        <v>1072</v>
      </c>
      <c r="B88" s="723"/>
      <c r="C88" s="723"/>
      <c r="D88" s="1027"/>
      <c r="E88" s="723"/>
      <c r="F88" s="723"/>
      <c r="G88" s="723"/>
      <c r="H88" s="801"/>
      <c r="I88" s="801"/>
      <c r="J88" s="801"/>
      <c r="K88" s="801"/>
      <c r="L88" s="801"/>
      <c r="M88" s="801"/>
      <c r="N88" s="801"/>
      <c r="O88" s="801"/>
      <c r="P88" s="801"/>
      <c r="Q88" s="801"/>
      <c r="R88" s="801"/>
      <c r="S88" s="801"/>
      <c r="T88" s="801"/>
      <c r="U88" s="801"/>
      <c r="V88" s="801"/>
      <c r="W88" s="801"/>
      <c r="X88" s="801"/>
      <c r="Y88" s="801"/>
      <c r="Z88" s="801"/>
      <c r="AA88" s="801"/>
      <c r="AB88" s="801"/>
      <c r="AC88" s="801"/>
      <c r="AD88" s="801"/>
      <c r="AE88" s="801"/>
      <c r="AF88" s="801"/>
      <c r="AG88" s="801"/>
      <c r="AH88" s="801"/>
      <c r="AI88" s="801"/>
      <c r="AJ88" s="801"/>
      <c r="AK88" s="801"/>
      <c r="AL88" s="801"/>
      <c r="AM88" s="801"/>
      <c r="AN88" s="801"/>
      <c r="AO88" s="801"/>
      <c r="AP88" s="801"/>
      <c r="AQ88" s="801"/>
      <c r="AR88" s="801"/>
      <c r="AS88" s="801"/>
      <c r="AT88" s="801"/>
      <c r="AU88" s="801"/>
      <c r="AV88" s="801"/>
      <c r="AW88" s="801"/>
      <c r="AX88" s="801"/>
      <c r="AY88" s="801"/>
      <c r="AZ88" s="801"/>
      <c r="BA88" s="801"/>
      <c r="BC88" s="801"/>
      <c r="BD88" s="801"/>
      <c r="BE88" s="801"/>
      <c r="BF88" s="801"/>
      <c r="BG88" s="801"/>
      <c r="BH88" s="801"/>
      <c r="BI88" s="801"/>
      <c r="BJ88" s="801"/>
      <c r="BK88" s="801"/>
      <c r="BL88" s="801"/>
      <c r="BM88" s="801"/>
      <c r="BN88" s="801"/>
      <c r="BO88" s="801"/>
      <c r="BP88" s="801"/>
      <c r="BR88" s="801"/>
      <c r="BS88" s="801"/>
      <c r="BT88" s="801"/>
      <c r="BU88" s="801"/>
    </row>
    <row r="89" spans="1:104" x14ac:dyDescent="0.25">
      <c r="A89" s="725" t="str">
        <f>'HyARC Physical Property Data'!A73</f>
        <v>Residential Natural Gas</v>
      </c>
      <c r="B89" s="254">
        <v>2012</v>
      </c>
      <c r="C89" s="726">
        <f t="shared" ref="C89:C100" si="221">VLOOKUP(ref_year,DeflatorTable,2,FALSE)/VLOOKUP(B89,DeflatorTable,2,FALSE)</f>
        <v>1.0573833607504113</v>
      </c>
      <c r="D89" s="1028" t="str">
        <f>'HyARC Physical Property Data'!H73</f>
        <v>mmBtu</v>
      </c>
      <c r="E89" s="726" t="s">
        <v>1040</v>
      </c>
      <c r="F89" s="254">
        <f>'HyARC Physical Property Data'!$E$6</f>
        <v>47.141269049911173</v>
      </c>
      <c r="G89" s="254">
        <f>'HyARC Physical Property Data'!$I$6</f>
        <v>52.224661236371581</v>
      </c>
      <c r="H89" s="851">
        <v>12.595706345448797</v>
      </c>
      <c r="I89" s="851">
        <v>12.595706345448797</v>
      </c>
      <c r="J89" s="851">
        <v>12.595706345448797</v>
      </c>
      <c r="K89" s="851">
        <v>12.595706345448797</v>
      </c>
      <c r="L89" s="851">
        <v>13.121338604068761</v>
      </c>
      <c r="M89" s="851">
        <v>11.086947084595193</v>
      </c>
      <c r="N89" s="851">
        <v>10.600250548835966</v>
      </c>
      <c r="O89" s="801">
        <f t="shared" ref="O89:AR89" si="222">O106*($C89/mmBTU_to_GJ*$G89/$F89)</f>
        <v>12.191092687749757</v>
      </c>
      <c r="P89" s="801">
        <f t="shared" si="222"/>
        <v>11.61240672324179</v>
      </c>
      <c r="Q89" s="801">
        <f t="shared" si="222"/>
        <v>11.532824509346533</v>
      </c>
      <c r="R89" s="801">
        <f t="shared" si="222"/>
        <v>12.433025993412414</v>
      </c>
      <c r="S89" s="801">
        <f t="shared" si="222"/>
        <v>12.210932169261609</v>
      </c>
      <c r="T89" s="801">
        <f t="shared" si="222"/>
        <v>11.863496968910505</v>
      </c>
      <c r="U89" s="801">
        <f t="shared" si="222"/>
        <v>12.225430935188502</v>
      </c>
      <c r="V89" s="801">
        <f t="shared" si="222"/>
        <v>12.719978977683732</v>
      </c>
      <c r="W89" s="801">
        <f t="shared" si="222"/>
        <v>12.909977432874298</v>
      </c>
      <c r="X89" s="801">
        <f t="shared" si="222"/>
        <v>12.870974664401787</v>
      </c>
      <c r="Y89" s="801">
        <f t="shared" si="222"/>
        <v>13.107127561470831</v>
      </c>
      <c r="Z89" s="801">
        <f t="shared" si="222"/>
        <v>13.208746611585347</v>
      </c>
      <c r="AA89" s="801">
        <f t="shared" si="222"/>
        <v>13.387263083436196</v>
      </c>
      <c r="AB89" s="801">
        <f t="shared" si="222"/>
        <v>13.662847338627605</v>
      </c>
      <c r="AC89" s="801">
        <f t="shared" si="222"/>
        <v>13.851960856121453</v>
      </c>
      <c r="AD89" s="801">
        <f t="shared" si="222"/>
        <v>13.96794321118545</v>
      </c>
      <c r="AE89" s="801">
        <f t="shared" si="222"/>
        <v>14.119468528118476</v>
      </c>
      <c r="AF89" s="801">
        <f t="shared" si="222"/>
        <v>14.321017807473346</v>
      </c>
      <c r="AG89" s="801">
        <f t="shared" si="222"/>
        <v>14.638900308030435</v>
      </c>
      <c r="AH89" s="801">
        <f t="shared" si="222"/>
        <v>14.992739925739963</v>
      </c>
      <c r="AI89" s="801">
        <f t="shared" si="222"/>
        <v>15.156051458043953</v>
      </c>
      <c r="AJ89" s="801">
        <f t="shared" si="222"/>
        <v>15.225075488052026</v>
      </c>
      <c r="AK89" s="801">
        <f t="shared" si="222"/>
        <v>15.481925045932627</v>
      </c>
      <c r="AL89" s="801">
        <f t="shared" si="222"/>
        <v>15.921613613246663</v>
      </c>
      <c r="AM89" s="801">
        <f t="shared" si="222"/>
        <v>16.217219445034317</v>
      </c>
      <c r="AN89" s="801">
        <f t="shared" si="222"/>
        <v>16.649245584437377</v>
      </c>
      <c r="AO89" s="801">
        <f t="shared" si="222"/>
        <v>16.824194547104348</v>
      </c>
      <c r="AP89" s="801">
        <f t="shared" si="222"/>
        <v>16.965891170823646</v>
      </c>
      <c r="AQ89" s="801">
        <f t="shared" si="222"/>
        <v>17.341637715454421</v>
      </c>
      <c r="AR89" s="801">
        <f t="shared" si="222"/>
        <v>17.740732402979265</v>
      </c>
      <c r="AS89" s="801">
        <f>($BB89-$AR89)/10+AR89</f>
        <v>17.791465746273797</v>
      </c>
      <c r="AT89" s="801">
        <f t="shared" ref="AT89:BA89" si="223">($BB89-$AR89)/10+AS89</f>
        <v>17.842199089568329</v>
      </c>
      <c r="AU89" s="801">
        <f t="shared" si="223"/>
        <v>17.89293243286286</v>
      </c>
      <c r="AV89" s="801">
        <f t="shared" si="223"/>
        <v>17.943665776157392</v>
      </c>
      <c r="AW89" s="801">
        <f t="shared" si="223"/>
        <v>17.994399119451923</v>
      </c>
      <c r="AX89" s="801">
        <f t="shared" si="223"/>
        <v>18.045132462746455</v>
      </c>
      <c r="AY89" s="801">
        <f t="shared" si="223"/>
        <v>18.095865806040987</v>
      </c>
      <c r="AZ89" s="801">
        <f t="shared" si="223"/>
        <v>18.146599149335518</v>
      </c>
      <c r="BA89" s="801">
        <f t="shared" si="223"/>
        <v>18.19733249263005</v>
      </c>
      <c r="BB89" s="803">
        <f>'AEO Data'!$B$30*AM89</f>
        <v>18.248065835924574</v>
      </c>
      <c r="BC89" s="801">
        <f t="shared" ref="BC89:BP92" si="224">($BQ89-$BB89)/15+BB89</f>
        <v>18.396757114031804</v>
      </c>
      <c r="BD89" s="801">
        <f t="shared" si="224"/>
        <v>18.545448392139033</v>
      </c>
      <c r="BE89" s="801">
        <f t="shared" si="224"/>
        <v>18.694139670246262</v>
      </c>
      <c r="BF89" s="801">
        <f t="shared" si="224"/>
        <v>18.842830948353491</v>
      </c>
      <c r="BG89" s="801">
        <f t="shared" si="224"/>
        <v>18.99152222646072</v>
      </c>
      <c r="BH89" s="801">
        <f t="shared" si="224"/>
        <v>19.140213504567949</v>
      </c>
      <c r="BI89" s="801">
        <f t="shared" si="224"/>
        <v>19.288904782675178</v>
      </c>
      <c r="BJ89" s="801">
        <f t="shared" si="224"/>
        <v>19.437596060782408</v>
      </c>
      <c r="BK89" s="801">
        <f t="shared" si="224"/>
        <v>19.586287338889637</v>
      </c>
      <c r="BL89" s="801">
        <f t="shared" si="224"/>
        <v>19.734978616996866</v>
      </c>
      <c r="BM89" s="801">
        <f t="shared" si="224"/>
        <v>19.883669895104095</v>
      </c>
      <c r="BN89" s="801">
        <f t="shared" si="224"/>
        <v>20.032361173211324</v>
      </c>
      <c r="BO89" s="801">
        <f t="shared" si="224"/>
        <v>20.181052451318553</v>
      </c>
      <c r="BP89" s="801">
        <f t="shared" si="224"/>
        <v>20.329743729425783</v>
      </c>
      <c r="BQ89" s="803">
        <f>'AEO Data'!$C$30*BB89</f>
        <v>20.478435007533015</v>
      </c>
      <c r="BR89" s="801">
        <f t="shared" ref="BR89:BU92" si="225">($BV89-$BQ89)/5+BQ89</f>
        <v>20.595487067510991</v>
      </c>
      <c r="BS89" s="801">
        <f t="shared" si="225"/>
        <v>20.712539127488967</v>
      </c>
      <c r="BT89" s="801">
        <f t="shared" si="225"/>
        <v>20.829591187466942</v>
      </c>
      <c r="BU89" s="801">
        <f t="shared" si="225"/>
        <v>20.946643247444918</v>
      </c>
      <c r="BV89" s="804">
        <f>'AEO Data'!$D$30*BQ89</f>
        <v>21.063695307422901</v>
      </c>
      <c r="BW89" s="1077">
        <f>+BV89*BW$133/BV$133</f>
        <v>21.133632969420677</v>
      </c>
      <c r="BX89" s="1077">
        <f t="shared" ref="BX89:CZ89" si="226">+BW89*BX$133/BW$133</f>
        <v>21.203802845020782</v>
      </c>
      <c r="BY89" s="1077">
        <f t="shared" si="226"/>
        <v>21.274205705240661</v>
      </c>
      <c r="BZ89" s="1077">
        <f t="shared" si="226"/>
        <v>21.344842323657751</v>
      </c>
      <c r="CA89" s="1077">
        <f t="shared" si="226"/>
        <v>21.415713476418006</v>
      </c>
      <c r="CB89" s="1077">
        <f t="shared" si="226"/>
        <v>21.461413072202582</v>
      </c>
      <c r="CC89" s="1077">
        <f t="shared" si="226"/>
        <v>21.507210187645192</v>
      </c>
      <c r="CD89" s="1077">
        <f t="shared" si="226"/>
        <v>21.553105030845796</v>
      </c>
      <c r="CE89" s="1077">
        <f t="shared" si="226"/>
        <v>21.599097810348415</v>
      </c>
      <c r="CF89" s="1077">
        <f t="shared" si="226"/>
        <v>21.645188735142085</v>
      </c>
      <c r="CG89" s="1077">
        <f t="shared" si="226"/>
        <v>21.66015416604937</v>
      </c>
      <c r="CH89" s="1077">
        <f t="shared" si="226"/>
        <v>21.675129944019229</v>
      </c>
      <c r="CI89" s="1077">
        <f t="shared" si="226"/>
        <v>21.690116076205594</v>
      </c>
      <c r="CJ89" s="1077">
        <f t="shared" si="226"/>
        <v>21.705112569767344</v>
      </c>
      <c r="CK89" s="1077">
        <f t="shared" si="226"/>
        <v>21.720119431868312</v>
      </c>
      <c r="CL89" s="1077">
        <f t="shared" si="226"/>
        <v>21.725206091961226</v>
      </c>
      <c r="CM89" s="1077">
        <f t="shared" si="226"/>
        <v>21.730293943305</v>
      </c>
      <c r="CN89" s="1077">
        <f t="shared" si="226"/>
        <v>21.73538298617861</v>
      </c>
      <c r="CO89" s="1077">
        <f t="shared" si="226"/>
        <v>21.740473220861105</v>
      </c>
      <c r="CP89" s="1077">
        <f t="shared" si="226"/>
        <v>21.745564647631596</v>
      </c>
      <c r="CQ89" s="1077">
        <f t="shared" si="226"/>
        <v>21.753281193740353</v>
      </c>
      <c r="CR89" s="1077">
        <f t="shared" si="226"/>
        <v>21.761000478112514</v>
      </c>
      <c r="CS89" s="1077">
        <f t="shared" si="226"/>
        <v>21.768722501719765</v>
      </c>
      <c r="CT89" s="1077">
        <f t="shared" si="226"/>
        <v>21.776447265534141</v>
      </c>
      <c r="CU89" s="1077">
        <f t="shared" si="226"/>
        <v>21.784174770528026</v>
      </c>
      <c r="CV89" s="1077">
        <f t="shared" si="226"/>
        <v>21.796067433429702</v>
      </c>
      <c r="CW89" s="1077">
        <f t="shared" si="226"/>
        <v>21.807966588908322</v>
      </c>
      <c r="CX89" s="1077">
        <f t="shared" si="226"/>
        <v>21.819872240508388</v>
      </c>
      <c r="CY89" s="1077">
        <f t="shared" si="226"/>
        <v>21.831784391776338</v>
      </c>
      <c r="CZ89" s="1077">
        <f t="shared" si="226"/>
        <v>21.84370304626054</v>
      </c>
    </row>
    <row r="90" spans="1:104" x14ac:dyDescent="0.25">
      <c r="A90" s="725" t="str">
        <f>'HyARC Physical Property Data'!A71</f>
        <v>Commercial Natural Gas</v>
      </c>
      <c r="B90" s="254">
        <v>2012</v>
      </c>
      <c r="C90" s="726">
        <f t="shared" si="221"/>
        <v>1.0573833607504113</v>
      </c>
      <c r="D90" s="1028" t="str">
        <f>'HyARC Physical Property Data'!H71</f>
        <v>mmBtu</v>
      </c>
      <c r="E90" s="726" t="s">
        <v>1040</v>
      </c>
      <c r="F90" s="254">
        <f>'HyARC Physical Property Data'!$E$6</f>
        <v>47.141269049911173</v>
      </c>
      <c r="G90" s="254">
        <f>'HyARC Physical Property Data'!$I$6</f>
        <v>52.224661236371581</v>
      </c>
      <c r="H90" s="852">
        <v>10.902002401006685</v>
      </c>
      <c r="I90" s="852">
        <v>10.902002401006685</v>
      </c>
      <c r="J90" s="852">
        <v>10.902002401006685</v>
      </c>
      <c r="K90" s="852">
        <v>10.902002401006685</v>
      </c>
      <c r="L90" s="852">
        <v>11.622313273930342</v>
      </c>
      <c r="M90" s="852">
        <v>8.8092072972420112</v>
      </c>
      <c r="N90" s="852">
        <v>8.4393179300649965</v>
      </c>
      <c r="O90" s="254">
        <f t="shared" ref="O90:AR90" si="227">O107*($C90/mmBTU_to_GJ*$G90/$F90)</f>
        <v>9.9495366192776444</v>
      </c>
      <c r="P90" s="254">
        <f t="shared" si="227"/>
        <v>9.0080039923979545</v>
      </c>
      <c r="Q90" s="254">
        <f t="shared" si="227"/>
        <v>9.2291706860885867</v>
      </c>
      <c r="R90" s="254">
        <f t="shared" si="227"/>
        <v>10.088576209235033</v>
      </c>
      <c r="S90" s="254">
        <f t="shared" si="227"/>
        <v>9.9025871769087672</v>
      </c>
      <c r="T90" s="254">
        <f t="shared" si="227"/>
        <v>9.6855387189987159</v>
      </c>
      <c r="U90" s="254">
        <f t="shared" si="227"/>
        <v>10.001081741855701</v>
      </c>
      <c r="V90" s="254">
        <f t="shared" si="227"/>
        <v>10.447347938925514</v>
      </c>
      <c r="W90" s="254">
        <f t="shared" si="227"/>
        <v>10.599788172624031</v>
      </c>
      <c r="X90" s="254">
        <f t="shared" si="227"/>
        <v>10.53794690542658</v>
      </c>
      <c r="Y90" s="254">
        <f t="shared" si="227"/>
        <v>10.753568581730253</v>
      </c>
      <c r="Z90" s="254">
        <f t="shared" si="227"/>
        <v>10.835192703309655</v>
      </c>
      <c r="AA90" s="254">
        <f t="shared" si="227"/>
        <v>10.990940627596027</v>
      </c>
      <c r="AB90" s="254">
        <f t="shared" si="227"/>
        <v>11.244415874735946</v>
      </c>
      <c r="AC90" s="254">
        <f t="shared" si="227"/>
        <v>11.421938595973796</v>
      </c>
      <c r="AD90" s="254">
        <f t="shared" si="227"/>
        <v>11.526345699484116</v>
      </c>
      <c r="AE90" s="254">
        <f t="shared" si="227"/>
        <v>11.655064717432735</v>
      </c>
      <c r="AF90" s="254">
        <f t="shared" si="227"/>
        <v>11.833099303511471</v>
      </c>
      <c r="AG90" s="254">
        <f t="shared" si="227"/>
        <v>12.114892556946344</v>
      </c>
      <c r="AH90" s="254">
        <f t="shared" si="227"/>
        <v>12.427240033139398</v>
      </c>
      <c r="AI90" s="254">
        <f t="shared" si="227"/>
        <v>12.540484299922209</v>
      </c>
      <c r="AJ90" s="254">
        <f t="shared" si="227"/>
        <v>12.538704431505849</v>
      </c>
      <c r="AK90" s="254">
        <f t="shared" si="227"/>
        <v>12.7448604944287</v>
      </c>
      <c r="AL90" s="254">
        <f t="shared" si="227"/>
        <v>13.044138206972995</v>
      </c>
      <c r="AM90" s="254">
        <f t="shared" si="227"/>
        <v>13.272322223428063</v>
      </c>
      <c r="AN90" s="254">
        <f t="shared" si="227"/>
        <v>13.616748413543148</v>
      </c>
      <c r="AO90" s="254">
        <f t="shared" si="227"/>
        <v>13.732951725447354</v>
      </c>
      <c r="AP90" s="254">
        <f t="shared" si="227"/>
        <v>13.833902353361841</v>
      </c>
      <c r="AQ90" s="254">
        <f t="shared" si="227"/>
        <v>14.16332901606795</v>
      </c>
      <c r="AR90" s="254">
        <f t="shared" si="227"/>
        <v>14.520292008609179</v>
      </c>
      <c r="AS90" s="254">
        <f t="shared" ref="AS90:BA90" si="228">($BB90-$AR90)/10+AR90</f>
        <v>14.561701375004496</v>
      </c>
      <c r="AT90" s="254">
        <f t="shared" si="228"/>
        <v>14.603110741399814</v>
      </c>
      <c r="AU90" s="254">
        <f t="shared" si="228"/>
        <v>14.644520107795131</v>
      </c>
      <c r="AV90" s="254">
        <f t="shared" si="228"/>
        <v>14.685929474190448</v>
      </c>
      <c r="AW90" s="254">
        <f t="shared" si="228"/>
        <v>14.727338840585766</v>
      </c>
      <c r="AX90" s="254">
        <f t="shared" si="228"/>
        <v>14.768748206981083</v>
      </c>
      <c r="AY90" s="254">
        <f t="shared" si="228"/>
        <v>14.810157573376401</v>
      </c>
      <c r="AZ90" s="254">
        <f t="shared" si="228"/>
        <v>14.851566939771718</v>
      </c>
      <c r="BA90" s="254">
        <f t="shared" si="228"/>
        <v>14.892976306167036</v>
      </c>
      <c r="BB90" s="781">
        <f>'AEO Data'!$B$30*AM90</f>
        <v>14.934385672562355</v>
      </c>
      <c r="BC90" s="254">
        <f t="shared" si="224"/>
        <v>15.056075988312308</v>
      </c>
      <c r="BD90" s="254">
        <f t="shared" si="224"/>
        <v>15.177766304062262</v>
      </c>
      <c r="BE90" s="254">
        <f t="shared" si="224"/>
        <v>15.299456619812215</v>
      </c>
      <c r="BF90" s="254">
        <f t="shared" si="224"/>
        <v>15.421146935562168</v>
      </c>
      <c r="BG90" s="254">
        <f t="shared" si="224"/>
        <v>15.542837251312122</v>
      </c>
      <c r="BH90" s="254">
        <f t="shared" si="224"/>
        <v>15.664527567062075</v>
      </c>
      <c r="BI90" s="254">
        <f t="shared" si="224"/>
        <v>15.786217882812029</v>
      </c>
      <c r="BJ90" s="254">
        <f t="shared" si="224"/>
        <v>15.907908198561982</v>
      </c>
      <c r="BK90" s="254">
        <f t="shared" si="224"/>
        <v>16.029598514311935</v>
      </c>
      <c r="BL90" s="254">
        <f t="shared" si="224"/>
        <v>16.151288830061887</v>
      </c>
      <c r="BM90" s="254">
        <f t="shared" si="224"/>
        <v>16.272979145811838</v>
      </c>
      <c r="BN90" s="254">
        <f t="shared" si="224"/>
        <v>16.39466946156179</v>
      </c>
      <c r="BO90" s="254">
        <f t="shared" si="224"/>
        <v>16.516359777311742</v>
      </c>
      <c r="BP90" s="254">
        <f t="shared" si="224"/>
        <v>16.638050093061693</v>
      </c>
      <c r="BQ90" s="781">
        <f>'AEO Data'!$C$30*BB90</f>
        <v>16.759740408811648</v>
      </c>
      <c r="BR90" s="254">
        <f t="shared" si="225"/>
        <v>16.855536896132378</v>
      </c>
      <c r="BS90" s="254">
        <f t="shared" si="225"/>
        <v>16.951333383453107</v>
      </c>
      <c r="BT90" s="254">
        <f t="shared" si="225"/>
        <v>17.047129870773837</v>
      </c>
      <c r="BU90" s="254">
        <f t="shared" si="225"/>
        <v>17.142926358094567</v>
      </c>
      <c r="BV90" s="805">
        <f>'AEO Data'!$D$30*BQ90</f>
        <v>17.238722845415303</v>
      </c>
      <c r="BW90" s="1077">
        <f>+BV90*BW$134/BV$134</f>
        <v>17.295960474142827</v>
      </c>
      <c r="BX90" s="1077">
        <f t="shared" ref="BX90:CZ90" si="229">+BW90*BX$134/BW$134</f>
        <v>17.353388148627904</v>
      </c>
      <c r="BY90" s="1077">
        <f t="shared" si="229"/>
        <v>17.411006499878322</v>
      </c>
      <c r="BZ90" s="1077">
        <f t="shared" si="229"/>
        <v>17.468816160997019</v>
      </c>
      <c r="CA90" s="1077">
        <f t="shared" si="229"/>
        <v>17.526817767189005</v>
      </c>
      <c r="CB90" s="1077">
        <f t="shared" si="229"/>
        <v>17.564218738594064</v>
      </c>
      <c r="CC90" s="1077">
        <f t="shared" si="229"/>
        <v>17.601699520988237</v>
      </c>
      <c r="CD90" s="1077">
        <f t="shared" si="229"/>
        <v>17.63926028468245</v>
      </c>
      <c r="CE90" s="1077">
        <f t="shared" si="229"/>
        <v>17.676901200351057</v>
      </c>
      <c r="CF90" s="1077">
        <f t="shared" si="229"/>
        <v>17.71462243903262</v>
      </c>
      <c r="CG90" s="1077">
        <f t="shared" si="229"/>
        <v>17.726870285951581</v>
      </c>
      <c r="CH90" s="1077">
        <f t="shared" si="229"/>
        <v>17.739126601002145</v>
      </c>
      <c r="CI90" s="1077">
        <f t="shared" si="229"/>
        <v>17.751391390039156</v>
      </c>
      <c r="CJ90" s="1077">
        <f t="shared" si="229"/>
        <v>17.763664658921517</v>
      </c>
      <c r="CK90" s="1077">
        <f t="shared" si="229"/>
        <v>17.775946413512166</v>
      </c>
      <c r="CL90" s="1077">
        <f t="shared" si="229"/>
        <v>17.78010938312746</v>
      </c>
      <c r="CM90" s="1077">
        <f t="shared" si="229"/>
        <v>17.784273327673461</v>
      </c>
      <c r="CN90" s="1077">
        <f t="shared" si="229"/>
        <v>17.78843824737849</v>
      </c>
      <c r="CO90" s="1077">
        <f t="shared" si="229"/>
        <v>17.792604142470921</v>
      </c>
      <c r="CP90" s="1077">
        <f t="shared" si="229"/>
        <v>17.796771013179182</v>
      </c>
      <c r="CQ90" s="1077">
        <f t="shared" si="229"/>
        <v>17.803086305807149</v>
      </c>
      <c r="CR90" s="1077">
        <f t="shared" si="229"/>
        <v>17.809403839455182</v>
      </c>
      <c r="CS90" s="1077">
        <f t="shared" si="229"/>
        <v>17.815723614918522</v>
      </c>
      <c r="CT90" s="1077">
        <f t="shared" si="229"/>
        <v>17.82204563299269</v>
      </c>
      <c r="CU90" s="1077">
        <f t="shared" si="229"/>
        <v>17.828369894473493</v>
      </c>
      <c r="CV90" s="1077">
        <f t="shared" si="229"/>
        <v>17.838102959667598</v>
      </c>
      <c r="CW90" s="1077">
        <f t="shared" si="229"/>
        <v>17.84784133844666</v>
      </c>
      <c r="CX90" s="1077">
        <f t="shared" si="229"/>
        <v>17.85758503371153</v>
      </c>
      <c r="CY90" s="1077">
        <f t="shared" si="229"/>
        <v>17.867334048364647</v>
      </c>
      <c r="CZ90" s="1077">
        <f t="shared" si="229"/>
        <v>17.877088385310028</v>
      </c>
    </row>
    <row r="91" spans="1:104" x14ac:dyDescent="0.25">
      <c r="A91" s="725" t="str">
        <f>'HyARC Physical Property Data'!A72</f>
        <v>Industrial Natural Gas</v>
      </c>
      <c r="B91" s="254">
        <v>2012</v>
      </c>
      <c r="C91" s="726">
        <f t="shared" si="221"/>
        <v>1.0573833607504113</v>
      </c>
      <c r="D91" s="1028" t="str">
        <f>'HyARC Physical Property Data'!H72</f>
        <v>mmBtu</v>
      </c>
      <c r="E91" s="726" t="s">
        <v>1040</v>
      </c>
      <c r="F91" s="254">
        <f>'HyARC Physical Property Data'!$E$6</f>
        <v>47.141269049911173</v>
      </c>
      <c r="G91" s="254">
        <f>'HyARC Physical Property Data'!$I$6</f>
        <v>52.224661236371581</v>
      </c>
      <c r="H91" s="852">
        <v>7.3783194821098821</v>
      </c>
      <c r="I91" s="852">
        <v>7.3783194821098821</v>
      </c>
      <c r="J91" s="852">
        <v>7.3783194821098821</v>
      </c>
      <c r="K91" s="852">
        <v>7.3783194821098821</v>
      </c>
      <c r="L91" s="852">
        <v>8.8676108815331158</v>
      </c>
      <c r="M91" s="852">
        <v>4.0882509003775072</v>
      </c>
      <c r="N91" s="852">
        <v>4.7404242582948717</v>
      </c>
      <c r="O91" s="254">
        <f t="shared" ref="O91:AR91" si="230">O108*($C91/mmBTU_to_GJ*$G91/$F91)</f>
        <v>5.655737860285754</v>
      </c>
      <c r="P91" s="254">
        <f t="shared" si="230"/>
        <v>4.1875429462406233</v>
      </c>
      <c r="Q91" s="254">
        <f t="shared" si="230"/>
        <v>5.101776855163612</v>
      </c>
      <c r="R91" s="254">
        <f t="shared" si="230"/>
        <v>5.3291370023953855</v>
      </c>
      <c r="S91" s="254">
        <f t="shared" si="230"/>
        <v>5.4842809039627953</v>
      </c>
      <c r="T91" s="254">
        <f t="shared" si="230"/>
        <v>5.7166186869466191</v>
      </c>
      <c r="U91" s="254">
        <f t="shared" si="230"/>
        <v>6.0244693028238556</v>
      </c>
      <c r="V91" s="254">
        <f t="shared" si="230"/>
        <v>6.490891427131448</v>
      </c>
      <c r="W91" s="254">
        <f t="shared" si="230"/>
        <v>6.6038403445700586</v>
      </c>
      <c r="X91" s="254">
        <f t="shared" si="230"/>
        <v>6.4314251683822734</v>
      </c>
      <c r="Y91" s="254">
        <f t="shared" si="230"/>
        <v>6.5896202729491558</v>
      </c>
      <c r="Z91" s="254">
        <f t="shared" si="230"/>
        <v>6.6115305308780448</v>
      </c>
      <c r="AA91" s="254">
        <f t="shared" si="230"/>
        <v>6.7200414358025036</v>
      </c>
      <c r="AB91" s="254">
        <f t="shared" si="230"/>
        <v>6.9144745724995795</v>
      </c>
      <c r="AC91" s="254">
        <f t="shared" si="230"/>
        <v>7.0183809145278193</v>
      </c>
      <c r="AD91" s="254">
        <f t="shared" si="230"/>
        <v>7.0574158827408624</v>
      </c>
      <c r="AE91" s="254">
        <f t="shared" si="230"/>
        <v>7.1387235585943367</v>
      </c>
      <c r="AF91" s="254">
        <f t="shared" si="230"/>
        <v>7.2521565824768235</v>
      </c>
      <c r="AG91" s="254">
        <f t="shared" si="230"/>
        <v>7.4789127069896324</v>
      </c>
      <c r="AH91" s="254">
        <f t="shared" si="230"/>
        <v>7.7602540537211651</v>
      </c>
      <c r="AI91" s="254">
        <f t="shared" si="230"/>
        <v>7.8876606546590935</v>
      </c>
      <c r="AJ91" s="254">
        <f t="shared" si="230"/>
        <v>8.02124849544348</v>
      </c>
      <c r="AK91" s="254">
        <f t="shared" si="230"/>
        <v>8.2390597541033976</v>
      </c>
      <c r="AL91" s="254">
        <f t="shared" si="230"/>
        <v>8.4081761223903708</v>
      </c>
      <c r="AM91" s="254">
        <f t="shared" si="230"/>
        <v>8.613534964151059</v>
      </c>
      <c r="AN91" s="254">
        <f t="shared" si="230"/>
        <v>8.930664656981202</v>
      </c>
      <c r="AO91" s="254">
        <f t="shared" si="230"/>
        <v>8.9872951178917102</v>
      </c>
      <c r="AP91" s="254">
        <f t="shared" si="230"/>
        <v>9.0273060713436681</v>
      </c>
      <c r="AQ91" s="254">
        <f t="shared" si="230"/>
        <v>9.2571600329629291</v>
      </c>
      <c r="AR91" s="254">
        <f t="shared" si="230"/>
        <v>9.5415659067244984</v>
      </c>
      <c r="AS91" s="254">
        <f t="shared" ref="AS91:BA91" si="231">($BB91-$AR91)/10+AR91</f>
        <v>9.5566281987255213</v>
      </c>
      <c r="AT91" s="254">
        <f t="shared" si="231"/>
        <v>9.5716904907265441</v>
      </c>
      <c r="AU91" s="254">
        <f t="shared" si="231"/>
        <v>9.5867527827275669</v>
      </c>
      <c r="AV91" s="254">
        <f t="shared" si="231"/>
        <v>9.6018150747285897</v>
      </c>
      <c r="AW91" s="254">
        <f t="shared" si="231"/>
        <v>9.6168773667296126</v>
      </c>
      <c r="AX91" s="254">
        <f t="shared" si="231"/>
        <v>9.6319396587306354</v>
      </c>
      <c r="AY91" s="254">
        <f t="shared" si="231"/>
        <v>9.6470019507316582</v>
      </c>
      <c r="AZ91" s="254">
        <f t="shared" si="231"/>
        <v>9.6620642427326811</v>
      </c>
      <c r="BA91" s="254">
        <f t="shared" si="231"/>
        <v>9.6771265347337039</v>
      </c>
      <c r="BB91" s="781">
        <f>'AEO Data'!$B$30*AM91</f>
        <v>9.6921888267347267</v>
      </c>
      <c r="BC91" s="254">
        <f t="shared" si="224"/>
        <v>9.7711639881168519</v>
      </c>
      <c r="BD91" s="254">
        <f t="shared" si="224"/>
        <v>9.8501391494989772</v>
      </c>
      <c r="BE91" s="254">
        <f t="shared" si="224"/>
        <v>9.9291143108811024</v>
      </c>
      <c r="BF91" s="254">
        <f t="shared" si="224"/>
        <v>10.008089472263228</v>
      </c>
      <c r="BG91" s="254">
        <f t="shared" si="224"/>
        <v>10.087064633645353</v>
      </c>
      <c r="BH91" s="254">
        <f t="shared" si="224"/>
        <v>10.166039795027478</v>
      </c>
      <c r="BI91" s="254">
        <f t="shared" si="224"/>
        <v>10.245014956409603</v>
      </c>
      <c r="BJ91" s="254">
        <f t="shared" si="224"/>
        <v>10.323990117791729</v>
      </c>
      <c r="BK91" s="254">
        <f t="shared" si="224"/>
        <v>10.402965279173854</v>
      </c>
      <c r="BL91" s="254">
        <f t="shared" si="224"/>
        <v>10.481940440555979</v>
      </c>
      <c r="BM91" s="254">
        <f t="shared" si="224"/>
        <v>10.560915601938104</v>
      </c>
      <c r="BN91" s="254">
        <f t="shared" si="224"/>
        <v>10.63989076332023</v>
      </c>
      <c r="BO91" s="254">
        <f t="shared" si="224"/>
        <v>10.718865924702355</v>
      </c>
      <c r="BP91" s="254">
        <f t="shared" si="224"/>
        <v>10.79784108608448</v>
      </c>
      <c r="BQ91" s="781">
        <f>'AEO Data'!$C$30*BB91</f>
        <v>10.876816247466609</v>
      </c>
      <c r="BR91" s="254">
        <f t="shared" si="225"/>
        <v>10.938986708602901</v>
      </c>
      <c r="BS91" s="254">
        <f t="shared" si="225"/>
        <v>11.001157169739193</v>
      </c>
      <c r="BT91" s="254">
        <f t="shared" si="225"/>
        <v>11.063327630875484</v>
      </c>
      <c r="BU91" s="254">
        <f t="shared" si="225"/>
        <v>11.125498092011776</v>
      </c>
      <c r="BV91" s="805">
        <f>'AEO Data'!$D$30*BQ91</f>
        <v>11.187668553148065</v>
      </c>
      <c r="BW91" s="1077">
        <f>+BV91*BW$135/BV$135</f>
        <v>11.224814902370914</v>
      </c>
      <c r="BX91" s="1077">
        <f t="shared" ref="BX91:CZ91" si="232">+BW91*BX$135/BW$135</f>
        <v>11.262084588395711</v>
      </c>
      <c r="BY91" s="1077">
        <f t="shared" si="232"/>
        <v>11.299478020736903</v>
      </c>
      <c r="BZ91" s="1077">
        <f t="shared" si="232"/>
        <v>11.336995610268644</v>
      </c>
      <c r="CA91" s="1077">
        <f t="shared" si="232"/>
        <v>11.37463776922932</v>
      </c>
      <c r="CB91" s="1077">
        <f t="shared" si="232"/>
        <v>11.398910429994142</v>
      </c>
      <c r="CC91" s="1077">
        <f t="shared" si="232"/>
        <v>11.42323488687525</v>
      </c>
      <c r="CD91" s="1077">
        <f t="shared" si="232"/>
        <v>11.447611250401838</v>
      </c>
      <c r="CE91" s="1077">
        <f t="shared" si="232"/>
        <v>11.472039631338966</v>
      </c>
      <c r="CF91" s="1077">
        <f t="shared" si="232"/>
        <v>11.496520140688052</v>
      </c>
      <c r="CG91" s="1077">
        <f t="shared" si="232"/>
        <v>11.504468806784013</v>
      </c>
      <c r="CH91" s="1077">
        <f t="shared" si="232"/>
        <v>11.512422968568401</v>
      </c>
      <c r="CI91" s="1077">
        <f t="shared" si="232"/>
        <v>11.520382629840926</v>
      </c>
      <c r="CJ91" s="1077">
        <f t="shared" si="232"/>
        <v>11.528347794403915</v>
      </c>
      <c r="CK91" s="1077">
        <f t="shared" si="232"/>
        <v>11.536318466062333</v>
      </c>
      <c r="CL91" s="1077">
        <f t="shared" si="232"/>
        <v>11.539020169933924</v>
      </c>
      <c r="CM91" s="1077">
        <f t="shared" si="232"/>
        <v>11.541722506520692</v>
      </c>
      <c r="CN91" s="1077">
        <f t="shared" si="232"/>
        <v>11.544425475970817</v>
      </c>
      <c r="CO91" s="1077">
        <f t="shared" si="232"/>
        <v>11.54712907843251</v>
      </c>
      <c r="CP91" s="1077">
        <f t="shared" si="232"/>
        <v>11.549833314054016</v>
      </c>
      <c r="CQ91" s="1077">
        <f t="shared" si="232"/>
        <v>11.553931842777482</v>
      </c>
      <c r="CR91" s="1077">
        <f t="shared" si="232"/>
        <v>11.558031825888838</v>
      </c>
      <c r="CS91" s="1077">
        <f t="shared" si="232"/>
        <v>11.562133263904183</v>
      </c>
      <c r="CT91" s="1077">
        <f t="shared" si="232"/>
        <v>11.566236157339798</v>
      </c>
      <c r="CU91" s="1077">
        <f t="shared" si="232"/>
        <v>11.570340506712146</v>
      </c>
      <c r="CV91" s="1077">
        <f t="shared" si="232"/>
        <v>11.576657117772855</v>
      </c>
      <c r="CW91" s="1077">
        <f t="shared" si="232"/>
        <v>11.582977177269267</v>
      </c>
      <c r="CX91" s="1077">
        <f t="shared" si="232"/>
        <v>11.589300687083989</v>
      </c>
      <c r="CY91" s="1077">
        <f t="shared" si="232"/>
        <v>11.595627649100658</v>
      </c>
      <c r="CZ91" s="1077">
        <f t="shared" si="232"/>
        <v>11.60195806520394</v>
      </c>
    </row>
    <row r="92" spans="1:104" x14ac:dyDescent="0.25">
      <c r="A92" s="725" t="str">
        <f>'HyARC Physical Property Data'!A74</f>
        <v>Electric Utility Natural Gas</v>
      </c>
      <c r="B92" s="254">
        <v>2012</v>
      </c>
      <c r="C92" s="726">
        <f t="shared" si="221"/>
        <v>1.0573833607504113</v>
      </c>
      <c r="D92" s="1028" t="str">
        <f>'HyARC Physical Property Data'!H74</f>
        <v>mmBtu</v>
      </c>
      <c r="E92" s="726" t="s">
        <v>1040</v>
      </c>
      <c r="F92" s="254">
        <f>'HyARC Physical Property Data'!$E$6</f>
        <v>47.141269049911173</v>
      </c>
      <c r="G92" s="254">
        <f>'HyARC Physical Property Data'!$I$6</f>
        <v>52.224661236371581</v>
      </c>
      <c r="H92" s="852">
        <v>7.0668336992239764</v>
      </c>
      <c r="I92" s="852">
        <v>7.0668336992239764</v>
      </c>
      <c r="J92" s="852">
        <v>7.0668336992239764</v>
      </c>
      <c r="K92" s="852">
        <v>7.0668336992239764</v>
      </c>
      <c r="L92" s="852">
        <v>8.8481430201027482</v>
      </c>
      <c r="M92" s="852">
        <v>4.0298473160863999</v>
      </c>
      <c r="N92" s="852">
        <v>4.7209563968645023</v>
      </c>
      <c r="O92" s="254">
        <f t="shared" ref="O92:AR92" si="233">O109*($C92/mmBTU_to_GJ*$G92/$F92)</f>
        <v>5.4205498450968195</v>
      </c>
      <c r="P92" s="254">
        <f t="shared" si="233"/>
        <v>3.8171937443247086</v>
      </c>
      <c r="Q92" s="254">
        <f t="shared" si="233"/>
        <v>4.7973527358134387</v>
      </c>
      <c r="R92" s="254">
        <f t="shared" si="233"/>
        <v>4.9625507287783099</v>
      </c>
      <c r="S92" s="254">
        <f t="shared" si="233"/>
        <v>4.9171202258938838</v>
      </c>
      <c r="T92" s="254">
        <f t="shared" si="233"/>
        <v>4.9685332185021656</v>
      </c>
      <c r="U92" s="254">
        <f t="shared" si="233"/>
        <v>5.2081048397471088</v>
      </c>
      <c r="V92" s="254">
        <f t="shared" si="233"/>
        <v>5.6206345914253779</v>
      </c>
      <c r="W92" s="254">
        <f t="shared" si="233"/>
        <v>5.7508958659119411</v>
      </c>
      <c r="X92" s="254">
        <f t="shared" si="233"/>
        <v>5.6343006054419362</v>
      </c>
      <c r="Y92" s="254">
        <f t="shared" si="233"/>
        <v>5.8207548685021111</v>
      </c>
      <c r="Z92" s="254">
        <f t="shared" si="233"/>
        <v>5.8784978859648298</v>
      </c>
      <c r="AA92" s="254">
        <f t="shared" si="233"/>
        <v>6.0180882025189186</v>
      </c>
      <c r="AB92" s="254">
        <f t="shared" si="233"/>
        <v>6.2425492627668415</v>
      </c>
      <c r="AC92" s="254">
        <f t="shared" si="233"/>
        <v>6.3929997745675973</v>
      </c>
      <c r="AD92" s="254">
        <f t="shared" si="233"/>
        <v>6.4554939192627536</v>
      </c>
      <c r="AE92" s="254">
        <f t="shared" si="233"/>
        <v>6.5567554412237641</v>
      </c>
      <c r="AF92" s="254">
        <f t="shared" si="233"/>
        <v>6.6927371661663972</v>
      </c>
      <c r="AG92" s="254">
        <f t="shared" si="233"/>
        <v>6.9326085780990629</v>
      </c>
      <c r="AH92" s="254">
        <f t="shared" si="233"/>
        <v>7.2098860955081534</v>
      </c>
      <c r="AI92" s="254">
        <f t="shared" si="233"/>
        <v>7.3471713547744324</v>
      </c>
      <c r="AJ92" s="254">
        <f t="shared" si="233"/>
        <v>7.468747582004128</v>
      </c>
      <c r="AK92" s="254">
        <f t="shared" si="233"/>
        <v>7.6952494396003139</v>
      </c>
      <c r="AL92" s="254">
        <f t="shared" si="233"/>
        <v>7.8732995703813753</v>
      </c>
      <c r="AM92" s="254">
        <f t="shared" si="233"/>
        <v>8.0908132590253317</v>
      </c>
      <c r="AN92" s="254">
        <f t="shared" si="233"/>
        <v>8.4061308836985837</v>
      </c>
      <c r="AO92" s="254">
        <f t="shared" si="233"/>
        <v>8.4723502052726456</v>
      </c>
      <c r="AP92" s="254">
        <f t="shared" si="233"/>
        <v>8.5254853288315022</v>
      </c>
      <c r="AQ92" s="254">
        <f t="shared" si="233"/>
        <v>8.7688220990470462</v>
      </c>
      <c r="AR92" s="254">
        <f t="shared" si="233"/>
        <v>9.0589717403181744</v>
      </c>
      <c r="AS92" s="254">
        <f t="shared" ref="AS92:BA92" si="234">($BB92-$AR92)/10+AR92</f>
        <v>9.0634753505716894</v>
      </c>
      <c r="AT92" s="254">
        <f t="shared" si="234"/>
        <v>9.0679789608252044</v>
      </c>
      <c r="AU92" s="254">
        <f t="shared" si="234"/>
        <v>9.0724825710787194</v>
      </c>
      <c r="AV92" s="254">
        <f t="shared" si="234"/>
        <v>9.0769861813322343</v>
      </c>
      <c r="AW92" s="254">
        <f t="shared" si="234"/>
        <v>9.0814897915857493</v>
      </c>
      <c r="AX92" s="254">
        <f t="shared" si="234"/>
        <v>9.0859934018392643</v>
      </c>
      <c r="AY92" s="254">
        <f t="shared" si="234"/>
        <v>9.0904970120927793</v>
      </c>
      <c r="AZ92" s="254">
        <f t="shared" si="234"/>
        <v>9.0950006223462943</v>
      </c>
      <c r="BA92" s="254">
        <f t="shared" si="234"/>
        <v>9.0995042325998092</v>
      </c>
      <c r="BB92" s="781">
        <f>'AEO Data'!$B$30*AM92</f>
        <v>9.1040078428533171</v>
      </c>
      <c r="BC92" s="254">
        <f t="shared" si="224"/>
        <v>9.178190310969315</v>
      </c>
      <c r="BD92" s="254">
        <f t="shared" si="224"/>
        <v>9.252372779085313</v>
      </c>
      <c r="BE92" s="254">
        <f t="shared" si="224"/>
        <v>9.3265552472013109</v>
      </c>
      <c r="BF92" s="254">
        <f t="shared" si="224"/>
        <v>9.4007377153173088</v>
      </c>
      <c r="BG92" s="254">
        <f t="shared" si="224"/>
        <v>9.4749201834333068</v>
      </c>
      <c r="BH92" s="254">
        <f t="shared" si="224"/>
        <v>9.5491026515493047</v>
      </c>
      <c r="BI92" s="254">
        <f t="shared" si="224"/>
        <v>9.6232851196653026</v>
      </c>
      <c r="BJ92" s="254">
        <f t="shared" si="224"/>
        <v>9.6974675877813006</v>
      </c>
      <c r="BK92" s="254">
        <f t="shared" si="224"/>
        <v>9.7716500558972985</v>
      </c>
      <c r="BL92" s="254">
        <f t="shared" si="224"/>
        <v>9.8458325240132964</v>
      </c>
      <c r="BM92" s="254">
        <f t="shared" si="224"/>
        <v>9.9200149921292944</v>
      </c>
      <c r="BN92" s="254">
        <f t="shared" si="224"/>
        <v>9.9941974602452923</v>
      </c>
      <c r="BO92" s="254">
        <f t="shared" si="224"/>
        <v>10.06837992836129</v>
      </c>
      <c r="BP92" s="254">
        <f t="shared" si="224"/>
        <v>10.142562396477288</v>
      </c>
      <c r="BQ92" s="781">
        <f>'AEO Data'!$C$30*BB92</f>
        <v>10.216744864593281</v>
      </c>
      <c r="BR92" s="254">
        <f t="shared" si="225"/>
        <v>10.275142443911728</v>
      </c>
      <c r="BS92" s="254">
        <f t="shared" si="225"/>
        <v>10.333540023230174</v>
      </c>
      <c r="BT92" s="254">
        <f t="shared" si="225"/>
        <v>10.391937602548621</v>
      </c>
      <c r="BU92" s="254">
        <f t="shared" si="225"/>
        <v>10.450335181867068</v>
      </c>
      <c r="BV92" s="805">
        <f>'AEO Data'!$D$30*BQ92</f>
        <v>10.508732761185513</v>
      </c>
      <c r="BW92" s="1077">
        <f>+BV92*BW$136/BV$136</f>
        <v>10.543624843944501</v>
      </c>
      <c r="BX92" s="1077">
        <f t="shared" ref="BX92:CZ92" si="235">+BW92*BX$136/BW$136</f>
        <v>10.578632778677932</v>
      </c>
      <c r="BY92" s="1077">
        <f t="shared" si="235"/>
        <v>10.613756950048424</v>
      </c>
      <c r="BZ92" s="1077">
        <f t="shared" si="235"/>
        <v>10.648997743995791</v>
      </c>
      <c r="CA92" s="1077">
        <f t="shared" si="235"/>
        <v>10.684355547741282</v>
      </c>
      <c r="CB92" s="1077">
        <f t="shared" si="235"/>
        <v>10.707155195779537</v>
      </c>
      <c r="CC92" s="1077">
        <f t="shared" si="235"/>
        <v>10.730003496630621</v>
      </c>
      <c r="CD92" s="1077">
        <f t="shared" si="235"/>
        <v>10.752900554116147</v>
      </c>
      <c r="CE92" s="1077">
        <f t="shared" si="235"/>
        <v>10.775846472279273</v>
      </c>
      <c r="CF92" s="1077">
        <f t="shared" si="235"/>
        <v>10.79884135538518</v>
      </c>
      <c r="CG92" s="1077">
        <f t="shared" si="235"/>
        <v>10.806307648063903</v>
      </c>
      <c r="CH92" s="1077">
        <f t="shared" si="235"/>
        <v>10.813779102919245</v>
      </c>
      <c r="CI92" s="1077">
        <f t="shared" si="235"/>
        <v>10.821255723520322</v>
      </c>
      <c r="CJ92" s="1077">
        <f t="shared" si="235"/>
        <v>10.828737513438721</v>
      </c>
      <c r="CK92" s="1077">
        <f t="shared" si="235"/>
        <v>10.836224476248493</v>
      </c>
      <c r="CL92" s="1077">
        <f t="shared" si="235"/>
        <v>10.838762224292379</v>
      </c>
      <c r="CM92" s="1077">
        <f t="shared" si="235"/>
        <v>10.841300566654439</v>
      </c>
      <c r="CN92" s="1077">
        <f t="shared" si="235"/>
        <v>10.843839503473856</v>
      </c>
      <c r="CO92" s="1077">
        <f t="shared" si="235"/>
        <v>10.846379034889845</v>
      </c>
      <c r="CP92" s="1077">
        <f t="shared" si="235"/>
        <v>10.848919161041659</v>
      </c>
      <c r="CQ92" s="1077">
        <f t="shared" si="235"/>
        <v>10.85276896610733</v>
      </c>
      <c r="CR92" s="1077">
        <f t="shared" si="235"/>
        <v>10.856620137299787</v>
      </c>
      <c r="CS92" s="1077">
        <f t="shared" si="235"/>
        <v>10.860472675103804</v>
      </c>
      <c r="CT92" s="1077">
        <f t="shared" si="235"/>
        <v>10.864326580004334</v>
      </c>
      <c r="CU92" s="1077">
        <f t="shared" si="235"/>
        <v>10.868181852486501</v>
      </c>
      <c r="CV92" s="1077">
        <f t="shared" si="235"/>
        <v>10.874115133158696</v>
      </c>
      <c r="CW92" s="1077">
        <f t="shared" si="235"/>
        <v>10.880051652994538</v>
      </c>
      <c r="CX92" s="1077">
        <f t="shared" si="235"/>
        <v>10.885991413762385</v>
      </c>
      <c r="CY92" s="1077">
        <f t="shared" si="235"/>
        <v>10.891934417231562</v>
      </c>
      <c r="CZ92" s="1077">
        <f t="shared" si="235"/>
        <v>10.897880665172362</v>
      </c>
    </row>
    <row r="93" spans="1:104" x14ac:dyDescent="0.25">
      <c r="A93" s="725" t="str">
        <f>'HyARC Physical Property Data'!A75</f>
        <v>Bio Methane</v>
      </c>
      <c r="B93" s="254">
        <v>2007</v>
      </c>
      <c r="C93" s="726">
        <f t="shared" si="221"/>
        <v>1.1413971588333081</v>
      </c>
      <c r="D93" s="1028" t="str">
        <f>'HyARC Physical Property Data'!H75</f>
        <v>mmBtu</v>
      </c>
      <c r="E93" s="726" t="s">
        <v>1040</v>
      </c>
      <c r="F93" s="254">
        <f>'HyARC Physical Property Data'!$E$6</f>
        <v>47.141269049911173</v>
      </c>
      <c r="G93" s="254">
        <f>'HyARC Physical Property Data'!$I$6</f>
        <v>52.224661236371581</v>
      </c>
      <c r="H93" s="852">
        <v>12.42654028436019</v>
      </c>
      <c r="I93" s="852">
        <v>12.42654028436019</v>
      </c>
      <c r="J93" s="852">
        <v>12.42654028436019</v>
      </c>
      <c r="K93" s="852">
        <v>12.42654028436019</v>
      </c>
      <c r="L93" s="852">
        <v>12.42654028436019</v>
      </c>
      <c r="M93" s="852">
        <v>12.42654028436019</v>
      </c>
      <c r="N93" s="852">
        <v>12.42654028436019</v>
      </c>
      <c r="O93" s="254">
        <f t="shared" ref="O93:AM93" si="236">13.11*($C$93/mmBTU_to_GJ)</f>
        <v>14.183617774696369</v>
      </c>
      <c r="P93" s="254">
        <f t="shared" si="236"/>
        <v>14.183617774696369</v>
      </c>
      <c r="Q93" s="254">
        <f t="shared" si="236"/>
        <v>14.183617774696369</v>
      </c>
      <c r="R93" s="254">
        <f t="shared" si="236"/>
        <v>14.183617774696369</v>
      </c>
      <c r="S93" s="254">
        <f t="shared" si="236"/>
        <v>14.183617774696369</v>
      </c>
      <c r="T93" s="254">
        <f t="shared" si="236"/>
        <v>14.183617774696369</v>
      </c>
      <c r="U93" s="254">
        <f t="shared" si="236"/>
        <v>14.183617774696369</v>
      </c>
      <c r="V93" s="254">
        <f t="shared" si="236"/>
        <v>14.183617774696369</v>
      </c>
      <c r="W93" s="254">
        <f t="shared" si="236"/>
        <v>14.183617774696369</v>
      </c>
      <c r="X93" s="254">
        <f t="shared" si="236"/>
        <v>14.183617774696369</v>
      </c>
      <c r="Y93" s="254">
        <f t="shared" si="236"/>
        <v>14.183617774696369</v>
      </c>
      <c r="Z93" s="254">
        <f t="shared" si="236"/>
        <v>14.183617774696369</v>
      </c>
      <c r="AA93" s="254">
        <f t="shared" si="236"/>
        <v>14.183617774696369</v>
      </c>
      <c r="AB93" s="254">
        <f t="shared" si="236"/>
        <v>14.183617774696369</v>
      </c>
      <c r="AC93" s="254">
        <f t="shared" si="236"/>
        <v>14.183617774696369</v>
      </c>
      <c r="AD93" s="254">
        <f t="shared" si="236"/>
        <v>14.183617774696369</v>
      </c>
      <c r="AE93" s="254">
        <f t="shared" si="236"/>
        <v>14.183617774696369</v>
      </c>
      <c r="AF93" s="254">
        <f t="shared" si="236"/>
        <v>14.183617774696369</v>
      </c>
      <c r="AG93" s="254">
        <f t="shared" si="236"/>
        <v>14.183617774696369</v>
      </c>
      <c r="AH93" s="254">
        <f t="shared" si="236"/>
        <v>14.183617774696369</v>
      </c>
      <c r="AI93" s="254">
        <f t="shared" si="236"/>
        <v>14.183617774696369</v>
      </c>
      <c r="AJ93" s="254">
        <f t="shared" si="236"/>
        <v>14.183617774696369</v>
      </c>
      <c r="AK93" s="254">
        <f t="shared" si="236"/>
        <v>14.183617774696369</v>
      </c>
      <c r="AL93" s="254">
        <f t="shared" si="236"/>
        <v>14.183617774696369</v>
      </c>
      <c r="AM93" s="254">
        <f t="shared" si="236"/>
        <v>14.183617774696369</v>
      </c>
      <c r="AN93" s="254">
        <f t="shared" ref="AN93:BV93" si="237">13.11*($C$93/mmBTU_to_GJ)</f>
        <v>14.183617774696369</v>
      </c>
      <c r="AO93" s="254">
        <f t="shared" si="237"/>
        <v>14.183617774696369</v>
      </c>
      <c r="AP93" s="254">
        <f t="shared" si="237"/>
        <v>14.183617774696369</v>
      </c>
      <c r="AQ93" s="254">
        <f t="shared" si="237"/>
        <v>14.183617774696369</v>
      </c>
      <c r="AR93" s="254">
        <f t="shared" si="237"/>
        <v>14.183617774696369</v>
      </c>
      <c r="AS93" s="254">
        <f t="shared" si="237"/>
        <v>14.183617774696369</v>
      </c>
      <c r="AT93" s="254">
        <f t="shared" si="237"/>
        <v>14.183617774696369</v>
      </c>
      <c r="AU93" s="254">
        <f t="shared" si="237"/>
        <v>14.183617774696369</v>
      </c>
      <c r="AV93" s="254">
        <f t="shared" si="237"/>
        <v>14.183617774696369</v>
      </c>
      <c r="AW93" s="254">
        <f t="shared" si="237"/>
        <v>14.183617774696369</v>
      </c>
      <c r="AX93" s="254">
        <f t="shared" si="237"/>
        <v>14.183617774696369</v>
      </c>
      <c r="AY93" s="254">
        <f t="shared" si="237"/>
        <v>14.183617774696369</v>
      </c>
      <c r="AZ93" s="254">
        <f t="shared" si="237"/>
        <v>14.183617774696369</v>
      </c>
      <c r="BA93" s="254">
        <f t="shared" si="237"/>
        <v>14.183617774696369</v>
      </c>
      <c r="BB93" s="254">
        <f t="shared" si="237"/>
        <v>14.183617774696369</v>
      </c>
      <c r="BC93" s="254">
        <f t="shared" si="237"/>
        <v>14.183617774696369</v>
      </c>
      <c r="BD93" s="254">
        <f t="shared" si="237"/>
        <v>14.183617774696369</v>
      </c>
      <c r="BE93" s="254">
        <f t="shared" si="237"/>
        <v>14.183617774696369</v>
      </c>
      <c r="BF93" s="254">
        <f t="shared" si="237"/>
        <v>14.183617774696369</v>
      </c>
      <c r="BG93" s="254">
        <f t="shared" si="237"/>
        <v>14.183617774696369</v>
      </c>
      <c r="BH93" s="254">
        <f t="shared" si="237"/>
        <v>14.183617774696369</v>
      </c>
      <c r="BI93" s="254">
        <f t="shared" si="237"/>
        <v>14.183617774696369</v>
      </c>
      <c r="BJ93" s="254">
        <f t="shared" si="237"/>
        <v>14.183617774696369</v>
      </c>
      <c r="BK93" s="254">
        <f t="shared" si="237"/>
        <v>14.183617774696369</v>
      </c>
      <c r="BL93" s="254">
        <f t="shared" si="237"/>
        <v>14.183617774696369</v>
      </c>
      <c r="BM93" s="254">
        <f t="shared" si="237"/>
        <v>14.183617774696369</v>
      </c>
      <c r="BN93" s="254">
        <f t="shared" si="237"/>
        <v>14.183617774696369</v>
      </c>
      <c r="BO93" s="254">
        <f t="shared" si="237"/>
        <v>14.183617774696369</v>
      </c>
      <c r="BP93" s="254">
        <f t="shared" si="237"/>
        <v>14.183617774696369</v>
      </c>
      <c r="BQ93" s="254">
        <f t="shared" si="237"/>
        <v>14.183617774696369</v>
      </c>
      <c r="BR93" s="254">
        <f t="shared" si="237"/>
        <v>14.183617774696369</v>
      </c>
      <c r="BS93" s="254">
        <f t="shared" si="237"/>
        <v>14.183617774696369</v>
      </c>
      <c r="BT93" s="254">
        <f t="shared" si="237"/>
        <v>14.183617774696369</v>
      </c>
      <c r="BU93" s="254">
        <f t="shared" si="237"/>
        <v>14.183617774696369</v>
      </c>
      <c r="BV93" s="728">
        <f t="shared" si="237"/>
        <v>14.183617774696369</v>
      </c>
      <c r="BW93" s="1077">
        <f>+BV93*BW$136/BV$136</f>
        <v>14.230711556264829</v>
      </c>
      <c r="BX93" s="1077">
        <f t="shared" ref="BX93:CZ93" si="238">+BW93*BX$136/BW$136</f>
        <v>14.277961703035571</v>
      </c>
      <c r="BY93" s="1077">
        <f t="shared" si="238"/>
        <v>14.325368734187041</v>
      </c>
      <c r="BZ93" s="1077">
        <f t="shared" si="238"/>
        <v>14.372933170621517</v>
      </c>
      <c r="CA93" s="1077">
        <f t="shared" si="238"/>
        <v>14.420655534970821</v>
      </c>
      <c r="CB93" s="1077">
        <f t="shared" si="238"/>
        <v>14.451428179067991</v>
      </c>
      <c r="CC93" s="1077">
        <f t="shared" si="238"/>
        <v>14.482266489779443</v>
      </c>
      <c r="CD93" s="1077">
        <f t="shared" si="238"/>
        <v>14.51317060723302</v>
      </c>
      <c r="CE93" s="1077">
        <f t="shared" si="238"/>
        <v>14.54414067185559</v>
      </c>
      <c r="CF93" s="1077">
        <f t="shared" si="238"/>
        <v>14.575176824373679</v>
      </c>
      <c r="CG93" s="1077">
        <f t="shared" si="238"/>
        <v>14.585254066221541</v>
      </c>
      <c r="CH93" s="1077">
        <f t="shared" si="238"/>
        <v>14.595338275449933</v>
      </c>
      <c r="CI93" s="1077">
        <f t="shared" si="238"/>
        <v>14.605429456876088</v>
      </c>
      <c r="CJ93" s="1077">
        <f t="shared" si="238"/>
        <v>14.615527615320566</v>
      </c>
      <c r="CK93" s="1077">
        <f t="shared" si="238"/>
        <v>14.625632755607262</v>
      </c>
      <c r="CL93" s="1077">
        <f t="shared" si="238"/>
        <v>14.629057949594106</v>
      </c>
      <c r="CM93" s="1077">
        <f t="shared" si="238"/>
        <v>14.632483945731124</v>
      </c>
      <c r="CN93" s="1077">
        <f t="shared" si="238"/>
        <v>14.635910744206171</v>
      </c>
      <c r="CO93" s="1077">
        <f t="shared" si="238"/>
        <v>14.639338345207147</v>
      </c>
      <c r="CP93" s="1077">
        <f t="shared" si="238"/>
        <v>14.642766748922</v>
      </c>
      <c r="CQ93" s="1077">
        <f t="shared" si="238"/>
        <v>14.647962823919764</v>
      </c>
      <c r="CR93" s="1077">
        <f t="shared" si="238"/>
        <v>14.6531607427764</v>
      </c>
      <c r="CS93" s="1077">
        <f t="shared" si="238"/>
        <v>14.658360506146211</v>
      </c>
      <c r="CT93" s="1077">
        <f t="shared" si="238"/>
        <v>14.663562114683737</v>
      </c>
      <c r="CU93" s="1077">
        <f t="shared" si="238"/>
        <v>14.668765569043746</v>
      </c>
      <c r="CV93" s="1077">
        <f t="shared" si="238"/>
        <v>14.676773707333766</v>
      </c>
      <c r="CW93" s="1077">
        <f t="shared" si="238"/>
        <v>14.68478621751715</v>
      </c>
      <c r="CX93" s="1077">
        <f t="shared" si="238"/>
        <v>14.692803101980653</v>
      </c>
      <c r="CY93" s="1077">
        <f t="shared" si="238"/>
        <v>14.700824363112332</v>
      </c>
      <c r="CZ93" s="1077">
        <f t="shared" si="238"/>
        <v>14.708850003301547</v>
      </c>
    </row>
    <row r="94" spans="1:104" x14ac:dyDescent="0.25">
      <c r="A94" s="806" t="str">
        <f>'HyARC Physical Property Data'!A85</f>
        <v>Woody Biomass</v>
      </c>
      <c r="B94" s="254">
        <v>2005</v>
      </c>
      <c r="C94" s="726">
        <f t="shared" si="221"/>
        <v>1.208440716126562</v>
      </c>
      <c r="D94" s="1030" t="str">
        <f>+'HyARC Physical Property Data'!$H$85</f>
        <v>kg</v>
      </c>
      <c r="E94" s="726" t="s">
        <v>1040</v>
      </c>
      <c r="F94" s="254">
        <f>'HyARC Physical Property Data'!$E$45</f>
        <v>19.551069237418005</v>
      </c>
      <c r="G94" s="254">
        <f>'HyARC Physical Property Data'!$I$45</f>
        <v>20.588656379262464</v>
      </c>
      <c r="H94" s="852">
        <v>1.3438238843289665</v>
      </c>
      <c r="I94" s="852">
        <v>1.3438238843289665</v>
      </c>
      <c r="J94" s="852">
        <v>1.3438238843289665</v>
      </c>
      <c r="K94" s="852">
        <v>1.3438238843289665</v>
      </c>
      <c r="L94" s="852">
        <v>1.3438238843289665</v>
      </c>
      <c r="M94" s="852">
        <v>1.3438238843289665</v>
      </c>
      <c r="N94" s="852">
        <v>1.3438238843289665</v>
      </c>
      <c r="O94" s="254">
        <f>1.27*($C$94)</f>
        <v>1.5347197094807337</v>
      </c>
      <c r="P94" s="254">
        <f>1.28*($C$94)</f>
        <v>1.5468041166419995</v>
      </c>
      <c r="Q94" s="254">
        <f>1.32*($C$94)</f>
        <v>1.595141745287062</v>
      </c>
      <c r="R94" s="254">
        <f>1.32*($C$94)</f>
        <v>1.595141745287062</v>
      </c>
      <c r="S94" s="254">
        <f>1.34*($C$94)</f>
        <v>1.6193105596095931</v>
      </c>
      <c r="T94" s="254">
        <f>1.34*($C$94)</f>
        <v>1.6193105596095931</v>
      </c>
      <c r="U94" s="254">
        <f>1.36*($C$94)</f>
        <v>1.6434793739321245</v>
      </c>
      <c r="V94" s="254">
        <f>1.36*($C$94)</f>
        <v>1.6434793739321245</v>
      </c>
      <c r="W94" s="254">
        <f>1.38*($C$94)</f>
        <v>1.6676481882546554</v>
      </c>
      <c r="X94" s="254">
        <f>1.4*($C$94)</f>
        <v>1.6918170025771868</v>
      </c>
      <c r="Y94" s="254">
        <f>1.46*($C$94)</f>
        <v>1.7643234455447805</v>
      </c>
      <c r="Z94" s="254">
        <f>1.48*($C$94)</f>
        <v>1.7884922598673119</v>
      </c>
      <c r="AA94" s="254">
        <f>1.48*($C$94)</f>
        <v>1.7884922598673119</v>
      </c>
      <c r="AB94" s="254">
        <f>1.51*($C$94)</f>
        <v>1.8247454813511086</v>
      </c>
      <c r="AC94" s="254">
        <f>1.52*($C$94)</f>
        <v>1.8368298885123742</v>
      </c>
      <c r="AD94" s="254">
        <f>1.62*($C$94)</f>
        <v>1.9576739601250306</v>
      </c>
      <c r="AE94" s="254">
        <f>1.72*($C$94)</f>
        <v>2.0785180317376866</v>
      </c>
      <c r="AF94" s="254">
        <f>1.82*($C$94)</f>
        <v>2.1993621033503428</v>
      </c>
      <c r="AG94" s="254">
        <f>1.91*($C$94)</f>
        <v>2.3081217678017332</v>
      </c>
      <c r="AH94" s="254">
        <f>2.01*($C$94)</f>
        <v>2.4289658394143894</v>
      </c>
      <c r="AI94" s="254">
        <f>2.11*($C$94)</f>
        <v>2.5498099110270456</v>
      </c>
      <c r="AJ94" s="254">
        <f>2.2*($C$94)</f>
        <v>2.6585695754784364</v>
      </c>
      <c r="AK94" s="254">
        <f>2.3*($C$94)</f>
        <v>2.7794136470910926</v>
      </c>
      <c r="AL94" s="254">
        <f>2.4*($C$94)</f>
        <v>2.9002577187037488</v>
      </c>
      <c r="AM94" s="254">
        <f>2.5*($C$94)</f>
        <v>3.021101790316405</v>
      </c>
      <c r="AN94" s="254">
        <f>2.57*($C$94)</f>
        <v>3.1056926404452643</v>
      </c>
      <c r="AO94" s="254">
        <f>2.64*($C$94)</f>
        <v>3.190283490574124</v>
      </c>
      <c r="AP94" s="254">
        <f>2.71*($C$94)</f>
        <v>3.2748743407029832</v>
      </c>
      <c r="AQ94" s="254">
        <f>2.78*($C$94)</f>
        <v>3.359465190831842</v>
      </c>
      <c r="AR94" s="254">
        <f>2.85*($C$94)</f>
        <v>3.4440560409607017</v>
      </c>
      <c r="AS94" s="254">
        <f>2.92*($C$94)</f>
        <v>3.528646891089561</v>
      </c>
      <c r="AT94" s="254">
        <f>2.99*($C$94)</f>
        <v>3.6132377412184207</v>
      </c>
      <c r="AU94" s="254">
        <f>3.07*($C$94)</f>
        <v>3.7099129985085453</v>
      </c>
      <c r="AV94" s="254">
        <f>3.14*($C$94)</f>
        <v>3.794503848637405</v>
      </c>
      <c r="AW94" s="254">
        <f>3.21*($C$94)</f>
        <v>3.8790946987662642</v>
      </c>
      <c r="AX94" s="254">
        <f>3.28*($C$94)</f>
        <v>3.963685548895123</v>
      </c>
      <c r="AY94" s="254">
        <f>3.35*($C$94)</f>
        <v>4.0482763990239832</v>
      </c>
      <c r="AZ94" s="254">
        <f>3.42*($C$94)</f>
        <v>4.1328672491528424</v>
      </c>
      <c r="BA94" s="254">
        <f>3.49*($C$94)</f>
        <v>4.2174580992817017</v>
      </c>
      <c r="BB94" s="254">
        <f>3.56*($C$94)</f>
        <v>4.3020489494105609</v>
      </c>
      <c r="BC94" s="254">
        <f>3.64*($C$94)</f>
        <v>4.3987242067006855</v>
      </c>
      <c r="BD94" s="254">
        <f>3.71*($C$94)</f>
        <v>4.4833150568295448</v>
      </c>
      <c r="BE94" s="254">
        <f>3.78*($C$94)</f>
        <v>4.567905906958404</v>
      </c>
      <c r="BF94" s="254">
        <f>3.85*($C$94)</f>
        <v>4.6524967570872642</v>
      </c>
      <c r="BG94" s="254">
        <f>3.92*($C$94)</f>
        <v>4.7370876072161234</v>
      </c>
      <c r="BH94" s="254">
        <f>3.99*($C$94)</f>
        <v>4.8216784573449827</v>
      </c>
      <c r="BI94" s="254">
        <f>4.06*($C$94)</f>
        <v>4.906269307473841</v>
      </c>
      <c r="BJ94" s="254">
        <f>4.14*($C$94)</f>
        <v>5.0029445647639665</v>
      </c>
      <c r="BK94" s="254">
        <f>4.21*($C$94)</f>
        <v>5.0875354148928258</v>
      </c>
      <c r="BL94" s="254">
        <f>4.28*($C$94)</f>
        <v>5.1721262650216859</v>
      </c>
      <c r="BM94" s="254">
        <f>4.35*($C$94)</f>
        <v>5.2567171151505443</v>
      </c>
      <c r="BN94" s="254">
        <f>4.42*($C$94)</f>
        <v>5.3413079652794044</v>
      </c>
      <c r="BO94" s="254">
        <f>4.49*($C$94)</f>
        <v>5.4258988154082637</v>
      </c>
      <c r="BP94" s="254">
        <f>4.56*($C$94)</f>
        <v>5.5104896655371221</v>
      </c>
      <c r="BQ94" s="254">
        <f>4.63*($C$94)</f>
        <v>5.5950805156659822</v>
      </c>
      <c r="BR94" s="254">
        <f>4.71*($C$94)</f>
        <v>5.6917557729561068</v>
      </c>
      <c r="BS94" s="254">
        <f>4.78*($C$94)</f>
        <v>5.7763466230849669</v>
      </c>
      <c r="BT94" s="254">
        <f>4.85*($C$94)</f>
        <v>5.8609374732138253</v>
      </c>
      <c r="BU94" s="254">
        <f>4.92*($C$94)</f>
        <v>5.9455283233426854</v>
      </c>
      <c r="BV94" s="728">
        <f>4.99*($C$94)</f>
        <v>6.0301191734715447</v>
      </c>
      <c r="BW94" s="1077">
        <f>+BV94*BW$138/BV$138</f>
        <v>6.0446132076616896</v>
      </c>
      <c r="BX94" s="1077">
        <f t="shared" ref="BX94:CZ94" si="239">+BW94*BX$138/BW$138</f>
        <v>6.0591420798079438</v>
      </c>
      <c r="BY94" s="1077">
        <f t="shared" si="239"/>
        <v>6.0737058736470511</v>
      </c>
      <c r="BZ94" s="1077">
        <f t="shared" si="239"/>
        <v>6.0883046731170198</v>
      </c>
      <c r="CA94" s="1077">
        <f t="shared" si="239"/>
        <v>6.1029385623576156</v>
      </c>
      <c r="CB94" s="1077">
        <f t="shared" si="239"/>
        <v>6.1157485681116217</v>
      </c>
      <c r="CC94" s="1077">
        <f t="shared" si="239"/>
        <v>6.1285854619369617</v>
      </c>
      <c r="CD94" s="1077">
        <f t="shared" si="239"/>
        <v>6.1414493002714252</v>
      </c>
      <c r="CE94" s="1077">
        <f t="shared" si="239"/>
        <v>6.1543401396712598</v>
      </c>
      <c r="CF94" s="1077">
        <f t="shared" si="239"/>
        <v>6.167258036811428</v>
      </c>
      <c r="CG94" s="1077">
        <f t="shared" si="239"/>
        <v>6.183149548139812</v>
      </c>
      <c r="CH94" s="1077">
        <f t="shared" si="239"/>
        <v>6.1990820079952069</v>
      </c>
      <c r="CI94" s="1077">
        <f t="shared" si="239"/>
        <v>6.215055521891923</v>
      </c>
      <c r="CJ94" s="1077">
        <f t="shared" si="239"/>
        <v>6.2310701956161552</v>
      </c>
      <c r="CK94" s="1077">
        <f t="shared" si="239"/>
        <v>6.2471261352266838</v>
      </c>
      <c r="CL94" s="1077">
        <f t="shared" si="239"/>
        <v>6.2604975997429575</v>
      </c>
      <c r="CM94" s="1077">
        <f t="shared" si="239"/>
        <v>6.2738976847896071</v>
      </c>
      <c r="CN94" s="1077">
        <f t="shared" si="239"/>
        <v>6.2873264516265444</v>
      </c>
      <c r="CO94" s="1077">
        <f t="shared" si="239"/>
        <v>6.3007839616448056</v>
      </c>
      <c r="CP94" s="1077">
        <f t="shared" si="239"/>
        <v>6.3142702763668277</v>
      </c>
      <c r="CQ94" s="1077">
        <f t="shared" si="239"/>
        <v>6.326614172551615</v>
      </c>
      <c r="CR94" s="1077">
        <f t="shared" si="239"/>
        <v>6.3389822000716718</v>
      </c>
      <c r="CS94" s="1077">
        <f t="shared" si="239"/>
        <v>6.3513744061018391</v>
      </c>
      <c r="CT94" s="1077">
        <f t="shared" si="239"/>
        <v>6.3637908379091801</v>
      </c>
      <c r="CU94" s="1077">
        <f t="shared" si="239"/>
        <v>6.376231542853164</v>
      </c>
      <c r="CV94" s="1077">
        <f t="shared" si="239"/>
        <v>6.3909193633613004</v>
      </c>
      <c r="CW94" s="1077">
        <f t="shared" si="239"/>
        <v>6.4056410176582252</v>
      </c>
      <c r="CX94" s="1077">
        <f t="shared" si="239"/>
        <v>6.4203965836809767</v>
      </c>
      <c r="CY94" s="1077">
        <f t="shared" si="239"/>
        <v>6.4351861395461265</v>
      </c>
      <c r="CZ94" s="1077">
        <f t="shared" si="239"/>
        <v>6.450009763550189</v>
      </c>
    </row>
    <row r="95" spans="1:104" x14ac:dyDescent="0.25">
      <c r="A95" s="753" t="str">
        <f>'HyARC Physical Property Data'!A80</f>
        <v>Metallurgical Coal</v>
      </c>
      <c r="B95" s="254">
        <v>2012</v>
      </c>
      <c r="C95" s="726">
        <f t="shared" si="221"/>
        <v>1.0573833607504113</v>
      </c>
      <c r="D95" s="1029" t="str">
        <f>+'HyARC Physical Property Data'!H80</f>
        <v>kg</v>
      </c>
      <c r="E95" s="747" t="s">
        <v>1034</v>
      </c>
      <c r="F95" s="254">
        <f>'HyARC Physical Property Data'!$E$44</f>
        <v>28.610197070281195</v>
      </c>
      <c r="G95" s="254">
        <f>'HyARC Physical Property Data'!$I$44</f>
        <v>29.865267156269461</v>
      </c>
      <c r="H95" s="853">
        <v>3.3844321322674711</v>
      </c>
      <c r="I95" s="853">
        <v>3.3844321322674711</v>
      </c>
      <c r="J95" s="853">
        <v>3.3844321322674711</v>
      </c>
      <c r="K95" s="853">
        <v>3.3844321322674711</v>
      </c>
      <c r="L95" s="853">
        <v>4.1181843560652975</v>
      </c>
      <c r="M95" s="853">
        <v>4.3291381204071717</v>
      </c>
      <c r="N95" s="853">
        <v>4.4025133427869543</v>
      </c>
      <c r="O95" s="807">
        <f t="shared" ref="O95:AR95" si="240">O111*($C95/mmBTU_to_GJ*$G95/$F95)</f>
        <v>7.4646268248681658</v>
      </c>
      <c r="P95" s="807">
        <f t="shared" si="240"/>
        <v>7.5851395215871422</v>
      </c>
      <c r="Q95" s="807">
        <f t="shared" si="240"/>
        <v>7.7775593409707655</v>
      </c>
      <c r="R95" s="807">
        <f t="shared" si="240"/>
        <v>7.8596002100362519</v>
      </c>
      <c r="S95" s="807">
        <f t="shared" si="240"/>
        <v>8.1180797941829823</v>
      </c>
      <c r="T95" s="807">
        <f t="shared" si="240"/>
        <v>8.3154796499973287</v>
      </c>
      <c r="U95" s="807">
        <f t="shared" si="240"/>
        <v>8.4204203168350222</v>
      </c>
      <c r="V95" s="807">
        <f t="shared" si="240"/>
        <v>8.5695650843522451</v>
      </c>
      <c r="W95" s="807">
        <f t="shared" si="240"/>
        <v>8.6847148258729252</v>
      </c>
      <c r="X95" s="807">
        <f t="shared" si="240"/>
        <v>8.8178648881479358</v>
      </c>
      <c r="Y95" s="807">
        <f t="shared" si="240"/>
        <v>8.9203207679009697</v>
      </c>
      <c r="Z95" s="807">
        <f t="shared" si="240"/>
        <v>9.032455285683552</v>
      </c>
      <c r="AA95" s="807">
        <f t="shared" si="240"/>
        <v>9.1423770351781108</v>
      </c>
      <c r="AB95" s="807">
        <f t="shared" si="240"/>
        <v>9.254374497336233</v>
      </c>
      <c r="AC95" s="807">
        <f t="shared" si="240"/>
        <v>9.3655611342351488</v>
      </c>
      <c r="AD95" s="807">
        <f t="shared" si="240"/>
        <v>9.4622292909766781</v>
      </c>
      <c r="AE95" s="807">
        <f t="shared" si="240"/>
        <v>9.5719166858156743</v>
      </c>
      <c r="AF95" s="807">
        <f t="shared" si="240"/>
        <v>9.6949560186649464</v>
      </c>
      <c r="AG95" s="807">
        <f t="shared" si="240"/>
        <v>9.8138135856290027</v>
      </c>
      <c r="AH95" s="807">
        <f t="shared" si="240"/>
        <v>9.952872733147867</v>
      </c>
      <c r="AI95" s="807">
        <f t="shared" si="240"/>
        <v>10.036208830175799</v>
      </c>
      <c r="AJ95" s="807">
        <f t="shared" si="240"/>
        <v>10.120782612728425</v>
      </c>
      <c r="AK95" s="807">
        <f t="shared" si="240"/>
        <v>10.210359448686875</v>
      </c>
      <c r="AL95" s="807">
        <f t="shared" si="240"/>
        <v>10.292143992347839</v>
      </c>
      <c r="AM95" s="807">
        <f t="shared" si="240"/>
        <v>10.394155225990989</v>
      </c>
      <c r="AN95" s="254">
        <f t="shared" si="240"/>
        <v>10.475670889533738</v>
      </c>
      <c r="AO95" s="254">
        <f t="shared" si="240"/>
        <v>10.567574532429569</v>
      </c>
      <c r="AP95" s="254">
        <f t="shared" si="240"/>
        <v>10.574325829716853</v>
      </c>
      <c r="AQ95" s="254">
        <f t="shared" si="240"/>
        <v>10.604382860519015</v>
      </c>
      <c r="AR95" s="254">
        <f t="shared" si="240"/>
        <v>10.668415039021042</v>
      </c>
      <c r="AS95" s="254">
        <f>($BB95-$AR95)/10+AR95</f>
        <v>10.691118846164347</v>
      </c>
      <c r="AT95" s="254">
        <f t="shared" ref="AT95:BA95" si="241">($BB95-$AR95)/10+AS95</f>
        <v>10.713822653307652</v>
      </c>
      <c r="AU95" s="254">
        <f t="shared" si="241"/>
        <v>10.736526460450957</v>
      </c>
      <c r="AV95" s="254">
        <f t="shared" si="241"/>
        <v>10.759230267594262</v>
      </c>
      <c r="AW95" s="254">
        <f t="shared" si="241"/>
        <v>10.781934074737567</v>
      </c>
      <c r="AX95" s="254">
        <f t="shared" si="241"/>
        <v>10.804637881880872</v>
      </c>
      <c r="AY95" s="254">
        <f t="shared" si="241"/>
        <v>10.827341689024177</v>
      </c>
      <c r="AZ95" s="254">
        <f t="shared" si="241"/>
        <v>10.850045496167482</v>
      </c>
      <c r="BA95" s="254">
        <f t="shared" si="241"/>
        <v>10.872749303310787</v>
      </c>
      <c r="BB95" s="781">
        <f>('AEO Data'!$B$28*AM95)</f>
        <v>10.895453110454083</v>
      </c>
      <c r="BC95" s="254">
        <f t="shared" ref="BC95:BP95" si="242">($BQ95-$BB95)/15+BB95</f>
        <v>10.933690011458628</v>
      </c>
      <c r="BD95" s="254">
        <f t="shared" si="242"/>
        <v>10.971926912463173</v>
      </c>
      <c r="BE95" s="254">
        <f t="shared" si="242"/>
        <v>11.010163813467718</v>
      </c>
      <c r="BF95" s="254">
        <f t="shared" si="242"/>
        <v>11.048400714472264</v>
      </c>
      <c r="BG95" s="254">
        <f t="shared" si="242"/>
        <v>11.086637615476809</v>
      </c>
      <c r="BH95" s="254">
        <f t="shared" si="242"/>
        <v>11.124874516481354</v>
      </c>
      <c r="BI95" s="254">
        <f t="shared" si="242"/>
        <v>11.163111417485899</v>
      </c>
      <c r="BJ95" s="254">
        <f t="shared" si="242"/>
        <v>11.201348318490444</v>
      </c>
      <c r="BK95" s="254">
        <f t="shared" si="242"/>
        <v>11.239585219494989</v>
      </c>
      <c r="BL95" s="254">
        <f t="shared" si="242"/>
        <v>11.277822120499534</v>
      </c>
      <c r="BM95" s="254">
        <f t="shared" si="242"/>
        <v>11.316059021504079</v>
      </c>
      <c r="BN95" s="254">
        <f t="shared" si="242"/>
        <v>11.354295922508625</v>
      </c>
      <c r="BO95" s="254">
        <f t="shared" si="242"/>
        <v>11.39253282351317</v>
      </c>
      <c r="BP95" s="254">
        <f t="shared" si="242"/>
        <v>11.430769724517715</v>
      </c>
      <c r="BQ95" s="781">
        <f>('AEO Data'!$C$28*BB95)</f>
        <v>11.469006625522269</v>
      </c>
      <c r="BR95" s="254">
        <f t="shared" ref="BR95:BU100" si="243">($BV95-$BQ95)/5+BQ95</f>
        <v>11.505775124501078</v>
      </c>
      <c r="BS95" s="254">
        <f t="shared" si="243"/>
        <v>11.542543623479887</v>
      </c>
      <c r="BT95" s="254">
        <f t="shared" si="243"/>
        <v>11.579312122458695</v>
      </c>
      <c r="BU95" s="254">
        <f t="shared" si="243"/>
        <v>11.616080621437504</v>
      </c>
      <c r="BV95" s="805">
        <f>('AEO Data'!$D$28*BQ95)</f>
        <v>11.65284912041631</v>
      </c>
      <c r="BW95" s="1077">
        <f t="shared" ref="BW95:CZ95" si="244">+BV95*BW$139/BV$139</f>
        <v>11.692246881776873</v>
      </c>
      <c r="BX95" s="1077">
        <f t="shared" si="244"/>
        <v>11.731777845205377</v>
      </c>
      <c r="BY95" s="1077">
        <f t="shared" si="244"/>
        <v>11.771442461052049</v>
      </c>
      <c r="BZ95" s="1077">
        <f t="shared" si="244"/>
        <v>11.811241181189736</v>
      </c>
      <c r="CA95" s="1077">
        <f t="shared" si="244"/>
        <v>11.851174459019044</v>
      </c>
      <c r="CB95" s="1077">
        <f t="shared" si="244"/>
        <v>11.88510623212686</v>
      </c>
      <c r="CC95" s="1077">
        <f t="shared" si="244"/>
        <v>11.919135157228366</v>
      </c>
      <c r="CD95" s="1077">
        <f t="shared" si="244"/>
        <v>11.953261512484969</v>
      </c>
      <c r="CE95" s="1077">
        <f t="shared" si="244"/>
        <v>11.987485576854503</v>
      </c>
      <c r="CF95" s="1077">
        <f t="shared" si="244"/>
        <v>12.021807630093496</v>
      </c>
      <c r="CG95" s="1077">
        <f t="shared" si="244"/>
        <v>12.048012553487283</v>
      </c>
      <c r="CH95" s="1077">
        <f t="shared" si="244"/>
        <v>12.074274597909055</v>
      </c>
      <c r="CI95" s="1077">
        <f t="shared" si="244"/>
        <v>12.100593887870218</v>
      </c>
      <c r="CJ95" s="1077">
        <f t="shared" si="244"/>
        <v>12.126970548153587</v>
      </c>
      <c r="CK95" s="1077">
        <f t="shared" si="244"/>
        <v>12.153404703813971</v>
      </c>
      <c r="CL95" s="1077">
        <f t="shared" si="244"/>
        <v>12.171324857241729</v>
      </c>
      <c r="CM95" s="1077">
        <f t="shared" si="244"/>
        <v>12.189271433874072</v>
      </c>
      <c r="CN95" s="1077">
        <f t="shared" si="244"/>
        <v>12.207244472671922</v>
      </c>
      <c r="CO95" s="1077">
        <f t="shared" si="244"/>
        <v>12.225244012653652</v>
      </c>
      <c r="CP95" s="1077">
        <f t="shared" si="244"/>
        <v>12.243270092895166</v>
      </c>
      <c r="CQ95" s="1077">
        <f t="shared" si="244"/>
        <v>12.249306745274442</v>
      </c>
      <c r="CR95" s="1077">
        <f t="shared" si="244"/>
        <v>12.255346374078453</v>
      </c>
      <c r="CS95" s="1077">
        <f t="shared" si="244"/>
        <v>12.261388980774752</v>
      </c>
      <c r="CT95" s="1077">
        <f t="shared" si="244"/>
        <v>12.267434566831614</v>
      </c>
      <c r="CU95" s="1077">
        <f t="shared" si="244"/>
        <v>12.273483133718042</v>
      </c>
      <c r="CV95" s="1077">
        <f t="shared" si="244"/>
        <v>12.264790038675994</v>
      </c>
      <c r="CW95" s="1077">
        <f t="shared" si="244"/>
        <v>12.256103100802259</v>
      </c>
      <c r="CX95" s="1077">
        <f t="shared" si="244"/>
        <v>12.247422315735818</v>
      </c>
      <c r="CY95" s="1077">
        <f t="shared" si="244"/>
        <v>12.238747679118744</v>
      </c>
      <c r="CZ95" s="1077">
        <f t="shared" si="244"/>
        <v>12.2300791865962</v>
      </c>
    </row>
    <row r="96" spans="1:104" x14ac:dyDescent="0.25">
      <c r="A96" s="753" t="str">
        <f>'HyARC Physical Property Data'!A81</f>
        <v>Other Industrial Coal</v>
      </c>
      <c r="B96" s="254">
        <v>2012</v>
      </c>
      <c r="C96" s="726">
        <f t="shared" si="221"/>
        <v>1.0573833607504113</v>
      </c>
      <c r="D96" s="1029" t="str">
        <f>+'HyARC Physical Property Data'!H81</f>
        <v>kg</v>
      </c>
      <c r="E96" s="747" t="s">
        <v>1034</v>
      </c>
      <c r="F96" s="254">
        <f>'HyARC Physical Property Data'!$E$42</f>
        <v>22.7322030001394</v>
      </c>
      <c r="G96" s="254">
        <f>'HyARC Physical Property Data'!$I$42</f>
        <v>23.967615189707661</v>
      </c>
      <c r="H96" s="853">
        <v>1.7045706620386931</v>
      </c>
      <c r="I96" s="853">
        <v>1.7045706620386931</v>
      </c>
      <c r="J96" s="853">
        <v>1.7045706620386931</v>
      </c>
      <c r="K96" s="853">
        <v>1.7045706620386931</v>
      </c>
      <c r="L96" s="853">
        <v>1.9454339077615519</v>
      </c>
      <c r="M96" s="853">
        <v>2.0288096466656182</v>
      </c>
      <c r="N96" s="853">
        <v>1.8805861108361666</v>
      </c>
      <c r="O96" s="807">
        <f t="shared" ref="O96:AR96" si="245">O112*($C96/mmBTU_to_GJ*$G96/$F96)</f>
        <v>3.4949975895838294</v>
      </c>
      <c r="P96" s="807">
        <f t="shared" si="245"/>
        <v>3.4233926279260714</v>
      </c>
      <c r="Q96" s="807">
        <f t="shared" si="245"/>
        <v>3.5031491911574184</v>
      </c>
      <c r="R96" s="807">
        <f t="shared" si="245"/>
        <v>3.4679009642856751</v>
      </c>
      <c r="S96" s="807">
        <f t="shared" si="245"/>
        <v>3.5676645631136981</v>
      </c>
      <c r="T96" s="807">
        <f t="shared" si="245"/>
        <v>3.6321947292652106</v>
      </c>
      <c r="U96" s="807">
        <f t="shared" si="245"/>
        <v>3.657322669869095</v>
      </c>
      <c r="V96" s="807">
        <f t="shared" si="245"/>
        <v>3.7204040616159686</v>
      </c>
      <c r="W96" s="807">
        <f t="shared" si="245"/>
        <v>3.7630990523312531</v>
      </c>
      <c r="X96" s="807">
        <f t="shared" si="245"/>
        <v>3.7970908293363905</v>
      </c>
      <c r="Y96" s="807">
        <f t="shared" si="245"/>
        <v>3.8194247804976293</v>
      </c>
      <c r="Z96" s="807">
        <f t="shared" si="245"/>
        <v>3.8460511617330089</v>
      </c>
      <c r="AA96" s="807">
        <f t="shared" si="245"/>
        <v>3.8731023477172322</v>
      </c>
      <c r="AB96" s="807">
        <f t="shared" si="245"/>
        <v>3.9067337803956139</v>
      </c>
      <c r="AC96" s="807">
        <f t="shared" si="245"/>
        <v>3.938949197244515</v>
      </c>
      <c r="AD96" s="807">
        <f t="shared" si="245"/>
        <v>3.9691747948345282</v>
      </c>
      <c r="AE96" s="807">
        <f t="shared" si="245"/>
        <v>3.9994574557490128</v>
      </c>
      <c r="AF96" s="807">
        <f t="shared" si="245"/>
        <v>4.0328902235199751</v>
      </c>
      <c r="AG96" s="807">
        <f t="shared" si="245"/>
        <v>4.0631242749358352</v>
      </c>
      <c r="AH96" s="807">
        <f t="shared" si="245"/>
        <v>4.1048449622221792</v>
      </c>
      <c r="AI96" s="807">
        <f t="shared" si="245"/>
        <v>4.1376658843474177</v>
      </c>
      <c r="AJ96" s="807">
        <f t="shared" si="245"/>
        <v>4.1685794120157826</v>
      </c>
      <c r="AK96" s="807">
        <f t="shared" si="245"/>
        <v>4.201707842056229</v>
      </c>
      <c r="AL96" s="807">
        <f t="shared" si="245"/>
        <v>4.2273873947966729</v>
      </c>
      <c r="AM96" s="807">
        <f t="shared" si="245"/>
        <v>4.2580071520168321</v>
      </c>
      <c r="AN96" s="254">
        <f t="shared" si="245"/>
        <v>4.2903546598946027</v>
      </c>
      <c r="AO96" s="254">
        <f t="shared" si="245"/>
        <v>4.3224348155299417</v>
      </c>
      <c r="AP96" s="254">
        <f t="shared" si="245"/>
        <v>4.3507255437290757</v>
      </c>
      <c r="AQ96" s="254">
        <f t="shared" si="245"/>
        <v>4.3846898458002084</v>
      </c>
      <c r="AR96" s="254">
        <f t="shared" si="245"/>
        <v>4.4275856148793746</v>
      </c>
      <c r="AS96" s="254">
        <f t="shared" ref="AS96:BA96" si="246">($BB96-$AR96)/10+AR96</f>
        <v>4.4311636364046505</v>
      </c>
      <c r="AT96" s="254">
        <f t="shared" si="246"/>
        <v>4.4347416579299264</v>
      </c>
      <c r="AU96" s="254">
        <f t="shared" si="246"/>
        <v>4.4383196794552022</v>
      </c>
      <c r="AV96" s="254">
        <f t="shared" si="246"/>
        <v>4.4418977009804781</v>
      </c>
      <c r="AW96" s="254">
        <f t="shared" si="246"/>
        <v>4.445475722505754</v>
      </c>
      <c r="AX96" s="254">
        <f t="shared" si="246"/>
        <v>4.4490537440310298</v>
      </c>
      <c r="AY96" s="254">
        <f t="shared" si="246"/>
        <v>4.4526317655563057</v>
      </c>
      <c r="AZ96" s="254">
        <f t="shared" si="246"/>
        <v>4.4562097870815816</v>
      </c>
      <c r="BA96" s="254">
        <f t="shared" si="246"/>
        <v>4.4597878086068574</v>
      </c>
      <c r="BB96" s="781">
        <f>('AEO Data'!$B$28*AM96)</f>
        <v>4.4633658301321333</v>
      </c>
      <c r="BC96" s="254">
        <f t="shared" ref="BC96:BP96" si="247">($BQ96-$BB96)/15+BB96</f>
        <v>4.4790297291608097</v>
      </c>
      <c r="BD96" s="254">
        <f t="shared" si="247"/>
        <v>4.494693628189486</v>
      </c>
      <c r="BE96" s="254">
        <f t="shared" si="247"/>
        <v>4.5103575272181624</v>
      </c>
      <c r="BF96" s="254">
        <f t="shared" si="247"/>
        <v>4.5260214262468388</v>
      </c>
      <c r="BG96" s="254">
        <f t="shared" si="247"/>
        <v>4.5416853252755152</v>
      </c>
      <c r="BH96" s="254">
        <f t="shared" si="247"/>
        <v>4.5573492243041915</v>
      </c>
      <c r="BI96" s="254">
        <f t="shared" si="247"/>
        <v>4.5730131233328679</v>
      </c>
      <c r="BJ96" s="254">
        <f t="shared" si="247"/>
        <v>4.5886770223615443</v>
      </c>
      <c r="BK96" s="254">
        <f t="shared" si="247"/>
        <v>4.6043409213902207</v>
      </c>
      <c r="BL96" s="254">
        <f t="shared" si="247"/>
        <v>4.620004820418897</v>
      </c>
      <c r="BM96" s="254">
        <f t="shared" si="247"/>
        <v>4.6356687194475734</v>
      </c>
      <c r="BN96" s="254">
        <f t="shared" si="247"/>
        <v>4.6513326184762498</v>
      </c>
      <c r="BO96" s="254">
        <f t="shared" si="247"/>
        <v>4.6669965175049262</v>
      </c>
      <c r="BP96" s="254">
        <f t="shared" si="247"/>
        <v>4.6826604165336025</v>
      </c>
      <c r="BQ96" s="781">
        <f>('AEO Data'!$C$28*BB96)</f>
        <v>4.6983243155622842</v>
      </c>
      <c r="BR96" s="254">
        <f t="shared" si="243"/>
        <v>4.7133866778434639</v>
      </c>
      <c r="BS96" s="254">
        <f t="shared" si="243"/>
        <v>4.7284490401246435</v>
      </c>
      <c r="BT96" s="254">
        <f t="shared" si="243"/>
        <v>4.7435114024058231</v>
      </c>
      <c r="BU96" s="254">
        <f t="shared" si="243"/>
        <v>4.7585737646870028</v>
      </c>
      <c r="BV96" s="805">
        <f>('AEO Data'!$D$28*BQ96)</f>
        <v>4.7736361269681806</v>
      </c>
      <c r="BW96" s="1077">
        <f t="shared" ref="BW96:CZ96" si="248">+BV96*BW$139/BV$139</f>
        <v>4.789775577072529</v>
      </c>
      <c r="BX96" s="1077">
        <f t="shared" si="248"/>
        <v>4.8059695939353695</v>
      </c>
      <c r="BY96" s="1077">
        <f t="shared" si="248"/>
        <v>4.8222183620444703</v>
      </c>
      <c r="BZ96" s="1077">
        <f t="shared" si="248"/>
        <v>4.838522066511346</v>
      </c>
      <c r="CA96" s="1077">
        <f t="shared" si="248"/>
        <v>4.8548808930733625</v>
      </c>
      <c r="CB96" s="1077">
        <f t="shared" si="248"/>
        <v>4.8687811792854072</v>
      </c>
      <c r="CC96" s="1077">
        <f t="shared" si="248"/>
        <v>4.882721264199219</v>
      </c>
      <c r="CD96" s="1077">
        <f t="shared" si="248"/>
        <v>4.8967012617647283</v>
      </c>
      <c r="CE96" s="1077">
        <f t="shared" si="248"/>
        <v>4.9107212862581244</v>
      </c>
      <c r="CF96" s="1077">
        <f t="shared" si="248"/>
        <v>4.9247814522827849</v>
      </c>
      <c r="CG96" s="1077">
        <f t="shared" si="248"/>
        <v>4.9355164036860302</v>
      </c>
      <c r="CH96" s="1077">
        <f t="shared" si="248"/>
        <v>4.9462747549462529</v>
      </c>
      <c r="CI96" s="1077">
        <f t="shared" si="248"/>
        <v>4.9570565570700476</v>
      </c>
      <c r="CJ96" s="1077">
        <f t="shared" si="248"/>
        <v>4.9678618611751908</v>
      </c>
      <c r="CK96" s="1077">
        <f t="shared" si="248"/>
        <v>4.9786907184908857</v>
      </c>
      <c r="CL96" s="1077">
        <f t="shared" si="248"/>
        <v>4.9860317808284806</v>
      </c>
      <c r="CM96" s="1077">
        <f t="shared" si="248"/>
        <v>4.9933836675372394</v>
      </c>
      <c r="CN96" s="1077">
        <f t="shared" si="248"/>
        <v>5.0007463945776598</v>
      </c>
      <c r="CO96" s="1077">
        <f t="shared" si="248"/>
        <v>5.0081199779337728</v>
      </c>
      <c r="CP96" s="1077">
        <f t="shared" si="248"/>
        <v>5.0155044336131782</v>
      </c>
      <c r="CQ96" s="1077">
        <f t="shared" si="248"/>
        <v>5.0179773723413712</v>
      </c>
      <c r="CR96" s="1077">
        <f t="shared" si="248"/>
        <v>5.0204515303738297</v>
      </c>
      <c r="CS96" s="1077">
        <f t="shared" si="248"/>
        <v>5.0229269083117432</v>
      </c>
      <c r="CT96" s="1077">
        <f t="shared" si="248"/>
        <v>5.0254035067565965</v>
      </c>
      <c r="CU96" s="1077">
        <f t="shared" si="248"/>
        <v>5.0278813263101725</v>
      </c>
      <c r="CV96" s="1077">
        <f t="shared" si="248"/>
        <v>5.024320165248267</v>
      </c>
      <c r="CW96" s="1077">
        <f t="shared" si="248"/>
        <v>5.0207615264949217</v>
      </c>
      <c r="CX96" s="1077">
        <f t="shared" si="248"/>
        <v>5.0172054082636297</v>
      </c>
      <c r="CY96" s="1077">
        <f t="shared" si="248"/>
        <v>5.013651808769148</v>
      </c>
      <c r="CZ96" s="1077">
        <f t="shared" si="248"/>
        <v>5.010100726227499</v>
      </c>
    </row>
    <row r="97" spans="1:104" x14ac:dyDescent="0.25">
      <c r="A97" s="753" t="str">
        <f>'HyARC Physical Property Data'!A79</f>
        <v>Electric Utility Steam Coal</v>
      </c>
      <c r="B97" s="254">
        <v>2012</v>
      </c>
      <c r="C97" s="726">
        <f t="shared" si="221"/>
        <v>1.0573833607504113</v>
      </c>
      <c r="D97" s="1030" t="str">
        <f>+'HyARC Physical Property Data'!$H$79</f>
        <v>kg</v>
      </c>
      <c r="E97" s="747" t="s">
        <v>1034</v>
      </c>
      <c r="F97" s="254">
        <f>'HyARC Physical Property Data'!$E$42</f>
        <v>22.7322030001394</v>
      </c>
      <c r="G97" s="254">
        <f>'HyARC Physical Property Data'!$I$42</f>
        <v>23.967615189707661</v>
      </c>
      <c r="H97" s="852">
        <v>1.6675147780813302</v>
      </c>
      <c r="I97" s="852">
        <v>1.6675147780813302</v>
      </c>
      <c r="J97" s="852">
        <v>1.6675147780813302</v>
      </c>
      <c r="K97" s="852">
        <v>1.6675147780813302</v>
      </c>
      <c r="L97" s="852">
        <v>1.899114052814848</v>
      </c>
      <c r="M97" s="852">
        <v>1.9917537627082553</v>
      </c>
      <c r="N97" s="852">
        <v>1.8435302268788039</v>
      </c>
      <c r="O97" s="254">
        <f t="shared" ref="O97:AR97" si="249">O113*($C97/mmBTU_to_GJ*$G97/$F97)</f>
        <v>2.5597920484602081</v>
      </c>
      <c r="P97" s="254">
        <f t="shared" si="249"/>
        <v>2.5255804719830319</v>
      </c>
      <c r="Q97" s="254">
        <f t="shared" si="249"/>
        <v>2.508514311053105</v>
      </c>
      <c r="R97" s="254">
        <f t="shared" si="249"/>
        <v>2.4620013612393787</v>
      </c>
      <c r="S97" s="254">
        <f t="shared" si="249"/>
        <v>2.5403070366096241</v>
      </c>
      <c r="T97" s="254">
        <f t="shared" si="249"/>
        <v>2.5596198017585623</v>
      </c>
      <c r="U97" s="254">
        <f t="shared" si="249"/>
        <v>2.6274226552413431</v>
      </c>
      <c r="V97" s="254">
        <f t="shared" si="249"/>
        <v>2.6949877448721598</v>
      </c>
      <c r="W97" s="254">
        <f t="shared" si="249"/>
        <v>2.7359771762226828</v>
      </c>
      <c r="X97" s="254">
        <f t="shared" si="249"/>
        <v>2.7594809255355894</v>
      </c>
      <c r="Y97" s="254">
        <f t="shared" si="249"/>
        <v>2.7929327144147083</v>
      </c>
      <c r="Z97" s="254">
        <f t="shared" si="249"/>
        <v>2.8274782170128665</v>
      </c>
      <c r="AA97" s="254">
        <f t="shared" si="249"/>
        <v>2.8557773990378479</v>
      </c>
      <c r="AB97" s="254">
        <f t="shared" si="249"/>
        <v>2.8944082129768782</v>
      </c>
      <c r="AC97" s="254">
        <f t="shared" si="249"/>
        <v>2.9312151139892806</v>
      </c>
      <c r="AD97" s="254">
        <f t="shared" si="249"/>
        <v>2.966511950359648</v>
      </c>
      <c r="AE97" s="254">
        <f t="shared" si="249"/>
        <v>2.9977467234102231</v>
      </c>
      <c r="AF97" s="254">
        <f t="shared" si="249"/>
        <v>3.0275126442197702</v>
      </c>
      <c r="AG97" s="254">
        <f t="shared" si="249"/>
        <v>3.0554092127887573</v>
      </c>
      <c r="AH97" s="254">
        <f t="shared" si="249"/>
        <v>3.0915672826673535</v>
      </c>
      <c r="AI97" s="254">
        <f t="shared" si="249"/>
        <v>3.1167332654875524</v>
      </c>
      <c r="AJ97" s="254">
        <f t="shared" si="249"/>
        <v>3.1431165992298116</v>
      </c>
      <c r="AK97" s="254">
        <f t="shared" si="249"/>
        <v>3.1708409210971538</v>
      </c>
      <c r="AL97" s="254">
        <f t="shared" si="249"/>
        <v>3.1960671374265175</v>
      </c>
      <c r="AM97" s="254">
        <f t="shared" si="249"/>
        <v>3.2230993023025833</v>
      </c>
      <c r="AN97" s="254">
        <f t="shared" si="249"/>
        <v>3.2506534909247415</v>
      </c>
      <c r="AO97" s="254">
        <f t="shared" si="249"/>
        <v>3.2748293193925355</v>
      </c>
      <c r="AP97" s="254">
        <f t="shared" si="249"/>
        <v>3.2978596544579739</v>
      </c>
      <c r="AQ97" s="254">
        <f t="shared" si="249"/>
        <v>3.3327063246019542</v>
      </c>
      <c r="AR97" s="254">
        <f t="shared" si="249"/>
        <v>3.3706196200721661</v>
      </c>
      <c r="AS97" s="254">
        <f t="shared" ref="AS97:BA97" si="250">($BB97-$AR97)/10+AR97</f>
        <v>3.3714122172383907</v>
      </c>
      <c r="AT97" s="254">
        <f t="shared" si="250"/>
        <v>3.3722048144046153</v>
      </c>
      <c r="AU97" s="254">
        <f t="shared" si="250"/>
        <v>3.3729974115708399</v>
      </c>
      <c r="AV97" s="254">
        <f t="shared" si="250"/>
        <v>3.3737900087370645</v>
      </c>
      <c r="AW97" s="254">
        <f t="shared" si="250"/>
        <v>3.3745826059032891</v>
      </c>
      <c r="AX97" s="254">
        <f t="shared" si="250"/>
        <v>3.3753752030695137</v>
      </c>
      <c r="AY97" s="254">
        <f t="shared" si="250"/>
        <v>3.3761678002357383</v>
      </c>
      <c r="AZ97" s="254">
        <f t="shared" si="250"/>
        <v>3.3769603974019629</v>
      </c>
      <c r="BA97" s="254">
        <f t="shared" si="250"/>
        <v>3.3777529945681875</v>
      </c>
      <c r="BB97" s="781">
        <f>('AEO Data'!$B$28*AM97)</f>
        <v>3.3785455917344129</v>
      </c>
      <c r="BC97" s="254">
        <f t="shared" ref="BC97:BP97" si="251">($BQ97-$BB97)/15+BB97</f>
        <v>3.3904023830051258</v>
      </c>
      <c r="BD97" s="254">
        <f t="shared" si="251"/>
        <v>3.4022591742758386</v>
      </c>
      <c r="BE97" s="254">
        <f t="shared" si="251"/>
        <v>3.4141159655465514</v>
      </c>
      <c r="BF97" s="254">
        <f t="shared" si="251"/>
        <v>3.4259727568172642</v>
      </c>
      <c r="BG97" s="254">
        <f t="shared" si="251"/>
        <v>3.437829548087977</v>
      </c>
      <c r="BH97" s="254">
        <f t="shared" si="251"/>
        <v>3.4496863393586898</v>
      </c>
      <c r="BI97" s="254">
        <f t="shared" si="251"/>
        <v>3.4615431306294027</v>
      </c>
      <c r="BJ97" s="254">
        <f t="shared" si="251"/>
        <v>3.4733999219001155</v>
      </c>
      <c r="BK97" s="254">
        <f t="shared" si="251"/>
        <v>3.4852567131708283</v>
      </c>
      <c r="BL97" s="254">
        <f t="shared" si="251"/>
        <v>3.4971135044415411</v>
      </c>
      <c r="BM97" s="254">
        <f t="shared" si="251"/>
        <v>3.5089702957122539</v>
      </c>
      <c r="BN97" s="254">
        <f t="shared" si="251"/>
        <v>3.5208270869829668</v>
      </c>
      <c r="BO97" s="254">
        <f t="shared" si="251"/>
        <v>3.5326838782536796</v>
      </c>
      <c r="BP97" s="254">
        <f t="shared" si="251"/>
        <v>3.5445406695243924</v>
      </c>
      <c r="BQ97" s="781">
        <f>('AEO Data'!$C$28*BB97)</f>
        <v>3.5563974607951057</v>
      </c>
      <c r="BR97" s="254">
        <f t="shared" si="243"/>
        <v>3.5677989187133954</v>
      </c>
      <c r="BS97" s="254">
        <f t="shared" si="243"/>
        <v>3.5792003766316851</v>
      </c>
      <c r="BT97" s="254">
        <f t="shared" si="243"/>
        <v>3.5906018345499748</v>
      </c>
      <c r="BU97" s="254">
        <f t="shared" si="243"/>
        <v>3.6020032924682646</v>
      </c>
      <c r="BV97" s="805">
        <f>('AEO Data'!$D$28*BQ97)</f>
        <v>3.6134047503865552</v>
      </c>
      <c r="BW97" s="1077">
        <f t="shared" ref="BW97:CZ97" si="252">+BV97*BW$139/BV$139</f>
        <v>3.6256215101320701</v>
      </c>
      <c r="BX97" s="1077">
        <f t="shared" si="252"/>
        <v>3.6378795741955314</v>
      </c>
      <c r="BY97" s="1077">
        <f t="shared" si="252"/>
        <v>3.6501790822249895</v>
      </c>
      <c r="BZ97" s="1077">
        <f t="shared" si="252"/>
        <v>3.6625201743406386</v>
      </c>
      <c r="CA97" s="1077">
        <f t="shared" si="252"/>
        <v>3.6749029911364137</v>
      </c>
      <c r="CB97" s="1077">
        <f t="shared" si="252"/>
        <v>3.6854248153589553</v>
      </c>
      <c r="CC97" s="1077">
        <f t="shared" si="252"/>
        <v>3.6959767652161704</v>
      </c>
      <c r="CD97" s="1077">
        <f t="shared" si="252"/>
        <v>3.7065589269624799</v>
      </c>
      <c r="CE97" s="1077">
        <f t="shared" si="252"/>
        <v>3.7171713870992669</v>
      </c>
      <c r="CF97" s="1077">
        <f t="shared" si="252"/>
        <v>3.7278142323755787</v>
      </c>
      <c r="CG97" s="1077">
        <f t="shared" si="252"/>
        <v>3.7359400558283795</v>
      </c>
      <c r="CH97" s="1077">
        <f t="shared" si="252"/>
        <v>3.7440835918072533</v>
      </c>
      <c r="CI97" s="1077">
        <f t="shared" si="252"/>
        <v>3.7522448789216503</v>
      </c>
      <c r="CJ97" s="1077">
        <f t="shared" si="252"/>
        <v>3.760423955865182</v>
      </c>
      <c r="CK97" s="1077">
        <f t="shared" si="252"/>
        <v>3.768620861415803</v>
      </c>
      <c r="CL97" s="1077">
        <f t="shared" si="252"/>
        <v>3.7741776799118107</v>
      </c>
      <c r="CM97" s="1077">
        <f t="shared" si="252"/>
        <v>3.7797426919175763</v>
      </c>
      <c r="CN97" s="1077">
        <f t="shared" si="252"/>
        <v>3.7853159095144004</v>
      </c>
      <c r="CO97" s="1077">
        <f t="shared" si="252"/>
        <v>3.7908973448013987</v>
      </c>
      <c r="CP97" s="1077">
        <f t="shared" si="252"/>
        <v>3.796487009895527</v>
      </c>
      <c r="CQ97" s="1077">
        <f t="shared" si="252"/>
        <v>3.7983589013238204</v>
      </c>
      <c r="CR97" s="1077">
        <f t="shared" si="252"/>
        <v>3.8002317157047045</v>
      </c>
      <c r="CS97" s="1077">
        <f t="shared" si="252"/>
        <v>3.8021054534932484</v>
      </c>
      <c r="CT97" s="1077">
        <f t="shared" si="252"/>
        <v>3.8039801151447463</v>
      </c>
      <c r="CU97" s="1077">
        <f t="shared" si="252"/>
        <v>3.805855701114718</v>
      </c>
      <c r="CV97" s="1077">
        <f t="shared" si="252"/>
        <v>3.803160079589381</v>
      </c>
      <c r="CW97" s="1077">
        <f t="shared" si="252"/>
        <v>3.8004663673259764</v>
      </c>
      <c r="CX97" s="1077">
        <f t="shared" si="252"/>
        <v>3.7977745629722066</v>
      </c>
      <c r="CY97" s="1077">
        <f t="shared" si="252"/>
        <v>3.7950846651767312</v>
      </c>
      <c r="CZ97" s="1077">
        <f t="shared" si="252"/>
        <v>3.7923966725891693</v>
      </c>
    </row>
    <row r="98" spans="1:104" x14ac:dyDescent="0.25">
      <c r="A98" s="729" t="str">
        <f>'HyARC Physical Property Data'!A76</f>
        <v>Commercial Electricity</v>
      </c>
      <c r="B98" s="254">
        <v>2012</v>
      </c>
      <c r="C98" s="726">
        <f t="shared" si="221"/>
        <v>1.0573833607504113</v>
      </c>
      <c r="D98" s="1018" t="str">
        <f>'HyARC Physical Property Data'!$H$76</f>
        <v>kWh</v>
      </c>
      <c r="E98" s="726" t="s">
        <v>1053</v>
      </c>
      <c r="F98" s="730"/>
      <c r="G98" s="726"/>
      <c r="H98" s="852">
        <v>26.706046857142852</v>
      </c>
      <c r="I98" s="852">
        <v>26.706046857142852</v>
      </c>
      <c r="J98" s="852">
        <v>26.706046857142852</v>
      </c>
      <c r="K98" s="852">
        <v>26.706046857142852</v>
      </c>
      <c r="L98" s="852">
        <v>28.244819428571425</v>
      </c>
      <c r="M98" s="852">
        <v>26.82655314285714</v>
      </c>
      <c r="N98" s="852">
        <v>25.371207999999996</v>
      </c>
      <c r="O98" s="254">
        <f>O114*($C98)</f>
        <v>32.283135281491724</v>
      </c>
      <c r="P98" s="254">
        <f t="shared" ref="P98:AR98" si="253">P114*($C98)</f>
        <v>31.249217372283084</v>
      </c>
      <c r="Q98" s="254">
        <f t="shared" si="253"/>
        <v>31.153358168947534</v>
      </c>
      <c r="R98" s="254">
        <f t="shared" si="253"/>
        <v>31.319492127821917</v>
      </c>
      <c r="S98" s="254">
        <f t="shared" si="253"/>
        <v>31.713042813009693</v>
      </c>
      <c r="T98" s="254">
        <f t="shared" si="253"/>
        <v>31.867220938224076</v>
      </c>
      <c r="U98" s="254">
        <f t="shared" si="253"/>
        <v>32.111549454009307</v>
      </c>
      <c r="V98" s="254">
        <f t="shared" si="253"/>
        <v>32.486400314462216</v>
      </c>
      <c r="W98" s="254">
        <f t="shared" si="253"/>
        <v>32.794032257288862</v>
      </c>
      <c r="X98" s="254">
        <f t="shared" si="253"/>
        <v>32.56691477046656</v>
      </c>
      <c r="Y98" s="254">
        <f t="shared" si="253"/>
        <v>32.389706835655034</v>
      </c>
      <c r="Z98" s="254">
        <f t="shared" si="253"/>
        <v>32.033284052413286</v>
      </c>
      <c r="AA98" s="254">
        <f t="shared" si="253"/>
        <v>31.890145009485142</v>
      </c>
      <c r="AB98" s="254">
        <f t="shared" si="253"/>
        <v>32.24751415083476</v>
      </c>
      <c r="AC98" s="254">
        <f t="shared" si="253"/>
        <v>32.302516061110914</v>
      </c>
      <c r="AD98" s="254">
        <f t="shared" si="253"/>
        <v>32.38566340168353</v>
      </c>
      <c r="AE98" s="254">
        <f t="shared" si="253"/>
        <v>32.600838800829514</v>
      </c>
      <c r="AF98" s="254">
        <f t="shared" si="253"/>
        <v>32.680488317244759</v>
      </c>
      <c r="AG98" s="254">
        <f t="shared" si="253"/>
        <v>32.795928145654685</v>
      </c>
      <c r="AH98" s="254">
        <f t="shared" si="253"/>
        <v>33.053412625214378</v>
      </c>
      <c r="AI98" s="254">
        <f t="shared" si="253"/>
        <v>33.31428601844528</v>
      </c>
      <c r="AJ98" s="254">
        <f t="shared" si="253"/>
        <v>33.35913704845823</v>
      </c>
      <c r="AK98" s="254">
        <f t="shared" si="253"/>
        <v>33.34702472206083</v>
      </c>
      <c r="AL98" s="254">
        <f t="shared" si="253"/>
        <v>33.547734059448395</v>
      </c>
      <c r="AM98" s="254">
        <f t="shared" si="253"/>
        <v>33.819217237321062</v>
      </c>
      <c r="AN98" s="254">
        <f t="shared" si="253"/>
        <v>34.102738724755874</v>
      </c>
      <c r="AO98" s="254">
        <f t="shared" si="253"/>
        <v>34.318819244058659</v>
      </c>
      <c r="AP98" s="254">
        <f t="shared" si="253"/>
        <v>34.39246810990165</v>
      </c>
      <c r="AQ98" s="254">
        <f t="shared" si="253"/>
        <v>34.626804352927799</v>
      </c>
      <c r="AR98" s="254">
        <f t="shared" si="253"/>
        <v>34.901427959381891</v>
      </c>
      <c r="AS98" s="254">
        <f t="shared" ref="AS98:BA98" si="254">($BB98-$AR98)/10+AR98</f>
        <v>34.70890076364649</v>
      </c>
      <c r="AT98" s="254">
        <f t="shared" si="254"/>
        <v>34.516373567911089</v>
      </c>
      <c r="AU98" s="254">
        <f t="shared" si="254"/>
        <v>34.323846372175687</v>
      </c>
      <c r="AV98" s="254">
        <f t="shared" si="254"/>
        <v>34.131319176440286</v>
      </c>
      <c r="AW98" s="254">
        <f t="shared" si="254"/>
        <v>33.938791980704885</v>
      </c>
      <c r="AX98" s="254">
        <f t="shared" si="254"/>
        <v>33.746264784969483</v>
      </c>
      <c r="AY98" s="254">
        <f t="shared" si="254"/>
        <v>33.553737589234082</v>
      </c>
      <c r="AZ98" s="254">
        <f t="shared" si="254"/>
        <v>33.361210393498681</v>
      </c>
      <c r="BA98" s="254">
        <f t="shared" si="254"/>
        <v>33.168683197763279</v>
      </c>
      <c r="BB98" s="781">
        <f>'AEO Data'!$B$33*AM98</f>
        <v>32.976156002027878</v>
      </c>
      <c r="BC98" s="254">
        <f t="shared" ref="BC98:BP98" si="255">($BQ98-$BB98)/15+BB98</f>
        <v>32.995368695731926</v>
      </c>
      <c r="BD98" s="254">
        <f t="shared" si="255"/>
        <v>33.014581389435975</v>
      </c>
      <c r="BE98" s="254">
        <f t="shared" si="255"/>
        <v>33.033794083140023</v>
      </c>
      <c r="BF98" s="254">
        <f t="shared" si="255"/>
        <v>33.053006776844072</v>
      </c>
      <c r="BG98" s="254">
        <f t="shared" si="255"/>
        <v>33.07221947054812</v>
      </c>
      <c r="BH98" s="254">
        <f t="shared" si="255"/>
        <v>33.091432164252168</v>
      </c>
      <c r="BI98" s="254">
        <f t="shared" si="255"/>
        <v>33.110644857956217</v>
      </c>
      <c r="BJ98" s="254">
        <f t="shared" si="255"/>
        <v>33.129857551660265</v>
      </c>
      <c r="BK98" s="254">
        <f t="shared" si="255"/>
        <v>33.149070245364314</v>
      </c>
      <c r="BL98" s="254">
        <f t="shared" si="255"/>
        <v>33.168282939068362</v>
      </c>
      <c r="BM98" s="254">
        <f t="shared" si="255"/>
        <v>33.187495632772411</v>
      </c>
      <c r="BN98" s="254">
        <f t="shared" si="255"/>
        <v>33.206708326476459</v>
      </c>
      <c r="BO98" s="254">
        <f t="shared" si="255"/>
        <v>33.225921020180508</v>
      </c>
      <c r="BP98" s="254">
        <f t="shared" si="255"/>
        <v>33.245133713884556</v>
      </c>
      <c r="BQ98" s="781">
        <f>'AEO Data'!$C$33*BB98</f>
        <v>33.264346407588576</v>
      </c>
      <c r="BR98" s="254">
        <f t="shared" si="243"/>
        <v>33.241947852661184</v>
      </c>
      <c r="BS98" s="254">
        <f t="shared" si="243"/>
        <v>33.219549297733792</v>
      </c>
      <c r="BT98" s="254">
        <f t="shared" si="243"/>
        <v>33.1971507428064</v>
      </c>
      <c r="BU98" s="254">
        <f t="shared" si="243"/>
        <v>33.174752187879008</v>
      </c>
      <c r="BV98" s="805">
        <f>'AEO Data'!$D$33*BQ98</f>
        <v>33.152353632951616</v>
      </c>
      <c r="BW98" s="1077">
        <f>+BV98*BW$140/BV$140</f>
        <v>33.137756526643614</v>
      </c>
      <c r="BX98" s="1077">
        <f t="shared" ref="BX98:CZ98" si="256">+BW98*BX$140/BW$140</f>
        <v>33.123165847496566</v>
      </c>
      <c r="BY98" s="1077">
        <f t="shared" si="256"/>
        <v>33.108581592680558</v>
      </c>
      <c r="BZ98" s="1077">
        <f t="shared" si="256"/>
        <v>33.094003759366935</v>
      </c>
      <c r="CA98" s="1077">
        <f t="shared" si="256"/>
        <v>33.079432344728289</v>
      </c>
      <c r="CB98" s="1077">
        <f t="shared" si="256"/>
        <v>33.052936236007881</v>
      </c>
      <c r="CC98" s="1077">
        <f t="shared" si="256"/>
        <v>33.026461350256774</v>
      </c>
      <c r="CD98" s="1077">
        <f t="shared" si="256"/>
        <v>33.000007670475696</v>
      </c>
      <c r="CE98" s="1077">
        <f t="shared" si="256"/>
        <v>32.973575179679017</v>
      </c>
      <c r="CF98" s="1077">
        <f t="shared" si="256"/>
        <v>32.947163860894676</v>
      </c>
      <c r="CG98" s="1077">
        <f t="shared" si="256"/>
        <v>32.91078078916545</v>
      </c>
      <c r="CH98" s="1077">
        <f t="shared" si="256"/>
        <v>32.874437894730825</v>
      </c>
      <c r="CI98" s="1077">
        <f t="shared" si="256"/>
        <v>32.838135133223581</v>
      </c>
      <c r="CJ98" s="1077">
        <f t="shared" si="256"/>
        <v>32.801872460325534</v>
      </c>
      <c r="CK98" s="1077">
        <f t="shared" si="256"/>
        <v>32.765649831767405</v>
      </c>
      <c r="CL98" s="1077">
        <f t="shared" si="256"/>
        <v>32.726158314166163</v>
      </c>
      <c r="CM98" s="1077">
        <f t="shared" si="256"/>
        <v>32.686714394582069</v>
      </c>
      <c r="CN98" s="1077">
        <f t="shared" si="256"/>
        <v>32.647318015646562</v>
      </c>
      <c r="CO98" s="1077">
        <f t="shared" si="256"/>
        <v>32.60796912006024</v>
      </c>
      <c r="CP98" s="1077">
        <f t="shared" si="256"/>
        <v>32.568667650592751</v>
      </c>
      <c r="CQ98" s="1077">
        <f t="shared" si="256"/>
        <v>32.523146286411503</v>
      </c>
      <c r="CR98" s="1077">
        <f t="shared" si="256"/>
        <v>32.477688547633022</v>
      </c>
      <c r="CS98" s="1077">
        <f t="shared" si="256"/>
        <v>32.432294345327811</v>
      </c>
      <c r="CT98" s="1077">
        <f t="shared" si="256"/>
        <v>32.386963590690684</v>
      </c>
      <c r="CU98" s="1077">
        <f t="shared" si="256"/>
        <v>32.341696195040562</v>
      </c>
      <c r="CV98" s="1077">
        <f t="shared" si="256"/>
        <v>32.297507157866328</v>
      </c>
      <c r="CW98" s="1077">
        <f t="shared" si="256"/>
        <v>32.25337849696286</v>
      </c>
      <c r="CX98" s="1077">
        <f t="shared" si="256"/>
        <v>32.209310129836972</v>
      </c>
      <c r="CY98" s="1077">
        <f t="shared" si="256"/>
        <v>32.16530197410821</v>
      </c>
      <c r="CZ98" s="1077">
        <f t="shared" si="256"/>
        <v>32.121353947508659</v>
      </c>
    </row>
    <row r="99" spans="1:104" x14ac:dyDescent="0.25">
      <c r="A99" s="729" t="str">
        <f>'HyARC Physical Property Data'!A77</f>
        <v>Industrial Electricity</v>
      </c>
      <c r="B99" s="254">
        <v>2012</v>
      </c>
      <c r="C99" s="726">
        <f t="shared" si="221"/>
        <v>1.0573833607504113</v>
      </c>
      <c r="D99" s="1018" t="str">
        <f>'HyARC Physical Property Data'!$H$77</f>
        <v>kWh</v>
      </c>
      <c r="E99" s="726" t="s">
        <v>1053</v>
      </c>
      <c r="F99" s="737"/>
      <c r="G99" s="220"/>
      <c r="H99" s="852">
        <v>17.630996571428568</v>
      </c>
      <c r="I99" s="852">
        <v>17.630996571428568</v>
      </c>
      <c r="J99" s="852">
        <v>17.630996571428568</v>
      </c>
      <c r="K99" s="852">
        <v>17.630996571428568</v>
      </c>
      <c r="L99" s="852">
        <v>18.734092571428569</v>
      </c>
      <c r="M99" s="852">
        <v>18.576507428571425</v>
      </c>
      <c r="N99" s="852">
        <v>17.751502857142853</v>
      </c>
      <c r="O99" s="254">
        <f t="shared" ref="O99:AR99" si="257">O115*($C99)</f>
        <v>21.515674690350355</v>
      </c>
      <c r="P99" s="254">
        <f t="shared" si="257"/>
        <v>20.614325162612442</v>
      </c>
      <c r="Q99" s="254">
        <f t="shared" si="257"/>
        <v>21.234320838805083</v>
      </c>
      <c r="R99" s="254">
        <f t="shared" si="257"/>
        <v>21.012944943631656</v>
      </c>
      <c r="S99" s="254">
        <f t="shared" si="257"/>
        <v>21.260067066255996</v>
      </c>
      <c r="T99" s="254">
        <f t="shared" si="257"/>
        <v>21.264334665499984</v>
      </c>
      <c r="U99" s="254">
        <f t="shared" si="257"/>
        <v>21.45053776056141</v>
      </c>
      <c r="V99" s="254">
        <f t="shared" si="257"/>
        <v>21.773568377270657</v>
      </c>
      <c r="W99" s="254">
        <f t="shared" si="257"/>
        <v>22.056475524972875</v>
      </c>
      <c r="X99" s="254">
        <f t="shared" si="257"/>
        <v>21.961455884025764</v>
      </c>
      <c r="Y99" s="254">
        <f t="shared" si="257"/>
        <v>21.942053956739354</v>
      </c>
      <c r="Z99" s="254">
        <f t="shared" si="257"/>
        <v>21.839343966609501</v>
      </c>
      <c r="AA99" s="254">
        <f t="shared" si="257"/>
        <v>21.848738817769767</v>
      </c>
      <c r="AB99" s="254">
        <f t="shared" si="257"/>
        <v>22.148172867400511</v>
      </c>
      <c r="AC99" s="254">
        <f t="shared" si="257"/>
        <v>22.288834461114416</v>
      </c>
      <c r="AD99" s="254">
        <f t="shared" si="257"/>
        <v>22.455557382520738</v>
      </c>
      <c r="AE99" s="254">
        <f t="shared" si="257"/>
        <v>22.693200063315949</v>
      </c>
      <c r="AF99" s="254">
        <f t="shared" si="257"/>
        <v>22.825154105054075</v>
      </c>
      <c r="AG99" s="254">
        <f t="shared" si="257"/>
        <v>22.985164756886352</v>
      </c>
      <c r="AH99" s="254">
        <f t="shared" si="257"/>
        <v>23.25006678072171</v>
      </c>
      <c r="AI99" s="254">
        <f t="shared" si="257"/>
        <v>23.513378499982501</v>
      </c>
      <c r="AJ99" s="254">
        <f t="shared" si="257"/>
        <v>23.624497859980398</v>
      </c>
      <c r="AK99" s="254">
        <f t="shared" si="257"/>
        <v>23.72471031061216</v>
      </c>
      <c r="AL99" s="254">
        <f t="shared" si="257"/>
        <v>23.954574879405691</v>
      </c>
      <c r="AM99" s="254">
        <f t="shared" si="257"/>
        <v>24.226613183542757</v>
      </c>
      <c r="AN99" s="254">
        <f t="shared" si="257"/>
        <v>24.521924495449934</v>
      </c>
      <c r="AO99" s="254">
        <f t="shared" si="257"/>
        <v>24.752620167565013</v>
      </c>
      <c r="AP99" s="254">
        <f t="shared" si="257"/>
        <v>24.871397097861468</v>
      </c>
      <c r="AQ99" s="254">
        <f t="shared" si="257"/>
        <v>25.127647611039166</v>
      </c>
      <c r="AR99" s="254">
        <f t="shared" si="257"/>
        <v>25.43300195010675</v>
      </c>
      <c r="AS99" s="254">
        <f t="shared" ref="AS99:BA99" si="258">($BB99-$AR99)/10+AR99</f>
        <v>25.251969841122818</v>
      </c>
      <c r="AT99" s="254">
        <f t="shared" si="258"/>
        <v>25.070937732138887</v>
      </c>
      <c r="AU99" s="254">
        <f t="shared" si="258"/>
        <v>24.889905623154956</v>
      </c>
      <c r="AV99" s="254">
        <f t="shared" si="258"/>
        <v>24.708873514171025</v>
      </c>
      <c r="AW99" s="254">
        <f t="shared" si="258"/>
        <v>24.527841405187093</v>
      </c>
      <c r="AX99" s="254">
        <f t="shared" si="258"/>
        <v>24.346809296203162</v>
      </c>
      <c r="AY99" s="254">
        <f t="shared" si="258"/>
        <v>24.165777187219231</v>
      </c>
      <c r="AZ99" s="254">
        <f t="shared" si="258"/>
        <v>23.984745078235299</v>
      </c>
      <c r="BA99" s="254">
        <f t="shared" si="258"/>
        <v>23.803712969251368</v>
      </c>
      <c r="BB99" s="781">
        <f>'AEO Data'!$B$33*AM99</f>
        <v>23.622680860267447</v>
      </c>
      <c r="BC99" s="254">
        <f t="shared" ref="BC99:BP99" si="259">($BQ99-$BB99)/15+BB99</f>
        <v>23.636443996632064</v>
      </c>
      <c r="BD99" s="254">
        <f t="shared" si="259"/>
        <v>23.65020713299668</v>
      </c>
      <c r="BE99" s="254">
        <f t="shared" si="259"/>
        <v>23.663970269361297</v>
      </c>
      <c r="BF99" s="254">
        <f t="shared" si="259"/>
        <v>23.677733405725913</v>
      </c>
      <c r="BG99" s="254">
        <f t="shared" si="259"/>
        <v>23.69149654209053</v>
      </c>
      <c r="BH99" s="254">
        <f t="shared" si="259"/>
        <v>23.705259678455146</v>
      </c>
      <c r="BI99" s="254">
        <f t="shared" si="259"/>
        <v>23.719022814819763</v>
      </c>
      <c r="BJ99" s="254">
        <f t="shared" si="259"/>
        <v>23.732785951184379</v>
      </c>
      <c r="BK99" s="254">
        <f t="shared" si="259"/>
        <v>23.746549087548996</v>
      </c>
      <c r="BL99" s="254">
        <f t="shared" si="259"/>
        <v>23.760312223913612</v>
      </c>
      <c r="BM99" s="254">
        <f t="shared" si="259"/>
        <v>23.774075360278228</v>
      </c>
      <c r="BN99" s="254">
        <f t="shared" si="259"/>
        <v>23.787838496642845</v>
      </c>
      <c r="BO99" s="254">
        <f t="shared" si="259"/>
        <v>23.801601633007461</v>
      </c>
      <c r="BP99" s="254">
        <f t="shared" si="259"/>
        <v>23.815364769372078</v>
      </c>
      <c r="BQ99" s="781">
        <f>'AEO Data'!$C$33*BB99</f>
        <v>23.829127905736687</v>
      </c>
      <c r="BR99" s="254">
        <f t="shared" si="243"/>
        <v>23.813082557250695</v>
      </c>
      <c r="BS99" s="254">
        <f t="shared" si="243"/>
        <v>23.797037208764703</v>
      </c>
      <c r="BT99" s="254">
        <f t="shared" si="243"/>
        <v>23.780991860278711</v>
      </c>
      <c r="BU99" s="254">
        <f t="shared" si="243"/>
        <v>23.764946511792719</v>
      </c>
      <c r="BV99" s="805">
        <f>'AEO Data'!$D$33*BQ99</f>
        <v>23.748901163306734</v>
      </c>
      <c r="BW99" s="1077">
        <f>+BV99*BW$141/BV$141</f>
        <v>23.75607712303141</v>
      </c>
      <c r="BX99" s="1077">
        <f t="shared" ref="BX99:CZ99" si="260">+BW99*BX$141/BW$141</f>
        <v>23.763255251041588</v>
      </c>
      <c r="BY99" s="1077">
        <f t="shared" si="260"/>
        <v>23.770435547992431</v>
      </c>
      <c r="BZ99" s="1077">
        <f t="shared" si="260"/>
        <v>23.777618014539303</v>
      </c>
      <c r="CA99" s="1077">
        <f t="shared" si="260"/>
        <v>23.78480265133777</v>
      </c>
      <c r="CB99" s="1077">
        <f t="shared" si="260"/>
        <v>23.782112772933441</v>
      </c>
      <c r="CC99" s="1077">
        <f t="shared" si="260"/>
        <v>23.779423198733689</v>
      </c>
      <c r="CD99" s="1077">
        <f t="shared" si="260"/>
        <v>23.776733928704111</v>
      </c>
      <c r="CE99" s="1077">
        <f t="shared" si="260"/>
        <v>23.774044962810308</v>
      </c>
      <c r="CF99" s="1077">
        <f t="shared" si="260"/>
        <v>23.771356301017885</v>
      </c>
      <c r="CG99" s="1077">
        <f t="shared" si="260"/>
        <v>23.76057340337865</v>
      </c>
      <c r="CH99" s="1077">
        <f t="shared" si="260"/>
        <v>23.749795396957229</v>
      </c>
      <c r="CI99" s="1077">
        <f t="shared" si="260"/>
        <v>23.739022279534925</v>
      </c>
      <c r="CJ99" s="1077">
        <f t="shared" si="260"/>
        <v>23.728254048894051</v>
      </c>
      <c r="CK99" s="1077">
        <f t="shared" si="260"/>
        <v>23.717490702817912</v>
      </c>
      <c r="CL99" s="1077">
        <f t="shared" si="260"/>
        <v>23.704286288042756</v>
      </c>
      <c r="CM99" s="1077">
        <f t="shared" si="260"/>
        <v>23.691089224659521</v>
      </c>
      <c r="CN99" s="1077">
        <f t="shared" si="260"/>
        <v>23.677899508575415</v>
      </c>
      <c r="CO99" s="1077">
        <f t="shared" si="260"/>
        <v>23.664717135699917</v>
      </c>
      <c r="CP99" s="1077">
        <f t="shared" si="260"/>
        <v>23.651542101944788</v>
      </c>
      <c r="CQ99" s="1077">
        <f t="shared" si="260"/>
        <v>23.633491650128491</v>
      </c>
      <c r="CR99" s="1077">
        <f t="shared" si="260"/>
        <v>23.615454974107841</v>
      </c>
      <c r="CS99" s="1077">
        <f t="shared" si="260"/>
        <v>23.597432063369389</v>
      </c>
      <c r="CT99" s="1077">
        <f t="shared" si="260"/>
        <v>23.579422907407711</v>
      </c>
      <c r="CU99" s="1077">
        <f t="shared" si="260"/>
        <v>23.561427495725386</v>
      </c>
      <c r="CV99" s="1077">
        <f t="shared" si="260"/>
        <v>23.544508396580287</v>
      </c>
      <c r="CW99" s="1077">
        <f t="shared" si="260"/>
        <v>23.52760144678038</v>
      </c>
      <c r="CX99" s="1077">
        <f t="shared" si="260"/>
        <v>23.510706637601409</v>
      </c>
      <c r="CY99" s="1077">
        <f t="shared" si="260"/>
        <v>23.493823960325379</v>
      </c>
      <c r="CZ99" s="1077">
        <f t="shared" si="260"/>
        <v>23.476953406240558</v>
      </c>
    </row>
    <row r="100" spans="1:104" ht="13.8" thickBot="1" x14ac:dyDescent="0.3">
      <c r="A100" s="731" t="str">
        <f>'HyARC Physical Property Data'!A78</f>
        <v>Residential Electricity</v>
      </c>
      <c r="B100" s="732">
        <v>2012</v>
      </c>
      <c r="C100" s="733">
        <f t="shared" si="221"/>
        <v>1.0573833607504113</v>
      </c>
      <c r="D100" s="1019" t="str">
        <f>'HyARC Physical Property Data'!$H$78</f>
        <v>kWh</v>
      </c>
      <c r="E100" s="733" t="s">
        <v>1053</v>
      </c>
      <c r="F100" s="738"/>
      <c r="G100" s="482"/>
      <c r="H100" s="854">
        <v>29.496230857142855</v>
      </c>
      <c r="I100" s="854">
        <v>29.496230857142855</v>
      </c>
      <c r="J100" s="854">
        <v>29.496230857142855</v>
      </c>
      <c r="K100" s="854">
        <v>29.496230857142855</v>
      </c>
      <c r="L100" s="854">
        <v>30.858878857142852</v>
      </c>
      <c r="M100" s="854">
        <v>29.96898628571428</v>
      </c>
      <c r="N100" s="854">
        <v>28.680495999999998</v>
      </c>
      <c r="O100" s="732">
        <f t="shared" ref="O100:AR100" si="261">O116*($C100)</f>
        <v>36.958599009222638</v>
      </c>
      <c r="P100" s="732">
        <f t="shared" si="261"/>
        <v>36.829914396835953</v>
      </c>
      <c r="Q100" s="732">
        <f t="shared" si="261"/>
        <v>35.967931251618772</v>
      </c>
      <c r="R100" s="732">
        <f t="shared" si="261"/>
        <v>36.384210392145889</v>
      </c>
      <c r="S100" s="732">
        <f t="shared" si="261"/>
        <v>36.946828217650761</v>
      </c>
      <c r="T100" s="732">
        <f t="shared" si="261"/>
        <v>37.180918090353856</v>
      </c>
      <c r="U100" s="732">
        <f t="shared" si="261"/>
        <v>37.557365599681496</v>
      </c>
      <c r="V100" s="732">
        <f t="shared" si="261"/>
        <v>37.974121620104306</v>
      </c>
      <c r="W100" s="732">
        <f t="shared" si="261"/>
        <v>38.254262652934798</v>
      </c>
      <c r="X100" s="732">
        <f t="shared" si="261"/>
        <v>38.221123201025513</v>
      </c>
      <c r="Y100" s="732">
        <f t="shared" si="261"/>
        <v>38.131149393475901</v>
      </c>
      <c r="Z100" s="732">
        <f t="shared" si="261"/>
        <v>37.858692365527979</v>
      </c>
      <c r="AA100" s="732">
        <f t="shared" si="261"/>
        <v>37.743955697052961</v>
      </c>
      <c r="AB100" s="732">
        <f t="shared" si="261"/>
        <v>38.1089157935494</v>
      </c>
      <c r="AC100" s="732">
        <f t="shared" si="261"/>
        <v>38.215330854975328</v>
      </c>
      <c r="AD100" s="732">
        <f t="shared" si="261"/>
        <v>38.326908061968432</v>
      </c>
      <c r="AE100" s="732">
        <f t="shared" si="261"/>
        <v>38.563554687637811</v>
      </c>
      <c r="AF100" s="732">
        <f t="shared" si="261"/>
        <v>38.678694219173288</v>
      </c>
      <c r="AG100" s="732">
        <f t="shared" si="261"/>
        <v>38.832728540250606</v>
      </c>
      <c r="AH100" s="732">
        <f t="shared" si="261"/>
        <v>39.103972749483745</v>
      </c>
      <c r="AI100" s="732">
        <f t="shared" si="261"/>
        <v>39.394125087973819</v>
      </c>
      <c r="AJ100" s="732">
        <f t="shared" si="261"/>
        <v>39.478120450001747</v>
      </c>
      <c r="AK100" s="732">
        <f t="shared" si="261"/>
        <v>39.513366209565646</v>
      </c>
      <c r="AL100" s="732">
        <f t="shared" si="261"/>
        <v>39.723129920671305</v>
      </c>
      <c r="AM100" s="732">
        <f t="shared" si="261"/>
        <v>39.988020313289695</v>
      </c>
      <c r="AN100" s="732">
        <f t="shared" si="261"/>
        <v>40.267543834237514</v>
      </c>
      <c r="AO100" s="732">
        <f t="shared" si="261"/>
        <v>40.49663228364426</v>
      </c>
      <c r="AP100" s="732">
        <f t="shared" si="261"/>
        <v>40.571116482342241</v>
      </c>
      <c r="AQ100" s="732">
        <f t="shared" si="261"/>
        <v>40.796195334045009</v>
      </c>
      <c r="AR100" s="732">
        <f t="shared" si="261"/>
        <v>41.063070435231531</v>
      </c>
      <c r="AS100" s="732">
        <f t="shared" ref="AS100:BA100" si="262">($BB100-$AR100)/10+AR100</f>
        <v>40.855881419218811</v>
      </c>
      <c r="AT100" s="732">
        <f t="shared" si="262"/>
        <v>40.648692403206091</v>
      </c>
      <c r="AU100" s="732">
        <f t="shared" si="262"/>
        <v>40.441503387193372</v>
      </c>
      <c r="AV100" s="732">
        <f t="shared" si="262"/>
        <v>40.234314371180652</v>
      </c>
      <c r="AW100" s="732">
        <f t="shared" si="262"/>
        <v>40.027125355167932</v>
      </c>
      <c r="AX100" s="732">
        <f t="shared" si="262"/>
        <v>39.819936339155213</v>
      </c>
      <c r="AY100" s="732">
        <f t="shared" si="262"/>
        <v>39.612747323142493</v>
      </c>
      <c r="AZ100" s="732">
        <f t="shared" si="262"/>
        <v>39.405558307129773</v>
      </c>
      <c r="BA100" s="732">
        <f t="shared" si="262"/>
        <v>39.198369291117054</v>
      </c>
      <c r="BB100" s="810">
        <f>'AEO Data'!$B$33*AM100</f>
        <v>38.991180275104313</v>
      </c>
      <c r="BC100" s="732">
        <f t="shared" ref="BC100:BP100" si="263">($BQ100-$BB100)/15+BB100</f>
        <v>39.013897465177614</v>
      </c>
      <c r="BD100" s="732">
        <f t="shared" si="263"/>
        <v>39.036614655250915</v>
      </c>
      <c r="BE100" s="732">
        <f t="shared" si="263"/>
        <v>39.059331845324216</v>
      </c>
      <c r="BF100" s="732">
        <f t="shared" si="263"/>
        <v>39.082049035397517</v>
      </c>
      <c r="BG100" s="732">
        <f t="shared" si="263"/>
        <v>39.104766225470819</v>
      </c>
      <c r="BH100" s="732">
        <f t="shared" si="263"/>
        <v>39.12748341554412</v>
      </c>
      <c r="BI100" s="732">
        <f t="shared" si="263"/>
        <v>39.150200605617421</v>
      </c>
      <c r="BJ100" s="732">
        <f t="shared" si="263"/>
        <v>39.172917795690722</v>
      </c>
      <c r="BK100" s="732">
        <f t="shared" si="263"/>
        <v>39.195634985764023</v>
      </c>
      <c r="BL100" s="732">
        <f t="shared" si="263"/>
        <v>39.218352175837325</v>
      </c>
      <c r="BM100" s="732">
        <f t="shared" si="263"/>
        <v>39.241069365910626</v>
      </c>
      <c r="BN100" s="732">
        <f t="shared" si="263"/>
        <v>39.263786555983927</v>
      </c>
      <c r="BO100" s="732">
        <f t="shared" si="263"/>
        <v>39.286503746057228</v>
      </c>
      <c r="BP100" s="732">
        <f t="shared" si="263"/>
        <v>39.309220936130529</v>
      </c>
      <c r="BQ100" s="810">
        <f>'AEO Data'!$C$33*BB100</f>
        <v>39.331938126203802</v>
      </c>
      <c r="BR100" s="732">
        <f t="shared" si="243"/>
        <v>39.305453957065893</v>
      </c>
      <c r="BS100" s="732">
        <f t="shared" si="243"/>
        <v>39.278969787927984</v>
      </c>
      <c r="BT100" s="732">
        <f t="shared" si="243"/>
        <v>39.252485618790075</v>
      </c>
      <c r="BU100" s="732">
        <f t="shared" si="243"/>
        <v>39.226001449652166</v>
      </c>
      <c r="BV100" s="811">
        <f>'AEO Data'!$D$33*BQ100</f>
        <v>39.199517280514264</v>
      </c>
      <c r="BW100" s="1077">
        <f>+BV100*BW$142/BV$142</f>
        <v>39.182257585250959</v>
      </c>
      <c r="BX100" s="1077">
        <f t="shared" ref="BX100:CZ100" si="264">+BW100*BX$142/BW$142</f>
        <v>39.165005489496558</v>
      </c>
      <c r="BY100" s="1077">
        <f t="shared" si="264"/>
        <v>39.147760989904967</v>
      </c>
      <c r="BZ100" s="1077">
        <f t="shared" si="264"/>
        <v>39.130524083131569</v>
      </c>
      <c r="CA100" s="1077">
        <f t="shared" si="264"/>
        <v>39.113294765833224</v>
      </c>
      <c r="CB100" s="1077">
        <f t="shared" si="264"/>
        <v>39.08196562754182</v>
      </c>
      <c r="CC100" s="1077">
        <f t="shared" si="264"/>
        <v>39.050661583400931</v>
      </c>
      <c r="CD100" s="1077">
        <f t="shared" si="264"/>
        <v>39.01938261331054</v>
      </c>
      <c r="CE100" s="1077">
        <f t="shared" si="264"/>
        <v>38.988128697186724</v>
      </c>
      <c r="CF100" s="1077">
        <f t="shared" si="264"/>
        <v>38.956899814961638</v>
      </c>
      <c r="CG100" s="1077">
        <f t="shared" si="264"/>
        <v>38.913880279614062</v>
      </c>
      <c r="CH100" s="1077">
        <f t="shared" si="264"/>
        <v>38.870908250110908</v>
      </c>
      <c r="CI100" s="1077">
        <f t="shared" si="264"/>
        <v>38.827983673992158</v>
      </c>
      <c r="CJ100" s="1077">
        <f t="shared" si="264"/>
        <v>38.785106498855733</v>
      </c>
      <c r="CK100" s="1077">
        <f t="shared" si="264"/>
        <v>38.74227667235742</v>
      </c>
      <c r="CL100" s="1077">
        <f t="shared" si="264"/>
        <v>38.695581694263772</v>
      </c>
      <c r="CM100" s="1077">
        <f t="shared" si="264"/>
        <v>38.64894299631591</v>
      </c>
      <c r="CN100" s="1077">
        <f t="shared" si="264"/>
        <v>38.60236051068096</v>
      </c>
      <c r="CO100" s="1077">
        <f t="shared" si="264"/>
        <v>38.555834169607792</v>
      </c>
      <c r="CP100" s="1077">
        <f t="shared" si="264"/>
        <v>38.509363905426945</v>
      </c>
      <c r="CQ100" s="1077">
        <f t="shared" si="264"/>
        <v>38.455539205026732</v>
      </c>
      <c r="CR100" s="1077">
        <f t="shared" si="264"/>
        <v>38.401789735637358</v>
      </c>
      <c r="CS100" s="1077">
        <f t="shared" si="264"/>
        <v>38.348115392108113</v>
      </c>
      <c r="CT100" s="1077">
        <f t="shared" si="264"/>
        <v>38.294516069435261</v>
      </c>
      <c r="CU100" s="1077">
        <f t="shared" si="264"/>
        <v>38.24099166276185</v>
      </c>
      <c r="CV100" s="1077">
        <f t="shared" si="264"/>
        <v>38.188742312821311</v>
      </c>
      <c r="CW100" s="1077">
        <f t="shared" si="264"/>
        <v>38.136564352100841</v>
      </c>
      <c r="CX100" s="1077">
        <f t="shared" si="264"/>
        <v>38.084457683060059</v>
      </c>
      <c r="CY100" s="1077">
        <f t="shared" si="264"/>
        <v>38.032422208291884</v>
      </c>
      <c r="CZ100" s="1077">
        <f t="shared" si="264"/>
        <v>37.980457830522298</v>
      </c>
    </row>
    <row r="101" spans="1:104" ht="13.8" thickTop="1" x14ac:dyDescent="0.25">
      <c r="D101" s="879"/>
    </row>
    <row r="102" spans="1:104" ht="13.8" thickBot="1" x14ac:dyDescent="0.3">
      <c r="D102" s="879"/>
    </row>
    <row r="103" spans="1:104" s="836" customFormat="1" x14ac:dyDescent="0.25">
      <c r="A103" s="832" t="s">
        <v>1139</v>
      </c>
      <c r="B103" s="833"/>
      <c r="C103" s="834"/>
      <c r="D103" s="1022"/>
      <c r="E103" s="834"/>
      <c r="F103" s="833"/>
      <c r="G103" s="833"/>
      <c r="H103" s="833"/>
      <c r="I103" s="833"/>
      <c r="J103" s="833"/>
      <c r="K103" s="833"/>
      <c r="L103" s="833"/>
      <c r="M103" s="833"/>
      <c r="N103" s="833"/>
      <c r="O103" s="833"/>
      <c r="P103" s="833"/>
      <c r="Q103" s="833"/>
      <c r="R103" s="833"/>
      <c r="S103" s="833"/>
      <c r="T103" s="833"/>
      <c r="U103" s="833"/>
      <c r="V103" s="833"/>
      <c r="W103" s="833"/>
      <c r="X103" s="833"/>
      <c r="Y103" s="833"/>
      <c r="Z103" s="833"/>
      <c r="AA103" s="833"/>
      <c r="AB103" s="833"/>
      <c r="AC103" s="833"/>
      <c r="AD103" s="833"/>
      <c r="AE103" s="833"/>
      <c r="AF103" s="833"/>
      <c r="AG103" s="833"/>
      <c r="AH103" s="833"/>
      <c r="AI103" s="833"/>
      <c r="AJ103" s="833"/>
      <c r="AK103" s="833"/>
      <c r="AL103" s="833"/>
      <c r="AM103" s="833"/>
      <c r="AN103" s="833"/>
      <c r="AO103" s="833"/>
      <c r="AP103" s="833"/>
      <c r="AQ103" s="833"/>
      <c r="AR103" s="833"/>
      <c r="AS103" s="833"/>
      <c r="AT103" s="833"/>
      <c r="AU103" s="833"/>
      <c r="AV103" s="833"/>
      <c r="AW103" s="833"/>
      <c r="AX103" s="833"/>
      <c r="AY103" s="833"/>
      <c r="AZ103" s="833"/>
      <c r="BA103" s="833"/>
      <c r="BB103" s="833"/>
      <c r="BC103" s="833"/>
      <c r="BD103" s="833"/>
      <c r="BE103" s="833"/>
      <c r="BF103" s="833"/>
      <c r="BG103" s="833"/>
      <c r="BH103" s="833"/>
      <c r="BI103" s="833"/>
      <c r="BJ103" s="833"/>
      <c r="BK103" s="833"/>
      <c r="BL103" s="833"/>
      <c r="BM103" s="833"/>
      <c r="BN103" s="833"/>
      <c r="BO103" s="833"/>
      <c r="BP103" s="833"/>
      <c r="BQ103" s="833"/>
      <c r="BR103" s="833"/>
      <c r="BS103" s="833"/>
      <c r="BT103" s="833"/>
      <c r="BU103" s="833"/>
      <c r="BV103" s="835"/>
    </row>
    <row r="104" spans="1:104" s="836" customFormat="1" x14ac:dyDescent="0.25">
      <c r="A104" s="837" t="s">
        <v>1093</v>
      </c>
      <c r="B104" s="838"/>
      <c r="C104" s="839"/>
      <c r="D104" s="1023"/>
      <c r="E104" s="839"/>
      <c r="F104" s="838"/>
      <c r="G104" s="838"/>
      <c r="H104" s="838"/>
      <c r="I104" s="838"/>
      <c r="J104" s="838"/>
      <c r="K104" s="838"/>
      <c r="L104" s="838"/>
      <c r="M104" s="838"/>
      <c r="N104" s="838"/>
      <c r="O104" s="838"/>
      <c r="P104" s="838"/>
      <c r="Q104" s="838"/>
      <c r="R104" s="838"/>
      <c r="S104" s="838"/>
      <c r="T104" s="838"/>
      <c r="U104" s="838"/>
      <c r="V104" s="838"/>
      <c r="W104" s="838"/>
      <c r="X104" s="838"/>
      <c r="Y104" s="838"/>
      <c r="Z104" s="838"/>
      <c r="AA104" s="838"/>
      <c r="AB104" s="838"/>
      <c r="AC104" s="838"/>
      <c r="AD104" s="838"/>
      <c r="AE104" s="838"/>
      <c r="AF104" s="838"/>
      <c r="AG104" s="838"/>
      <c r="AH104" s="838"/>
      <c r="AI104" s="838"/>
      <c r="AJ104" s="838"/>
      <c r="AK104" s="838"/>
      <c r="AL104" s="838"/>
      <c r="AM104" s="838"/>
      <c r="AN104" s="838"/>
      <c r="AO104" s="838"/>
      <c r="AP104" s="838"/>
      <c r="AQ104" s="838"/>
      <c r="AR104" s="838"/>
      <c r="AS104" s="838"/>
      <c r="AT104" s="838"/>
      <c r="AU104" s="838"/>
      <c r="AV104" s="838"/>
      <c r="AW104" s="838"/>
      <c r="AX104" s="838"/>
      <c r="AY104" s="838"/>
      <c r="AZ104" s="838"/>
      <c r="BA104" s="838"/>
      <c r="BB104" s="838"/>
      <c r="BC104" s="838"/>
      <c r="BD104" s="838"/>
      <c r="BE104" s="838"/>
      <c r="BF104" s="838"/>
      <c r="BG104" s="838"/>
      <c r="BH104" s="838"/>
      <c r="BI104" s="838"/>
      <c r="BJ104" s="838"/>
      <c r="BK104" s="838"/>
      <c r="BL104" s="838"/>
      <c r="BM104" s="838"/>
      <c r="BN104" s="838"/>
      <c r="BO104" s="838"/>
      <c r="BP104" s="838"/>
      <c r="BQ104" s="838"/>
      <c r="BR104" s="838"/>
      <c r="BS104" s="838"/>
      <c r="BT104" s="838"/>
      <c r="BU104" s="838"/>
      <c r="BV104" s="840"/>
    </row>
    <row r="105" spans="1:104" s="836" customFormat="1" x14ac:dyDescent="0.25">
      <c r="A105" s="841"/>
      <c r="B105" s="838"/>
      <c r="C105" s="839"/>
      <c r="D105" s="1023"/>
      <c r="E105" s="839"/>
      <c r="F105" s="838"/>
      <c r="G105" s="838"/>
      <c r="H105" s="838"/>
      <c r="I105" s="838"/>
      <c r="J105" s="838"/>
      <c r="K105" s="838"/>
      <c r="L105" s="838"/>
      <c r="M105" s="838"/>
      <c r="N105" s="838"/>
      <c r="O105" s="838"/>
      <c r="P105" s="838"/>
      <c r="Q105" s="838"/>
      <c r="R105" s="838"/>
      <c r="S105" s="838"/>
      <c r="T105" s="838"/>
      <c r="U105" s="838"/>
      <c r="V105" s="838"/>
      <c r="W105" s="838"/>
      <c r="X105" s="838"/>
      <c r="Y105" s="838"/>
      <c r="Z105" s="838"/>
      <c r="AA105" s="838"/>
      <c r="AB105" s="838"/>
      <c r="AC105" s="838"/>
      <c r="AD105" s="838"/>
      <c r="AE105" s="838"/>
      <c r="AF105" s="838"/>
      <c r="AG105" s="838"/>
      <c r="AH105" s="838"/>
      <c r="AI105" s="838"/>
      <c r="AJ105" s="838"/>
      <c r="AK105" s="838"/>
      <c r="AL105" s="838"/>
      <c r="AM105" s="838"/>
      <c r="AN105" s="838"/>
      <c r="AO105" s="838"/>
      <c r="AP105" s="838"/>
      <c r="AQ105" s="838"/>
      <c r="AR105" s="838"/>
      <c r="AS105" s="838"/>
      <c r="AT105" s="838"/>
      <c r="AU105" s="838"/>
      <c r="AV105" s="838"/>
      <c r="AW105" s="838"/>
      <c r="AX105" s="838"/>
      <c r="AY105" s="838"/>
      <c r="AZ105" s="838"/>
      <c r="BA105" s="838"/>
      <c r="BB105" s="838"/>
      <c r="BC105" s="838"/>
      <c r="BD105" s="838"/>
      <c r="BE105" s="838"/>
      <c r="BF105" s="838"/>
      <c r="BG105" s="838"/>
      <c r="BH105" s="838"/>
      <c r="BI105" s="838"/>
      <c r="BJ105" s="838"/>
      <c r="BK105" s="838"/>
      <c r="BL105" s="838"/>
      <c r="BM105" s="838"/>
      <c r="BN105" s="838"/>
      <c r="BO105" s="838"/>
      <c r="BP105" s="838"/>
      <c r="BQ105" s="838"/>
      <c r="BR105" s="838"/>
      <c r="BS105" s="838"/>
      <c r="BT105" s="838"/>
      <c r="BU105" s="838"/>
      <c r="BV105" s="840"/>
    </row>
    <row r="106" spans="1:104" s="836" customFormat="1" x14ac:dyDescent="0.25">
      <c r="A106" s="841" t="s">
        <v>670</v>
      </c>
      <c r="B106" s="838"/>
      <c r="C106" s="839"/>
      <c r="D106" s="1023"/>
      <c r="E106" s="839"/>
      <c r="F106" s="838"/>
      <c r="G106" s="838"/>
      <c r="H106" s="838"/>
      <c r="I106" s="838"/>
      <c r="J106" s="838"/>
      <c r="K106" s="838"/>
      <c r="L106" s="838"/>
      <c r="M106" s="838"/>
      <c r="N106" s="838"/>
      <c r="O106" s="842">
        <v>10.979644</v>
      </c>
      <c r="P106" s="842">
        <v>10.458463</v>
      </c>
      <c r="Q106" s="842">
        <v>10.386789</v>
      </c>
      <c r="R106" s="842">
        <v>11.197535999999999</v>
      </c>
      <c r="S106" s="842">
        <v>10.997512</v>
      </c>
      <c r="T106" s="842">
        <v>10.684602</v>
      </c>
      <c r="U106" s="842">
        <v>11.01057</v>
      </c>
      <c r="V106" s="842">
        <v>11.455973999999999</v>
      </c>
      <c r="W106" s="842">
        <v>11.627091999999999</v>
      </c>
      <c r="X106" s="842">
        <v>11.591965</v>
      </c>
      <c r="Y106" s="842">
        <v>11.804651</v>
      </c>
      <c r="Z106" s="842">
        <v>11.896172</v>
      </c>
      <c r="AA106" s="842">
        <v>12.056948999999999</v>
      </c>
      <c r="AB106" s="842">
        <v>12.305148000000001</v>
      </c>
      <c r="AC106" s="842">
        <v>12.475469</v>
      </c>
      <c r="AD106" s="842">
        <v>12.579926</v>
      </c>
      <c r="AE106" s="842">
        <v>12.716393999999999</v>
      </c>
      <c r="AF106" s="842">
        <v>12.897914999999999</v>
      </c>
      <c r="AG106" s="842">
        <v>13.184208999999999</v>
      </c>
      <c r="AH106" s="842">
        <v>13.502886999999999</v>
      </c>
      <c r="AI106" s="842">
        <v>13.64997</v>
      </c>
      <c r="AJ106" s="842">
        <v>13.712135</v>
      </c>
      <c r="AK106" s="842">
        <v>13.943460999999999</v>
      </c>
      <c r="AL106" s="842">
        <v>14.339456999999999</v>
      </c>
      <c r="AM106" s="842">
        <v>14.605688000000001</v>
      </c>
      <c r="AN106" s="842">
        <v>14.994783</v>
      </c>
      <c r="AO106" s="842">
        <v>15.152347000000001</v>
      </c>
      <c r="AP106" s="842">
        <v>15.279963</v>
      </c>
      <c r="AQ106" s="842">
        <v>15.618371</v>
      </c>
      <c r="AR106" s="842">
        <v>15.977807</v>
      </c>
      <c r="AS106" s="838"/>
      <c r="AT106" s="838"/>
      <c r="AU106" s="838"/>
      <c r="AV106" s="838"/>
      <c r="AW106" s="838"/>
      <c r="AX106" s="838"/>
      <c r="AY106" s="838"/>
      <c r="AZ106" s="838"/>
      <c r="BA106" s="838"/>
      <c r="BB106" s="838"/>
      <c r="BC106" s="838"/>
      <c r="BD106" s="838"/>
      <c r="BE106" s="838"/>
      <c r="BF106" s="838"/>
      <c r="BG106" s="838"/>
      <c r="BH106" s="838"/>
      <c r="BI106" s="838"/>
      <c r="BJ106" s="838"/>
      <c r="BK106" s="838"/>
      <c r="BL106" s="838"/>
      <c r="BM106" s="838"/>
      <c r="BN106" s="838"/>
      <c r="BO106" s="838"/>
      <c r="BP106" s="838"/>
      <c r="BQ106" s="838"/>
      <c r="BR106" s="838"/>
      <c r="BS106" s="838"/>
      <c r="BT106" s="838"/>
      <c r="BU106" s="838"/>
      <c r="BV106" s="840"/>
    </row>
    <row r="107" spans="1:104" s="836" customFormat="1" x14ac:dyDescent="0.25">
      <c r="A107" s="841" t="s">
        <v>1067</v>
      </c>
      <c r="B107" s="838"/>
      <c r="C107" s="839"/>
      <c r="D107" s="1023"/>
      <c r="E107" s="839"/>
      <c r="F107" s="838"/>
      <c r="G107" s="838"/>
      <c r="H107" s="838"/>
      <c r="I107" s="838"/>
      <c r="J107" s="838"/>
      <c r="K107" s="838"/>
      <c r="L107" s="838"/>
      <c r="M107" s="838"/>
      <c r="N107" s="838"/>
      <c r="O107" s="842">
        <v>8.9608349999999994</v>
      </c>
      <c r="P107" s="842">
        <v>8.1128640000000001</v>
      </c>
      <c r="Q107" s="842">
        <v>8.3120530000000006</v>
      </c>
      <c r="R107" s="842">
        <v>9.0860579999999995</v>
      </c>
      <c r="S107" s="842">
        <v>8.9185510000000008</v>
      </c>
      <c r="T107" s="842">
        <v>8.7230709999999991</v>
      </c>
      <c r="U107" s="842">
        <v>9.0072580000000002</v>
      </c>
      <c r="V107" s="842">
        <v>9.4091780000000007</v>
      </c>
      <c r="W107" s="842">
        <v>9.5464699999999993</v>
      </c>
      <c r="X107" s="842">
        <v>9.490774</v>
      </c>
      <c r="Y107" s="842">
        <v>9.6849690000000006</v>
      </c>
      <c r="Z107" s="842">
        <v>9.7584820000000008</v>
      </c>
      <c r="AA107" s="842">
        <v>9.8987529999999992</v>
      </c>
      <c r="AB107" s="842">
        <v>10.127039999999999</v>
      </c>
      <c r="AC107" s="842">
        <v>10.286922000000001</v>
      </c>
      <c r="AD107" s="842">
        <v>10.380953999999999</v>
      </c>
      <c r="AE107" s="842">
        <v>10.496881999999999</v>
      </c>
      <c r="AF107" s="842">
        <v>10.657225</v>
      </c>
      <c r="AG107" s="842">
        <v>10.911016</v>
      </c>
      <c r="AH107" s="842">
        <v>11.192325</v>
      </c>
      <c r="AI107" s="842">
        <v>11.294316</v>
      </c>
      <c r="AJ107" s="842">
        <v>11.292712999999999</v>
      </c>
      <c r="AK107" s="842">
        <v>11.478382999999999</v>
      </c>
      <c r="AL107" s="842">
        <v>11.747921</v>
      </c>
      <c r="AM107" s="842">
        <v>11.953430000000001</v>
      </c>
      <c r="AN107" s="842">
        <v>12.263629999999999</v>
      </c>
      <c r="AO107" s="842">
        <v>12.368285999999999</v>
      </c>
      <c r="AP107" s="842">
        <v>12.459205000000001</v>
      </c>
      <c r="AQ107" s="842">
        <v>12.755896</v>
      </c>
      <c r="AR107" s="842">
        <v>13.077387</v>
      </c>
      <c r="AS107" s="838"/>
      <c r="AT107" s="838"/>
      <c r="AU107" s="838"/>
      <c r="AV107" s="838"/>
      <c r="AW107" s="838"/>
      <c r="AX107" s="838"/>
      <c r="AY107" s="838"/>
      <c r="AZ107" s="838"/>
      <c r="BA107" s="838"/>
      <c r="BB107" s="838"/>
      <c r="BC107" s="838"/>
      <c r="BD107" s="838"/>
      <c r="BE107" s="838"/>
      <c r="BF107" s="838"/>
      <c r="BG107" s="838"/>
      <c r="BH107" s="838"/>
      <c r="BI107" s="838"/>
      <c r="BJ107" s="838"/>
      <c r="BK107" s="838"/>
      <c r="BL107" s="838"/>
      <c r="BM107" s="838"/>
      <c r="BN107" s="838"/>
      <c r="BO107" s="838"/>
      <c r="BP107" s="838"/>
      <c r="BQ107" s="838"/>
      <c r="BR107" s="838"/>
      <c r="BS107" s="838"/>
      <c r="BT107" s="838"/>
      <c r="BU107" s="838"/>
      <c r="BV107" s="840"/>
    </row>
    <row r="108" spans="1:104" s="836" customFormat="1" x14ac:dyDescent="0.25">
      <c r="A108" s="841" t="s">
        <v>282</v>
      </c>
      <c r="B108" s="838"/>
      <c r="C108" s="839"/>
      <c r="D108" s="1023"/>
      <c r="E108" s="839"/>
      <c r="F108" s="838"/>
      <c r="G108" s="838"/>
      <c r="H108" s="838"/>
      <c r="I108" s="838"/>
      <c r="J108" s="838"/>
      <c r="K108" s="838"/>
      <c r="L108" s="838"/>
      <c r="M108" s="838"/>
      <c r="N108" s="838"/>
      <c r="O108" s="842">
        <v>5.093718</v>
      </c>
      <c r="P108" s="842">
        <v>3.77142</v>
      </c>
      <c r="Q108" s="842">
        <v>4.594805</v>
      </c>
      <c r="R108" s="842">
        <v>4.7995720000000004</v>
      </c>
      <c r="S108" s="842">
        <v>4.9392990000000001</v>
      </c>
      <c r="T108" s="842">
        <v>5.148549</v>
      </c>
      <c r="U108" s="842">
        <v>5.425808</v>
      </c>
      <c r="V108" s="842">
        <v>5.8458810000000003</v>
      </c>
      <c r="W108" s="842">
        <v>5.9476060000000004</v>
      </c>
      <c r="X108" s="842">
        <v>5.7923239999999998</v>
      </c>
      <c r="Y108" s="842">
        <v>5.9347989999999999</v>
      </c>
      <c r="Z108" s="842">
        <v>5.9545320000000004</v>
      </c>
      <c r="AA108" s="842">
        <v>6.0522600000000004</v>
      </c>
      <c r="AB108" s="842">
        <v>6.2273719999999999</v>
      </c>
      <c r="AC108" s="842">
        <v>6.3209530000000003</v>
      </c>
      <c r="AD108" s="842">
        <v>6.356109</v>
      </c>
      <c r="AE108" s="842">
        <v>6.4293370000000003</v>
      </c>
      <c r="AF108" s="842">
        <v>6.531498</v>
      </c>
      <c r="AG108" s="842">
        <v>6.7357209999999998</v>
      </c>
      <c r="AH108" s="842">
        <v>6.9891050000000003</v>
      </c>
      <c r="AI108" s="842">
        <v>7.1038509999999997</v>
      </c>
      <c r="AJ108" s="842">
        <v>7.224164</v>
      </c>
      <c r="AK108" s="842">
        <v>7.420331</v>
      </c>
      <c r="AL108" s="842">
        <v>7.5726420000000001</v>
      </c>
      <c r="AM108" s="842">
        <v>7.7575940000000001</v>
      </c>
      <c r="AN108" s="842">
        <v>8.0432100000000002</v>
      </c>
      <c r="AO108" s="842">
        <v>8.0942129999999999</v>
      </c>
      <c r="AP108" s="842">
        <v>8.1302479999999999</v>
      </c>
      <c r="AQ108" s="842">
        <v>8.3372609999999998</v>
      </c>
      <c r="AR108" s="842">
        <v>8.5934050000000006</v>
      </c>
      <c r="AS108" s="838"/>
      <c r="AT108" s="838"/>
      <c r="AU108" s="838"/>
      <c r="AV108" s="838"/>
      <c r="AW108" s="838"/>
      <c r="AX108" s="838"/>
      <c r="AY108" s="838"/>
      <c r="AZ108" s="838"/>
      <c r="BA108" s="838"/>
      <c r="BB108" s="838"/>
      <c r="BC108" s="838"/>
      <c r="BD108" s="838"/>
      <c r="BE108" s="838"/>
      <c r="BF108" s="838"/>
      <c r="BG108" s="838"/>
      <c r="BH108" s="838"/>
      <c r="BI108" s="838"/>
      <c r="BJ108" s="838"/>
      <c r="BK108" s="838"/>
      <c r="BL108" s="838"/>
      <c r="BM108" s="838"/>
      <c r="BN108" s="838"/>
      <c r="BO108" s="838"/>
      <c r="BP108" s="838"/>
      <c r="BQ108" s="838"/>
      <c r="BR108" s="838"/>
      <c r="BS108" s="838"/>
      <c r="BT108" s="838"/>
      <c r="BU108" s="838"/>
      <c r="BV108" s="840"/>
    </row>
    <row r="109" spans="1:104" s="836" customFormat="1" x14ac:dyDescent="0.25">
      <c r="A109" s="843" t="str">
        <f>'HyARC Physical Property Data'!$A$74</f>
        <v>Electric Utility Natural Gas</v>
      </c>
      <c r="B109" s="838"/>
      <c r="C109" s="839"/>
      <c r="D109" s="1023"/>
      <c r="E109" s="839"/>
      <c r="F109" s="838"/>
      <c r="G109" s="838"/>
      <c r="H109" s="838"/>
      <c r="I109" s="838"/>
      <c r="J109" s="838"/>
      <c r="K109" s="838"/>
      <c r="L109" s="838"/>
      <c r="M109" s="838"/>
      <c r="N109" s="838"/>
      <c r="O109" s="842">
        <v>4.881901</v>
      </c>
      <c r="P109" s="842">
        <v>3.4378730000000002</v>
      </c>
      <c r="Q109" s="842">
        <v>4.3206319999999998</v>
      </c>
      <c r="R109" s="842">
        <v>4.4694140000000004</v>
      </c>
      <c r="S109" s="842">
        <v>4.4284980000000003</v>
      </c>
      <c r="T109" s="842">
        <v>4.4748020000000004</v>
      </c>
      <c r="U109" s="842">
        <v>4.6905669999999997</v>
      </c>
      <c r="V109" s="842">
        <v>5.0621029999999996</v>
      </c>
      <c r="W109" s="842">
        <v>5.1794200000000004</v>
      </c>
      <c r="X109" s="842">
        <v>5.0744109999999996</v>
      </c>
      <c r="Y109" s="842">
        <v>5.242337</v>
      </c>
      <c r="Z109" s="842">
        <v>5.2943420000000003</v>
      </c>
      <c r="AA109" s="842">
        <v>5.4200609999999996</v>
      </c>
      <c r="AB109" s="842">
        <v>5.622217</v>
      </c>
      <c r="AC109" s="842">
        <v>5.7577170000000004</v>
      </c>
      <c r="AD109" s="842">
        <v>5.8140010000000002</v>
      </c>
      <c r="AE109" s="842">
        <v>5.9051999999999998</v>
      </c>
      <c r="AF109" s="842">
        <v>6.0276690000000004</v>
      </c>
      <c r="AG109" s="842">
        <v>6.2437040000000001</v>
      </c>
      <c r="AH109" s="842">
        <v>6.4934279999999998</v>
      </c>
      <c r="AI109" s="842">
        <v>6.6170710000000001</v>
      </c>
      <c r="AJ109" s="842">
        <v>6.726566</v>
      </c>
      <c r="AK109" s="842">
        <v>6.9305599999999998</v>
      </c>
      <c r="AL109" s="842">
        <v>7.0909170000000001</v>
      </c>
      <c r="AM109" s="842">
        <v>7.286816</v>
      </c>
      <c r="AN109" s="842">
        <v>7.5708000000000002</v>
      </c>
      <c r="AO109" s="842">
        <v>7.630439</v>
      </c>
      <c r="AP109" s="842">
        <v>7.6782940000000002</v>
      </c>
      <c r="AQ109" s="842">
        <v>7.8974500000000001</v>
      </c>
      <c r="AR109" s="842">
        <v>8.1587669999999992</v>
      </c>
      <c r="AS109" s="838"/>
      <c r="AT109" s="838"/>
      <c r="AU109" s="838"/>
      <c r="AV109" s="838"/>
      <c r="AW109" s="838"/>
      <c r="AX109" s="838"/>
      <c r="AY109" s="838"/>
      <c r="AZ109" s="838"/>
      <c r="BA109" s="838"/>
      <c r="BB109" s="838"/>
      <c r="BC109" s="838"/>
      <c r="BD109" s="838"/>
      <c r="BE109" s="838"/>
      <c r="BF109" s="838"/>
      <c r="BG109" s="838"/>
      <c r="BH109" s="838"/>
      <c r="BI109" s="838"/>
      <c r="BJ109" s="838"/>
      <c r="BK109" s="838"/>
      <c r="BL109" s="838"/>
      <c r="BM109" s="838"/>
      <c r="BN109" s="838"/>
      <c r="BO109" s="838"/>
      <c r="BP109" s="838"/>
      <c r="BQ109" s="838"/>
      <c r="BR109" s="838"/>
      <c r="BS109" s="838"/>
      <c r="BT109" s="838"/>
      <c r="BU109" s="838"/>
      <c r="BV109" s="840"/>
    </row>
    <row r="110" spans="1:104" s="836" customFormat="1" x14ac:dyDescent="0.25">
      <c r="A110" s="838" t="s">
        <v>1063</v>
      </c>
      <c r="B110" s="838"/>
      <c r="C110" s="839"/>
      <c r="D110" s="1023"/>
      <c r="E110" s="839"/>
      <c r="F110" s="838"/>
      <c r="G110" s="838"/>
      <c r="H110" s="838"/>
      <c r="I110" s="838"/>
      <c r="J110" s="838"/>
      <c r="K110" s="838"/>
      <c r="L110" s="838"/>
      <c r="M110" s="838"/>
      <c r="N110" s="838"/>
      <c r="O110" s="842"/>
      <c r="P110" s="842"/>
      <c r="Q110" s="842"/>
      <c r="R110" s="842"/>
      <c r="S110" s="842"/>
      <c r="T110" s="842"/>
      <c r="U110" s="842"/>
      <c r="V110" s="842"/>
      <c r="W110" s="842"/>
      <c r="X110" s="842"/>
      <c r="Y110" s="842"/>
      <c r="Z110" s="842"/>
      <c r="AA110" s="842"/>
      <c r="AB110" s="842"/>
      <c r="AC110" s="842"/>
      <c r="AD110" s="842"/>
      <c r="AE110" s="842"/>
      <c r="AF110" s="842"/>
      <c r="AG110" s="842"/>
      <c r="AH110" s="842"/>
      <c r="AI110" s="842"/>
      <c r="AJ110" s="842"/>
      <c r="AK110" s="842"/>
      <c r="AL110" s="842"/>
      <c r="AM110" s="842"/>
      <c r="AN110" s="842"/>
      <c r="AO110" s="842"/>
      <c r="AP110" s="842"/>
      <c r="AQ110" s="842"/>
      <c r="AR110" s="842"/>
      <c r="AS110" s="838"/>
      <c r="AT110" s="838"/>
      <c r="AU110" s="838"/>
      <c r="AV110" s="838"/>
      <c r="AW110" s="838"/>
      <c r="AX110" s="838"/>
      <c r="AY110" s="838"/>
      <c r="AZ110" s="838"/>
      <c r="BA110" s="838"/>
      <c r="BB110" s="838"/>
      <c r="BC110" s="838"/>
      <c r="BD110" s="838"/>
      <c r="BE110" s="838"/>
      <c r="BF110" s="838"/>
      <c r="BG110" s="838"/>
      <c r="BH110" s="838"/>
      <c r="BI110" s="838"/>
      <c r="BJ110" s="838"/>
      <c r="BK110" s="838"/>
      <c r="BL110" s="838"/>
      <c r="BM110" s="838"/>
      <c r="BN110" s="838"/>
      <c r="BO110" s="838"/>
      <c r="BP110" s="838"/>
      <c r="BQ110" s="838"/>
      <c r="BR110" s="838"/>
      <c r="BS110" s="838"/>
      <c r="BT110" s="838"/>
      <c r="BU110" s="838"/>
      <c r="BV110" s="840"/>
    </row>
    <row r="111" spans="1:104" s="836" customFormat="1" x14ac:dyDescent="0.25">
      <c r="A111" s="858" t="s">
        <v>705</v>
      </c>
      <c r="B111" s="838"/>
      <c r="C111" s="839"/>
      <c r="D111" s="1023"/>
      <c r="E111" s="839"/>
      <c r="F111" s="838"/>
      <c r="G111" s="838"/>
      <c r="H111" s="838"/>
      <c r="I111" s="838"/>
      <c r="J111" s="838"/>
      <c r="K111" s="838"/>
      <c r="L111" s="838"/>
      <c r="M111" s="838"/>
      <c r="N111" s="838"/>
      <c r="O111" s="842">
        <v>7.1348120000000002</v>
      </c>
      <c r="P111" s="842">
        <v>7.25</v>
      </c>
      <c r="Q111" s="842">
        <v>7.4339180000000002</v>
      </c>
      <c r="R111" s="842">
        <v>7.5123340000000001</v>
      </c>
      <c r="S111" s="842">
        <v>7.7593930000000002</v>
      </c>
      <c r="T111" s="842">
        <v>7.9480709999999997</v>
      </c>
      <c r="U111" s="842">
        <v>8.0483750000000001</v>
      </c>
      <c r="V111" s="842">
        <v>8.1909299999999998</v>
      </c>
      <c r="W111" s="842">
        <v>8.3009920000000008</v>
      </c>
      <c r="X111" s="842">
        <v>8.4282590000000006</v>
      </c>
      <c r="Y111" s="842">
        <v>8.5261879999999994</v>
      </c>
      <c r="Z111" s="842">
        <v>8.6333680000000008</v>
      </c>
      <c r="AA111" s="842">
        <v>8.7384330000000006</v>
      </c>
      <c r="AB111" s="842">
        <v>8.8454820000000005</v>
      </c>
      <c r="AC111" s="842">
        <v>8.9517559999999996</v>
      </c>
      <c r="AD111" s="842">
        <v>9.0441529999999997</v>
      </c>
      <c r="AE111" s="842">
        <v>9.1489940000000001</v>
      </c>
      <c r="AF111" s="842">
        <v>9.2665970000000009</v>
      </c>
      <c r="AG111" s="842">
        <v>9.3802029999999998</v>
      </c>
      <c r="AH111" s="842">
        <v>9.5131180000000004</v>
      </c>
      <c r="AI111" s="842">
        <v>9.5927720000000001</v>
      </c>
      <c r="AJ111" s="842">
        <v>9.6736090000000008</v>
      </c>
      <c r="AK111" s="842">
        <v>9.7592280000000002</v>
      </c>
      <c r="AL111" s="842">
        <v>9.8373989999999996</v>
      </c>
      <c r="AM111" s="842">
        <v>9.9349030000000003</v>
      </c>
      <c r="AN111" s="842">
        <v>10.012817</v>
      </c>
      <c r="AO111" s="842">
        <v>10.10066</v>
      </c>
      <c r="AP111" s="842">
        <v>10.107113</v>
      </c>
      <c r="AQ111" s="842">
        <v>10.135842</v>
      </c>
      <c r="AR111" s="842">
        <v>10.197044999999999</v>
      </c>
      <c r="AS111" s="838"/>
      <c r="AT111" s="838"/>
      <c r="AU111" s="838"/>
      <c r="AV111" s="838"/>
      <c r="AW111" s="838"/>
      <c r="AX111" s="838"/>
      <c r="AY111" s="838"/>
      <c r="AZ111" s="838"/>
      <c r="BA111" s="838"/>
      <c r="BB111" s="838"/>
      <c r="BC111" s="838"/>
      <c r="BD111" s="838"/>
      <c r="BE111" s="838"/>
      <c r="BF111" s="838"/>
      <c r="BG111" s="838"/>
      <c r="BH111" s="838"/>
      <c r="BI111" s="838"/>
      <c r="BJ111" s="838"/>
      <c r="BK111" s="838"/>
      <c r="BL111" s="838"/>
      <c r="BM111" s="838"/>
      <c r="BN111" s="838"/>
      <c r="BO111" s="838"/>
      <c r="BP111" s="838"/>
      <c r="BQ111" s="838"/>
      <c r="BR111" s="838"/>
      <c r="BS111" s="838"/>
      <c r="BT111" s="838"/>
      <c r="BU111" s="838"/>
      <c r="BV111" s="840"/>
    </row>
    <row r="112" spans="1:104" s="836" customFormat="1" x14ac:dyDescent="0.25">
      <c r="A112" s="858" t="s">
        <v>706</v>
      </c>
      <c r="B112" s="838"/>
      <c r="C112" s="839"/>
      <c r="D112" s="1023"/>
      <c r="E112" s="839"/>
      <c r="F112" s="838"/>
      <c r="G112" s="838"/>
      <c r="H112" s="838"/>
      <c r="I112" s="838"/>
      <c r="J112" s="838"/>
      <c r="K112" s="838"/>
      <c r="L112" s="838"/>
      <c r="M112" s="838"/>
      <c r="N112" s="838"/>
      <c r="O112" s="842">
        <v>3.3073760000000001</v>
      </c>
      <c r="P112" s="842">
        <v>3.2396150000000001</v>
      </c>
      <c r="Q112" s="842">
        <v>3.3150900000000001</v>
      </c>
      <c r="R112" s="842">
        <v>3.2817340000000002</v>
      </c>
      <c r="S112" s="842">
        <v>3.3761420000000002</v>
      </c>
      <c r="T112" s="842">
        <v>3.437208</v>
      </c>
      <c r="U112" s="842">
        <v>3.4609869999999998</v>
      </c>
      <c r="V112" s="842">
        <v>3.5206819999999999</v>
      </c>
      <c r="W112" s="842">
        <v>3.5610849999999998</v>
      </c>
      <c r="X112" s="842">
        <v>3.5932520000000001</v>
      </c>
      <c r="Y112" s="842">
        <v>3.6143869999999998</v>
      </c>
      <c r="Z112" s="842">
        <v>3.6395840000000002</v>
      </c>
      <c r="AA112" s="842">
        <v>3.6651829999999999</v>
      </c>
      <c r="AB112" s="842">
        <v>3.697009</v>
      </c>
      <c r="AC112" s="842">
        <v>3.7274949999999998</v>
      </c>
      <c r="AD112" s="842">
        <v>3.7560980000000002</v>
      </c>
      <c r="AE112" s="842">
        <v>3.7847550000000001</v>
      </c>
      <c r="AF112" s="842">
        <v>3.8163930000000001</v>
      </c>
      <c r="AG112" s="842">
        <v>3.8450039999999999</v>
      </c>
      <c r="AH112" s="842">
        <v>3.8844850000000002</v>
      </c>
      <c r="AI112" s="842">
        <v>3.9155440000000001</v>
      </c>
      <c r="AJ112" s="842">
        <v>3.944798</v>
      </c>
      <c r="AK112" s="842">
        <v>3.9761479999999998</v>
      </c>
      <c r="AL112" s="842">
        <v>4.0004489999999997</v>
      </c>
      <c r="AM112" s="842">
        <v>4.0294249999999998</v>
      </c>
      <c r="AN112" s="842">
        <v>4.0600360000000002</v>
      </c>
      <c r="AO112" s="842">
        <v>4.0903939999999999</v>
      </c>
      <c r="AP112" s="842">
        <v>4.1171660000000001</v>
      </c>
      <c r="AQ112" s="842">
        <v>4.1493070000000003</v>
      </c>
      <c r="AR112" s="842">
        <v>4.1898999999999997</v>
      </c>
      <c r="AS112" s="838"/>
      <c r="AT112" s="838"/>
      <c r="AU112" s="838"/>
      <c r="AV112" s="838"/>
      <c r="AW112" s="838"/>
      <c r="AX112" s="838"/>
      <c r="AY112" s="838"/>
      <c r="AZ112" s="838"/>
      <c r="BA112" s="838"/>
      <c r="BB112" s="838"/>
      <c r="BC112" s="838"/>
      <c r="BD112" s="838"/>
      <c r="BE112" s="838"/>
      <c r="BF112" s="838"/>
      <c r="BG112" s="838"/>
      <c r="BH112" s="838"/>
      <c r="BI112" s="838"/>
      <c r="BJ112" s="838"/>
      <c r="BK112" s="838"/>
      <c r="BL112" s="838"/>
      <c r="BM112" s="838"/>
      <c r="BN112" s="838"/>
      <c r="BO112" s="838"/>
      <c r="BP112" s="838"/>
      <c r="BQ112" s="838"/>
      <c r="BR112" s="838"/>
      <c r="BS112" s="838"/>
      <c r="BT112" s="838"/>
      <c r="BU112" s="838"/>
      <c r="BV112" s="840"/>
    </row>
    <row r="113" spans="1:74" s="836" customFormat="1" x14ac:dyDescent="0.25">
      <c r="A113" s="841" t="s">
        <v>1069</v>
      </c>
      <c r="B113" s="838"/>
      <c r="C113" s="839"/>
      <c r="D113" s="1023"/>
      <c r="E113" s="839"/>
      <c r="F113" s="838"/>
      <c r="G113" s="838"/>
      <c r="H113" s="838"/>
      <c r="I113" s="838"/>
      <c r="J113" s="838"/>
      <c r="K113" s="838"/>
      <c r="L113" s="838"/>
      <c r="M113" s="838"/>
      <c r="N113" s="838"/>
      <c r="O113" s="842">
        <v>2.4223750000000002</v>
      </c>
      <c r="P113" s="842">
        <v>2.39</v>
      </c>
      <c r="Q113" s="842">
        <v>2.37385</v>
      </c>
      <c r="R113" s="842">
        <v>2.329834</v>
      </c>
      <c r="S113" s="842">
        <v>2.4039359999999999</v>
      </c>
      <c r="T113" s="842">
        <v>2.422212</v>
      </c>
      <c r="U113" s="842">
        <v>2.4863749999999998</v>
      </c>
      <c r="V113" s="842">
        <v>2.5503130000000001</v>
      </c>
      <c r="W113" s="842">
        <v>2.589102</v>
      </c>
      <c r="X113" s="842">
        <v>2.6113439999999999</v>
      </c>
      <c r="Y113" s="842">
        <v>2.6429999999999998</v>
      </c>
      <c r="Z113" s="842">
        <v>2.675691</v>
      </c>
      <c r="AA113" s="842">
        <v>2.7024710000000001</v>
      </c>
      <c r="AB113" s="842">
        <v>2.7390279999999998</v>
      </c>
      <c r="AC113" s="842">
        <v>2.7738589999999999</v>
      </c>
      <c r="AD113" s="842">
        <v>2.807261</v>
      </c>
      <c r="AE113" s="842">
        <v>2.8368190000000002</v>
      </c>
      <c r="AF113" s="842">
        <v>2.8649870000000002</v>
      </c>
      <c r="AG113" s="842">
        <v>2.8913859999999998</v>
      </c>
      <c r="AH113" s="842">
        <v>2.9256030000000002</v>
      </c>
      <c r="AI113" s="842">
        <v>2.9494180000000001</v>
      </c>
      <c r="AJ113" s="842">
        <v>2.9743849999999998</v>
      </c>
      <c r="AK113" s="842">
        <v>3.0006210000000002</v>
      </c>
      <c r="AL113" s="842">
        <v>3.0244930000000001</v>
      </c>
      <c r="AM113" s="842">
        <v>3.050074</v>
      </c>
      <c r="AN113" s="842">
        <v>3.076149</v>
      </c>
      <c r="AO113" s="842">
        <v>3.099027</v>
      </c>
      <c r="AP113" s="842">
        <v>3.1208209999999998</v>
      </c>
      <c r="AQ113" s="842">
        <v>3.153797</v>
      </c>
      <c r="AR113" s="842">
        <v>3.1896749999999998</v>
      </c>
      <c r="AS113" s="838"/>
      <c r="AT113" s="838"/>
      <c r="AU113" s="838"/>
      <c r="AV113" s="838"/>
      <c r="AW113" s="838"/>
      <c r="AX113" s="838"/>
      <c r="AY113" s="838"/>
      <c r="AZ113" s="838"/>
      <c r="BA113" s="838"/>
      <c r="BB113" s="838"/>
      <c r="BC113" s="838"/>
      <c r="BD113" s="838"/>
      <c r="BE113" s="838"/>
      <c r="BF113" s="838"/>
      <c r="BG113" s="838"/>
      <c r="BH113" s="838"/>
      <c r="BI113" s="838"/>
      <c r="BJ113" s="838"/>
      <c r="BK113" s="838"/>
      <c r="BL113" s="838"/>
      <c r="BM113" s="838"/>
      <c r="BN113" s="838"/>
      <c r="BO113" s="838"/>
      <c r="BP113" s="838"/>
      <c r="BQ113" s="838"/>
      <c r="BR113" s="838"/>
      <c r="BS113" s="838"/>
      <c r="BT113" s="838"/>
      <c r="BU113" s="838"/>
      <c r="BV113" s="840"/>
    </row>
    <row r="114" spans="1:74" s="836" customFormat="1" x14ac:dyDescent="0.25">
      <c r="A114" s="841" t="s">
        <v>672</v>
      </c>
      <c r="B114" s="838"/>
      <c r="C114" s="839"/>
      <c r="D114" s="1023"/>
      <c r="E114" s="839"/>
      <c r="F114" s="838"/>
      <c r="G114" s="838"/>
      <c r="H114" s="838"/>
      <c r="I114" s="838"/>
      <c r="J114" s="838"/>
      <c r="K114" s="838"/>
      <c r="L114" s="838"/>
      <c r="M114" s="838"/>
      <c r="N114" s="838"/>
      <c r="O114" s="842">
        <v>30.531154999999998</v>
      </c>
      <c r="P114" s="842">
        <v>29.553346999999999</v>
      </c>
      <c r="Q114" s="842">
        <v>29.462689999999998</v>
      </c>
      <c r="R114" s="842">
        <v>29.619807999999999</v>
      </c>
      <c r="S114" s="842">
        <v>29.992000999999998</v>
      </c>
      <c r="T114" s="842">
        <v>30.137812</v>
      </c>
      <c r="U114" s="842">
        <v>30.368880999999998</v>
      </c>
      <c r="V114" s="842">
        <v>30.723389000000001</v>
      </c>
      <c r="W114" s="842">
        <v>31.014326000000001</v>
      </c>
      <c r="X114" s="842">
        <v>30.799534000000001</v>
      </c>
      <c r="Y114" s="842">
        <v>30.631943</v>
      </c>
      <c r="Z114" s="842">
        <v>30.294862999999999</v>
      </c>
      <c r="AA114" s="842">
        <v>30.159492</v>
      </c>
      <c r="AB114" s="842">
        <v>30.497467</v>
      </c>
      <c r="AC114" s="842">
        <v>30.549484</v>
      </c>
      <c r="AD114" s="842">
        <v>30.628119000000002</v>
      </c>
      <c r="AE114" s="842">
        <v>30.831617000000001</v>
      </c>
      <c r="AF114" s="842">
        <v>30.906943999999999</v>
      </c>
      <c r="AG114" s="842">
        <v>31.016119</v>
      </c>
      <c r="AH114" s="842">
        <v>31.259630000000001</v>
      </c>
      <c r="AI114" s="842">
        <v>31.506346000000001</v>
      </c>
      <c r="AJ114" s="842">
        <v>31.548763000000001</v>
      </c>
      <c r="AK114" s="842">
        <v>31.537307999999999</v>
      </c>
      <c r="AL114" s="842">
        <v>31.727125000000001</v>
      </c>
      <c r="AM114" s="842">
        <v>31.983875000000001</v>
      </c>
      <c r="AN114" s="842">
        <v>32.252009999999999</v>
      </c>
      <c r="AO114" s="842">
        <v>32.456364000000001</v>
      </c>
      <c r="AP114" s="842">
        <v>32.526015999999998</v>
      </c>
      <c r="AQ114" s="842">
        <v>32.747635000000002</v>
      </c>
      <c r="AR114" s="842">
        <v>33.007354999999997</v>
      </c>
      <c r="AS114" s="838"/>
      <c r="AT114" s="838"/>
      <c r="AU114" s="838"/>
      <c r="AV114" s="838"/>
      <c r="AW114" s="838"/>
      <c r="AX114" s="838"/>
      <c r="AY114" s="838"/>
      <c r="AZ114" s="838"/>
      <c r="BA114" s="838"/>
      <c r="BB114" s="838"/>
      <c r="BC114" s="838"/>
      <c r="BD114" s="838"/>
      <c r="BE114" s="838"/>
      <c r="BF114" s="838"/>
      <c r="BG114" s="838"/>
      <c r="BH114" s="838"/>
      <c r="BI114" s="838"/>
      <c r="BJ114" s="838"/>
      <c r="BK114" s="838"/>
      <c r="BL114" s="838"/>
      <c r="BM114" s="838"/>
      <c r="BN114" s="838"/>
      <c r="BO114" s="838"/>
      <c r="BP114" s="838"/>
      <c r="BQ114" s="838"/>
      <c r="BR114" s="838"/>
      <c r="BS114" s="838"/>
      <c r="BT114" s="838"/>
      <c r="BU114" s="838"/>
      <c r="BV114" s="840"/>
    </row>
    <row r="115" spans="1:74" s="836" customFormat="1" x14ac:dyDescent="0.25">
      <c r="A115" s="841" t="s">
        <v>687</v>
      </c>
      <c r="B115" s="838"/>
      <c r="C115" s="839"/>
      <c r="D115" s="1023"/>
      <c r="E115" s="839"/>
      <c r="F115" s="838"/>
      <c r="G115" s="838"/>
      <c r="H115" s="838"/>
      <c r="I115" s="838"/>
      <c r="J115" s="838"/>
      <c r="K115" s="838"/>
      <c r="L115" s="838"/>
      <c r="M115" s="838"/>
      <c r="N115" s="838"/>
      <c r="O115" s="842">
        <v>20.348036</v>
      </c>
      <c r="P115" s="842">
        <v>19.495602000000002</v>
      </c>
      <c r="Q115" s="842">
        <v>20.081951</v>
      </c>
      <c r="R115" s="842">
        <v>19.872589000000001</v>
      </c>
      <c r="S115" s="842">
        <v>20.106300000000001</v>
      </c>
      <c r="T115" s="842">
        <v>20.110336</v>
      </c>
      <c r="U115" s="842">
        <v>20.286434</v>
      </c>
      <c r="V115" s="842">
        <v>20.591933999999998</v>
      </c>
      <c r="W115" s="842">
        <v>20.859487999999999</v>
      </c>
      <c r="X115" s="842">
        <v>20.769625000000001</v>
      </c>
      <c r="Y115" s="842">
        <v>20.751276000000001</v>
      </c>
      <c r="Z115" s="842">
        <v>20.654140000000002</v>
      </c>
      <c r="AA115" s="842">
        <v>20.663025000000001</v>
      </c>
      <c r="AB115" s="842">
        <v>20.946209</v>
      </c>
      <c r="AC115" s="842">
        <v>21.079236999999999</v>
      </c>
      <c r="AD115" s="842">
        <v>21.236912</v>
      </c>
      <c r="AE115" s="842">
        <v>21.461658</v>
      </c>
      <c r="AF115" s="842">
        <v>21.586451</v>
      </c>
      <c r="AG115" s="842">
        <v>21.737777999999999</v>
      </c>
      <c r="AH115" s="842">
        <v>21.988303999999999</v>
      </c>
      <c r="AI115" s="842">
        <v>22.237325999999999</v>
      </c>
      <c r="AJ115" s="842">
        <v>22.342414999999999</v>
      </c>
      <c r="AK115" s="842">
        <v>22.437189</v>
      </c>
      <c r="AL115" s="842">
        <v>22.654578999999998</v>
      </c>
      <c r="AM115" s="842">
        <v>22.911854000000002</v>
      </c>
      <c r="AN115" s="842">
        <v>23.191139</v>
      </c>
      <c r="AO115" s="842">
        <v>23.409314999999999</v>
      </c>
      <c r="AP115" s="842">
        <v>23.521646</v>
      </c>
      <c r="AQ115" s="842">
        <v>23.76399</v>
      </c>
      <c r="AR115" s="842">
        <v>24.052772999999998</v>
      </c>
      <c r="AS115" s="838"/>
      <c r="AT115" s="838"/>
      <c r="AU115" s="838"/>
      <c r="AV115" s="838"/>
      <c r="AW115" s="838"/>
      <c r="AX115" s="838"/>
      <c r="AY115" s="838"/>
      <c r="AZ115" s="838"/>
      <c r="BA115" s="838"/>
      <c r="BB115" s="838"/>
      <c r="BC115" s="838"/>
      <c r="BD115" s="838"/>
      <c r="BE115" s="838"/>
      <c r="BF115" s="838"/>
      <c r="BG115" s="838"/>
      <c r="BH115" s="838"/>
      <c r="BI115" s="838"/>
      <c r="BJ115" s="838"/>
      <c r="BK115" s="838"/>
      <c r="BL115" s="838"/>
      <c r="BM115" s="838"/>
      <c r="BN115" s="838"/>
      <c r="BO115" s="838"/>
      <c r="BP115" s="838"/>
      <c r="BQ115" s="838"/>
      <c r="BR115" s="838"/>
      <c r="BS115" s="838"/>
      <c r="BT115" s="838"/>
      <c r="BU115" s="838"/>
      <c r="BV115" s="840"/>
    </row>
    <row r="116" spans="1:74" s="836" customFormat="1" ht="13.8" thickBot="1" x14ac:dyDescent="0.3">
      <c r="A116" s="845" t="s">
        <v>673</v>
      </c>
      <c r="B116" s="846"/>
      <c r="C116" s="847"/>
      <c r="D116" s="847"/>
      <c r="E116" s="847"/>
      <c r="F116" s="846"/>
      <c r="G116" s="846"/>
      <c r="H116" s="846"/>
      <c r="I116" s="846"/>
      <c r="J116" s="846"/>
      <c r="K116" s="846"/>
      <c r="L116" s="846"/>
      <c r="M116" s="846"/>
      <c r="N116" s="846"/>
      <c r="O116" s="848">
        <v>34.952885000000002</v>
      </c>
      <c r="P116" s="848">
        <v>34.831184</v>
      </c>
      <c r="Q116" s="848">
        <v>34.015979999999999</v>
      </c>
      <c r="R116" s="848">
        <v>34.409668000000003</v>
      </c>
      <c r="S116" s="848">
        <v>34.941752999999999</v>
      </c>
      <c r="T116" s="848">
        <v>35.163139000000001</v>
      </c>
      <c r="U116" s="848">
        <v>35.519157</v>
      </c>
      <c r="V116" s="848">
        <v>35.913296000000003</v>
      </c>
      <c r="W116" s="848">
        <v>36.178234000000003</v>
      </c>
      <c r="X116" s="848">
        <v>36.146892999999999</v>
      </c>
      <c r="Y116" s="848">
        <v>36.061802</v>
      </c>
      <c r="Z116" s="848">
        <v>35.804130999999998</v>
      </c>
      <c r="AA116" s="848">
        <v>35.695621000000003</v>
      </c>
      <c r="AB116" s="848">
        <v>36.040774999999996</v>
      </c>
      <c r="AC116" s="848">
        <v>36.141415000000002</v>
      </c>
      <c r="AD116" s="848">
        <v>36.246937000000003</v>
      </c>
      <c r="AE116" s="848">
        <v>36.470740999999997</v>
      </c>
      <c r="AF116" s="848">
        <v>36.579631999999997</v>
      </c>
      <c r="AG116" s="848">
        <v>36.725307000000001</v>
      </c>
      <c r="AH116" s="848">
        <v>36.981831</v>
      </c>
      <c r="AI116" s="848">
        <v>37.256236999999999</v>
      </c>
      <c r="AJ116" s="848">
        <v>37.335673999999997</v>
      </c>
      <c r="AK116" s="848">
        <v>37.369007000000003</v>
      </c>
      <c r="AL116" s="848">
        <v>37.567386999999997</v>
      </c>
      <c r="AM116" s="848">
        <v>37.817901999999997</v>
      </c>
      <c r="AN116" s="848">
        <v>38.082256000000001</v>
      </c>
      <c r="AO116" s="848">
        <v>38.298912000000001</v>
      </c>
      <c r="AP116" s="848">
        <v>38.369354000000001</v>
      </c>
      <c r="AQ116" s="848">
        <v>38.582217999999997</v>
      </c>
      <c r="AR116" s="848">
        <v>38.834609999999998</v>
      </c>
      <c r="AS116" s="846"/>
      <c r="AT116" s="846"/>
      <c r="AU116" s="846"/>
      <c r="AV116" s="846"/>
      <c r="AW116" s="846"/>
      <c r="AX116" s="846"/>
      <c r="AY116" s="846"/>
      <c r="AZ116" s="846"/>
      <c r="BA116" s="846"/>
      <c r="BB116" s="846"/>
      <c r="BC116" s="846"/>
      <c r="BD116" s="846"/>
      <c r="BE116" s="846"/>
      <c r="BF116" s="846"/>
      <c r="BG116" s="846"/>
      <c r="BH116" s="846"/>
      <c r="BI116" s="846"/>
      <c r="BJ116" s="846"/>
      <c r="BK116" s="846"/>
      <c r="BL116" s="846"/>
      <c r="BM116" s="846"/>
      <c r="BN116" s="846"/>
      <c r="BO116" s="846"/>
      <c r="BP116" s="846"/>
      <c r="BQ116" s="846"/>
      <c r="BR116" s="846"/>
      <c r="BS116" s="846"/>
      <c r="BT116" s="846"/>
      <c r="BU116" s="846"/>
      <c r="BV116" s="849"/>
    </row>
    <row r="129" spans="1:104" ht="13.8" thickBot="1" x14ac:dyDescent="0.3"/>
    <row r="130" spans="1:104" x14ac:dyDescent="0.25">
      <c r="A130" s="1057" t="s">
        <v>1197</v>
      </c>
      <c r="B130" s="1058" t="s">
        <v>1196</v>
      </c>
      <c r="C130" s="1058"/>
      <c r="D130" s="1059"/>
      <c r="E130" s="1058"/>
      <c r="F130" s="801"/>
      <c r="G130" s="801"/>
      <c r="H130" s="801"/>
      <c r="I130" s="801"/>
      <c r="J130" s="801"/>
      <c r="K130" s="801"/>
      <c r="L130" s="801"/>
      <c r="M130" s="801"/>
      <c r="N130" s="801"/>
      <c r="O130" s="801"/>
      <c r="P130" s="801"/>
      <c r="Q130" s="801"/>
      <c r="R130" s="801"/>
      <c r="S130" s="801"/>
      <c r="T130" s="801"/>
      <c r="U130" s="801"/>
      <c r="V130" s="801"/>
      <c r="W130" s="801"/>
      <c r="X130" s="801"/>
      <c r="Y130" s="801"/>
      <c r="Z130" s="801"/>
      <c r="AA130" s="801"/>
      <c r="AB130" s="801"/>
      <c r="AC130" s="801"/>
      <c r="AD130" s="801"/>
      <c r="AE130" s="801"/>
      <c r="AF130" s="801"/>
      <c r="AG130" s="801"/>
      <c r="AH130" s="801"/>
      <c r="AI130" s="801"/>
      <c r="AJ130" s="801"/>
      <c r="AK130" s="801"/>
      <c r="AL130" s="801"/>
      <c r="AM130" s="801"/>
      <c r="AN130" s="801"/>
      <c r="AO130" s="801"/>
      <c r="AP130" s="801"/>
      <c r="AQ130" s="801"/>
      <c r="AR130" s="801"/>
      <c r="AS130" s="1060"/>
      <c r="AT130" s="1060"/>
      <c r="AU130" s="1060"/>
      <c r="AV130" s="1060"/>
      <c r="AW130" s="1060"/>
      <c r="AX130" s="1060"/>
      <c r="AY130" s="1060"/>
      <c r="AZ130" s="1060"/>
      <c r="BA130" s="1060"/>
      <c r="BB130" s="1061" t="s">
        <v>1198</v>
      </c>
      <c r="BC130" s="1062"/>
      <c r="BD130" s="1062"/>
      <c r="BE130" s="1062"/>
      <c r="BF130" s="1062"/>
      <c r="BG130" s="1062"/>
      <c r="BH130" s="1062"/>
      <c r="BI130" s="1062"/>
      <c r="BJ130" s="1062"/>
      <c r="BK130" s="1062"/>
      <c r="BL130" s="1062"/>
      <c r="BM130" s="1062"/>
      <c r="BN130" s="1062"/>
      <c r="BO130" s="1062"/>
      <c r="BP130" s="1062"/>
      <c r="BQ130" s="1062"/>
      <c r="BR130" s="1062"/>
      <c r="BS130" s="1062"/>
      <c r="BT130" s="1062"/>
      <c r="BU130" s="1062"/>
      <c r="BV130" s="1062"/>
      <c r="BW130" s="1062"/>
      <c r="BX130" s="1062"/>
      <c r="BY130" s="1062"/>
      <c r="BZ130" s="1062"/>
      <c r="CA130" s="1062"/>
      <c r="CB130" s="1062"/>
      <c r="CC130" s="1062"/>
      <c r="CD130" s="1062"/>
      <c r="CE130" s="1062"/>
      <c r="CF130" s="1062"/>
      <c r="CG130" s="1062"/>
      <c r="CH130" s="1062"/>
      <c r="CI130" s="1062"/>
      <c r="CJ130" s="1062"/>
      <c r="CK130" s="1062"/>
      <c r="CL130" s="1062"/>
      <c r="CM130" s="1062"/>
      <c r="CN130" s="1062"/>
      <c r="CO130" s="1062"/>
      <c r="CP130" s="1062"/>
      <c r="CQ130" s="1062"/>
      <c r="CR130" s="1062"/>
      <c r="CS130" s="1062"/>
      <c r="CT130" s="1062"/>
      <c r="CU130" s="1062"/>
      <c r="CV130" s="1062"/>
      <c r="CW130" s="1062"/>
      <c r="CX130" s="1062"/>
      <c r="CY130" s="1062"/>
      <c r="CZ130" s="1063"/>
    </row>
    <row r="131" spans="1:104" ht="40.200000000000003" thickBot="1" x14ac:dyDescent="0.3">
      <c r="A131" s="1064" t="s">
        <v>1066</v>
      </c>
      <c r="B131" s="906" t="s">
        <v>667</v>
      </c>
      <c r="C131" s="906" t="s">
        <v>668</v>
      </c>
      <c r="D131" s="1026" t="s">
        <v>679</v>
      </c>
      <c r="E131" s="906" t="s">
        <v>680</v>
      </c>
      <c r="F131" s="907" t="s">
        <v>669</v>
      </c>
      <c r="G131" s="907" t="s">
        <v>681</v>
      </c>
      <c r="H131" s="741">
        <v>2004</v>
      </c>
      <c r="I131" s="741">
        <f>+H131+1</f>
        <v>2005</v>
      </c>
      <c r="J131" s="741">
        <f t="shared" ref="J131:BU131" si="265">+I131+1</f>
        <v>2006</v>
      </c>
      <c r="K131" s="741">
        <f t="shared" si="265"/>
        <v>2007</v>
      </c>
      <c r="L131" s="741">
        <f t="shared" si="265"/>
        <v>2008</v>
      </c>
      <c r="M131" s="741">
        <f t="shared" si="265"/>
        <v>2009</v>
      </c>
      <c r="N131" s="741">
        <f t="shared" si="265"/>
        <v>2010</v>
      </c>
      <c r="O131" s="741">
        <f t="shared" si="265"/>
        <v>2011</v>
      </c>
      <c r="P131" s="741">
        <f t="shared" si="265"/>
        <v>2012</v>
      </c>
      <c r="Q131" s="741">
        <f t="shared" si="265"/>
        <v>2013</v>
      </c>
      <c r="R131" s="741">
        <f t="shared" si="265"/>
        <v>2014</v>
      </c>
      <c r="S131" s="741">
        <f t="shared" si="265"/>
        <v>2015</v>
      </c>
      <c r="T131" s="741">
        <f t="shared" si="265"/>
        <v>2016</v>
      </c>
      <c r="U131" s="741">
        <f t="shared" si="265"/>
        <v>2017</v>
      </c>
      <c r="V131" s="741">
        <f t="shared" si="265"/>
        <v>2018</v>
      </c>
      <c r="W131" s="741">
        <f t="shared" si="265"/>
        <v>2019</v>
      </c>
      <c r="X131" s="741">
        <f t="shared" si="265"/>
        <v>2020</v>
      </c>
      <c r="Y131" s="741">
        <f t="shared" si="265"/>
        <v>2021</v>
      </c>
      <c r="Z131" s="741">
        <f t="shared" si="265"/>
        <v>2022</v>
      </c>
      <c r="AA131" s="741">
        <f t="shared" si="265"/>
        <v>2023</v>
      </c>
      <c r="AB131" s="741">
        <f t="shared" si="265"/>
        <v>2024</v>
      </c>
      <c r="AC131" s="741">
        <f t="shared" si="265"/>
        <v>2025</v>
      </c>
      <c r="AD131" s="741">
        <f t="shared" si="265"/>
        <v>2026</v>
      </c>
      <c r="AE131" s="741">
        <f t="shared" si="265"/>
        <v>2027</v>
      </c>
      <c r="AF131" s="741">
        <f t="shared" si="265"/>
        <v>2028</v>
      </c>
      <c r="AG131" s="741">
        <f t="shared" si="265"/>
        <v>2029</v>
      </c>
      <c r="AH131" s="741">
        <f t="shared" si="265"/>
        <v>2030</v>
      </c>
      <c r="AI131" s="741">
        <f t="shared" si="265"/>
        <v>2031</v>
      </c>
      <c r="AJ131" s="741">
        <f t="shared" si="265"/>
        <v>2032</v>
      </c>
      <c r="AK131" s="741">
        <f t="shared" si="265"/>
        <v>2033</v>
      </c>
      <c r="AL131" s="741">
        <f t="shared" si="265"/>
        <v>2034</v>
      </c>
      <c r="AM131" s="741">
        <f t="shared" si="265"/>
        <v>2035</v>
      </c>
      <c r="AN131" s="741">
        <f t="shared" si="265"/>
        <v>2036</v>
      </c>
      <c r="AO131" s="741">
        <f t="shared" si="265"/>
        <v>2037</v>
      </c>
      <c r="AP131" s="741">
        <f t="shared" si="265"/>
        <v>2038</v>
      </c>
      <c r="AQ131" s="741">
        <f t="shared" si="265"/>
        <v>2039</v>
      </c>
      <c r="AR131" s="741">
        <f t="shared" si="265"/>
        <v>2040</v>
      </c>
      <c r="AS131" s="741">
        <f t="shared" si="265"/>
        <v>2041</v>
      </c>
      <c r="AT131" s="741">
        <f t="shared" si="265"/>
        <v>2042</v>
      </c>
      <c r="AU131" s="741">
        <f t="shared" si="265"/>
        <v>2043</v>
      </c>
      <c r="AV131" s="741">
        <f t="shared" si="265"/>
        <v>2044</v>
      </c>
      <c r="AW131" s="741">
        <f t="shared" si="265"/>
        <v>2045</v>
      </c>
      <c r="AX131" s="741">
        <f t="shared" si="265"/>
        <v>2046</v>
      </c>
      <c r="AY131" s="741">
        <f t="shared" si="265"/>
        <v>2047</v>
      </c>
      <c r="AZ131" s="741">
        <f t="shared" si="265"/>
        <v>2048</v>
      </c>
      <c r="BA131" s="741">
        <f t="shared" si="265"/>
        <v>2049</v>
      </c>
      <c r="BB131" s="741">
        <f t="shared" si="265"/>
        <v>2050</v>
      </c>
      <c r="BC131" s="741">
        <f t="shared" si="265"/>
        <v>2051</v>
      </c>
      <c r="BD131" s="741">
        <f t="shared" si="265"/>
        <v>2052</v>
      </c>
      <c r="BE131" s="741">
        <f t="shared" si="265"/>
        <v>2053</v>
      </c>
      <c r="BF131" s="741">
        <f t="shared" si="265"/>
        <v>2054</v>
      </c>
      <c r="BG131" s="741">
        <f t="shared" si="265"/>
        <v>2055</v>
      </c>
      <c r="BH131" s="741">
        <f t="shared" si="265"/>
        <v>2056</v>
      </c>
      <c r="BI131" s="741">
        <f t="shared" si="265"/>
        <v>2057</v>
      </c>
      <c r="BJ131" s="741">
        <f t="shared" si="265"/>
        <v>2058</v>
      </c>
      <c r="BK131" s="741">
        <f t="shared" si="265"/>
        <v>2059</v>
      </c>
      <c r="BL131" s="741">
        <f t="shared" si="265"/>
        <v>2060</v>
      </c>
      <c r="BM131" s="741">
        <f t="shared" si="265"/>
        <v>2061</v>
      </c>
      <c r="BN131" s="741">
        <f t="shared" si="265"/>
        <v>2062</v>
      </c>
      <c r="BO131" s="741">
        <f t="shared" si="265"/>
        <v>2063</v>
      </c>
      <c r="BP131" s="741">
        <f t="shared" si="265"/>
        <v>2064</v>
      </c>
      <c r="BQ131" s="741">
        <f t="shared" si="265"/>
        <v>2065</v>
      </c>
      <c r="BR131" s="741">
        <f t="shared" si="265"/>
        <v>2066</v>
      </c>
      <c r="BS131" s="741">
        <f t="shared" si="265"/>
        <v>2067</v>
      </c>
      <c r="BT131" s="741">
        <f t="shared" si="265"/>
        <v>2068</v>
      </c>
      <c r="BU131" s="741">
        <f t="shared" si="265"/>
        <v>2069</v>
      </c>
      <c r="BV131" s="741">
        <f t="shared" ref="BV131:CZ131" si="266">+BU131+1</f>
        <v>2070</v>
      </c>
      <c r="BW131" s="741">
        <f t="shared" si="266"/>
        <v>2071</v>
      </c>
      <c r="BX131" s="741">
        <f t="shared" si="266"/>
        <v>2072</v>
      </c>
      <c r="BY131" s="741">
        <f t="shared" si="266"/>
        <v>2073</v>
      </c>
      <c r="BZ131" s="741">
        <f t="shared" si="266"/>
        <v>2074</v>
      </c>
      <c r="CA131" s="741">
        <f t="shared" si="266"/>
        <v>2075</v>
      </c>
      <c r="CB131" s="741">
        <f t="shared" si="266"/>
        <v>2076</v>
      </c>
      <c r="CC131" s="741">
        <f t="shared" si="266"/>
        <v>2077</v>
      </c>
      <c r="CD131" s="741">
        <f t="shared" si="266"/>
        <v>2078</v>
      </c>
      <c r="CE131" s="741">
        <f t="shared" si="266"/>
        <v>2079</v>
      </c>
      <c r="CF131" s="741">
        <f t="shared" si="266"/>
        <v>2080</v>
      </c>
      <c r="CG131" s="741">
        <f t="shared" si="266"/>
        <v>2081</v>
      </c>
      <c r="CH131" s="741">
        <f t="shared" si="266"/>
        <v>2082</v>
      </c>
      <c r="CI131" s="741">
        <f t="shared" si="266"/>
        <v>2083</v>
      </c>
      <c r="CJ131" s="741">
        <f t="shared" si="266"/>
        <v>2084</v>
      </c>
      <c r="CK131" s="741">
        <f t="shared" si="266"/>
        <v>2085</v>
      </c>
      <c r="CL131" s="741">
        <f t="shared" si="266"/>
        <v>2086</v>
      </c>
      <c r="CM131" s="741">
        <f t="shared" si="266"/>
        <v>2087</v>
      </c>
      <c r="CN131" s="741">
        <f t="shared" si="266"/>
        <v>2088</v>
      </c>
      <c r="CO131" s="741">
        <f t="shared" si="266"/>
        <v>2089</v>
      </c>
      <c r="CP131" s="741">
        <f t="shared" si="266"/>
        <v>2090</v>
      </c>
      <c r="CQ131" s="741">
        <f t="shared" si="266"/>
        <v>2091</v>
      </c>
      <c r="CR131" s="741">
        <f t="shared" si="266"/>
        <v>2092</v>
      </c>
      <c r="CS131" s="741">
        <f t="shared" si="266"/>
        <v>2093</v>
      </c>
      <c r="CT131" s="741">
        <f t="shared" si="266"/>
        <v>2094</v>
      </c>
      <c r="CU131" s="741">
        <f t="shared" si="266"/>
        <v>2095</v>
      </c>
      <c r="CV131" s="741">
        <f t="shared" si="266"/>
        <v>2096</v>
      </c>
      <c r="CW131" s="741">
        <f t="shared" si="266"/>
        <v>2097</v>
      </c>
      <c r="CX131" s="741">
        <f t="shared" si="266"/>
        <v>2098</v>
      </c>
      <c r="CY131" s="741">
        <f t="shared" si="266"/>
        <v>2099</v>
      </c>
      <c r="CZ131" s="1065">
        <f t="shared" si="266"/>
        <v>2100</v>
      </c>
    </row>
    <row r="132" spans="1:104" ht="13.8" thickBot="1" x14ac:dyDescent="0.3">
      <c r="A132" s="1066" t="s">
        <v>1072</v>
      </c>
      <c r="B132" s="723"/>
      <c r="C132" s="723"/>
      <c r="D132" s="1027"/>
      <c r="E132" s="723"/>
      <c r="F132" s="723"/>
      <c r="G132" s="723"/>
      <c r="H132" s="801"/>
      <c r="I132" s="801"/>
      <c r="J132" s="801"/>
      <c r="K132" s="801"/>
      <c r="L132" s="801"/>
      <c r="M132" s="801"/>
      <c r="N132" s="801"/>
      <c r="O132" s="801"/>
      <c r="P132" s="801"/>
      <c r="Q132" s="801"/>
      <c r="R132" s="801"/>
      <c r="S132" s="801"/>
      <c r="T132" s="801"/>
      <c r="U132" s="801"/>
      <c r="V132" s="801"/>
      <c r="W132" s="801"/>
      <c r="X132" s="801"/>
      <c r="Y132" s="801"/>
      <c r="Z132" s="801"/>
      <c r="AA132" s="801"/>
      <c r="AB132" s="801"/>
      <c r="AC132" s="801"/>
      <c r="AD132" s="801"/>
      <c r="AE132" s="801"/>
      <c r="AF132" s="801"/>
      <c r="AG132" s="801"/>
      <c r="AH132" s="801"/>
      <c r="AI132" s="801"/>
      <c r="AJ132" s="801"/>
      <c r="AK132" s="801"/>
      <c r="AL132" s="801"/>
      <c r="AM132" s="801"/>
      <c r="AN132" s="801"/>
      <c r="AO132" s="801"/>
      <c r="AP132" s="801"/>
      <c r="AQ132" s="801"/>
      <c r="AR132" s="801"/>
      <c r="AS132" s="801"/>
      <c r="AT132" s="801"/>
      <c r="AU132" s="801"/>
      <c r="AV132" s="801"/>
      <c r="AW132" s="801"/>
      <c r="AX132" s="801"/>
      <c r="AY132" s="801"/>
      <c r="AZ132" s="801"/>
      <c r="BA132" s="801"/>
      <c r="BB132" s="801"/>
      <c r="BC132" s="801"/>
      <c r="BD132" s="801"/>
      <c r="BE132" s="801"/>
      <c r="BF132" s="801"/>
      <c r="BG132" s="801"/>
      <c r="BH132" s="801"/>
      <c r="BI132" s="801"/>
      <c r="BJ132" s="801"/>
      <c r="BK132" s="801"/>
      <c r="BL132" s="801"/>
      <c r="BM132" s="801"/>
      <c r="BN132" s="801"/>
      <c r="BO132" s="801"/>
      <c r="BP132" s="801"/>
      <c r="BQ132" s="801"/>
      <c r="BR132" s="801"/>
      <c r="BS132" s="801"/>
      <c r="BT132" s="801"/>
      <c r="BU132" s="801"/>
      <c r="BV132" s="801"/>
      <c r="BW132" s="801"/>
      <c r="BX132" s="801"/>
      <c r="BY132" s="801"/>
      <c r="BZ132" s="801"/>
      <c r="CA132" s="801"/>
      <c r="CB132" s="801"/>
      <c r="CC132" s="801"/>
      <c r="CD132" s="801"/>
      <c r="CE132" s="801"/>
      <c r="CF132" s="801"/>
      <c r="CG132" s="801"/>
      <c r="CH132" s="801"/>
      <c r="CI132" s="801"/>
      <c r="CJ132" s="801"/>
      <c r="CK132" s="801"/>
      <c r="CL132" s="801"/>
      <c r="CM132" s="801"/>
      <c r="CN132" s="801"/>
      <c r="CO132" s="801"/>
      <c r="CP132" s="801"/>
      <c r="CQ132" s="801"/>
      <c r="CR132" s="801"/>
      <c r="CS132" s="801"/>
      <c r="CT132" s="801"/>
      <c r="CU132" s="801"/>
      <c r="CV132" s="801"/>
      <c r="CW132" s="801"/>
      <c r="CX132" s="801"/>
      <c r="CY132" s="801"/>
      <c r="CZ132" s="1067"/>
    </row>
    <row r="133" spans="1:104" x14ac:dyDescent="0.25">
      <c r="A133" s="1068" t="s">
        <v>670</v>
      </c>
      <c r="B133" s="254">
        <v>2016</v>
      </c>
      <c r="C133" s="726">
        <f t="shared" ref="C133:C142" si="267">VLOOKUP(ref_year,DeflatorTable,2,FALSE)/VLOOKUP(B133,DeflatorTable,2,FALSE)</f>
        <v>1</v>
      </c>
      <c r="D133" s="1028" t="s">
        <v>851</v>
      </c>
      <c r="E133" s="726" t="s">
        <v>1040</v>
      </c>
      <c r="F133" s="254">
        <v>47.141269049911173</v>
      </c>
      <c r="G133" s="254">
        <v>52.224661236371581</v>
      </c>
      <c r="H133" s="851">
        <v>13.604875014867702</v>
      </c>
      <c r="I133" s="851">
        <v>15.571757228276402</v>
      </c>
      <c r="J133" s="851">
        <v>16.331995797204218</v>
      </c>
      <c r="K133" s="851">
        <v>15.155672177020728</v>
      </c>
      <c r="L133" s="851">
        <v>15.783516201764996</v>
      </c>
      <c r="M133" s="851">
        <v>13.69149010361817</v>
      </c>
      <c r="N133" s="851">
        <v>12.691188457250465</v>
      </c>
      <c r="O133" s="801">
        <v>12.04142243701838</v>
      </c>
      <c r="P133" s="801">
        <v>11.415954621928984</v>
      </c>
      <c r="Q133" s="801">
        <v>10.886628367710442</v>
      </c>
      <c r="R133" s="801">
        <v>11.368469484946878</v>
      </c>
      <c r="S133" s="801">
        <v>9.7183315387998359</v>
      </c>
      <c r="T133" s="801">
        <v>9.390001099467705</v>
      </c>
      <c r="U133" s="801">
        <v>10.023002570479671</v>
      </c>
      <c r="V133" s="801">
        <v>10.033707215541167</v>
      </c>
      <c r="W133" s="801">
        <v>10.158951752324048</v>
      </c>
      <c r="X133" s="801">
        <v>10.289627280447673</v>
      </c>
      <c r="Y133" s="801">
        <v>10.38663350570965</v>
      </c>
      <c r="Z133" s="801">
        <v>10.458822090960101</v>
      </c>
      <c r="AA133" s="801">
        <v>10.541361785535555</v>
      </c>
      <c r="AB133" s="801">
        <v>10.671303703310535</v>
      </c>
      <c r="AC133" s="801">
        <v>10.821196220864106</v>
      </c>
      <c r="AD133" s="801">
        <v>10.961130973142659</v>
      </c>
      <c r="AE133" s="801">
        <v>11.387951919139837</v>
      </c>
      <c r="AF133" s="801">
        <v>11.524366479125279</v>
      </c>
      <c r="AG133" s="801">
        <v>11.653679994237272</v>
      </c>
      <c r="AH133" s="801">
        <v>11.727599293307653</v>
      </c>
      <c r="AI133" s="801">
        <v>11.827238554162054</v>
      </c>
      <c r="AJ133" s="801">
        <v>11.877874728924342</v>
      </c>
      <c r="AK133" s="801">
        <v>11.891573527850655</v>
      </c>
      <c r="AL133" s="801">
        <v>11.9827791131466</v>
      </c>
      <c r="AM133" s="801">
        <v>12.163475682807357</v>
      </c>
      <c r="AN133" s="801">
        <v>12.259449735369497</v>
      </c>
      <c r="AO133" s="801">
        <v>12.356256919064013</v>
      </c>
      <c r="AP133" s="801">
        <v>12.41256198723101</v>
      </c>
      <c r="AQ133" s="801">
        <v>12.490714236969412</v>
      </c>
      <c r="AR133" s="801">
        <v>12.496378391289182</v>
      </c>
      <c r="AS133" s="801">
        <v>12.55376491863939</v>
      </c>
      <c r="AT133" s="801">
        <v>12.651412816002184</v>
      </c>
      <c r="AU133" s="801">
        <v>12.770777096192051</v>
      </c>
      <c r="AV133" s="801">
        <v>12.886454368298935</v>
      </c>
      <c r="AW133" s="801">
        <v>13.010888521557151</v>
      </c>
      <c r="AX133" s="801">
        <v>13.118997475015544</v>
      </c>
      <c r="AY133" s="801">
        <v>13.217679440712152</v>
      </c>
      <c r="AZ133" s="801">
        <v>13.363983523149482</v>
      </c>
      <c r="BA133" s="801">
        <v>13.453606254075613</v>
      </c>
      <c r="BB133" s="801">
        <v>13.593337225701765</v>
      </c>
      <c r="BC133" s="801">
        <v>13.668907227280409</v>
      </c>
      <c r="BD133" s="801">
        <v>13.744897348292845</v>
      </c>
      <c r="BE133" s="801">
        <v>13.821309924326409</v>
      </c>
      <c r="BF133" s="801">
        <v>13.898147303952761</v>
      </c>
      <c r="BG133" s="801">
        <v>13.975411848800078</v>
      </c>
      <c r="BH133" s="801">
        <v>14.050424531225174</v>
      </c>
      <c r="BI133" s="801">
        <v>14.12583984239463</v>
      </c>
      <c r="BJ133" s="801">
        <v>14.201659943408417</v>
      </c>
      <c r="BK133" s="801">
        <v>14.277887006966159</v>
      </c>
      <c r="BL133" s="801">
        <v>14.354523217429389</v>
      </c>
      <c r="BM133" s="801">
        <v>14.422221698840277</v>
      </c>
      <c r="BN133" s="801">
        <v>14.490239458315362</v>
      </c>
      <c r="BO133" s="801">
        <v>14.558578001626712</v>
      </c>
      <c r="BP133" s="801">
        <v>14.627238841647882</v>
      </c>
      <c r="BQ133" s="801">
        <v>14.696223498387408</v>
      </c>
      <c r="BR133" s="801">
        <v>14.75529333521281</v>
      </c>
      <c r="BS133" s="801">
        <v>14.814600596681556</v>
      </c>
      <c r="BT133" s="801">
        <v>14.874146237095607</v>
      </c>
      <c r="BU133" s="801">
        <v>14.933931214592636</v>
      </c>
      <c r="BV133" s="801">
        <v>14.993956491161448</v>
      </c>
      <c r="BW133" s="801">
        <v>15.043740835540882</v>
      </c>
      <c r="BX133" s="801">
        <v>15.093690478582264</v>
      </c>
      <c r="BY133" s="801">
        <v>15.143805969125756</v>
      </c>
      <c r="BZ133" s="801">
        <v>15.19408785783383</v>
      </c>
      <c r="CA133" s="801">
        <v>15.244536697197322</v>
      </c>
      <c r="CB133" s="801">
        <v>15.277067444573643</v>
      </c>
      <c r="CC133" s="801">
        <v>15.309667610230484</v>
      </c>
      <c r="CD133" s="801">
        <v>15.342337342301477</v>
      </c>
      <c r="CE133" s="801">
        <v>15.375076789236356</v>
      </c>
      <c r="CF133" s="801">
        <v>15.407886099801638</v>
      </c>
      <c r="CG133" s="801">
        <v>15.41853907481957</v>
      </c>
      <c r="CH133" s="801">
        <v>15.42919941527855</v>
      </c>
      <c r="CI133" s="801">
        <v>15.439867126271025</v>
      </c>
      <c r="CJ133" s="801">
        <v>15.450542212892964</v>
      </c>
      <c r="CK133" s="801">
        <v>15.461224680243861</v>
      </c>
      <c r="CL133" s="801">
        <v>15.464845562477739</v>
      </c>
      <c r="CM133" s="801">
        <v>15.468467292690251</v>
      </c>
      <c r="CN133" s="801">
        <v>15.472089871079984</v>
      </c>
      <c r="CO133" s="801">
        <v>15.475713297845573</v>
      </c>
      <c r="CP133" s="801">
        <v>15.479337573185701</v>
      </c>
      <c r="CQ133" s="801">
        <v>15.484830510437597</v>
      </c>
      <c r="CR133" s="801">
        <v>15.490325396891745</v>
      </c>
      <c r="CS133" s="801">
        <v>15.49582223323983</v>
      </c>
      <c r="CT133" s="801">
        <v>15.501321020173785</v>
      </c>
      <c r="CU133" s="801">
        <v>15.506821758385787</v>
      </c>
      <c r="CV133" s="801">
        <v>15.515287417782641</v>
      </c>
      <c r="CW133" s="801">
        <v>15.523757698847955</v>
      </c>
      <c r="CX133" s="801">
        <v>15.532232604104841</v>
      </c>
      <c r="CY133" s="801">
        <v>15.540712136077792</v>
      </c>
      <c r="CZ133" s="1067">
        <v>15.549196297292674</v>
      </c>
    </row>
    <row r="134" spans="1:104" x14ac:dyDescent="0.25">
      <c r="A134" s="1068" t="s">
        <v>1067</v>
      </c>
      <c r="B134" s="254">
        <v>2016</v>
      </c>
      <c r="C134" s="726">
        <f t="shared" si="267"/>
        <v>1</v>
      </c>
      <c r="D134" s="1028" t="s">
        <v>851</v>
      </c>
      <c r="E134" s="726" t="s">
        <v>1040</v>
      </c>
      <c r="F134" s="254">
        <v>47.141269049911173</v>
      </c>
      <c r="G134" s="254">
        <v>52.224661236371581</v>
      </c>
      <c r="H134" s="852">
        <v>11.934322920018829</v>
      </c>
      <c r="I134" s="852">
        <v>13.90423046997279</v>
      </c>
      <c r="J134" s="852">
        <v>14.274140536522257</v>
      </c>
      <c r="K134" s="852">
        <v>13.139550648884942</v>
      </c>
      <c r="L134" s="852">
        <v>13.897221248926272</v>
      </c>
      <c r="M134" s="852">
        <v>11.345666428533674</v>
      </c>
      <c r="N134" s="852">
        <v>10.551848524158197</v>
      </c>
      <c r="O134" s="254">
        <v>9.7270239269114924</v>
      </c>
      <c r="P134" s="254">
        <v>8.6825570363966911</v>
      </c>
      <c r="Q134" s="254">
        <v>8.5236392646415098</v>
      </c>
      <c r="R134" s="254">
        <v>9.2232797097563566</v>
      </c>
      <c r="S134" s="254">
        <v>7.6085885488542795</v>
      </c>
      <c r="T134" s="254">
        <v>6.813801352724405</v>
      </c>
      <c r="U134" s="254">
        <v>7.4731047451509687</v>
      </c>
      <c r="V134" s="254">
        <v>7.9843107853990691</v>
      </c>
      <c r="W134" s="254">
        <v>8.5650780622071245</v>
      </c>
      <c r="X134" s="254">
        <v>9.1477570858798014</v>
      </c>
      <c r="Y134" s="254">
        <v>9.2514909161219876</v>
      </c>
      <c r="Z134" s="254">
        <v>9.3094669856386769</v>
      </c>
      <c r="AA134" s="254">
        <v>9.3761326413005577</v>
      </c>
      <c r="AB134" s="254">
        <v>9.4891655040111615</v>
      </c>
      <c r="AC134" s="254">
        <v>9.6143446414218783</v>
      </c>
      <c r="AD134" s="254">
        <v>9.7258827967425425</v>
      </c>
      <c r="AE134" s="254">
        <v>10.087086372666475</v>
      </c>
      <c r="AF134" s="254">
        <v>10.198695614261233</v>
      </c>
      <c r="AG134" s="254">
        <v>10.304737378868989</v>
      </c>
      <c r="AH134" s="254">
        <v>10.357640731866367</v>
      </c>
      <c r="AI134" s="254">
        <v>10.427655972763532</v>
      </c>
      <c r="AJ134" s="254">
        <v>10.453569289213085</v>
      </c>
      <c r="AK134" s="254">
        <v>10.441948105124277</v>
      </c>
      <c r="AL134" s="254">
        <v>10.506270757192036</v>
      </c>
      <c r="AM134" s="254">
        <v>10.658282593530579</v>
      </c>
      <c r="AN134" s="254">
        <v>10.722901912315555</v>
      </c>
      <c r="AO134" s="254">
        <v>10.786351624937444</v>
      </c>
      <c r="AP134" s="254">
        <v>10.817805879498341</v>
      </c>
      <c r="AQ134" s="254">
        <v>10.86596540847121</v>
      </c>
      <c r="AR134" s="254">
        <v>10.838793391061706</v>
      </c>
      <c r="AS134" s="254">
        <v>10.868085675073171</v>
      </c>
      <c r="AT134" s="254">
        <v>10.937640276914211</v>
      </c>
      <c r="AU134" s="254">
        <v>11.027299024885883</v>
      </c>
      <c r="AV134" s="254">
        <v>11.114692490256441</v>
      </c>
      <c r="AW134" s="254">
        <v>11.212257927541287</v>
      </c>
      <c r="AX134" s="254">
        <v>11.293368314098968</v>
      </c>
      <c r="AY134" s="254">
        <v>11.35816487466068</v>
      </c>
      <c r="AZ134" s="254">
        <v>11.46581792814789</v>
      </c>
      <c r="BA134" s="254">
        <v>11.521194135666732</v>
      </c>
      <c r="BB134" s="254">
        <v>11.628119265707223</v>
      </c>
      <c r="BC134" s="254">
        <v>11.692763949840026</v>
      </c>
      <c r="BD134" s="254">
        <v>11.757768015837698</v>
      </c>
      <c r="BE134" s="254">
        <v>11.823133461626696</v>
      </c>
      <c r="BF134" s="254">
        <v>11.888862296240635</v>
      </c>
      <c r="BG134" s="254">
        <v>11.954956539882032</v>
      </c>
      <c r="BH134" s="254">
        <v>12.019124477688386</v>
      </c>
      <c r="BI134" s="254">
        <v>12.083636835336717</v>
      </c>
      <c r="BJ134" s="254">
        <v>12.148495461492134</v>
      </c>
      <c r="BK134" s="254">
        <v>12.213702214742405</v>
      </c>
      <c r="BL134" s="254">
        <v>12.279258963651227</v>
      </c>
      <c r="BM134" s="254">
        <v>12.337170130194249</v>
      </c>
      <c r="BN134" s="254">
        <v>12.395354416085945</v>
      </c>
      <c r="BO134" s="254">
        <v>12.453813109405683</v>
      </c>
      <c r="BP134" s="254">
        <v>12.512547504307637</v>
      </c>
      <c r="BQ134" s="254">
        <v>12.571558901049444</v>
      </c>
      <c r="BR134" s="254">
        <v>12.622088884688262</v>
      </c>
      <c r="BS134" s="254">
        <v>12.672821967979766</v>
      </c>
      <c r="BT134" s="254">
        <v>12.723758967260437</v>
      </c>
      <c r="BU134" s="254">
        <v>12.774900702147928</v>
      </c>
      <c r="BV134" s="254">
        <v>12.826247995554251</v>
      </c>
      <c r="BW134" s="254">
        <v>12.868834910334423</v>
      </c>
      <c r="BX134" s="254">
        <v>12.911563226193937</v>
      </c>
      <c r="BY134" s="254">
        <v>12.954433412625956</v>
      </c>
      <c r="BZ134" s="254">
        <v>12.997445940682496</v>
      </c>
      <c r="CA134" s="254">
        <v>13.040601282979605</v>
      </c>
      <c r="CB134" s="254">
        <v>13.06842899033459</v>
      </c>
      <c r="CC134" s="254">
        <v>13.096316080020177</v>
      </c>
      <c r="CD134" s="254">
        <v>13.124262678753999</v>
      </c>
      <c r="CE134" s="254">
        <v>13.152268913524093</v>
      </c>
      <c r="CF134" s="254">
        <v>13.180334911589481</v>
      </c>
      <c r="CG134" s="254">
        <v>13.189447763127433</v>
      </c>
      <c r="CH134" s="254">
        <v>13.198566915268799</v>
      </c>
      <c r="CI134" s="254">
        <v>13.207692372369801</v>
      </c>
      <c r="CJ134" s="254">
        <v>13.216824138789674</v>
      </c>
      <c r="CK134" s="254">
        <v>13.225962218890665</v>
      </c>
      <c r="CL134" s="254">
        <v>13.22905962240266</v>
      </c>
      <c r="CM134" s="254">
        <v>13.232157751299196</v>
      </c>
      <c r="CN134" s="254">
        <v>13.23525660575015</v>
      </c>
      <c r="CO134" s="254">
        <v>13.23835618592544</v>
      </c>
      <c r="CP134" s="254">
        <v>13.241456491995026</v>
      </c>
      <c r="CQ134" s="254">
        <v>13.246155303510076</v>
      </c>
      <c r="CR134" s="254">
        <v>13.250855782427021</v>
      </c>
      <c r="CS134" s="254">
        <v>13.255557929337549</v>
      </c>
      <c r="CT134" s="254">
        <v>13.260261744833558</v>
      </c>
      <c r="CU134" s="254">
        <v>13.264967229507157</v>
      </c>
      <c r="CV134" s="254">
        <v>13.272208990341527</v>
      </c>
      <c r="CW134" s="254">
        <v>13.279454704679821</v>
      </c>
      <c r="CX134" s="254">
        <v>13.286704374680379</v>
      </c>
      <c r="CY134" s="254">
        <v>13.293958002502723</v>
      </c>
      <c r="CZ134" s="423">
        <v>13.30121559030755</v>
      </c>
    </row>
    <row r="135" spans="1:104" x14ac:dyDescent="0.25">
      <c r="A135" s="1068" t="s">
        <v>282</v>
      </c>
      <c r="B135" s="254">
        <v>2016</v>
      </c>
      <c r="C135" s="726">
        <f t="shared" si="267"/>
        <v>1</v>
      </c>
      <c r="D135" s="1028" t="s">
        <v>851</v>
      </c>
      <c r="E135" s="726" t="s">
        <v>1040</v>
      </c>
      <c r="F135" s="254">
        <v>47.141269049911173</v>
      </c>
      <c r="G135" s="254">
        <v>52.224661236371581</v>
      </c>
      <c r="H135" s="852">
        <v>8.2641705904266125</v>
      </c>
      <c r="I135" s="852">
        <v>10.495609596381577</v>
      </c>
      <c r="J135" s="852">
        <v>9.3614571685358463</v>
      </c>
      <c r="K135" s="852">
        <v>8.8987432965993278</v>
      </c>
      <c r="L135" s="852">
        <v>10.965509816201024</v>
      </c>
      <c r="M135" s="852">
        <v>6.0111731674040234</v>
      </c>
      <c r="N135" s="852">
        <v>6.1171751211856922</v>
      </c>
      <c r="O135" s="254">
        <v>5.6004077154944953</v>
      </c>
      <c r="P135" s="254">
        <v>4.1590520124961925</v>
      </c>
      <c r="Q135" s="254">
        <v>4.894763142071362</v>
      </c>
      <c r="R135" s="254">
        <v>5.8241384234641265</v>
      </c>
      <c r="S135" s="254">
        <v>3.5390282601113117</v>
      </c>
      <c r="T135" s="254">
        <v>3.3168400539876552</v>
      </c>
      <c r="U135" s="254">
        <v>3.8686572087168831</v>
      </c>
      <c r="V135" s="254">
        <v>4.230424735748624</v>
      </c>
      <c r="W135" s="254">
        <v>4.6374903322667231</v>
      </c>
      <c r="X135" s="254">
        <v>5.0398775041324821</v>
      </c>
      <c r="Y135" s="254">
        <v>5.0452222441273262</v>
      </c>
      <c r="Z135" s="254">
        <v>4.9894479534735598</v>
      </c>
      <c r="AA135" s="254">
        <v>5.0008757828968315</v>
      </c>
      <c r="AB135" s="254">
        <v>5.0866427943161305</v>
      </c>
      <c r="AC135" s="254">
        <v>5.1985543895300337</v>
      </c>
      <c r="AD135" s="254">
        <v>5.3142743134013735</v>
      </c>
      <c r="AE135" s="254">
        <v>5.4069765017212355</v>
      </c>
      <c r="AF135" s="254">
        <v>5.498883471588238</v>
      </c>
      <c r="AG135" s="254">
        <v>5.5761078084954727</v>
      </c>
      <c r="AH135" s="254">
        <v>5.5953977798334869</v>
      </c>
      <c r="AI135" s="254">
        <v>5.6194116710392619</v>
      </c>
      <c r="AJ135" s="254">
        <v>5.6053299540498323</v>
      </c>
      <c r="AK135" s="254">
        <v>5.5496627667157004</v>
      </c>
      <c r="AL135" s="254">
        <v>5.5482476759527453</v>
      </c>
      <c r="AM135" s="254">
        <v>5.6344516310034729</v>
      </c>
      <c r="AN135" s="254">
        <v>5.6381945602887429</v>
      </c>
      <c r="AO135" s="254">
        <v>5.6485162872871211</v>
      </c>
      <c r="AP135" s="254">
        <v>5.6430123140383071</v>
      </c>
      <c r="AQ135" s="254">
        <v>5.6644386648670784</v>
      </c>
      <c r="AR135" s="254">
        <v>5.6215300420072483</v>
      </c>
      <c r="AS135" s="254">
        <v>5.6260767200982693</v>
      </c>
      <c r="AT135" s="254">
        <v>5.6802473044084865</v>
      </c>
      <c r="AU135" s="254">
        <v>5.7631623345111542</v>
      </c>
      <c r="AV135" s="254">
        <v>5.819991545472468</v>
      </c>
      <c r="AW135" s="254">
        <v>5.8947240715184783</v>
      </c>
      <c r="AX135" s="254">
        <v>5.9518546882819487</v>
      </c>
      <c r="AY135" s="254">
        <v>6.0145186606208574</v>
      </c>
      <c r="AZ135" s="254">
        <v>6.1247620979360331</v>
      </c>
      <c r="BA135" s="254">
        <v>6.1606322318436177</v>
      </c>
      <c r="BB135" s="254">
        <v>6.238633778680942</v>
      </c>
      <c r="BC135" s="254">
        <v>6.2733164733478626</v>
      </c>
      <c r="BD135" s="254">
        <v>6.3081919809530058</v>
      </c>
      <c r="BE135" s="254">
        <v>6.3432613734093088</v>
      </c>
      <c r="BF135" s="254">
        <v>6.3785257285888406</v>
      </c>
      <c r="BG135" s="254">
        <v>6.4139861303559274</v>
      </c>
      <c r="BH135" s="254">
        <v>6.4484130445592944</v>
      </c>
      <c r="BI135" s="254">
        <v>6.4830247443854354</v>
      </c>
      <c r="BJ135" s="254">
        <v>6.5178222216666768</v>
      </c>
      <c r="BK135" s="254">
        <v>6.5528064735589808</v>
      </c>
      <c r="BL135" s="254">
        <v>6.5879785025705191</v>
      </c>
      <c r="BM135" s="254">
        <v>6.6190485794679574</v>
      </c>
      <c r="BN135" s="254">
        <v>6.6502651883672899</v>
      </c>
      <c r="BO135" s="254">
        <v>6.6816290203394662</v>
      </c>
      <c r="BP135" s="254">
        <v>6.7131407697146503</v>
      </c>
      <c r="BQ135" s="254">
        <v>6.7448011340975915</v>
      </c>
      <c r="BR135" s="254">
        <v>6.7719111125525773</v>
      </c>
      <c r="BS135" s="254">
        <v>6.7991300565526132</v>
      </c>
      <c r="BT135" s="254">
        <v>6.8264584040725946</v>
      </c>
      <c r="BU135" s="254">
        <v>6.8538965948478108</v>
      </c>
      <c r="BV135" s="254">
        <v>6.8814450703810159</v>
      </c>
      <c r="BW135" s="254">
        <v>6.904293491437457</v>
      </c>
      <c r="BX135" s="254">
        <v>6.9272177759701634</v>
      </c>
      <c r="BY135" s="254">
        <v>6.9502181758681845</v>
      </c>
      <c r="BZ135" s="254">
        <v>6.9732949438569127</v>
      </c>
      <c r="CA135" s="254">
        <v>6.996448333500866</v>
      </c>
      <c r="CB135" s="254">
        <v>7.0113782521851409</v>
      </c>
      <c r="CC135" s="254">
        <v>7.0263400302445289</v>
      </c>
      <c r="CD135" s="254">
        <v>7.0413337356646508</v>
      </c>
      <c r="CE135" s="254">
        <v>7.0563594365762032</v>
      </c>
      <c r="CF135" s="254">
        <v>7.0714172012552687</v>
      </c>
      <c r="CG135" s="254">
        <v>7.0763063619291211</v>
      </c>
      <c r="CH135" s="254">
        <v>7.0811989029567863</v>
      </c>
      <c r="CI135" s="254">
        <v>7.0860948266754322</v>
      </c>
      <c r="CJ135" s="254">
        <v>7.090994135423843</v>
      </c>
      <c r="CK135" s="254">
        <v>7.0958968315424205</v>
      </c>
      <c r="CL135" s="254">
        <v>7.0975586278944007</v>
      </c>
      <c r="CM135" s="254">
        <v>7.0992208134244059</v>
      </c>
      <c r="CN135" s="254">
        <v>7.1008833882235782</v>
      </c>
      <c r="CO135" s="254">
        <v>7.1025463523830812</v>
      </c>
      <c r="CP135" s="254">
        <v>7.1042097059940996</v>
      </c>
      <c r="CQ135" s="254">
        <v>7.1067306780935082</v>
      </c>
      <c r="CR135" s="254">
        <v>7.1092525447752264</v>
      </c>
      <c r="CS135" s="254">
        <v>7.1117753063567024</v>
      </c>
      <c r="CT135" s="254">
        <v>7.1142989631554965</v>
      </c>
      <c r="CU135" s="254">
        <v>7.1168235154892816</v>
      </c>
      <c r="CV135" s="254">
        <v>7.1207088122192239</v>
      </c>
      <c r="CW135" s="254">
        <v>7.1245962300542702</v>
      </c>
      <c r="CX135" s="254">
        <v>7.1284857701523974</v>
      </c>
      <c r="CY135" s="254">
        <v>7.1323774336722154</v>
      </c>
      <c r="CZ135" s="423">
        <v>7.1362712217729669</v>
      </c>
    </row>
    <row r="136" spans="1:104" x14ac:dyDescent="0.25">
      <c r="A136" s="1068" t="s">
        <v>1068</v>
      </c>
      <c r="B136" s="254">
        <v>2016</v>
      </c>
      <c r="C136" s="726">
        <f t="shared" si="267"/>
        <v>1</v>
      </c>
      <c r="D136" s="1028" t="s">
        <v>851</v>
      </c>
      <c r="E136" s="726" t="s">
        <v>1040</v>
      </c>
      <c r="F136" s="254">
        <v>47.141269049911173</v>
      </c>
      <c r="G136" s="254">
        <v>52.224661236371581</v>
      </c>
      <c r="H136" s="852">
        <v>8.4160389626855991</v>
      </c>
      <c r="I136" s="852">
        <v>10.630483084185546</v>
      </c>
      <c r="J136" s="852">
        <v>10.241695834954719</v>
      </c>
      <c r="K136" s="852">
        <v>9.4549147526367854</v>
      </c>
      <c r="L136" s="852">
        <v>10.431438353650302</v>
      </c>
      <c r="M136" s="852">
        <v>7.3081429877632402</v>
      </c>
      <c r="N136" s="852">
        <v>6.8860004096407268</v>
      </c>
      <c r="O136" s="254">
        <v>6.1462564207083838</v>
      </c>
      <c r="P136" s="254">
        <v>5.0701845410069568</v>
      </c>
      <c r="Q136" s="254">
        <v>5.147940545971605</v>
      </c>
      <c r="R136" s="254">
        <v>5.9174075441245835</v>
      </c>
      <c r="S136" s="254">
        <v>4.3672641892083037</v>
      </c>
      <c r="T136" s="254">
        <v>3.755553639162041</v>
      </c>
      <c r="U136" s="254">
        <v>3.3468214009493336</v>
      </c>
      <c r="V136" s="254">
        <v>3.6078009129373227</v>
      </c>
      <c r="W136" s="254">
        <v>3.9595869792693468</v>
      </c>
      <c r="X136" s="254">
        <v>4.2992239274502966</v>
      </c>
      <c r="Y136" s="254">
        <v>4.3362295461094007</v>
      </c>
      <c r="Z136" s="254">
        <v>4.2972619462853157</v>
      </c>
      <c r="AA136" s="254">
        <v>4.3209431537283329</v>
      </c>
      <c r="AB136" s="254">
        <v>4.4388231525151278</v>
      </c>
      <c r="AC136" s="254">
        <v>4.5598555906037213</v>
      </c>
      <c r="AD136" s="254">
        <v>4.6705511366221319</v>
      </c>
      <c r="AE136" s="254">
        <v>4.7905826799714895</v>
      </c>
      <c r="AF136" s="254">
        <v>4.8909868291351355</v>
      </c>
      <c r="AG136" s="254">
        <v>4.9795195705251665</v>
      </c>
      <c r="AH136" s="254">
        <v>5.0140428564929254</v>
      </c>
      <c r="AI136" s="254">
        <v>5.034241784322349</v>
      </c>
      <c r="AJ136" s="254">
        <v>5.0303794300966009</v>
      </c>
      <c r="AK136" s="254">
        <v>4.9817061843162831</v>
      </c>
      <c r="AL136" s="254">
        <v>5.005816752854825</v>
      </c>
      <c r="AM136" s="254">
        <v>5.1117353012541518</v>
      </c>
      <c r="AN136" s="254">
        <v>5.1218001698488047</v>
      </c>
      <c r="AO136" s="254">
        <v>5.1563490468752367</v>
      </c>
      <c r="AP136" s="254">
        <v>5.1654177598155924</v>
      </c>
      <c r="AQ136" s="254">
        <v>5.1952502995101684</v>
      </c>
      <c r="AR136" s="254">
        <v>5.1548078964528896</v>
      </c>
      <c r="AS136" s="254">
        <v>5.1691436283950809</v>
      </c>
      <c r="AT136" s="254">
        <v>5.2239208155775625</v>
      </c>
      <c r="AU136" s="254">
        <v>5.3036701369405987</v>
      </c>
      <c r="AV136" s="254">
        <v>5.3698761013633396</v>
      </c>
      <c r="AW136" s="254">
        <v>5.4477553798092231</v>
      </c>
      <c r="AX136" s="254">
        <v>5.5105548899774046</v>
      </c>
      <c r="AY136" s="254">
        <v>5.5735610242489493</v>
      </c>
      <c r="AZ136" s="254">
        <v>5.6745566112130543</v>
      </c>
      <c r="BA136" s="254">
        <v>5.7069198222653581</v>
      </c>
      <c r="BB136" s="254">
        <v>5.8107835034348891</v>
      </c>
      <c r="BC136" s="254">
        <v>5.8430876323795795</v>
      </c>
      <c r="BD136" s="254">
        <v>5.8755713510037442</v>
      </c>
      <c r="BE136" s="254">
        <v>5.9082356577077126</v>
      </c>
      <c r="BF136" s="254">
        <v>5.9410815564422617</v>
      </c>
      <c r="BG136" s="254">
        <v>5.974110056739474</v>
      </c>
      <c r="BH136" s="254">
        <v>6.006175946840397</v>
      </c>
      <c r="BI136" s="254">
        <v>6.0384139498247791</v>
      </c>
      <c r="BJ136" s="254">
        <v>6.0708249895043265</v>
      </c>
      <c r="BK136" s="254">
        <v>6.1034099946492821</v>
      </c>
      <c r="BL136" s="254">
        <v>6.1361698990150408</v>
      </c>
      <c r="BM136" s="254">
        <v>6.1651091662794615</v>
      </c>
      <c r="BN136" s="254">
        <v>6.1941849162690321</v>
      </c>
      <c r="BO136" s="254">
        <v>6.2233977926605295</v>
      </c>
      <c r="BP136" s="254">
        <v>6.2527484421664239</v>
      </c>
      <c r="BQ136" s="254">
        <v>6.2822375145491964</v>
      </c>
      <c r="BR136" s="254">
        <v>6.3074882699506478</v>
      </c>
      <c r="BS136" s="254">
        <v>6.3328405179567433</v>
      </c>
      <c r="BT136" s="254">
        <v>6.3582946665057261</v>
      </c>
      <c r="BU136" s="254">
        <v>6.3838511251755019</v>
      </c>
      <c r="BV136" s="254">
        <v>6.4095103051902287</v>
      </c>
      <c r="BW136" s="254">
        <v>6.4307917640583545</v>
      </c>
      <c r="BX136" s="254">
        <v>6.4521438836275307</v>
      </c>
      <c r="BY136" s="254">
        <v>6.473566898512062</v>
      </c>
      <c r="BZ136" s="254">
        <v>6.4950610441052419</v>
      </c>
      <c r="CA136" s="254">
        <v>6.5166265565819383</v>
      </c>
      <c r="CB136" s="254">
        <v>6.5305325700258869</v>
      </c>
      <c r="CC136" s="254">
        <v>6.5444682579046409</v>
      </c>
      <c r="CD136" s="254">
        <v>6.5584336835413142</v>
      </c>
      <c r="CE136" s="254">
        <v>6.5724289103941489</v>
      </c>
      <c r="CF136" s="254">
        <v>6.5864540020568016</v>
      </c>
      <c r="CG136" s="254">
        <v>6.5910078603528843</v>
      </c>
      <c r="CH136" s="254">
        <v>6.5955648671755291</v>
      </c>
      <c r="CI136" s="254">
        <v>6.6001250247016205</v>
      </c>
      <c r="CJ136" s="254">
        <v>6.6046883351095476</v>
      </c>
      <c r="CK136" s="254">
        <v>6.6092548005792047</v>
      </c>
      <c r="CL136" s="254">
        <v>6.6108026296665843</v>
      </c>
      <c r="CM136" s="254">
        <v>6.6123508212418631</v>
      </c>
      <c r="CN136" s="254">
        <v>6.6138993753899316</v>
      </c>
      <c r="CO136" s="254">
        <v>6.6154482921957012</v>
      </c>
      <c r="CP136" s="254">
        <v>6.6169975717441041</v>
      </c>
      <c r="CQ136" s="254">
        <v>6.6193456536491393</v>
      </c>
      <c r="CR136" s="254">
        <v>6.6216945687853457</v>
      </c>
      <c r="CS136" s="254">
        <v>6.6240443174483996</v>
      </c>
      <c r="CT136" s="254">
        <v>6.6263948999340831</v>
      </c>
      <c r="CU136" s="254">
        <v>6.6287463165382841</v>
      </c>
      <c r="CV136" s="254">
        <v>6.6323651566473876</v>
      </c>
      <c r="CW136" s="254">
        <v>6.6359859723945851</v>
      </c>
      <c r="CX136" s="254">
        <v>6.6396087648584388</v>
      </c>
      <c r="CY136" s="254">
        <v>6.6432335351180996</v>
      </c>
      <c r="CZ136" s="423">
        <v>6.6468602842533091</v>
      </c>
    </row>
    <row r="137" spans="1:104" x14ac:dyDescent="0.25">
      <c r="A137" s="1458" t="s">
        <v>311</v>
      </c>
      <c r="B137">
        <v>2016</v>
      </c>
      <c r="C137" s="814">
        <v>1</v>
      </c>
      <c r="D137" s="1030" t="s">
        <v>289</v>
      </c>
      <c r="E137" s="814" t="s">
        <v>1040</v>
      </c>
      <c r="H137" s="1459"/>
      <c r="I137" s="1459"/>
      <c r="J137" s="1459"/>
      <c r="K137" s="1459"/>
      <c r="L137" s="1459"/>
      <c r="M137" s="1459"/>
      <c r="N137" s="1459"/>
      <c r="S137">
        <v>27.998010633548642</v>
      </c>
      <c r="T137">
        <v>27.568794266352821</v>
      </c>
      <c r="U137">
        <v>27.568794266352821</v>
      </c>
      <c r="V137">
        <v>36.135525279048387</v>
      </c>
      <c r="W137">
        <v>36.037261504206917</v>
      </c>
      <c r="X137">
        <v>36.337007617833024</v>
      </c>
      <c r="Y137">
        <v>36.652537032081327</v>
      </c>
      <c r="Z137">
        <v>36.507370404014004</v>
      </c>
      <c r="AA137">
        <v>35.814991403627182</v>
      </c>
      <c r="AB137">
        <v>35.344845249766706</v>
      </c>
      <c r="AC137">
        <v>35.093839856000677</v>
      </c>
      <c r="AD137">
        <v>33.951344964462741</v>
      </c>
      <c r="AE137">
        <v>33.728317364797284</v>
      </c>
      <c r="AF137">
        <v>33.231596652847486</v>
      </c>
      <c r="AG137">
        <v>33.004297255059264</v>
      </c>
      <c r="AH137">
        <v>32.448516450458627</v>
      </c>
      <c r="AI137">
        <v>30.815236659478707</v>
      </c>
      <c r="AJ137">
        <v>31.041356345576048</v>
      </c>
      <c r="AK137">
        <v>31.071544546844798</v>
      </c>
      <c r="AL137">
        <v>31.110040402020914</v>
      </c>
      <c r="AM137">
        <v>31.143817410433492</v>
      </c>
      <c r="AN137">
        <v>31.179755153943066</v>
      </c>
      <c r="AO137">
        <v>30.752314563292465</v>
      </c>
      <c r="AP137">
        <v>30.012734677252613</v>
      </c>
      <c r="AQ137">
        <v>30.324526268143508</v>
      </c>
      <c r="AR137">
        <v>30.035968788554065</v>
      </c>
      <c r="AS137">
        <v>31.293355180765982</v>
      </c>
      <c r="AT137">
        <v>31.295727022165543</v>
      </c>
      <c r="AU137">
        <v>31.296025054592718</v>
      </c>
      <c r="AV137">
        <v>31.301613162602152</v>
      </c>
      <c r="AW137">
        <v>31.660506295003675</v>
      </c>
      <c r="AX137">
        <v>31.055935098471778</v>
      </c>
      <c r="AY137">
        <v>30.462962330563911</v>
      </c>
      <c r="AZ137">
        <v>29.883984668715232</v>
      </c>
      <c r="BA137">
        <v>29.295445133161515</v>
      </c>
      <c r="BB137">
        <v>28.669316257730994</v>
      </c>
      <c r="BC137">
        <v>28.70046965895181</v>
      </c>
      <c r="BD137">
        <v>28.731656912895144</v>
      </c>
      <c r="BE137">
        <v>28.762878056346903</v>
      </c>
      <c r="BF137">
        <v>28.794133126132998</v>
      </c>
      <c r="BG137">
        <v>28.825422159119345</v>
      </c>
      <c r="BH137">
        <v>28.856745192211925</v>
      </c>
      <c r="BI137">
        <v>28.888102262356831</v>
      </c>
      <c r="BJ137">
        <v>28.91949340654028</v>
      </c>
      <c r="BK137">
        <v>28.950918661788695</v>
      </c>
      <c r="BL137">
        <v>28.982378065168749</v>
      </c>
      <c r="BM137">
        <v>29.013871653787358</v>
      </c>
      <c r="BN137">
        <v>29.045399464791785</v>
      </c>
      <c r="BO137">
        <v>29.076961535369652</v>
      </c>
      <c r="BP137">
        <v>29.108557902748995</v>
      </c>
      <c r="BQ137">
        <v>29.1401886041983</v>
      </c>
      <c r="BR137">
        <v>29.171853677026547</v>
      </c>
      <c r="BS137">
        <v>29.203553158583262</v>
      </c>
      <c r="BT137">
        <v>29.235287086258548</v>
      </c>
      <c r="BU137">
        <v>29.267055497483163</v>
      </c>
      <c r="BV137">
        <v>29.298858429728512</v>
      </c>
      <c r="BW137">
        <v>29.330695920506734</v>
      </c>
      <c r="BX137">
        <v>29.362568007370712</v>
      </c>
      <c r="BY137">
        <v>29.394474727914172</v>
      </c>
      <c r="BZ137">
        <v>29.426416119771645</v>
      </c>
      <c r="CA137">
        <v>29.458392220618595</v>
      </c>
      <c r="CB137">
        <v>29.490403068171396</v>
      </c>
      <c r="CC137">
        <v>29.522448700187429</v>
      </c>
      <c r="CD137">
        <v>29.554529154465094</v>
      </c>
      <c r="CE137">
        <v>29.586644468843872</v>
      </c>
      <c r="CF137">
        <v>29.618794681204349</v>
      </c>
      <c r="CG137">
        <v>29.650979829468291</v>
      </c>
      <c r="CH137">
        <v>29.683199951598645</v>
      </c>
      <c r="CI137">
        <v>29.715455085599643</v>
      </c>
      <c r="CJ137">
        <v>29.747745269516795</v>
      </c>
      <c r="CK137">
        <v>29.780070541436949</v>
      </c>
      <c r="CL137">
        <v>29.812430939488344</v>
      </c>
      <c r="CM137">
        <v>29.844826501840682</v>
      </c>
      <c r="CN137">
        <v>29.87725726670508</v>
      </c>
      <c r="CO137">
        <v>29.909723272334233</v>
      </c>
      <c r="CP137">
        <v>29.942224557022374</v>
      </c>
      <c r="CQ137">
        <v>29.974761159105356</v>
      </c>
      <c r="CR137">
        <v>30.007333116960684</v>
      </c>
      <c r="CS137">
        <v>30.039940469007583</v>
      </c>
      <c r="CT137">
        <v>30.072583253706998</v>
      </c>
      <c r="CU137">
        <v>30.105261509561693</v>
      </c>
      <c r="CV137">
        <v>30.137975275116265</v>
      </c>
      <c r="CW137">
        <v>30.170724588957185</v>
      </c>
      <c r="CX137">
        <v>30.203509489712854</v>
      </c>
      <c r="CY137">
        <v>30.236330016053664</v>
      </c>
      <c r="CZ137" s="1460">
        <v>30.269186206692016</v>
      </c>
    </row>
    <row r="138" spans="1:104" x14ac:dyDescent="0.25">
      <c r="A138" s="806" t="s">
        <v>1063</v>
      </c>
      <c r="B138" s="254">
        <v>2016</v>
      </c>
      <c r="C138" s="726">
        <f t="shared" si="267"/>
        <v>1</v>
      </c>
      <c r="D138" s="1030" t="s">
        <v>267</v>
      </c>
      <c r="E138" s="726" t="s">
        <v>1040</v>
      </c>
      <c r="F138" s="254">
        <v>19.551069237418005</v>
      </c>
      <c r="G138" s="254">
        <v>20.588656379262464</v>
      </c>
      <c r="H138" s="852">
        <v>5.0967849132778742</v>
      </c>
      <c r="I138" s="852">
        <v>5.0967849132778742</v>
      </c>
      <c r="J138" s="852">
        <v>5.0967849132778742</v>
      </c>
      <c r="K138" s="852">
        <v>5.0967849132778742</v>
      </c>
      <c r="L138" s="852">
        <v>5.0967849132778742</v>
      </c>
      <c r="M138" s="852">
        <v>5.0967849132778742</v>
      </c>
      <c r="N138" s="852">
        <v>5.0967849132778742</v>
      </c>
      <c r="O138" s="254">
        <v>5.0967849132778742</v>
      </c>
      <c r="P138" s="254">
        <v>5.0967849132778742</v>
      </c>
      <c r="Q138" s="254">
        <v>5.0967849132778742</v>
      </c>
      <c r="R138" s="254">
        <v>5.0967849132778742</v>
      </c>
      <c r="S138" s="254">
        <v>5.0967849132778742</v>
      </c>
      <c r="T138" s="254">
        <v>5.0967849132778742</v>
      </c>
      <c r="U138" s="254">
        <v>5.0967849132778742</v>
      </c>
      <c r="V138" s="254">
        <v>5.0967849132778742</v>
      </c>
      <c r="W138" s="254">
        <v>5.0967849132778742</v>
      </c>
      <c r="X138" s="254">
        <v>5.0967849132778742</v>
      </c>
      <c r="Y138" s="254">
        <v>5.0967849132778742</v>
      </c>
      <c r="Z138" s="254">
        <v>5.0967849132778742</v>
      </c>
      <c r="AA138" s="254">
        <v>5.0967849132778742</v>
      </c>
      <c r="AB138" s="254">
        <v>5.0967849132778742</v>
      </c>
      <c r="AC138" s="254">
        <v>5.0967849132778742</v>
      </c>
      <c r="AD138" s="254">
        <v>5.0967849132778742</v>
      </c>
      <c r="AE138" s="254">
        <v>5.0967849132778742</v>
      </c>
      <c r="AF138" s="254">
        <v>5.0967849132778742</v>
      </c>
      <c r="AG138" s="254">
        <v>5.0967849132778742</v>
      </c>
      <c r="AH138" s="254">
        <v>5.0967849132778742</v>
      </c>
      <c r="AI138" s="254">
        <v>5.0967849132778742</v>
      </c>
      <c r="AJ138" s="254">
        <v>5.0967849132778742</v>
      </c>
      <c r="AK138" s="254">
        <v>5.0967849132778742</v>
      </c>
      <c r="AL138" s="254">
        <v>5.0967849132778742</v>
      </c>
      <c r="AM138" s="254">
        <v>5.0967849132778742</v>
      </c>
      <c r="AN138" s="254">
        <v>5.0967849132778742</v>
      </c>
      <c r="AO138" s="254">
        <v>5.0967849132778742</v>
      </c>
      <c r="AP138" s="254">
        <v>5.0967849132778742</v>
      </c>
      <c r="AQ138" s="254">
        <v>5.0967849132778742</v>
      </c>
      <c r="AR138" s="254">
        <v>5.0967849132778742</v>
      </c>
      <c r="AS138" s="254">
        <v>5.0967849132778742</v>
      </c>
      <c r="AT138" s="254">
        <v>5.0967849132778742</v>
      </c>
      <c r="AU138" s="254">
        <v>5.0967849132778742</v>
      </c>
      <c r="AV138" s="254">
        <v>5.0967849132778742</v>
      </c>
      <c r="AW138" s="254">
        <v>5.0967849132778742</v>
      </c>
      <c r="AX138" s="254">
        <v>5.0967849132778742</v>
      </c>
      <c r="AY138" s="254">
        <v>5.0967849132778742</v>
      </c>
      <c r="AZ138" s="254">
        <v>5.0967849132778742</v>
      </c>
      <c r="BA138" s="254">
        <v>5.0967849132778742</v>
      </c>
      <c r="BB138" s="254">
        <v>5.0967849132778742</v>
      </c>
      <c r="BC138" s="254">
        <v>5.1179587571540939</v>
      </c>
      <c r="BD138" s="254">
        <v>5.1392205646528959</v>
      </c>
      <c r="BE138" s="254">
        <v>5.1605707012062227</v>
      </c>
      <c r="BF138" s="254">
        <v>5.1820095337641501</v>
      </c>
      <c r="BG138" s="254">
        <v>5.2035374308011946</v>
      </c>
      <c r="BH138" s="254">
        <v>5.2223240063357927</v>
      </c>
      <c r="BI138" s="254">
        <v>5.2411784079262249</v>
      </c>
      <c r="BJ138" s="254">
        <v>5.2601008804480855</v>
      </c>
      <c r="BK138" s="254">
        <v>5.2790916696610548</v>
      </c>
      <c r="BL138" s="254">
        <v>5.2981510222120916</v>
      </c>
      <c r="BM138" s="254">
        <v>5.3113630812048802</v>
      </c>
      <c r="BN138" s="254">
        <v>5.3246080872582748</v>
      </c>
      <c r="BO138" s="254">
        <v>5.3378861225327325</v>
      </c>
      <c r="BP138" s="254">
        <v>5.3511972693935945</v>
      </c>
      <c r="BQ138" s="254">
        <v>5.3645416104115968</v>
      </c>
      <c r="BR138" s="254">
        <v>5.3779717491778074</v>
      </c>
      <c r="BS138" s="254">
        <v>5.3914355103185612</v>
      </c>
      <c r="BT138" s="254">
        <v>5.4049329780075288</v>
      </c>
      <c r="BU138" s="254">
        <v>5.4184642366291094</v>
      </c>
      <c r="BV138" s="254">
        <v>5.4320293707789578</v>
      </c>
      <c r="BW138" s="254">
        <v>5.4450858323773135</v>
      </c>
      <c r="BX138" s="254">
        <v>5.458173676572823</v>
      </c>
      <c r="BY138" s="254">
        <v>5.471292978796904</v>
      </c>
      <c r="BZ138" s="254">
        <v>5.4844438146622805</v>
      </c>
      <c r="CA138" s="254">
        <v>5.4976262599634209</v>
      </c>
      <c r="CB138" s="254">
        <v>5.509165721372697</v>
      </c>
      <c r="CC138" s="254">
        <v>5.5207294039936956</v>
      </c>
      <c r="CD138" s="254">
        <v>5.5323173586664938</v>
      </c>
      <c r="CE138" s="254">
        <v>5.5439296363378796</v>
      </c>
      <c r="CF138" s="254">
        <v>5.5555662880615797</v>
      </c>
      <c r="CG138" s="254">
        <v>5.5698816197819898</v>
      </c>
      <c r="CH138" s="254">
        <v>5.5842338386011479</v>
      </c>
      <c r="CI138" s="254">
        <v>5.598623039568059</v>
      </c>
      <c r="CJ138" s="254">
        <v>5.6130493179766479</v>
      </c>
      <c r="CK138" s="254">
        <v>5.6275127693663878</v>
      </c>
      <c r="CL138" s="254">
        <v>5.6395580019552014</v>
      </c>
      <c r="CM138" s="254">
        <v>5.6516290163830023</v>
      </c>
      <c r="CN138" s="254">
        <v>5.6637258678337163</v>
      </c>
      <c r="CO138" s="254">
        <v>5.6758486116093856</v>
      </c>
      <c r="CP138" s="254">
        <v>5.6879973031304223</v>
      </c>
      <c r="CQ138" s="254">
        <v>5.6991168854631553</v>
      </c>
      <c r="CR138" s="254">
        <v>5.7102582056949531</v>
      </c>
      <c r="CS138" s="254">
        <v>5.7214213063216786</v>
      </c>
      <c r="CT138" s="254">
        <v>5.732606229922272</v>
      </c>
      <c r="CU138" s="254">
        <v>5.7438130191589121</v>
      </c>
      <c r="CV138" s="254">
        <v>5.7570440466225028</v>
      </c>
      <c r="CW138" s="254">
        <v>5.7703055521130002</v>
      </c>
      <c r="CX138" s="254">
        <v>5.7835976058373566</v>
      </c>
      <c r="CY138" s="254">
        <v>5.796920278164249</v>
      </c>
      <c r="CZ138" s="423">
        <v>5.8102736396244499</v>
      </c>
    </row>
    <row r="139" spans="1:104" x14ac:dyDescent="0.25">
      <c r="A139" s="1069" t="s">
        <v>1069</v>
      </c>
      <c r="B139" s="254">
        <v>2016</v>
      </c>
      <c r="C139" s="726">
        <f t="shared" si="267"/>
        <v>1</v>
      </c>
      <c r="D139" s="1030" t="s">
        <v>267</v>
      </c>
      <c r="E139" s="747" t="s">
        <v>1034</v>
      </c>
      <c r="F139" s="254">
        <v>22.7322030001394</v>
      </c>
      <c r="G139" s="254">
        <v>23.967615189707661</v>
      </c>
      <c r="H139" s="852" t="e">
        <v>#N/A</v>
      </c>
      <c r="I139" s="852" t="e">
        <v>#N/A</v>
      </c>
      <c r="J139" s="852" t="e">
        <v>#N/A</v>
      </c>
      <c r="K139" s="852" t="e">
        <v>#N/A</v>
      </c>
      <c r="L139" s="852">
        <v>2.2148742453355847</v>
      </c>
      <c r="M139" s="852">
        <v>2.3408877437334223</v>
      </c>
      <c r="N139" s="852">
        <v>2.3629142410275352</v>
      </c>
      <c r="O139" s="254">
        <v>2.4181318326423913</v>
      </c>
      <c r="P139" s="254">
        <v>2.3501923436687169</v>
      </c>
      <c r="Q139" s="254">
        <v>2.2749877363600257</v>
      </c>
      <c r="R139" s="254">
        <v>2.2671813119268305</v>
      </c>
      <c r="S139" s="254">
        <v>2.0920368648072634</v>
      </c>
      <c r="T139" s="254">
        <v>1.9706687398025258</v>
      </c>
      <c r="U139" s="254">
        <v>2.067600203211962</v>
      </c>
      <c r="V139" s="254">
        <v>2.1142782942327232</v>
      </c>
      <c r="W139" s="254">
        <v>2.1573963846468813</v>
      </c>
      <c r="X139" s="254">
        <v>2.1900363582596567</v>
      </c>
      <c r="Y139" s="254">
        <v>2.1929897559939948</v>
      </c>
      <c r="Z139" s="254">
        <v>2.2028650611910647</v>
      </c>
      <c r="AA139" s="254">
        <v>2.2090827406317772</v>
      </c>
      <c r="AB139" s="254">
        <v>2.2092997907220093</v>
      </c>
      <c r="AC139" s="254">
        <v>2.2079918032786887</v>
      </c>
      <c r="AD139" s="254">
        <v>2.2065492258230841</v>
      </c>
      <c r="AE139" s="254">
        <v>2.1995552842692714</v>
      </c>
      <c r="AF139" s="254">
        <v>2.1903510334996437</v>
      </c>
      <c r="AG139" s="254">
        <v>2.1795345460335755</v>
      </c>
      <c r="AH139" s="254">
        <v>2.1771697426487315</v>
      </c>
      <c r="AI139" s="254">
        <v>2.177831318906295</v>
      </c>
      <c r="AJ139" s="254">
        <v>2.1809505846135182</v>
      </c>
      <c r="AK139" s="254">
        <v>2.1861806387528246</v>
      </c>
      <c r="AL139" s="254">
        <v>2.1973402359685172</v>
      </c>
      <c r="AM139" s="254">
        <v>2.2020565733003745</v>
      </c>
      <c r="AN139" s="254">
        <v>2.2177912831167257</v>
      </c>
      <c r="AO139" s="254">
        <v>2.2206593773221517</v>
      </c>
      <c r="AP139" s="254">
        <v>2.2289385587115755</v>
      </c>
      <c r="AQ139" s="254">
        <v>2.2351116907538557</v>
      </c>
      <c r="AR139" s="254">
        <v>2.2481536525075447</v>
      </c>
      <c r="AS139" s="254">
        <v>2.2492673374683427</v>
      </c>
      <c r="AT139" s="254">
        <v>2.2496910116619402</v>
      </c>
      <c r="AU139" s="254">
        <v>2.2544263053335558</v>
      </c>
      <c r="AV139" s="254">
        <v>2.2540196918457411</v>
      </c>
      <c r="AW139" s="254">
        <v>2.2546357728878843</v>
      </c>
      <c r="AX139" s="254">
        <v>2.2490256441364247</v>
      </c>
      <c r="AY139" s="254">
        <v>2.2531477002168603</v>
      </c>
      <c r="AZ139" s="254">
        <v>2.2540841434009193</v>
      </c>
      <c r="BA139" s="254">
        <v>2.2596705767276806</v>
      </c>
      <c r="BB139" s="254">
        <v>2.2620458060993922</v>
      </c>
      <c r="BC139" s="254">
        <v>2.2703711301923084</v>
      </c>
      <c r="BD139" s="254">
        <v>2.2787270951418623</v>
      </c>
      <c r="BE139" s="254">
        <v>2.2871138137198912</v>
      </c>
      <c r="BF139" s="254">
        <v>2.2955313991132824</v>
      </c>
      <c r="BG139" s="254">
        <v>2.3039799649255008</v>
      </c>
      <c r="BH139" s="254">
        <v>2.3125787529279784</v>
      </c>
      <c r="BI139" s="254">
        <v>2.3212096328567045</v>
      </c>
      <c r="BJ139" s="254">
        <v>2.3298727244834101</v>
      </c>
      <c r="BK139" s="254">
        <v>2.338568148026833</v>
      </c>
      <c r="BL139" s="254">
        <v>2.3472960241543843</v>
      </c>
      <c r="BM139" s="254">
        <v>2.3559838582312191</v>
      </c>
      <c r="BN139" s="254">
        <v>2.3647038478010849</v>
      </c>
      <c r="BO139" s="254">
        <v>2.3734561118781943</v>
      </c>
      <c r="BP139" s="254">
        <v>2.3822407699172565</v>
      </c>
      <c r="BQ139" s="254">
        <v>2.3910579418151077</v>
      </c>
      <c r="BR139" s="254">
        <v>2.3997099382358895</v>
      </c>
      <c r="BS139" s="254">
        <v>2.4083932417365861</v>
      </c>
      <c r="BT139" s="254">
        <v>2.4171079656012542</v>
      </c>
      <c r="BU139" s="254">
        <v>2.4258542235238663</v>
      </c>
      <c r="BV139" s="254">
        <v>2.434632129609795</v>
      </c>
      <c r="BW139" s="254">
        <v>2.4428635118796533</v>
      </c>
      <c r="BX139" s="254">
        <v>2.4511227240845761</v>
      </c>
      <c r="BY139" s="254">
        <v>2.4594098603163279</v>
      </c>
      <c r="BZ139" s="254">
        <v>2.467725014984794</v>
      </c>
      <c r="CA139" s="254">
        <v>2.476068282819055</v>
      </c>
      <c r="CB139" s="254">
        <v>2.4831576550549128</v>
      </c>
      <c r="CC139" s="254">
        <v>2.4902673252765117</v>
      </c>
      <c r="CD139" s="254">
        <v>2.4973973516001715</v>
      </c>
      <c r="CE139" s="254">
        <v>2.5045477923086086</v>
      </c>
      <c r="CF139" s="254">
        <v>2.5117187058514112</v>
      </c>
      <c r="CG139" s="254">
        <v>2.5171937058097216</v>
      </c>
      <c r="CH139" s="254">
        <v>2.5226806400759916</v>
      </c>
      <c r="CI139" s="254">
        <v>2.5281795346644143</v>
      </c>
      <c r="CJ139" s="254">
        <v>2.5336904156458884</v>
      </c>
      <c r="CK139" s="254">
        <v>2.539213309148141</v>
      </c>
      <c r="CL139" s="254">
        <v>2.5429573704375228</v>
      </c>
      <c r="CM139" s="254">
        <v>2.5467069523323964</v>
      </c>
      <c r="CN139" s="254">
        <v>2.5504620629728754</v>
      </c>
      <c r="CO139" s="254">
        <v>2.554222710511076</v>
      </c>
      <c r="CP139" s="254">
        <v>2.5579889031111347</v>
      </c>
      <c r="CQ139" s="254">
        <v>2.5592501421168059</v>
      </c>
      <c r="CR139" s="254">
        <v>2.5605120029875006</v>
      </c>
      <c r="CS139" s="254">
        <v>2.5617744860298348</v>
      </c>
      <c r="CT139" s="254">
        <v>2.5630375915505756</v>
      </c>
      <c r="CU139" s="254">
        <v>2.564301319856642</v>
      </c>
      <c r="CV139" s="254">
        <v>2.5624850697467836</v>
      </c>
      <c r="CW139" s="254">
        <v>2.5606701060553489</v>
      </c>
      <c r="CX139" s="254">
        <v>2.5588564278711901</v>
      </c>
      <c r="CY139" s="254">
        <v>2.5570440342838041</v>
      </c>
      <c r="CZ139" s="423">
        <v>2.555232924383334</v>
      </c>
    </row>
    <row r="140" spans="1:104" x14ac:dyDescent="0.25">
      <c r="A140" s="806" t="s">
        <v>672</v>
      </c>
      <c r="B140" s="254">
        <v>2016</v>
      </c>
      <c r="C140" s="726">
        <f t="shared" si="267"/>
        <v>1</v>
      </c>
      <c r="D140" s="1018" t="s">
        <v>295</v>
      </c>
      <c r="E140" s="726" t="s">
        <v>1053</v>
      </c>
      <c r="F140" s="730"/>
      <c r="G140" s="726"/>
      <c r="H140" s="852">
        <v>28.373013628420669</v>
      </c>
      <c r="I140" s="852">
        <v>29.17093293229123</v>
      </c>
      <c r="J140" s="852">
        <v>30.878569780545078</v>
      </c>
      <c r="K140" s="852">
        <v>30.682595180991225</v>
      </c>
      <c r="L140" s="852">
        <v>31.992353762541459</v>
      </c>
      <c r="M140" s="852">
        <v>31.4429334181984</v>
      </c>
      <c r="N140" s="852">
        <v>31.156600892671783</v>
      </c>
      <c r="O140" s="254">
        <v>30.676058322376605</v>
      </c>
      <c r="P140" s="254">
        <v>29.679126186318804</v>
      </c>
      <c r="Q140" s="254">
        <v>29.700131988890092</v>
      </c>
      <c r="R140" s="254">
        <v>30.54196479432273</v>
      </c>
      <c r="S140" s="254">
        <v>29.932211922183079</v>
      </c>
      <c r="T140" s="254">
        <v>28.972214109999999</v>
      </c>
      <c r="U140" s="254">
        <v>29.128232055928784</v>
      </c>
      <c r="V140" s="254">
        <v>28.995688380521983</v>
      </c>
      <c r="W140" s="254">
        <v>29.39475155821113</v>
      </c>
      <c r="X140" s="254">
        <v>29.885964346916182</v>
      </c>
      <c r="Y140" s="254">
        <v>30.089071101439163</v>
      </c>
      <c r="Z140" s="254">
        <v>31.081689502737298</v>
      </c>
      <c r="AA140" s="254">
        <v>31.400245105473072</v>
      </c>
      <c r="AB140" s="254">
        <v>31.337976372818122</v>
      </c>
      <c r="AC140" s="254">
        <v>31.854564117923594</v>
      </c>
      <c r="AD140" s="254">
        <v>32.189964324168578</v>
      </c>
      <c r="AE140" s="254">
        <v>32.274661250208517</v>
      </c>
      <c r="AF140" s="254">
        <v>32.347049824843424</v>
      </c>
      <c r="AG140" s="254">
        <v>32.398275541772193</v>
      </c>
      <c r="AH140" s="254">
        <v>32.473329377777105</v>
      </c>
      <c r="AI140" s="254">
        <v>32.424485524938959</v>
      </c>
      <c r="AJ140" s="254">
        <v>32.33705604252286</v>
      </c>
      <c r="AK140" s="254">
        <v>32.213589610409308</v>
      </c>
      <c r="AL140" s="254">
        <v>32.123147965605618</v>
      </c>
      <c r="AM140" s="254">
        <v>32.189031672252469</v>
      </c>
      <c r="AN140" s="254">
        <v>32.20134665837643</v>
      </c>
      <c r="AO140" s="254">
        <v>32.137342472816606</v>
      </c>
      <c r="AP140" s="254">
        <v>32.106067355666433</v>
      </c>
      <c r="AQ140" s="254">
        <v>32.055398007309563</v>
      </c>
      <c r="AR140" s="254">
        <v>31.985796962436115</v>
      </c>
      <c r="AS140" s="254">
        <v>31.883579639374592</v>
      </c>
      <c r="AT140" s="254">
        <v>31.88043762605966</v>
      </c>
      <c r="AU140" s="254">
        <v>31.921825950470875</v>
      </c>
      <c r="AV140" s="254">
        <v>31.967798865652629</v>
      </c>
      <c r="AW140" s="254">
        <v>32.011030694105337</v>
      </c>
      <c r="AX140" s="254">
        <v>32.04019407500644</v>
      </c>
      <c r="AY140" s="254">
        <v>32.084258086774547</v>
      </c>
      <c r="AZ140" s="254">
        <v>32.12290532445671</v>
      </c>
      <c r="BA140" s="254">
        <v>32.1438833578502</v>
      </c>
      <c r="BB140" s="254">
        <v>32.210559439498944</v>
      </c>
      <c r="BC140" s="254">
        <v>32.212518425109167</v>
      </c>
      <c r="BD140" s="254">
        <v>32.214477529861206</v>
      </c>
      <c r="BE140" s="254">
        <v>32.216436753762309</v>
      </c>
      <c r="BF140" s="254">
        <v>32.218396096819724</v>
      </c>
      <c r="BG140" s="254">
        <v>32.220355559040698</v>
      </c>
      <c r="BH140" s="254">
        <v>32.225068562587758</v>
      </c>
      <c r="BI140" s="254">
        <v>32.229782255525173</v>
      </c>
      <c r="BJ140" s="254">
        <v>32.234496637953782</v>
      </c>
      <c r="BK140" s="254">
        <v>32.239211709974448</v>
      </c>
      <c r="BL140" s="254">
        <v>32.243927471688032</v>
      </c>
      <c r="BM140" s="254">
        <v>32.234738373564198</v>
      </c>
      <c r="BN140" s="254">
        <v>32.225551894213289</v>
      </c>
      <c r="BO140" s="254">
        <v>32.216368032888994</v>
      </c>
      <c r="BP140" s="254">
        <v>32.207186788845206</v>
      </c>
      <c r="BQ140" s="254">
        <v>32.198008161336034</v>
      </c>
      <c r="BR140" s="254">
        <v>32.188328675270981</v>
      </c>
      <c r="BS140" s="254">
        <v>32.178652099089362</v>
      </c>
      <c r="BT140" s="254">
        <v>32.168978431916393</v>
      </c>
      <c r="BU140" s="254">
        <v>32.15930767287756</v>
      </c>
      <c r="BV140" s="254">
        <v>32.14963982109861</v>
      </c>
      <c r="BW140" s="254">
        <v>32.135484213462775</v>
      </c>
      <c r="BX140" s="254">
        <v>32.121334838594358</v>
      </c>
      <c r="BY140" s="254">
        <v>32.107191693749044</v>
      </c>
      <c r="BZ140" s="254">
        <v>32.093054776183735</v>
      </c>
      <c r="CA140" s="254">
        <v>32.078924083156537</v>
      </c>
      <c r="CB140" s="254">
        <v>32.05322936592912</v>
      </c>
      <c r="CC140" s="254">
        <v>32.027555229768936</v>
      </c>
      <c r="CD140" s="254">
        <v>32.001901658190874</v>
      </c>
      <c r="CE140" s="254">
        <v>31.976268634723027</v>
      </c>
      <c r="CF140" s="254">
        <v>31.950656142906677</v>
      </c>
      <c r="CG140" s="254">
        <v>31.915373500092528</v>
      </c>
      <c r="CH140" s="254">
        <v>31.880129819385399</v>
      </c>
      <c r="CI140" s="254">
        <v>31.844925057760001</v>
      </c>
      <c r="CJ140" s="254">
        <v>31.809759172238564</v>
      </c>
      <c r="CK140" s="254">
        <v>31.774632119890772</v>
      </c>
      <c r="CL140" s="254">
        <v>31.736335048107414</v>
      </c>
      <c r="CM140" s="254">
        <v>31.698084134709202</v>
      </c>
      <c r="CN140" s="254">
        <v>31.659879324062725</v>
      </c>
      <c r="CO140" s="254">
        <v>31.621720560601634</v>
      </c>
      <c r="CP140" s="254">
        <v>31.583607788826551</v>
      </c>
      <c r="CQ140" s="254">
        <v>31.539463246970023</v>
      </c>
      <c r="CR140" s="254">
        <v>31.495380406125889</v>
      </c>
      <c r="CS140" s="254">
        <v>31.451359180054389</v>
      </c>
      <c r="CT140" s="254">
        <v>31.407399482636293</v>
      </c>
      <c r="CU140" s="254">
        <v>31.363501227872742</v>
      </c>
      <c r="CV140" s="254">
        <v>31.320648715953933</v>
      </c>
      <c r="CW140" s="254">
        <v>31.277854754187555</v>
      </c>
      <c r="CX140" s="254">
        <v>31.235119262575491</v>
      </c>
      <c r="CY140" s="254">
        <v>31.192442161228929</v>
      </c>
      <c r="CZ140" s="423">
        <v>31.1498233703682</v>
      </c>
    </row>
    <row r="141" spans="1:104" x14ac:dyDescent="0.25">
      <c r="A141" s="806" t="s">
        <v>687</v>
      </c>
      <c r="B141" s="254">
        <v>2016</v>
      </c>
      <c r="C141" s="726">
        <f t="shared" si="267"/>
        <v>1</v>
      </c>
      <c r="D141" s="1018" t="s">
        <v>295</v>
      </c>
      <c r="E141" s="726" t="s">
        <v>1053</v>
      </c>
      <c r="F141" s="737"/>
      <c r="G141" s="1054"/>
      <c r="H141" s="852">
        <v>18.232352698801531</v>
      </c>
      <c r="I141" s="852">
        <v>19.279059481202857</v>
      </c>
      <c r="J141" s="852">
        <v>20.106975671052609</v>
      </c>
      <c r="K141" s="852">
        <v>20.31728323383771</v>
      </c>
      <c r="L141" s="852">
        <v>21.702415417864383</v>
      </c>
      <c r="M141" s="852">
        <v>21.137326303769196</v>
      </c>
      <c r="N141" s="852">
        <v>20.699724047437488</v>
      </c>
      <c r="O141" s="254">
        <v>20.430734156114106</v>
      </c>
      <c r="P141" s="254">
        <v>19.619402543384187</v>
      </c>
      <c r="Q141" s="254">
        <v>19.94482547791937</v>
      </c>
      <c r="R141" s="254">
        <v>20.190684361237558</v>
      </c>
      <c r="S141" s="254">
        <v>19.439058682545589</v>
      </c>
      <c r="T141" s="254">
        <v>18.777772519999996</v>
      </c>
      <c r="U141" s="254">
        <v>19.537493744407882</v>
      </c>
      <c r="V141" s="254">
        <v>19.094688812726531</v>
      </c>
      <c r="W141" s="254">
        <v>19.340880484069093</v>
      </c>
      <c r="X141" s="254">
        <v>19.700726786066333</v>
      </c>
      <c r="Y141" s="254">
        <v>19.809231927025674</v>
      </c>
      <c r="Z141" s="254">
        <v>20.448628319255093</v>
      </c>
      <c r="AA141" s="254">
        <v>20.513438149254636</v>
      </c>
      <c r="AB141" s="254">
        <v>20.459361398826221</v>
      </c>
      <c r="AC141" s="254">
        <v>20.950622526197662</v>
      </c>
      <c r="AD141" s="254">
        <v>21.163384692376518</v>
      </c>
      <c r="AE141" s="254">
        <v>21.285322295688569</v>
      </c>
      <c r="AF141" s="254">
        <v>21.423623959296947</v>
      </c>
      <c r="AG141" s="254">
        <v>21.53228264660833</v>
      </c>
      <c r="AH141" s="254">
        <v>21.607771530610695</v>
      </c>
      <c r="AI141" s="254">
        <v>21.635145433038627</v>
      </c>
      <c r="AJ141" s="254">
        <v>21.585785019942069</v>
      </c>
      <c r="AK141" s="254">
        <v>21.508628925857963</v>
      </c>
      <c r="AL141" s="254">
        <v>21.446118499871098</v>
      </c>
      <c r="AM141" s="254">
        <v>21.521952389257063</v>
      </c>
      <c r="AN141" s="254">
        <v>21.600204159779199</v>
      </c>
      <c r="AO141" s="254">
        <v>21.583872325260458</v>
      </c>
      <c r="AP141" s="254">
        <v>21.588666383585327</v>
      </c>
      <c r="AQ141" s="254">
        <v>21.605374501448264</v>
      </c>
      <c r="AR141" s="254">
        <v>21.554715579078266</v>
      </c>
      <c r="AS141" s="254">
        <v>21.491324631109631</v>
      </c>
      <c r="AT141" s="254">
        <v>21.516251270074765</v>
      </c>
      <c r="AU141" s="254">
        <v>21.58191413536343</v>
      </c>
      <c r="AV141" s="254">
        <v>21.663232093841465</v>
      </c>
      <c r="AW141" s="254">
        <v>21.742367229796333</v>
      </c>
      <c r="AX141" s="254">
        <v>21.822824570449338</v>
      </c>
      <c r="AY141" s="254">
        <v>21.895024529503647</v>
      </c>
      <c r="AZ141" s="254">
        <v>21.976239175929997</v>
      </c>
      <c r="BA141" s="254">
        <v>22.046603213478718</v>
      </c>
      <c r="BB141" s="254">
        <v>22.114819497732821</v>
      </c>
      <c r="BC141" s="254">
        <v>22.13487665280584</v>
      </c>
      <c r="BD141" s="254">
        <v>22.15495199882406</v>
      </c>
      <c r="BE141" s="254">
        <v>22.175045552285859</v>
      </c>
      <c r="BF141" s="254">
        <v>22.195157329704575</v>
      </c>
      <c r="BG141" s="254">
        <v>22.215287347608523</v>
      </c>
      <c r="BH141" s="254">
        <v>22.237407284551185</v>
      </c>
      <c r="BI141" s="254">
        <v>22.259549246489641</v>
      </c>
      <c r="BJ141" s="254">
        <v>22.281713255354351</v>
      </c>
      <c r="BK141" s="254">
        <v>22.303899333097611</v>
      </c>
      <c r="BL141" s="254">
        <v>22.326107501693581</v>
      </c>
      <c r="BM141" s="254">
        <v>22.336823207612067</v>
      </c>
      <c r="BN141" s="254">
        <v>22.347544056673097</v>
      </c>
      <c r="BO141" s="254">
        <v>22.358270051345187</v>
      </c>
      <c r="BP141" s="254">
        <v>22.369001194098043</v>
      </c>
      <c r="BQ141" s="254">
        <v>22.379737487402554</v>
      </c>
      <c r="BR141" s="254">
        <v>22.390100389733625</v>
      </c>
      <c r="BS141" s="254">
        <v>22.400468090590362</v>
      </c>
      <c r="BT141" s="254">
        <v>22.410840592194713</v>
      </c>
      <c r="BU141" s="254">
        <v>22.421217896769658</v>
      </c>
      <c r="BV141" s="254">
        <v>22.431600006539206</v>
      </c>
      <c r="BW141" s="254">
        <v>22.438377931004013</v>
      </c>
      <c r="BX141" s="254">
        <v>22.44515790348412</v>
      </c>
      <c r="BY141" s="254">
        <v>22.451939924598356</v>
      </c>
      <c r="BZ141" s="254">
        <v>22.458723994965737</v>
      </c>
      <c r="CA141" s="254">
        <v>22.465510115205461</v>
      </c>
      <c r="CB141" s="254">
        <v>22.462969438648798</v>
      </c>
      <c r="CC141" s="254">
        <v>22.46042904942313</v>
      </c>
      <c r="CD141" s="254">
        <v>22.45788894749596</v>
      </c>
      <c r="CE141" s="254">
        <v>22.455349132834797</v>
      </c>
      <c r="CF141" s="254">
        <v>22.452809605407158</v>
      </c>
      <c r="CG141" s="254">
        <v>22.442624812220661</v>
      </c>
      <c r="CH141" s="254">
        <v>22.432444638946507</v>
      </c>
      <c r="CI141" s="254">
        <v>22.422269083489063</v>
      </c>
      <c r="CJ141" s="254">
        <v>22.412098143753649</v>
      </c>
      <c r="CK141" s="254">
        <v>22.401931817646531</v>
      </c>
      <c r="CL141" s="254">
        <v>22.389459823741635</v>
      </c>
      <c r="CM141" s="254">
        <v>22.376994773462549</v>
      </c>
      <c r="CN141" s="254">
        <v>22.364536662943497</v>
      </c>
      <c r="CO141" s="254">
        <v>22.352085488320853</v>
      </c>
      <c r="CP141" s="254">
        <v>22.339641245733144</v>
      </c>
      <c r="CQ141" s="254">
        <v>22.322592014179389</v>
      </c>
      <c r="CR141" s="254">
        <v>22.305555794307125</v>
      </c>
      <c r="CS141" s="254">
        <v>22.288532576186064</v>
      </c>
      <c r="CT141" s="254">
        <v>22.271522349893491</v>
      </c>
      <c r="CU141" s="254">
        <v>22.254525105514261</v>
      </c>
      <c r="CV141" s="254">
        <v>22.238544472899552</v>
      </c>
      <c r="CW141" s="254">
        <v>22.222575315731635</v>
      </c>
      <c r="CX141" s="254">
        <v>22.206617625770171</v>
      </c>
      <c r="CY141" s="254">
        <v>22.190671394780733</v>
      </c>
      <c r="CZ141" s="423">
        <v>22.174736614534808</v>
      </c>
    </row>
    <row r="142" spans="1:104" ht="13.8" thickBot="1" x14ac:dyDescent="0.3">
      <c r="A142" s="1070" t="s">
        <v>673</v>
      </c>
      <c r="B142" s="418">
        <v>2016</v>
      </c>
      <c r="C142" s="1071">
        <f t="shared" si="267"/>
        <v>1</v>
      </c>
      <c r="D142" s="1072" t="s">
        <v>295</v>
      </c>
      <c r="E142" s="1071" t="s">
        <v>1053</v>
      </c>
      <c r="F142" s="1073"/>
      <c r="G142" s="825"/>
      <c r="H142" s="1074">
        <v>31.081820315099751</v>
      </c>
      <c r="I142" s="1074">
        <v>31.795307521355493</v>
      </c>
      <c r="J142" s="1074">
        <v>33.946842042036877</v>
      </c>
      <c r="K142" s="1074">
        <v>33.862138723062856</v>
      </c>
      <c r="L142" s="1074">
        <v>35.110516897292094</v>
      </c>
      <c r="M142" s="1074">
        <v>35.620882248372396</v>
      </c>
      <c r="N142" s="1074">
        <v>35.284315436843215</v>
      </c>
      <c r="O142" s="418">
        <v>35.109707376782602</v>
      </c>
      <c r="P142" s="418">
        <v>34.944303180720262</v>
      </c>
      <c r="Q142" s="418">
        <v>35.113313940081568</v>
      </c>
      <c r="R142" s="418">
        <v>35.603854676435802</v>
      </c>
      <c r="S142" s="418">
        <v>35.586699324775935</v>
      </c>
      <c r="T142" s="418">
        <v>34.861101349999998</v>
      </c>
      <c r="U142" s="418">
        <v>34.664653819323334</v>
      </c>
      <c r="V142" s="418">
        <v>34.410290069910978</v>
      </c>
      <c r="W142" s="418">
        <v>34.908531869398402</v>
      </c>
      <c r="X142" s="418">
        <v>35.616671532127199</v>
      </c>
      <c r="Y142" s="418">
        <v>35.947520321196222</v>
      </c>
      <c r="Z142" s="418">
        <v>36.987705865849776</v>
      </c>
      <c r="AA142" s="418">
        <v>37.546039262370911</v>
      </c>
      <c r="AB142" s="418">
        <v>37.510823122184988</v>
      </c>
      <c r="AC142" s="418">
        <v>38.008797637281816</v>
      </c>
      <c r="AD142" s="418">
        <v>38.419808048103611</v>
      </c>
      <c r="AE142" s="418">
        <v>38.480927078752217</v>
      </c>
      <c r="AF142" s="418">
        <v>38.529894147798792</v>
      </c>
      <c r="AG142" s="418">
        <v>38.610432052895767</v>
      </c>
      <c r="AH142" s="418">
        <v>38.669048846696292</v>
      </c>
      <c r="AI142" s="418">
        <v>38.631731396248163</v>
      </c>
      <c r="AJ142" s="418">
        <v>38.567872226687491</v>
      </c>
      <c r="AK142" s="418">
        <v>38.465126969563705</v>
      </c>
      <c r="AL142" s="418">
        <v>38.413723063041203</v>
      </c>
      <c r="AM142" s="418">
        <v>38.515467425425761</v>
      </c>
      <c r="AN142" s="418">
        <v>38.527084818246614</v>
      </c>
      <c r="AO142" s="418">
        <v>38.521472793861179</v>
      </c>
      <c r="AP142" s="418">
        <v>38.546973809920992</v>
      </c>
      <c r="AQ142" s="418">
        <v>38.560691565187064</v>
      </c>
      <c r="AR142" s="418">
        <v>38.568356561168315</v>
      </c>
      <c r="AS142" s="418">
        <v>38.569368829711408</v>
      </c>
      <c r="AT142" s="418">
        <v>38.651143635977618</v>
      </c>
      <c r="AU142" s="418">
        <v>38.781520601750053</v>
      </c>
      <c r="AV142" s="418">
        <v>38.929117506558889</v>
      </c>
      <c r="AW142" s="418">
        <v>39.08758776785308</v>
      </c>
      <c r="AX142" s="418">
        <v>39.228047610742941</v>
      </c>
      <c r="AY142" s="418">
        <v>39.393119417357944</v>
      </c>
      <c r="AZ142" s="418">
        <v>39.595269824540118</v>
      </c>
      <c r="BA142" s="418">
        <v>39.769550621009692</v>
      </c>
      <c r="BB142" s="418">
        <v>39.980674011616443</v>
      </c>
      <c r="BC142" s="418">
        <v>39.983105560972888</v>
      </c>
      <c r="BD142" s="418">
        <v>39.985537258211586</v>
      </c>
      <c r="BE142" s="418">
        <v>39.987969103341534</v>
      </c>
      <c r="BF142" s="418">
        <v>39.990401096371727</v>
      </c>
      <c r="BG142" s="418">
        <v>39.99283323731116</v>
      </c>
      <c r="BH142" s="418">
        <v>39.998683153044055</v>
      </c>
      <c r="BI142" s="418">
        <v>40.00453392446812</v>
      </c>
      <c r="BJ142" s="418">
        <v>40.010385551708517</v>
      </c>
      <c r="BK142" s="418">
        <v>40.016238034890421</v>
      </c>
      <c r="BL142" s="418">
        <v>40.022091374139045</v>
      </c>
      <c r="BM142" s="418">
        <v>40.01068560090993</v>
      </c>
      <c r="BN142" s="418">
        <v>39.999283078177193</v>
      </c>
      <c r="BO142" s="418">
        <v>39.987883805014484</v>
      </c>
      <c r="BP142" s="418">
        <v>39.976487780495717</v>
      </c>
      <c r="BQ142" s="418">
        <v>39.965095003695069</v>
      </c>
      <c r="BR142" s="418">
        <v>39.953080546830584</v>
      </c>
      <c r="BS142" s="418">
        <v>39.941069701797218</v>
      </c>
      <c r="BT142" s="418">
        <v>39.929062467509169</v>
      </c>
      <c r="BU142" s="418">
        <v>39.917058842880955</v>
      </c>
      <c r="BV142" s="418">
        <v>39.905058826827435</v>
      </c>
      <c r="BW142" s="418">
        <v>39.887488478960996</v>
      </c>
      <c r="BX142" s="418">
        <v>39.869925867384971</v>
      </c>
      <c r="BY142" s="418">
        <v>39.852370988693046</v>
      </c>
      <c r="BZ142" s="418">
        <v>39.8348238394804</v>
      </c>
      <c r="CA142" s="418">
        <v>39.817284416343718</v>
      </c>
      <c r="CB142" s="418">
        <v>39.785391393336162</v>
      </c>
      <c r="CC142" s="418">
        <v>39.75352391614198</v>
      </c>
      <c r="CD142" s="418">
        <v>39.721681964299371</v>
      </c>
      <c r="CE142" s="418">
        <v>39.689865517362925</v>
      </c>
      <c r="CF142" s="418">
        <v>39.658074554903607</v>
      </c>
      <c r="CG142" s="418">
        <v>39.614280722534119</v>
      </c>
      <c r="CH142" s="418">
        <v>39.57053525105394</v>
      </c>
      <c r="CI142" s="418">
        <v>39.526838087058842</v>
      </c>
      <c r="CJ142" s="418">
        <v>39.48318917720357</v>
      </c>
      <c r="CK142" s="418">
        <v>39.439588468201791</v>
      </c>
      <c r="CL142" s="418">
        <v>39.392053039782866</v>
      </c>
      <c r="CM142" s="418">
        <v>39.344574904480901</v>
      </c>
      <c r="CN142" s="418">
        <v>39.297153993242112</v>
      </c>
      <c r="CO142" s="418">
        <v>39.249790237095944</v>
      </c>
      <c r="CP142" s="418">
        <v>39.202483567154964</v>
      </c>
      <c r="CQ142" s="418">
        <v>39.147690090479308</v>
      </c>
      <c r="CR142" s="418">
        <v>39.092973198877175</v>
      </c>
      <c r="CS142" s="418">
        <v>39.038332785305279</v>
      </c>
      <c r="CT142" s="418">
        <v>38.983768742869955</v>
      </c>
      <c r="CU142" s="418">
        <v>38.929280964826951</v>
      </c>
      <c r="CV142" s="418">
        <v>38.876091192919297</v>
      </c>
      <c r="CW142" s="418">
        <v>38.822974095147039</v>
      </c>
      <c r="CX142" s="418">
        <v>38.769929572214203</v>
      </c>
      <c r="CY142" s="418">
        <v>38.716957524960492</v>
      </c>
      <c r="CZ142" s="419">
        <v>38.66405785436109</v>
      </c>
    </row>
    <row r="203" spans="1:2" ht="13.8" x14ac:dyDescent="0.25">
      <c r="A203" s="2"/>
      <c r="B203" s="2"/>
    </row>
    <row r="204" spans="1:2" ht="13.8" x14ac:dyDescent="0.25">
      <c r="A204" s="2"/>
      <c r="B204" s="2"/>
    </row>
    <row r="250" spans="1:29" x14ac:dyDescent="0.25">
      <c r="A250" s="32"/>
    </row>
    <row r="252" spans="1:29" x14ac:dyDescent="0.25">
      <c r="AC252" s="28"/>
    </row>
    <row r="253" spans="1:29" x14ac:dyDescent="0.25">
      <c r="AC253" s="28"/>
    </row>
    <row r="254" spans="1:29" x14ac:dyDescent="0.25">
      <c r="AC254" s="28"/>
    </row>
    <row r="255" spans="1:29" x14ac:dyDescent="0.25">
      <c r="AC255" s="28"/>
    </row>
    <row r="258" spans="29:29" x14ac:dyDescent="0.25">
      <c r="AC258" s="28"/>
    </row>
    <row r="259" spans="29:29" x14ac:dyDescent="0.25">
      <c r="AC259" s="28"/>
    </row>
    <row r="260" spans="29:29" x14ac:dyDescent="0.25">
      <c r="AC260" s="28"/>
    </row>
    <row r="261" spans="29:29" x14ac:dyDescent="0.25">
      <c r="AC261" s="28"/>
    </row>
    <row r="264" spans="29:29" x14ac:dyDescent="0.25">
      <c r="AC264" s="28"/>
    </row>
    <row r="265" spans="29:29" x14ac:dyDescent="0.25">
      <c r="AC265" s="28"/>
    </row>
    <row r="266" spans="29:29" x14ac:dyDescent="0.25">
      <c r="AC266" s="28"/>
    </row>
    <row r="267" spans="29:29" x14ac:dyDescent="0.25">
      <c r="AC267" s="28"/>
    </row>
    <row r="268" spans="29:29" x14ac:dyDescent="0.25">
      <c r="AC268" s="28"/>
    </row>
    <row r="269" spans="29:29" x14ac:dyDescent="0.25">
      <c r="AC269" s="28"/>
    </row>
    <row r="271" spans="29:29" x14ac:dyDescent="0.25">
      <c r="AC271" s="28"/>
    </row>
    <row r="274" spans="29:29" x14ac:dyDescent="0.25">
      <c r="AC274" s="28"/>
    </row>
    <row r="275" spans="29:29" x14ac:dyDescent="0.25">
      <c r="AC275" s="28"/>
    </row>
    <row r="276" spans="29:29" x14ac:dyDescent="0.25">
      <c r="AC276" s="28"/>
    </row>
    <row r="277" spans="29:29" x14ac:dyDescent="0.25">
      <c r="AC277" s="28"/>
    </row>
    <row r="278" spans="29:29" x14ac:dyDescent="0.25">
      <c r="AC278" s="28"/>
    </row>
    <row r="279" spans="29:29" x14ac:dyDescent="0.25">
      <c r="AC279" s="28"/>
    </row>
    <row r="280" spans="29:29" x14ac:dyDescent="0.25">
      <c r="AC280" s="28"/>
    </row>
    <row r="281" spans="29:29" x14ac:dyDescent="0.25">
      <c r="AC281" s="28"/>
    </row>
    <row r="284" spans="29:29" x14ac:dyDescent="0.25">
      <c r="AC284" s="28"/>
    </row>
    <row r="285" spans="29:29" x14ac:dyDescent="0.25">
      <c r="AC285" s="28"/>
    </row>
    <row r="286" spans="29:29" x14ac:dyDescent="0.25">
      <c r="AC286" s="28"/>
    </row>
    <row r="287" spans="29:29" x14ac:dyDescent="0.25">
      <c r="AC287" s="28"/>
    </row>
    <row r="290" spans="29:29" x14ac:dyDescent="0.25">
      <c r="AC290" s="28"/>
    </row>
    <row r="291" spans="29:29" x14ac:dyDescent="0.25">
      <c r="AC291" s="28"/>
    </row>
    <row r="292" spans="29:29" x14ac:dyDescent="0.25">
      <c r="AC292" s="28"/>
    </row>
    <row r="293" spans="29:29" x14ac:dyDescent="0.25">
      <c r="AC293" s="28"/>
    </row>
    <row r="294" spans="29:29" x14ac:dyDescent="0.25">
      <c r="AC294" s="28"/>
    </row>
    <row r="295" spans="29:29" x14ac:dyDescent="0.25">
      <c r="AC295" s="28"/>
    </row>
    <row r="296" spans="29:29" x14ac:dyDescent="0.25">
      <c r="AC296" s="28"/>
    </row>
    <row r="297" spans="29:29" x14ac:dyDescent="0.25">
      <c r="AC297" s="28"/>
    </row>
    <row r="298" spans="29:29" x14ac:dyDescent="0.25">
      <c r="AC298" s="28"/>
    </row>
    <row r="300" spans="29:29" x14ac:dyDescent="0.25">
      <c r="AC300" s="28"/>
    </row>
    <row r="304" spans="29:29" x14ac:dyDescent="0.25">
      <c r="AC304" s="28"/>
    </row>
    <row r="305" spans="29:29" x14ac:dyDescent="0.25">
      <c r="AC305" s="28"/>
    </row>
    <row r="306" spans="29:29" x14ac:dyDescent="0.25">
      <c r="AC306" s="28"/>
    </row>
    <row r="307" spans="29:29" x14ac:dyDescent="0.25">
      <c r="AC307" s="28"/>
    </row>
    <row r="308" spans="29:29" x14ac:dyDescent="0.25">
      <c r="AC308" s="28"/>
    </row>
    <row r="309" spans="29:29" x14ac:dyDescent="0.25">
      <c r="AC309" s="28"/>
    </row>
    <row r="310" spans="29:29" x14ac:dyDescent="0.25">
      <c r="AC310" s="28"/>
    </row>
  </sheetData>
  <phoneticPr fontId="3" type="noConversion"/>
  <pageMargins left="0.75" right="0.75" top="1" bottom="1" header="0.5" footer="0.5"/>
  <pageSetup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
    <tabColor indexed="51"/>
  </sheetPr>
  <dimension ref="A1:CZ8"/>
  <sheetViews>
    <sheetView workbookViewId="0"/>
  </sheetViews>
  <sheetFormatPr defaultRowHeight="13.2" x14ac:dyDescent="0.25"/>
  <cols>
    <col min="1" max="1" width="27.6640625" customWidth="1"/>
    <col min="2" max="2" width="12.6640625" customWidth="1"/>
    <col min="3" max="3" width="19.6640625" customWidth="1"/>
    <col min="4" max="4" width="28.33203125" customWidth="1"/>
    <col min="5" max="5" width="16.5546875" customWidth="1"/>
    <col min="6" max="6" width="11.44140625" customWidth="1"/>
    <col min="7" max="7" width="9.6640625" customWidth="1"/>
    <col min="8" max="8" width="10.33203125" customWidth="1"/>
    <col min="9" max="9" width="10.44140625" customWidth="1"/>
    <col min="10" max="10" width="9.5546875" customWidth="1"/>
    <col min="11" max="12" width="10" customWidth="1"/>
    <col min="13" max="13" width="10.6640625" customWidth="1"/>
    <col min="14" max="14" width="9.5546875" customWidth="1"/>
    <col min="15" max="15" width="10.6640625" customWidth="1"/>
    <col min="16" max="16" width="10.33203125" customWidth="1"/>
    <col min="17" max="17" width="9.5546875" customWidth="1"/>
    <col min="18" max="18" width="9.6640625" customWidth="1"/>
    <col min="19" max="19" width="10" customWidth="1"/>
    <col min="20" max="21" width="9.6640625" customWidth="1"/>
    <col min="22" max="22" width="10" customWidth="1"/>
    <col min="23" max="24" width="9.6640625" customWidth="1"/>
    <col min="25" max="25" width="10" customWidth="1"/>
    <col min="26" max="26" width="9.6640625" customWidth="1"/>
    <col min="27" max="27" width="10.6640625" customWidth="1"/>
    <col min="28" max="28" width="10.33203125" customWidth="1"/>
    <col min="29" max="29" width="10" customWidth="1"/>
    <col min="30" max="30" width="9.6640625" customWidth="1"/>
    <col min="31" max="31" width="10.33203125" customWidth="1"/>
    <col min="32" max="32" width="10.44140625" customWidth="1"/>
    <col min="33" max="33" width="9.5546875" customWidth="1"/>
    <col min="34" max="34" width="10" customWidth="1"/>
    <col min="35" max="35" width="9.33203125" customWidth="1"/>
    <col min="36" max="36" width="10" customWidth="1"/>
    <col min="37" max="37" width="10.33203125" customWidth="1"/>
    <col min="38" max="38" width="9.6640625" customWidth="1"/>
    <col min="39" max="39" width="9.5546875" customWidth="1"/>
    <col min="40" max="40" width="9.6640625" customWidth="1"/>
    <col min="41" max="41" width="10.33203125" customWidth="1"/>
    <col min="42" max="44" width="9.6640625" customWidth="1"/>
    <col min="45" max="45" width="9.33203125" customWidth="1"/>
    <col min="46" max="46" width="9.5546875" customWidth="1"/>
    <col min="47" max="47" width="9.6640625" customWidth="1"/>
    <col min="48" max="48" width="10.33203125" customWidth="1"/>
    <col min="49" max="49" width="10.44140625" customWidth="1"/>
    <col min="50" max="50" width="9.5546875" customWidth="1"/>
    <col min="51" max="52" width="9.6640625" customWidth="1"/>
    <col min="53" max="54" width="9.5546875" customWidth="1"/>
    <col min="55" max="55" width="9.6640625" customWidth="1"/>
    <col min="56" max="56" width="9.5546875" customWidth="1"/>
    <col min="57" max="59" width="9.6640625" customWidth="1"/>
    <col min="60" max="60" width="9.5546875" customWidth="1"/>
    <col min="61" max="61" width="9.6640625" customWidth="1"/>
    <col min="62" max="62" width="9.5546875" customWidth="1"/>
    <col min="63" max="63" width="9.6640625" customWidth="1"/>
    <col min="64" max="64" width="10.33203125" customWidth="1"/>
    <col min="65" max="65" width="9.6640625" customWidth="1"/>
    <col min="66" max="66" width="10.33203125" customWidth="1"/>
    <col min="67" max="67" width="9.5546875" customWidth="1"/>
    <col min="68" max="68" width="9.6640625" customWidth="1"/>
    <col min="69" max="69" width="9.5546875" customWidth="1"/>
    <col min="70" max="70" width="9.6640625" customWidth="1"/>
    <col min="71" max="71" width="10.33203125" customWidth="1"/>
    <col min="72" max="72" width="9.6640625" customWidth="1"/>
    <col min="73" max="74" width="9.5546875" customWidth="1"/>
  </cols>
  <sheetData>
    <row r="1" spans="1:104" ht="54" thickTop="1" thickBot="1" x14ac:dyDescent="0.3">
      <c r="A1" s="221" t="s">
        <v>1032</v>
      </c>
      <c r="B1" s="222" t="s">
        <v>1031</v>
      </c>
      <c r="C1" s="748" t="s">
        <v>667</v>
      </c>
      <c r="D1" s="748" t="s">
        <v>811</v>
      </c>
      <c r="E1" s="223">
        <v>2001</v>
      </c>
      <c r="F1" s="224">
        <v>2002</v>
      </c>
      <c r="G1" s="224">
        <v>2003</v>
      </c>
      <c r="H1" s="224">
        <v>2004</v>
      </c>
      <c r="I1" s="224">
        <v>2005</v>
      </c>
      <c r="J1" s="224">
        <v>2006</v>
      </c>
      <c r="K1" s="224">
        <v>2007</v>
      </c>
      <c r="L1" s="224">
        <v>2008</v>
      </c>
      <c r="M1" s="224">
        <v>2009</v>
      </c>
      <c r="N1" s="224">
        <v>2010</v>
      </c>
      <c r="O1" s="224">
        <v>2011</v>
      </c>
      <c r="P1" s="224">
        <v>2012</v>
      </c>
      <c r="Q1" s="224">
        <v>2013</v>
      </c>
      <c r="R1" s="224">
        <v>2014</v>
      </c>
      <c r="S1" s="224">
        <v>2015</v>
      </c>
      <c r="T1" s="224">
        <v>2016</v>
      </c>
      <c r="U1" s="224">
        <v>2017</v>
      </c>
      <c r="V1" s="224">
        <v>2018</v>
      </c>
      <c r="W1" s="224">
        <v>2019</v>
      </c>
      <c r="X1" s="224">
        <v>2020</v>
      </c>
      <c r="Y1" s="224">
        <v>2021</v>
      </c>
      <c r="Z1" s="224">
        <v>2022</v>
      </c>
      <c r="AA1" s="224">
        <v>2023</v>
      </c>
      <c r="AB1" s="224">
        <v>2024</v>
      </c>
      <c r="AC1" s="224">
        <v>2025</v>
      </c>
      <c r="AD1" s="224">
        <v>2026</v>
      </c>
      <c r="AE1" s="224">
        <v>2027</v>
      </c>
      <c r="AF1" s="224">
        <v>2028</v>
      </c>
      <c r="AG1" s="224">
        <v>2029</v>
      </c>
      <c r="AH1" s="224">
        <v>2030</v>
      </c>
      <c r="AI1" s="224">
        <v>2031</v>
      </c>
      <c r="AJ1" s="224">
        <v>2032</v>
      </c>
      <c r="AK1" s="224">
        <v>2033</v>
      </c>
      <c r="AL1" s="224">
        <v>2034</v>
      </c>
      <c r="AM1" s="224">
        <v>2035</v>
      </c>
      <c r="AN1" s="224">
        <v>2036</v>
      </c>
      <c r="AO1" s="224">
        <v>2037</v>
      </c>
      <c r="AP1" s="224">
        <v>2038</v>
      </c>
      <c r="AQ1" s="224">
        <v>2039</v>
      </c>
      <c r="AR1" s="224">
        <v>2040</v>
      </c>
      <c r="AS1" s="224">
        <v>2041</v>
      </c>
      <c r="AT1" s="224">
        <v>2042</v>
      </c>
      <c r="AU1" s="224">
        <v>2043</v>
      </c>
      <c r="AV1" s="224">
        <v>2044</v>
      </c>
      <c r="AW1" s="224">
        <v>2045</v>
      </c>
      <c r="AX1" s="224">
        <v>2046</v>
      </c>
      <c r="AY1" s="224">
        <v>2047</v>
      </c>
      <c r="AZ1" s="224">
        <v>2048</v>
      </c>
      <c r="BA1" s="224">
        <v>2049</v>
      </c>
      <c r="BB1" s="224">
        <v>2050</v>
      </c>
      <c r="BC1" s="224">
        <v>2051</v>
      </c>
      <c r="BD1" s="224">
        <v>2052</v>
      </c>
      <c r="BE1" s="224">
        <v>2053</v>
      </c>
      <c r="BF1" s="224">
        <v>2054</v>
      </c>
      <c r="BG1" s="224">
        <v>2055</v>
      </c>
      <c r="BH1" s="224">
        <v>2056</v>
      </c>
      <c r="BI1" s="224">
        <v>2057</v>
      </c>
      <c r="BJ1" s="224">
        <v>2058</v>
      </c>
      <c r="BK1" s="224">
        <v>2059</v>
      </c>
      <c r="BL1" s="224">
        <v>2060</v>
      </c>
      <c r="BM1" s="224">
        <v>2061</v>
      </c>
      <c r="BN1" s="224">
        <v>2062</v>
      </c>
      <c r="BO1" s="224">
        <v>2063</v>
      </c>
      <c r="BP1" s="224">
        <v>2064</v>
      </c>
      <c r="BQ1" s="224">
        <v>2065</v>
      </c>
      <c r="BR1" s="224">
        <v>2066</v>
      </c>
      <c r="BS1" s="224">
        <v>2067</v>
      </c>
      <c r="BT1" s="224">
        <v>2068</v>
      </c>
      <c r="BU1" s="224">
        <v>2069</v>
      </c>
      <c r="BV1" s="225">
        <v>2070</v>
      </c>
      <c r="BW1">
        <f>+BV1+1</f>
        <v>2071</v>
      </c>
      <c r="BX1">
        <f t="shared" ref="BX1:CZ1" si="0">+BW1+1</f>
        <v>2072</v>
      </c>
      <c r="BY1">
        <f t="shared" si="0"/>
        <v>2073</v>
      </c>
      <c r="BZ1">
        <f t="shared" si="0"/>
        <v>2074</v>
      </c>
      <c r="CA1">
        <f t="shared" si="0"/>
        <v>2075</v>
      </c>
      <c r="CB1">
        <f t="shared" si="0"/>
        <v>2076</v>
      </c>
      <c r="CC1">
        <f t="shared" si="0"/>
        <v>2077</v>
      </c>
      <c r="CD1">
        <f t="shared" si="0"/>
        <v>2078</v>
      </c>
      <c r="CE1">
        <f t="shared" si="0"/>
        <v>2079</v>
      </c>
      <c r="CF1">
        <f t="shared" si="0"/>
        <v>2080</v>
      </c>
      <c r="CG1">
        <f t="shared" si="0"/>
        <v>2081</v>
      </c>
      <c r="CH1">
        <f t="shared" si="0"/>
        <v>2082</v>
      </c>
      <c r="CI1">
        <f t="shared" si="0"/>
        <v>2083</v>
      </c>
      <c r="CJ1">
        <f t="shared" si="0"/>
        <v>2084</v>
      </c>
      <c r="CK1">
        <f t="shared" si="0"/>
        <v>2085</v>
      </c>
      <c r="CL1">
        <f t="shared" si="0"/>
        <v>2086</v>
      </c>
      <c r="CM1">
        <f t="shared" si="0"/>
        <v>2087</v>
      </c>
      <c r="CN1">
        <f t="shared" si="0"/>
        <v>2088</v>
      </c>
      <c r="CO1">
        <f t="shared" si="0"/>
        <v>2089</v>
      </c>
      <c r="CP1">
        <f t="shared" si="0"/>
        <v>2090</v>
      </c>
      <c r="CQ1">
        <f t="shared" si="0"/>
        <v>2091</v>
      </c>
      <c r="CR1">
        <f t="shared" si="0"/>
        <v>2092</v>
      </c>
      <c r="CS1">
        <f t="shared" si="0"/>
        <v>2093</v>
      </c>
      <c r="CT1">
        <f t="shared" si="0"/>
        <v>2094</v>
      </c>
      <c r="CU1">
        <f t="shared" si="0"/>
        <v>2095</v>
      </c>
      <c r="CV1">
        <f t="shared" si="0"/>
        <v>2096</v>
      </c>
      <c r="CW1">
        <f t="shared" si="0"/>
        <v>2097</v>
      </c>
      <c r="CX1">
        <f t="shared" si="0"/>
        <v>2098</v>
      </c>
      <c r="CY1">
        <f t="shared" si="0"/>
        <v>2099</v>
      </c>
      <c r="CZ1">
        <f t="shared" si="0"/>
        <v>2100</v>
      </c>
    </row>
    <row r="2" spans="1:104" ht="13.8" thickTop="1" x14ac:dyDescent="0.25">
      <c r="A2" t="s">
        <v>1027</v>
      </c>
      <c r="B2" s="434" t="s">
        <v>696</v>
      </c>
      <c r="C2">
        <v>2005</v>
      </c>
      <c r="D2">
        <f t="shared" ref="D2:D8" si="1">VLOOKUP(ref_year,Chemical_price_indexes,2,FALSE)/VLOOKUP(C2,Chemical_price_indexes,2,FALSE)</f>
        <v>1.4260544580886279</v>
      </c>
      <c r="E2">
        <f t="shared" ref="E2:AJ2" si="2">0.000079485*($D$2)</f>
        <v>1.1334993860117458E-4</v>
      </c>
      <c r="F2">
        <f t="shared" si="2"/>
        <v>1.1334993860117458E-4</v>
      </c>
      <c r="G2">
        <f t="shared" si="2"/>
        <v>1.1334993860117458E-4</v>
      </c>
      <c r="H2">
        <f t="shared" si="2"/>
        <v>1.1334993860117458E-4</v>
      </c>
      <c r="I2">
        <f t="shared" si="2"/>
        <v>1.1334993860117458E-4</v>
      </c>
      <c r="J2">
        <f t="shared" si="2"/>
        <v>1.1334993860117458E-4</v>
      </c>
      <c r="K2">
        <f t="shared" si="2"/>
        <v>1.1334993860117458E-4</v>
      </c>
      <c r="L2">
        <f t="shared" si="2"/>
        <v>1.1334993860117458E-4</v>
      </c>
      <c r="M2">
        <f t="shared" si="2"/>
        <v>1.1334993860117458E-4</v>
      </c>
      <c r="N2">
        <f t="shared" si="2"/>
        <v>1.1334993860117458E-4</v>
      </c>
      <c r="O2">
        <f t="shared" si="2"/>
        <v>1.1334993860117458E-4</v>
      </c>
      <c r="P2">
        <f t="shared" si="2"/>
        <v>1.1334993860117458E-4</v>
      </c>
      <c r="Q2">
        <f t="shared" si="2"/>
        <v>1.1334993860117458E-4</v>
      </c>
      <c r="R2">
        <f t="shared" si="2"/>
        <v>1.1334993860117458E-4</v>
      </c>
      <c r="S2">
        <f t="shared" si="2"/>
        <v>1.1334993860117458E-4</v>
      </c>
      <c r="T2">
        <f t="shared" si="2"/>
        <v>1.1334993860117458E-4</v>
      </c>
      <c r="U2">
        <f t="shared" si="2"/>
        <v>1.1334993860117458E-4</v>
      </c>
      <c r="V2">
        <f t="shared" si="2"/>
        <v>1.1334993860117458E-4</v>
      </c>
      <c r="W2">
        <f t="shared" si="2"/>
        <v>1.1334993860117458E-4</v>
      </c>
      <c r="X2">
        <f t="shared" si="2"/>
        <v>1.1334993860117458E-4</v>
      </c>
      <c r="Y2">
        <f t="shared" si="2"/>
        <v>1.1334993860117458E-4</v>
      </c>
      <c r="Z2">
        <f t="shared" si="2"/>
        <v>1.1334993860117458E-4</v>
      </c>
      <c r="AA2">
        <f t="shared" si="2"/>
        <v>1.1334993860117458E-4</v>
      </c>
      <c r="AB2">
        <f t="shared" si="2"/>
        <v>1.1334993860117458E-4</v>
      </c>
      <c r="AC2">
        <f t="shared" si="2"/>
        <v>1.1334993860117458E-4</v>
      </c>
      <c r="AD2">
        <f t="shared" si="2"/>
        <v>1.1334993860117458E-4</v>
      </c>
      <c r="AE2">
        <f t="shared" si="2"/>
        <v>1.1334993860117458E-4</v>
      </c>
      <c r="AF2">
        <f t="shared" si="2"/>
        <v>1.1334993860117458E-4</v>
      </c>
      <c r="AG2">
        <f t="shared" si="2"/>
        <v>1.1334993860117458E-4</v>
      </c>
      <c r="AH2">
        <f t="shared" si="2"/>
        <v>1.1334993860117458E-4</v>
      </c>
      <c r="AI2">
        <f t="shared" si="2"/>
        <v>1.1334993860117458E-4</v>
      </c>
      <c r="AJ2">
        <f t="shared" si="2"/>
        <v>1.1334993860117458E-4</v>
      </c>
      <c r="AK2">
        <f t="shared" ref="AK2:BP2" si="3">0.000079485*($D$2)</f>
        <v>1.1334993860117458E-4</v>
      </c>
      <c r="AL2">
        <f t="shared" si="3"/>
        <v>1.1334993860117458E-4</v>
      </c>
      <c r="AM2">
        <f t="shared" si="3"/>
        <v>1.1334993860117458E-4</v>
      </c>
      <c r="AN2">
        <f t="shared" si="3"/>
        <v>1.1334993860117458E-4</v>
      </c>
      <c r="AO2">
        <f t="shared" si="3"/>
        <v>1.1334993860117458E-4</v>
      </c>
      <c r="AP2">
        <f t="shared" si="3"/>
        <v>1.1334993860117458E-4</v>
      </c>
      <c r="AQ2">
        <f t="shared" si="3"/>
        <v>1.1334993860117458E-4</v>
      </c>
      <c r="AR2">
        <f t="shared" si="3"/>
        <v>1.1334993860117458E-4</v>
      </c>
      <c r="AS2">
        <f t="shared" si="3"/>
        <v>1.1334993860117458E-4</v>
      </c>
      <c r="AT2">
        <f t="shared" si="3"/>
        <v>1.1334993860117458E-4</v>
      </c>
      <c r="AU2">
        <f t="shared" si="3"/>
        <v>1.1334993860117458E-4</v>
      </c>
      <c r="AV2">
        <f t="shared" si="3"/>
        <v>1.1334993860117458E-4</v>
      </c>
      <c r="AW2">
        <f t="shared" si="3"/>
        <v>1.1334993860117458E-4</v>
      </c>
      <c r="AX2">
        <f t="shared" si="3"/>
        <v>1.1334993860117458E-4</v>
      </c>
      <c r="AY2">
        <f t="shared" si="3"/>
        <v>1.1334993860117458E-4</v>
      </c>
      <c r="AZ2">
        <f t="shared" si="3"/>
        <v>1.1334993860117458E-4</v>
      </c>
      <c r="BA2">
        <f t="shared" si="3"/>
        <v>1.1334993860117458E-4</v>
      </c>
      <c r="BB2">
        <f t="shared" si="3"/>
        <v>1.1334993860117458E-4</v>
      </c>
      <c r="BC2">
        <f t="shared" si="3"/>
        <v>1.1334993860117458E-4</v>
      </c>
      <c r="BD2">
        <f t="shared" si="3"/>
        <v>1.1334993860117458E-4</v>
      </c>
      <c r="BE2">
        <f t="shared" si="3"/>
        <v>1.1334993860117458E-4</v>
      </c>
      <c r="BF2">
        <f t="shared" si="3"/>
        <v>1.1334993860117458E-4</v>
      </c>
      <c r="BG2">
        <f t="shared" si="3"/>
        <v>1.1334993860117458E-4</v>
      </c>
      <c r="BH2">
        <f t="shared" si="3"/>
        <v>1.1334993860117458E-4</v>
      </c>
      <c r="BI2">
        <f t="shared" si="3"/>
        <v>1.1334993860117458E-4</v>
      </c>
      <c r="BJ2">
        <f t="shared" si="3"/>
        <v>1.1334993860117458E-4</v>
      </c>
      <c r="BK2">
        <f t="shared" si="3"/>
        <v>1.1334993860117458E-4</v>
      </c>
      <c r="BL2">
        <f t="shared" si="3"/>
        <v>1.1334993860117458E-4</v>
      </c>
      <c r="BM2">
        <f t="shared" si="3"/>
        <v>1.1334993860117458E-4</v>
      </c>
      <c r="BN2">
        <f t="shared" si="3"/>
        <v>1.1334993860117458E-4</v>
      </c>
      <c r="BO2">
        <f t="shared" si="3"/>
        <v>1.1334993860117458E-4</v>
      </c>
      <c r="BP2">
        <f t="shared" si="3"/>
        <v>1.1334993860117458E-4</v>
      </c>
      <c r="BQ2">
        <f t="shared" ref="BQ2:BV2" si="4">0.000079485*($D$2)</f>
        <v>1.1334993860117458E-4</v>
      </c>
      <c r="BR2">
        <f t="shared" si="4"/>
        <v>1.1334993860117458E-4</v>
      </c>
      <c r="BS2">
        <f t="shared" si="4"/>
        <v>1.1334993860117458E-4</v>
      </c>
      <c r="BT2">
        <f t="shared" si="4"/>
        <v>1.1334993860117458E-4</v>
      </c>
      <c r="BU2">
        <f t="shared" si="4"/>
        <v>1.1334993860117458E-4</v>
      </c>
      <c r="BV2">
        <f t="shared" si="4"/>
        <v>1.1334993860117458E-4</v>
      </c>
      <c r="BW2">
        <f>+BV2</f>
        <v>1.1334993860117458E-4</v>
      </c>
      <c r="BX2">
        <f t="shared" ref="BX2:CZ8" si="5">+BW2</f>
        <v>1.1334993860117458E-4</v>
      </c>
      <c r="BY2">
        <f t="shared" si="5"/>
        <v>1.1334993860117458E-4</v>
      </c>
      <c r="BZ2">
        <f t="shared" si="5"/>
        <v>1.1334993860117458E-4</v>
      </c>
      <c r="CA2">
        <f t="shared" si="5"/>
        <v>1.1334993860117458E-4</v>
      </c>
      <c r="CB2">
        <f t="shared" si="5"/>
        <v>1.1334993860117458E-4</v>
      </c>
      <c r="CC2">
        <f t="shared" si="5"/>
        <v>1.1334993860117458E-4</v>
      </c>
      <c r="CD2">
        <f t="shared" si="5"/>
        <v>1.1334993860117458E-4</v>
      </c>
      <c r="CE2">
        <f t="shared" si="5"/>
        <v>1.1334993860117458E-4</v>
      </c>
      <c r="CF2">
        <f t="shared" si="5"/>
        <v>1.1334993860117458E-4</v>
      </c>
      <c r="CG2">
        <f t="shared" si="5"/>
        <v>1.1334993860117458E-4</v>
      </c>
      <c r="CH2">
        <f t="shared" si="5"/>
        <v>1.1334993860117458E-4</v>
      </c>
      <c r="CI2">
        <f t="shared" si="5"/>
        <v>1.1334993860117458E-4</v>
      </c>
      <c r="CJ2">
        <f t="shared" si="5"/>
        <v>1.1334993860117458E-4</v>
      </c>
      <c r="CK2">
        <f t="shared" si="5"/>
        <v>1.1334993860117458E-4</v>
      </c>
      <c r="CL2">
        <f t="shared" si="5"/>
        <v>1.1334993860117458E-4</v>
      </c>
      <c r="CM2">
        <f t="shared" si="5"/>
        <v>1.1334993860117458E-4</v>
      </c>
      <c r="CN2">
        <f t="shared" si="5"/>
        <v>1.1334993860117458E-4</v>
      </c>
      <c r="CO2">
        <f t="shared" si="5"/>
        <v>1.1334993860117458E-4</v>
      </c>
      <c r="CP2">
        <f t="shared" si="5"/>
        <v>1.1334993860117458E-4</v>
      </c>
      <c r="CQ2">
        <f t="shared" si="5"/>
        <v>1.1334993860117458E-4</v>
      </c>
      <c r="CR2">
        <f t="shared" si="5"/>
        <v>1.1334993860117458E-4</v>
      </c>
      <c r="CS2">
        <f t="shared" si="5"/>
        <v>1.1334993860117458E-4</v>
      </c>
      <c r="CT2">
        <f t="shared" si="5"/>
        <v>1.1334993860117458E-4</v>
      </c>
      <c r="CU2">
        <f t="shared" si="5"/>
        <v>1.1334993860117458E-4</v>
      </c>
      <c r="CV2">
        <f t="shared" si="5"/>
        <v>1.1334993860117458E-4</v>
      </c>
      <c r="CW2">
        <f t="shared" si="5"/>
        <v>1.1334993860117458E-4</v>
      </c>
      <c r="CX2">
        <f t="shared" si="5"/>
        <v>1.1334993860117458E-4</v>
      </c>
      <c r="CY2">
        <f t="shared" si="5"/>
        <v>1.1334993860117458E-4</v>
      </c>
      <c r="CZ2">
        <f t="shared" si="5"/>
        <v>1.1334993860117458E-4</v>
      </c>
    </row>
    <row r="3" spans="1:104" x14ac:dyDescent="0.25">
      <c r="A3" t="s">
        <v>1028</v>
      </c>
      <c r="B3" s="434" t="s">
        <v>696</v>
      </c>
      <c r="C3">
        <v>2005</v>
      </c>
      <c r="D3">
        <f t="shared" si="1"/>
        <v>1.4260544580886279</v>
      </c>
      <c r="E3">
        <f t="shared" ref="E3:AJ3" si="6">0.0049962*($D$3)</f>
        <v>7.1248532835024025E-3</v>
      </c>
      <c r="F3">
        <f t="shared" si="6"/>
        <v>7.1248532835024025E-3</v>
      </c>
      <c r="G3">
        <f t="shared" si="6"/>
        <v>7.1248532835024025E-3</v>
      </c>
      <c r="H3">
        <f t="shared" si="6"/>
        <v>7.1248532835024025E-3</v>
      </c>
      <c r="I3">
        <f t="shared" si="6"/>
        <v>7.1248532835024025E-3</v>
      </c>
      <c r="J3">
        <f t="shared" si="6"/>
        <v>7.1248532835024025E-3</v>
      </c>
      <c r="K3">
        <f t="shared" si="6"/>
        <v>7.1248532835024025E-3</v>
      </c>
      <c r="L3">
        <f t="shared" si="6"/>
        <v>7.1248532835024025E-3</v>
      </c>
      <c r="M3">
        <f t="shared" si="6"/>
        <v>7.1248532835024025E-3</v>
      </c>
      <c r="N3">
        <f t="shared" si="6"/>
        <v>7.1248532835024025E-3</v>
      </c>
      <c r="O3">
        <f t="shared" si="6"/>
        <v>7.1248532835024025E-3</v>
      </c>
      <c r="P3">
        <f t="shared" si="6"/>
        <v>7.1248532835024025E-3</v>
      </c>
      <c r="Q3">
        <f t="shared" si="6"/>
        <v>7.1248532835024025E-3</v>
      </c>
      <c r="R3">
        <f t="shared" si="6"/>
        <v>7.1248532835024025E-3</v>
      </c>
      <c r="S3">
        <f t="shared" si="6"/>
        <v>7.1248532835024025E-3</v>
      </c>
      <c r="T3">
        <f t="shared" si="6"/>
        <v>7.1248532835024025E-3</v>
      </c>
      <c r="U3">
        <f t="shared" si="6"/>
        <v>7.1248532835024025E-3</v>
      </c>
      <c r="V3">
        <f t="shared" si="6"/>
        <v>7.1248532835024025E-3</v>
      </c>
      <c r="W3">
        <f t="shared" si="6"/>
        <v>7.1248532835024025E-3</v>
      </c>
      <c r="X3">
        <f t="shared" si="6"/>
        <v>7.1248532835024025E-3</v>
      </c>
      <c r="Y3">
        <f t="shared" si="6"/>
        <v>7.1248532835024025E-3</v>
      </c>
      <c r="Z3">
        <f t="shared" si="6"/>
        <v>7.1248532835024025E-3</v>
      </c>
      <c r="AA3">
        <f t="shared" si="6"/>
        <v>7.1248532835024025E-3</v>
      </c>
      <c r="AB3">
        <f t="shared" si="6"/>
        <v>7.1248532835024025E-3</v>
      </c>
      <c r="AC3">
        <f t="shared" si="6"/>
        <v>7.1248532835024025E-3</v>
      </c>
      <c r="AD3">
        <f t="shared" si="6"/>
        <v>7.1248532835024025E-3</v>
      </c>
      <c r="AE3">
        <f t="shared" si="6"/>
        <v>7.1248532835024025E-3</v>
      </c>
      <c r="AF3">
        <f t="shared" si="6"/>
        <v>7.1248532835024025E-3</v>
      </c>
      <c r="AG3">
        <f t="shared" si="6"/>
        <v>7.1248532835024025E-3</v>
      </c>
      <c r="AH3">
        <f t="shared" si="6"/>
        <v>7.1248532835024025E-3</v>
      </c>
      <c r="AI3">
        <f t="shared" si="6"/>
        <v>7.1248532835024025E-3</v>
      </c>
      <c r="AJ3">
        <f t="shared" si="6"/>
        <v>7.1248532835024025E-3</v>
      </c>
      <c r="AK3">
        <f t="shared" ref="AK3:BP3" si="7">0.0049962*($D$3)</f>
        <v>7.1248532835024025E-3</v>
      </c>
      <c r="AL3">
        <f t="shared" si="7"/>
        <v>7.1248532835024025E-3</v>
      </c>
      <c r="AM3">
        <f t="shared" si="7"/>
        <v>7.1248532835024025E-3</v>
      </c>
      <c r="AN3">
        <f t="shared" si="7"/>
        <v>7.1248532835024025E-3</v>
      </c>
      <c r="AO3">
        <f t="shared" si="7"/>
        <v>7.1248532835024025E-3</v>
      </c>
      <c r="AP3">
        <f t="shared" si="7"/>
        <v>7.1248532835024025E-3</v>
      </c>
      <c r="AQ3">
        <f t="shared" si="7"/>
        <v>7.1248532835024025E-3</v>
      </c>
      <c r="AR3">
        <f t="shared" si="7"/>
        <v>7.1248532835024025E-3</v>
      </c>
      <c r="AS3">
        <f t="shared" si="7"/>
        <v>7.1248532835024025E-3</v>
      </c>
      <c r="AT3">
        <f t="shared" si="7"/>
        <v>7.1248532835024025E-3</v>
      </c>
      <c r="AU3">
        <f t="shared" si="7"/>
        <v>7.1248532835024025E-3</v>
      </c>
      <c r="AV3">
        <f t="shared" si="7"/>
        <v>7.1248532835024025E-3</v>
      </c>
      <c r="AW3">
        <f t="shared" si="7"/>
        <v>7.1248532835024025E-3</v>
      </c>
      <c r="AX3">
        <f t="shared" si="7"/>
        <v>7.1248532835024025E-3</v>
      </c>
      <c r="AY3">
        <f t="shared" si="7"/>
        <v>7.1248532835024025E-3</v>
      </c>
      <c r="AZ3">
        <f t="shared" si="7"/>
        <v>7.1248532835024025E-3</v>
      </c>
      <c r="BA3">
        <f t="shared" si="7"/>
        <v>7.1248532835024025E-3</v>
      </c>
      <c r="BB3">
        <f t="shared" si="7"/>
        <v>7.1248532835024025E-3</v>
      </c>
      <c r="BC3">
        <f t="shared" si="7"/>
        <v>7.1248532835024025E-3</v>
      </c>
      <c r="BD3">
        <f t="shared" si="7"/>
        <v>7.1248532835024025E-3</v>
      </c>
      <c r="BE3">
        <f t="shared" si="7"/>
        <v>7.1248532835024025E-3</v>
      </c>
      <c r="BF3">
        <f t="shared" si="7"/>
        <v>7.1248532835024025E-3</v>
      </c>
      <c r="BG3">
        <f t="shared" si="7"/>
        <v>7.1248532835024025E-3</v>
      </c>
      <c r="BH3">
        <f t="shared" si="7"/>
        <v>7.1248532835024025E-3</v>
      </c>
      <c r="BI3">
        <f t="shared" si="7"/>
        <v>7.1248532835024025E-3</v>
      </c>
      <c r="BJ3">
        <f t="shared" si="7"/>
        <v>7.1248532835024025E-3</v>
      </c>
      <c r="BK3">
        <f t="shared" si="7"/>
        <v>7.1248532835024025E-3</v>
      </c>
      <c r="BL3">
        <f t="shared" si="7"/>
        <v>7.1248532835024025E-3</v>
      </c>
      <c r="BM3">
        <f t="shared" si="7"/>
        <v>7.1248532835024025E-3</v>
      </c>
      <c r="BN3">
        <f t="shared" si="7"/>
        <v>7.1248532835024025E-3</v>
      </c>
      <c r="BO3">
        <f t="shared" si="7"/>
        <v>7.1248532835024025E-3</v>
      </c>
      <c r="BP3">
        <f t="shared" si="7"/>
        <v>7.1248532835024025E-3</v>
      </c>
      <c r="BQ3">
        <f t="shared" ref="BQ3:BV3" si="8">0.0049962*($D$3)</f>
        <v>7.1248532835024025E-3</v>
      </c>
      <c r="BR3">
        <f t="shared" si="8"/>
        <v>7.1248532835024025E-3</v>
      </c>
      <c r="BS3">
        <f t="shared" si="8"/>
        <v>7.1248532835024025E-3</v>
      </c>
      <c r="BT3">
        <f t="shared" si="8"/>
        <v>7.1248532835024025E-3</v>
      </c>
      <c r="BU3">
        <f t="shared" si="8"/>
        <v>7.1248532835024025E-3</v>
      </c>
      <c r="BV3">
        <f t="shared" si="8"/>
        <v>7.1248532835024025E-3</v>
      </c>
      <c r="BW3">
        <f t="shared" ref="BW3:CL8" si="9">+BV3</f>
        <v>7.1248532835024025E-3</v>
      </c>
      <c r="BX3">
        <f t="shared" si="9"/>
        <v>7.1248532835024025E-3</v>
      </c>
      <c r="BY3">
        <f t="shared" si="9"/>
        <v>7.1248532835024025E-3</v>
      </c>
      <c r="BZ3">
        <f t="shared" si="9"/>
        <v>7.1248532835024025E-3</v>
      </c>
      <c r="CA3">
        <f t="shared" si="9"/>
        <v>7.1248532835024025E-3</v>
      </c>
      <c r="CB3">
        <f t="shared" si="9"/>
        <v>7.1248532835024025E-3</v>
      </c>
      <c r="CC3">
        <f t="shared" si="9"/>
        <v>7.1248532835024025E-3</v>
      </c>
      <c r="CD3">
        <f t="shared" si="9"/>
        <v>7.1248532835024025E-3</v>
      </c>
      <c r="CE3">
        <f t="shared" si="9"/>
        <v>7.1248532835024025E-3</v>
      </c>
      <c r="CF3">
        <f t="shared" si="9"/>
        <v>7.1248532835024025E-3</v>
      </c>
      <c r="CG3">
        <f t="shared" si="9"/>
        <v>7.1248532835024025E-3</v>
      </c>
      <c r="CH3">
        <f t="shared" si="9"/>
        <v>7.1248532835024025E-3</v>
      </c>
      <c r="CI3">
        <f t="shared" si="9"/>
        <v>7.1248532835024025E-3</v>
      </c>
      <c r="CJ3">
        <f t="shared" si="9"/>
        <v>7.1248532835024025E-3</v>
      </c>
      <c r="CK3">
        <f t="shared" si="9"/>
        <v>7.1248532835024025E-3</v>
      </c>
      <c r="CL3">
        <f t="shared" si="9"/>
        <v>7.1248532835024025E-3</v>
      </c>
      <c r="CM3">
        <f t="shared" si="5"/>
        <v>7.1248532835024025E-3</v>
      </c>
      <c r="CN3">
        <f t="shared" si="5"/>
        <v>7.1248532835024025E-3</v>
      </c>
      <c r="CO3">
        <f t="shared" si="5"/>
        <v>7.1248532835024025E-3</v>
      </c>
      <c r="CP3">
        <f t="shared" si="5"/>
        <v>7.1248532835024025E-3</v>
      </c>
      <c r="CQ3">
        <f t="shared" si="5"/>
        <v>7.1248532835024025E-3</v>
      </c>
      <c r="CR3">
        <f t="shared" si="5"/>
        <v>7.1248532835024025E-3</v>
      </c>
      <c r="CS3">
        <f t="shared" si="5"/>
        <v>7.1248532835024025E-3</v>
      </c>
      <c r="CT3">
        <f t="shared" si="5"/>
        <v>7.1248532835024025E-3</v>
      </c>
      <c r="CU3">
        <f t="shared" si="5"/>
        <v>7.1248532835024025E-3</v>
      </c>
      <c r="CV3">
        <f t="shared" si="5"/>
        <v>7.1248532835024025E-3</v>
      </c>
      <c r="CW3">
        <f t="shared" si="5"/>
        <v>7.1248532835024025E-3</v>
      </c>
      <c r="CX3">
        <f t="shared" si="5"/>
        <v>7.1248532835024025E-3</v>
      </c>
      <c r="CY3">
        <f t="shared" si="5"/>
        <v>7.1248532835024025E-3</v>
      </c>
      <c r="CZ3">
        <f t="shared" si="5"/>
        <v>7.1248532835024025E-3</v>
      </c>
    </row>
    <row r="4" spans="1:104" x14ac:dyDescent="0.25">
      <c r="A4" t="s">
        <v>1029</v>
      </c>
      <c r="B4" s="434" t="s">
        <v>696</v>
      </c>
      <c r="C4">
        <v>2005</v>
      </c>
      <c r="D4">
        <f t="shared" si="1"/>
        <v>1.4260544580886279</v>
      </c>
      <c r="E4">
        <f t="shared" ref="E4:AJ4" si="10">0.0016654*($D$4)</f>
        <v>2.374951094500801E-3</v>
      </c>
      <c r="F4">
        <f t="shared" si="10"/>
        <v>2.374951094500801E-3</v>
      </c>
      <c r="G4">
        <f t="shared" si="10"/>
        <v>2.374951094500801E-3</v>
      </c>
      <c r="H4">
        <f t="shared" si="10"/>
        <v>2.374951094500801E-3</v>
      </c>
      <c r="I4">
        <f t="shared" si="10"/>
        <v>2.374951094500801E-3</v>
      </c>
      <c r="J4">
        <f t="shared" si="10"/>
        <v>2.374951094500801E-3</v>
      </c>
      <c r="K4">
        <f t="shared" si="10"/>
        <v>2.374951094500801E-3</v>
      </c>
      <c r="L4">
        <f t="shared" si="10"/>
        <v>2.374951094500801E-3</v>
      </c>
      <c r="M4">
        <f t="shared" si="10"/>
        <v>2.374951094500801E-3</v>
      </c>
      <c r="N4">
        <f t="shared" si="10"/>
        <v>2.374951094500801E-3</v>
      </c>
      <c r="O4">
        <f t="shared" si="10"/>
        <v>2.374951094500801E-3</v>
      </c>
      <c r="P4">
        <f t="shared" si="10"/>
        <v>2.374951094500801E-3</v>
      </c>
      <c r="Q4">
        <f t="shared" si="10"/>
        <v>2.374951094500801E-3</v>
      </c>
      <c r="R4">
        <f t="shared" si="10"/>
        <v>2.374951094500801E-3</v>
      </c>
      <c r="S4">
        <f t="shared" si="10"/>
        <v>2.374951094500801E-3</v>
      </c>
      <c r="T4">
        <f t="shared" si="10"/>
        <v>2.374951094500801E-3</v>
      </c>
      <c r="U4">
        <f t="shared" si="10"/>
        <v>2.374951094500801E-3</v>
      </c>
      <c r="V4">
        <f t="shared" si="10"/>
        <v>2.374951094500801E-3</v>
      </c>
      <c r="W4">
        <f t="shared" si="10"/>
        <v>2.374951094500801E-3</v>
      </c>
      <c r="X4">
        <f t="shared" si="10"/>
        <v>2.374951094500801E-3</v>
      </c>
      <c r="Y4">
        <f t="shared" si="10"/>
        <v>2.374951094500801E-3</v>
      </c>
      <c r="Z4">
        <f t="shared" si="10"/>
        <v>2.374951094500801E-3</v>
      </c>
      <c r="AA4">
        <f t="shared" si="10"/>
        <v>2.374951094500801E-3</v>
      </c>
      <c r="AB4">
        <f t="shared" si="10"/>
        <v>2.374951094500801E-3</v>
      </c>
      <c r="AC4">
        <f t="shared" si="10"/>
        <v>2.374951094500801E-3</v>
      </c>
      <c r="AD4">
        <f t="shared" si="10"/>
        <v>2.374951094500801E-3</v>
      </c>
      <c r="AE4">
        <f t="shared" si="10"/>
        <v>2.374951094500801E-3</v>
      </c>
      <c r="AF4">
        <f t="shared" si="10"/>
        <v>2.374951094500801E-3</v>
      </c>
      <c r="AG4">
        <f t="shared" si="10"/>
        <v>2.374951094500801E-3</v>
      </c>
      <c r="AH4">
        <f t="shared" si="10"/>
        <v>2.374951094500801E-3</v>
      </c>
      <c r="AI4">
        <f t="shared" si="10"/>
        <v>2.374951094500801E-3</v>
      </c>
      <c r="AJ4">
        <f t="shared" si="10"/>
        <v>2.374951094500801E-3</v>
      </c>
      <c r="AK4">
        <f t="shared" ref="AK4:BP4" si="11">0.0016654*($D$4)</f>
        <v>2.374951094500801E-3</v>
      </c>
      <c r="AL4">
        <f t="shared" si="11"/>
        <v>2.374951094500801E-3</v>
      </c>
      <c r="AM4">
        <f t="shared" si="11"/>
        <v>2.374951094500801E-3</v>
      </c>
      <c r="AN4">
        <f t="shared" si="11"/>
        <v>2.374951094500801E-3</v>
      </c>
      <c r="AO4">
        <f t="shared" si="11"/>
        <v>2.374951094500801E-3</v>
      </c>
      <c r="AP4">
        <f t="shared" si="11"/>
        <v>2.374951094500801E-3</v>
      </c>
      <c r="AQ4">
        <f t="shared" si="11"/>
        <v>2.374951094500801E-3</v>
      </c>
      <c r="AR4">
        <f t="shared" si="11"/>
        <v>2.374951094500801E-3</v>
      </c>
      <c r="AS4">
        <f t="shared" si="11"/>
        <v>2.374951094500801E-3</v>
      </c>
      <c r="AT4">
        <f t="shared" si="11"/>
        <v>2.374951094500801E-3</v>
      </c>
      <c r="AU4">
        <f t="shared" si="11"/>
        <v>2.374951094500801E-3</v>
      </c>
      <c r="AV4">
        <f t="shared" si="11"/>
        <v>2.374951094500801E-3</v>
      </c>
      <c r="AW4">
        <f t="shared" si="11"/>
        <v>2.374951094500801E-3</v>
      </c>
      <c r="AX4">
        <f t="shared" si="11"/>
        <v>2.374951094500801E-3</v>
      </c>
      <c r="AY4">
        <f t="shared" si="11"/>
        <v>2.374951094500801E-3</v>
      </c>
      <c r="AZ4">
        <f t="shared" si="11"/>
        <v>2.374951094500801E-3</v>
      </c>
      <c r="BA4">
        <f t="shared" si="11"/>
        <v>2.374951094500801E-3</v>
      </c>
      <c r="BB4">
        <f t="shared" si="11"/>
        <v>2.374951094500801E-3</v>
      </c>
      <c r="BC4">
        <f t="shared" si="11"/>
        <v>2.374951094500801E-3</v>
      </c>
      <c r="BD4">
        <f t="shared" si="11"/>
        <v>2.374951094500801E-3</v>
      </c>
      <c r="BE4">
        <f t="shared" si="11"/>
        <v>2.374951094500801E-3</v>
      </c>
      <c r="BF4">
        <f t="shared" si="11"/>
        <v>2.374951094500801E-3</v>
      </c>
      <c r="BG4">
        <f t="shared" si="11"/>
        <v>2.374951094500801E-3</v>
      </c>
      <c r="BH4">
        <f t="shared" si="11"/>
        <v>2.374951094500801E-3</v>
      </c>
      <c r="BI4">
        <f t="shared" si="11"/>
        <v>2.374951094500801E-3</v>
      </c>
      <c r="BJ4">
        <f t="shared" si="11"/>
        <v>2.374951094500801E-3</v>
      </c>
      <c r="BK4">
        <f t="shared" si="11"/>
        <v>2.374951094500801E-3</v>
      </c>
      <c r="BL4">
        <f t="shared" si="11"/>
        <v>2.374951094500801E-3</v>
      </c>
      <c r="BM4">
        <f t="shared" si="11"/>
        <v>2.374951094500801E-3</v>
      </c>
      <c r="BN4">
        <f t="shared" si="11"/>
        <v>2.374951094500801E-3</v>
      </c>
      <c r="BO4">
        <f t="shared" si="11"/>
        <v>2.374951094500801E-3</v>
      </c>
      <c r="BP4">
        <f t="shared" si="11"/>
        <v>2.374951094500801E-3</v>
      </c>
      <c r="BQ4">
        <f t="shared" ref="BQ4:BV4" si="12">0.0016654*($D$4)</f>
        <v>2.374951094500801E-3</v>
      </c>
      <c r="BR4">
        <f t="shared" si="12"/>
        <v>2.374951094500801E-3</v>
      </c>
      <c r="BS4">
        <f t="shared" si="12"/>
        <v>2.374951094500801E-3</v>
      </c>
      <c r="BT4">
        <f t="shared" si="12"/>
        <v>2.374951094500801E-3</v>
      </c>
      <c r="BU4">
        <f t="shared" si="12"/>
        <v>2.374951094500801E-3</v>
      </c>
      <c r="BV4">
        <f t="shared" si="12"/>
        <v>2.374951094500801E-3</v>
      </c>
      <c r="BW4">
        <f t="shared" si="9"/>
        <v>2.374951094500801E-3</v>
      </c>
      <c r="BX4">
        <f t="shared" si="5"/>
        <v>2.374951094500801E-3</v>
      </c>
      <c r="BY4">
        <f t="shared" si="5"/>
        <v>2.374951094500801E-3</v>
      </c>
      <c r="BZ4">
        <f t="shared" si="5"/>
        <v>2.374951094500801E-3</v>
      </c>
      <c r="CA4">
        <f t="shared" si="5"/>
        <v>2.374951094500801E-3</v>
      </c>
      <c r="CB4">
        <f t="shared" si="5"/>
        <v>2.374951094500801E-3</v>
      </c>
      <c r="CC4">
        <f t="shared" si="5"/>
        <v>2.374951094500801E-3</v>
      </c>
      <c r="CD4">
        <f t="shared" si="5"/>
        <v>2.374951094500801E-3</v>
      </c>
      <c r="CE4">
        <f t="shared" si="5"/>
        <v>2.374951094500801E-3</v>
      </c>
      <c r="CF4">
        <f t="shared" si="5"/>
        <v>2.374951094500801E-3</v>
      </c>
      <c r="CG4">
        <f t="shared" si="5"/>
        <v>2.374951094500801E-3</v>
      </c>
      <c r="CH4">
        <f t="shared" si="5"/>
        <v>2.374951094500801E-3</v>
      </c>
      <c r="CI4">
        <f t="shared" si="5"/>
        <v>2.374951094500801E-3</v>
      </c>
      <c r="CJ4">
        <f t="shared" si="5"/>
        <v>2.374951094500801E-3</v>
      </c>
      <c r="CK4">
        <f t="shared" si="5"/>
        <v>2.374951094500801E-3</v>
      </c>
      <c r="CL4">
        <f t="shared" si="5"/>
        <v>2.374951094500801E-3</v>
      </c>
      <c r="CM4">
        <f t="shared" si="5"/>
        <v>2.374951094500801E-3</v>
      </c>
      <c r="CN4">
        <f t="shared" si="5"/>
        <v>2.374951094500801E-3</v>
      </c>
      <c r="CO4">
        <f t="shared" si="5"/>
        <v>2.374951094500801E-3</v>
      </c>
      <c r="CP4">
        <f t="shared" si="5"/>
        <v>2.374951094500801E-3</v>
      </c>
      <c r="CQ4">
        <f t="shared" si="5"/>
        <v>2.374951094500801E-3</v>
      </c>
      <c r="CR4">
        <f t="shared" si="5"/>
        <v>2.374951094500801E-3</v>
      </c>
      <c r="CS4">
        <f t="shared" si="5"/>
        <v>2.374951094500801E-3</v>
      </c>
      <c r="CT4">
        <f t="shared" si="5"/>
        <v>2.374951094500801E-3</v>
      </c>
      <c r="CU4">
        <f t="shared" si="5"/>
        <v>2.374951094500801E-3</v>
      </c>
      <c r="CV4">
        <f t="shared" si="5"/>
        <v>2.374951094500801E-3</v>
      </c>
      <c r="CW4">
        <f t="shared" si="5"/>
        <v>2.374951094500801E-3</v>
      </c>
      <c r="CX4">
        <f t="shared" si="5"/>
        <v>2.374951094500801E-3</v>
      </c>
      <c r="CY4">
        <f t="shared" si="5"/>
        <v>2.374951094500801E-3</v>
      </c>
      <c r="CZ4">
        <f t="shared" si="5"/>
        <v>2.374951094500801E-3</v>
      </c>
    </row>
    <row r="5" spans="1:104" x14ac:dyDescent="0.25">
      <c r="A5" t="s">
        <v>1030</v>
      </c>
      <c r="B5" s="434" t="s">
        <v>267</v>
      </c>
      <c r="C5">
        <v>2005</v>
      </c>
      <c r="D5">
        <f t="shared" si="1"/>
        <v>1.4260544580886279</v>
      </c>
      <c r="E5">
        <f t="shared" ref="E5:AJ5" si="13">0.02*($D$5)</f>
        <v>2.8521089161772557E-2</v>
      </c>
      <c r="F5">
        <f t="shared" si="13"/>
        <v>2.8521089161772557E-2</v>
      </c>
      <c r="G5">
        <f t="shared" si="13"/>
        <v>2.8521089161772557E-2</v>
      </c>
      <c r="H5">
        <f t="shared" si="13"/>
        <v>2.8521089161772557E-2</v>
      </c>
      <c r="I5">
        <f t="shared" si="13"/>
        <v>2.8521089161772557E-2</v>
      </c>
      <c r="J5">
        <f t="shared" si="13"/>
        <v>2.8521089161772557E-2</v>
      </c>
      <c r="K5">
        <f t="shared" si="13"/>
        <v>2.8521089161772557E-2</v>
      </c>
      <c r="L5">
        <f t="shared" si="13"/>
        <v>2.8521089161772557E-2</v>
      </c>
      <c r="M5">
        <f t="shared" si="13"/>
        <v>2.8521089161772557E-2</v>
      </c>
      <c r="N5">
        <f t="shared" si="13"/>
        <v>2.8521089161772557E-2</v>
      </c>
      <c r="O5">
        <f t="shared" si="13"/>
        <v>2.8521089161772557E-2</v>
      </c>
      <c r="P5">
        <f t="shared" si="13"/>
        <v>2.8521089161772557E-2</v>
      </c>
      <c r="Q5">
        <f t="shared" si="13"/>
        <v>2.8521089161772557E-2</v>
      </c>
      <c r="R5">
        <f t="shared" si="13"/>
        <v>2.8521089161772557E-2</v>
      </c>
      <c r="S5">
        <f t="shared" si="13"/>
        <v>2.8521089161772557E-2</v>
      </c>
      <c r="T5">
        <f t="shared" si="13"/>
        <v>2.8521089161772557E-2</v>
      </c>
      <c r="U5">
        <f t="shared" si="13"/>
        <v>2.8521089161772557E-2</v>
      </c>
      <c r="V5">
        <f t="shared" si="13"/>
        <v>2.8521089161772557E-2</v>
      </c>
      <c r="W5">
        <f t="shared" si="13"/>
        <v>2.8521089161772557E-2</v>
      </c>
      <c r="X5">
        <f t="shared" si="13"/>
        <v>2.8521089161772557E-2</v>
      </c>
      <c r="Y5">
        <f t="shared" si="13"/>
        <v>2.8521089161772557E-2</v>
      </c>
      <c r="Z5">
        <f t="shared" si="13"/>
        <v>2.8521089161772557E-2</v>
      </c>
      <c r="AA5">
        <f t="shared" si="13"/>
        <v>2.8521089161772557E-2</v>
      </c>
      <c r="AB5">
        <f t="shared" si="13"/>
        <v>2.8521089161772557E-2</v>
      </c>
      <c r="AC5">
        <f t="shared" si="13"/>
        <v>2.8521089161772557E-2</v>
      </c>
      <c r="AD5">
        <f t="shared" si="13"/>
        <v>2.8521089161772557E-2</v>
      </c>
      <c r="AE5">
        <f t="shared" si="13"/>
        <v>2.8521089161772557E-2</v>
      </c>
      <c r="AF5">
        <f t="shared" si="13"/>
        <v>2.8521089161772557E-2</v>
      </c>
      <c r="AG5">
        <f t="shared" si="13"/>
        <v>2.8521089161772557E-2</v>
      </c>
      <c r="AH5">
        <f t="shared" si="13"/>
        <v>2.8521089161772557E-2</v>
      </c>
      <c r="AI5">
        <f t="shared" si="13"/>
        <v>2.8521089161772557E-2</v>
      </c>
      <c r="AJ5">
        <f t="shared" si="13"/>
        <v>2.8521089161772557E-2</v>
      </c>
      <c r="AK5">
        <f t="shared" ref="AK5:BP5" si="14">0.02*($D$5)</f>
        <v>2.8521089161772557E-2</v>
      </c>
      <c r="AL5">
        <f t="shared" si="14"/>
        <v>2.8521089161772557E-2</v>
      </c>
      <c r="AM5">
        <f t="shared" si="14"/>
        <v>2.8521089161772557E-2</v>
      </c>
      <c r="AN5">
        <f t="shared" si="14"/>
        <v>2.8521089161772557E-2</v>
      </c>
      <c r="AO5">
        <f t="shared" si="14"/>
        <v>2.8521089161772557E-2</v>
      </c>
      <c r="AP5">
        <f t="shared" si="14"/>
        <v>2.8521089161772557E-2</v>
      </c>
      <c r="AQ5">
        <f t="shared" si="14"/>
        <v>2.8521089161772557E-2</v>
      </c>
      <c r="AR5">
        <f t="shared" si="14"/>
        <v>2.8521089161772557E-2</v>
      </c>
      <c r="AS5">
        <f t="shared" si="14"/>
        <v>2.8521089161772557E-2</v>
      </c>
      <c r="AT5">
        <f t="shared" si="14"/>
        <v>2.8521089161772557E-2</v>
      </c>
      <c r="AU5">
        <f t="shared" si="14"/>
        <v>2.8521089161772557E-2</v>
      </c>
      <c r="AV5">
        <f t="shared" si="14"/>
        <v>2.8521089161772557E-2</v>
      </c>
      <c r="AW5">
        <f t="shared" si="14"/>
        <v>2.8521089161772557E-2</v>
      </c>
      <c r="AX5">
        <f t="shared" si="14"/>
        <v>2.8521089161772557E-2</v>
      </c>
      <c r="AY5">
        <f t="shared" si="14"/>
        <v>2.8521089161772557E-2</v>
      </c>
      <c r="AZ5">
        <f t="shared" si="14"/>
        <v>2.8521089161772557E-2</v>
      </c>
      <c r="BA5">
        <f t="shared" si="14"/>
        <v>2.8521089161772557E-2</v>
      </c>
      <c r="BB5">
        <f t="shared" si="14"/>
        <v>2.8521089161772557E-2</v>
      </c>
      <c r="BC5">
        <f t="shared" si="14"/>
        <v>2.8521089161772557E-2</v>
      </c>
      <c r="BD5">
        <f t="shared" si="14"/>
        <v>2.8521089161772557E-2</v>
      </c>
      <c r="BE5">
        <f t="shared" si="14"/>
        <v>2.8521089161772557E-2</v>
      </c>
      <c r="BF5">
        <f t="shared" si="14"/>
        <v>2.8521089161772557E-2</v>
      </c>
      <c r="BG5">
        <f t="shared" si="14"/>
        <v>2.8521089161772557E-2</v>
      </c>
      <c r="BH5">
        <f t="shared" si="14"/>
        <v>2.8521089161772557E-2</v>
      </c>
      <c r="BI5">
        <f t="shared" si="14"/>
        <v>2.8521089161772557E-2</v>
      </c>
      <c r="BJ5">
        <f t="shared" si="14"/>
        <v>2.8521089161772557E-2</v>
      </c>
      <c r="BK5">
        <f t="shared" si="14"/>
        <v>2.8521089161772557E-2</v>
      </c>
      <c r="BL5">
        <f t="shared" si="14"/>
        <v>2.8521089161772557E-2</v>
      </c>
      <c r="BM5">
        <f t="shared" si="14"/>
        <v>2.8521089161772557E-2</v>
      </c>
      <c r="BN5">
        <f t="shared" si="14"/>
        <v>2.8521089161772557E-2</v>
      </c>
      <c r="BO5">
        <f t="shared" si="14"/>
        <v>2.8521089161772557E-2</v>
      </c>
      <c r="BP5">
        <f t="shared" si="14"/>
        <v>2.8521089161772557E-2</v>
      </c>
      <c r="BQ5">
        <f t="shared" ref="BQ5:BV5" si="15">0.02*($D$5)</f>
        <v>2.8521089161772557E-2</v>
      </c>
      <c r="BR5">
        <f t="shared" si="15"/>
        <v>2.8521089161772557E-2</v>
      </c>
      <c r="BS5">
        <f t="shared" si="15"/>
        <v>2.8521089161772557E-2</v>
      </c>
      <c r="BT5">
        <f t="shared" si="15"/>
        <v>2.8521089161772557E-2</v>
      </c>
      <c r="BU5">
        <f t="shared" si="15"/>
        <v>2.8521089161772557E-2</v>
      </c>
      <c r="BV5">
        <f t="shared" si="15"/>
        <v>2.8521089161772557E-2</v>
      </c>
      <c r="BW5">
        <f t="shared" si="9"/>
        <v>2.8521089161772557E-2</v>
      </c>
      <c r="BX5">
        <f t="shared" si="5"/>
        <v>2.8521089161772557E-2</v>
      </c>
      <c r="BY5">
        <f t="shared" si="5"/>
        <v>2.8521089161772557E-2</v>
      </c>
      <c r="BZ5">
        <f t="shared" si="5"/>
        <v>2.8521089161772557E-2</v>
      </c>
      <c r="CA5">
        <f t="shared" si="5"/>
        <v>2.8521089161772557E-2</v>
      </c>
      <c r="CB5">
        <f t="shared" si="5"/>
        <v>2.8521089161772557E-2</v>
      </c>
      <c r="CC5">
        <f t="shared" si="5"/>
        <v>2.8521089161772557E-2</v>
      </c>
      <c r="CD5">
        <f t="shared" si="5"/>
        <v>2.8521089161772557E-2</v>
      </c>
      <c r="CE5">
        <f t="shared" si="5"/>
        <v>2.8521089161772557E-2</v>
      </c>
      <c r="CF5">
        <f t="shared" si="5"/>
        <v>2.8521089161772557E-2</v>
      </c>
      <c r="CG5">
        <f t="shared" si="5"/>
        <v>2.8521089161772557E-2</v>
      </c>
      <c r="CH5">
        <f t="shared" si="5"/>
        <v>2.8521089161772557E-2</v>
      </c>
      <c r="CI5">
        <f t="shared" si="5"/>
        <v>2.8521089161772557E-2</v>
      </c>
      <c r="CJ5">
        <f t="shared" si="5"/>
        <v>2.8521089161772557E-2</v>
      </c>
      <c r="CK5">
        <f t="shared" si="5"/>
        <v>2.8521089161772557E-2</v>
      </c>
      <c r="CL5">
        <f t="shared" si="5"/>
        <v>2.8521089161772557E-2</v>
      </c>
      <c r="CM5">
        <f t="shared" si="5"/>
        <v>2.8521089161772557E-2</v>
      </c>
      <c r="CN5">
        <f t="shared" si="5"/>
        <v>2.8521089161772557E-2</v>
      </c>
      <c r="CO5">
        <f t="shared" si="5"/>
        <v>2.8521089161772557E-2</v>
      </c>
      <c r="CP5">
        <f t="shared" si="5"/>
        <v>2.8521089161772557E-2</v>
      </c>
      <c r="CQ5">
        <f t="shared" si="5"/>
        <v>2.8521089161772557E-2</v>
      </c>
      <c r="CR5">
        <f t="shared" si="5"/>
        <v>2.8521089161772557E-2</v>
      </c>
      <c r="CS5">
        <f t="shared" si="5"/>
        <v>2.8521089161772557E-2</v>
      </c>
      <c r="CT5">
        <f t="shared" si="5"/>
        <v>2.8521089161772557E-2</v>
      </c>
      <c r="CU5">
        <f t="shared" si="5"/>
        <v>2.8521089161772557E-2</v>
      </c>
      <c r="CV5">
        <f t="shared" si="5"/>
        <v>2.8521089161772557E-2</v>
      </c>
      <c r="CW5">
        <f t="shared" si="5"/>
        <v>2.8521089161772557E-2</v>
      </c>
      <c r="CX5">
        <f t="shared" si="5"/>
        <v>2.8521089161772557E-2</v>
      </c>
      <c r="CY5">
        <f t="shared" si="5"/>
        <v>2.8521089161772557E-2</v>
      </c>
      <c r="CZ5">
        <f t="shared" si="5"/>
        <v>2.8521089161772557E-2</v>
      </c>
    </row>
    <row r="6" spans="1:104" x14ac:dyDescent="0.25">
      <c r="A6" t="s">
        <v>663</v>
      </c>
      <c r="B6" s="434" t="s">
        <v>267</v>
      </c>
      <c r="C6">
        <v>2005</v>
      </c>
      <c r="D6">
        <f t="shared" si="1"/>
        <v>1.4260544580886279</v>
      </c>
      <c r="E6">
        <f t="shared" ref="E6:AJ6" si="16">0*($D$6)</f>
        <v>0</v>
      </c>
      <c r="F6">
        <f t="shared" si="16"/>
        <v>0</v>
      </c>
      <c r="G6">
        <f t="shared" si="16"/>
        <v>0</v>
      </c>
      <c r="H6">
        <f t="shared" si="16"/>
        <v>0</v>
      </c>
      <c r="I6">
        <f t="shared" si="16"/>
        <v>0</v>
      </c>
      <c r="J6">
        <f t="shared" si="16"/>
        <v>0</v>
      </c>
      <c r="K6">
        <f t="shared" si="16"/>
        <v>0</v>
      </c>
      <c r="L6">
        <f t="shared" si="16"/>
        <v>0</v>
      </c>
      <c r="M6">
        <f t="shared" si="16"/>
        <v>0</v>
      </c>
      <c r="N6">
        <f t="shared" si="16"/>
        <v>0</v>
      </c>
      <c r="O6">
        <f t="shared" si="16"/>
        <v>0</v>
      </c>
      <c r="P6">
        <f t="shared" si="16"/>
        <v>0</v>
      </c>
      <c r="Q6">
        <f t="shared" si="16"/>
        <v>0</v>
      </c>
      <c r="R6">
        <f t="shared" si="16"/>
        <v>0</v>
      </c>
      <c r="S6">
        <f t="shared" si="16"/>
        <v>0</v>
      </c>
      <c r="T6">
        <f t="shared" si="16"/>
        <v>0</v>
      </c>
      <c r="U6">
        <f t="shared" si="16"/>
        <v>0</v>
      </c>
      <c r="V6">
        <f t="shared" si="16"/>
        <v>0</v>
      </c>
      <c r="W6">
        <f t="shared" si="16"/>
        <v>0</v>
      </c>
      <c r="X6">
        <f t="shared" si="16"/>
        <v>0</v>
      </c>
      <c r="Y6">
        <f t="shared" si="16"/>
        <v>0</v>
      </c>
      <c r="Z6">
        <f t="shared" si="16"/>
        <v>0</v>
      </c>
      <c r="AA6">
        <f t="shared" si="16"/>
        <v>0</v>
      </c>
      <c r="AB6">
        <f t="shared" si="16"/>
        <v>0</v>
      </c>
      <c r="AC6">
        <f t="shared" si="16"/>
        <v>0</v>
      </c>
      <c r="AD6">
        <f t="shared" si="16"/>
        <v>0</v>
      </c>
      <c r="AE6">
        <f t="shared" si="16"/>
        <v>0</v>
      </c>
      <c r="AF6">
        <f t="shared" si="16"/>
        <v>0</v>
      </c>
      <c r="AG6">
        <f t="shared" si="16"/>
        <v>0</v>
      </c>
      <c r="AH6">
        <f t="shared" si="16"/>
        <v>0</v>
      </c>
      <c r="AI6">
        <f t="shared" si="16"/>
        <v>0</v>
      </c>
      <c r="AJ6">
        <f t="shared" si="16"/>
        <v>0</v>
      </c>
      <c r="AK6">
        <f t="shared" ref="AK6:BP6" si="17">0*($D$6)</f>
        <v>0</v>
      </c>
      <c r="AL6">
        <f t="shared" si="17"/>
        <v>0</v>
      </c>
      <c r="AM6">
        <f t="shared" si="17"/>
        <v>0</v>
      </c>
      <c r="AN6">
        <f t="shared" si="17"/>
        <v>0</v>
      </c>
      <c r="AO6">
        <f t="shared" si="17"/>
        <v>0</v>
      </c>
      <c r="AP6">
        <f t="shared" si="17"/>
        <v>0</v>
      </c>
      <c r="AQ6">
        <f t="shared" si="17"/>
        <v>0</v>
      </c>
      <c r="AR6">
        <f t="shared" si="17"/>
        <v>0</v>
      </c>
      <c r="AS6">
        <f t="shared" si="17"/>
        <v>0</v>
      </c>
      <c r="AT6">
        <f t="shared" si="17"/>
        <v>0</v>
      </c>
      <c r="AU6">
        <f t="shared" si="17"/>
        <v>0</v>
      </c>
      <c r="AV6">
        <f t="shared" si="17"/>
        <v>0</v>
      </c>
      <c r="AW6">
        <f t="shared" si="17"/>
        <v>0</v>
      </c>
      <c r="AX6">
        <f t="shared" si="17"/>
        <v>0</v>
      </c>
      <c r="AY6">
        <f t="shared" si="17"/>
        <v>0</v>
      </c>
      <c r="AZ6">
        <f t="shared" si="17"/>
        <v>0</v>
      </c>
      <c r="BA6">
        <f t="shared" si="17"/>
        <v>0</v>
      </c>
      <c r="BB6">
        <f t="shared" si="17"/>
        <v>0</v>
      </c>
      <c r="BC6">
        <f t="shared" si="17"/>
        <v>0</v>
      </c>
      <c r="BD6">
        <f t="shared" si="17"/>
        <v>0</v>
      </c>
      <c r="BE6">
        <f t="shared" si="17"/>
        <v>0</v>
      </c>
      <c r="BF6">
        <f t="shared" si="17"/>
        <v>0</v>
      </c>
      <c r="BG6">
        <f t="shared" si="17"/>
        <v>0</v>
      </c>
      <c r="BH6">
        <f t="shared" si="17"/>
        <v>0</v>
      </c>
      <c r="BI6">
        <f t="shared" si="17"/>
        <v>0</v>
      </c>
      <c r="BJ6">
        <f t="shared" si="17"/>
        <v>0</v>
      </c>
      <c r="BK6">
        <f t="shared" si="17"/>
        <v>0</v>
      </c>
      <c r="BL6">
        <f t="shared" si="17"/>
        <v>0</v>
      </c>
      <c r="BM6">
        <f t="shared" si="17"/>
        <v>0</v>
      </c>
      <c r="BN6">
        <f t="shared" si="17"/>
        <v>0</v>
      </c>
      <c r="BO6">
        <f t="shared" si="17"/>
        <v>0</v>
      </c>
      <c r="BP6">
        <f t="shared" si="17"/>
        <v>0</v>
      </c>
      <c r="BQ6">
        <f t="shared" ref="BQ6:BV6" si="18">0*($D$6)</f>
        <v>0</v>
      </c>
      <c r="BR6">
        <f t="shared" si="18"/>
        <v>0</v>
      </c>
      <c r="BS6">
        <f t="shared" si="18"/>
        <v>0</v>
      </c>
      <c r="BT6">
        <f t="shared" si="18"/>
        <v>0</v>
      </c>
      <c r="BU6">
        <f t="shared" si="18"/>
        <v>0</v>
      </c>
      <c r="BV6">
        <f t="shared" si="18"/>
        <v>0</v>
      </c>
      <c r="BW6">
        <f t="shared" si="9"/>
        <v>0</v>
      </c>
      <c r="BX6">
        <f t="shared" si="5"/>
        <v>0</v>
      </c>
      <c r="BY6">
        <f t="shared" si="5"/>
        <v>0</v>
      </c>
      <c r="BZ6">
        <f t="shared" si="5"/>
        <v>0</v>
      </c>
      <c r="CA6">
        <f t="shared" si="5"/>
        <v>0</v>
      </c>
      <c r="CB6">
        <f t="shared" si="5"/>
        <v>0</v>
      </c>
      <c r="CC6">
        <f t="shared" si="5"/>
        <v>0</v>
      </c>
      <c r="CD6">
        <f t="shared" si="5"/>
        <v>0</v>
      </c>
      <c r="CE6">
        <f t="shared" si="5"/>
        <v>0</v>
      </c>
      <c r="CF6">
        <f t="shared" si="5"/>
        <v>0</v>
      </c>
      <c r="CG6">
        <f t="shared" si="5"/>
        <v>0</v>
      </c>
      <c r="CH6">
        <f t="shared" si="5"/>
        <v>0</v>
      </c>
      <c r="CI6">
        <f t="shared" si="5"/>
        <v>0</v>
      </c>
      <c r="CJ6">
        <f t="shared" si="5"/>
        <v>0</v>
      </c>
      <c r="CK6">
        <f t="shared" si="5"/>
        <v>0</v>
      </c>
      <c r="CL6">
        <f t="shared" si="5"/>
        <v>0</v>
      </c>
      <c r="CM6">
        <f t="shared" si="5"/>
        <v>0</v>
      </c>
      <c r="CN6">
        <f t="shared" si="5"/>
        <v>0</v>
      </c>
      <c r="CO6">
        <f t="shared" si="5"/>
        <v>0</v>
      </c>
      <c r="CP6">
        <f t="shared" si="5"/>
        <v>0</v>
      </c>
      <c r="CQ6">
        <f t="shared" si="5"/>
        <v>0</v>
      </c>
      <c r="CR6">
        <f t="shared" si="5"/>
        <v>0</v>
      </c>
      <c r="CS6">
        <f t="shared" si="5"/>
        <v>0</v>
      </c>
      <c r="CT6">
        <f t="shared" si="5"/>
        <v>0</v>
      </c>
      <c r="CU6">
        <f t="shared" si="5"/>
        <v>0</v>
      </c>
      <c r="CV6">
        <f t="shared" si="5"/>
        <v>0</v>
      </c>
      <c r="CW6">
        <f t="shared" si="5"/>
        <v>0</v>
      </c>
      <c r="CX6">
        <f t="shared" si="5"/>
        <v>0</v>
      </c>
      <c r="CY6">
        <f t="shared" si="5"/>
        <v>0</v>
      </c>
      <c r="CZ6">
        <f t="shared" si="5"/>
        <v>0</v>
      </c>
    </row>
    <row r="7" spans="1:104" x14ac:dyDescent="0.25">
      <c r="A7" s="434" t="s">
        <v>1070</v>
      </c>
      <c r="B7" s="434" t="s">
        <v>267</v>
      </c>
      <c r="C7">
        <v>2007</v>
      </c>
      <c r="D7">
        <f t="shared" si="1"/>
        <v>1.3138219380226268</v>
      </c>
      <c r="E7">
        <f t="shared" ref="E7:AJ7" si="19">0.0135*($D$7)</f>
        <v>1.7736596163305463E-2</v>
      </c>
      <c r="F7">
        <f t="shared" si="19"/>
        <v>1.7736596163305463E-2</v>
      </c>
      <c r="G7">
        <f t="shared" si="19"/>
        <v>1.7736596163305463E-2</v>
      </c>
      <c r="H7">
        <f t="shared" si="19"/>
        <v>1.7736596163305463E-2</v>
      </c>
      <c r="I7">
        <f t="shared" si="19"/>
        <v>1.7736596163305463E-2</v>
      </c>
      <c r="J7">
        <f t="shared" si="19"/>
        <v>1.7736596163305463E-2</v>
      </c>
      <c r="K7">
        <f t="shared" si="19"/>
        <v>1.7736596163305463E-2</v>
      </c>
      <c r="L7">
        <f t="shared" si="19"/>
        <v>1.7736596163305463E-2</v>
      </c>
      <c r="M7">
        <f t="shared" si="19"/>
        <v>1.7736596163305463E-2</v>
      </c>
      <c r="N7">
        <f t="shared" si="19"/>
        <v>1.7736596163305463E-2</v>
      </c>
      <c r="O7">
        <f t="shared" si="19"/>
        <v>1.7736596163305463E-2</v>
      </c>
      <c r="P7">
        <f t="shared" si="19"/>
        <v>1.7736596163305463E-2</v>
      </c>
      <c r="Q7">
        <f t="shared" si="19"/>
        <v>1.7736596163305463E-2</v>
      </c>
      <c r="R7">
        <f t="shared" si="19"/>
        <v>1.7736596163305463E-2</v>
      </c>
      <c r="S7">
        <f t="shared" si="19"/>
        <v>1.7736596163305463E-2</v>
      </c>
      <c r="T7">
        <f t="shared" si="19"/>
        <v>1.7736596163305463E-2</v>
      </c>
      <c r="U7">
        <f t="shared" si="19"/>
        <v>1.7736596163305463E-2</v>
      </c>
      <c r="V7">
        <f t="shared" si="19"/>
        <v>1.7736596163305463E-2</v>
      </c>
      <c r="W7">
        <f t="shared" si="19"/>
        <v>1.7736596163305463E-2</v>
      </c>
      <c r="X7">
        <f t="shared" si="19"/>
        <v>1.7736596163305463E-2</v>
      </c>
      <c r="Y7">
        <f t="shared" si="19"/>
        <v>1.7736596163305463E-2</v>
      </c>
      <c r="Z7">
        <f t="shared" si="19"/>
        <v>1.7736596163305463E-2</v>
      </c>
      <c r="AA7">
        <f t="shared" si="19"/>
        <v>1.7736596163305463E-2</v>
      </c>
      <c r="AB7">
        <f t="shared" si="19"/>
        <v>1.7736596163305463E-2</v>
      </c>
      <c r="AC7">
        <f t="shared" si="19"/>
        <v>1.7736596163305463E-2</v>
      </c>
      <c r="AD7">
        <f t="shared" si="19"/>
        <v>1.7736596163305463E-2</v>
      </c>
      <c r="AE7">
        <f t="shared" si="19"/>
        <v>1.7736596163305463E-2</v>
      </c>
      <c r="AF7">
        <f t="shared" si="19"/>
        <v>1.7736596163305463E-2</v>
      </c>
      <c r="AG7">
        <f t="shared" si="19"/>
        <v>1.7736596163305463E-2</v>
      </c>
      <c r="AH7">
        <f t="shared" si="19"/>
        <v>1.7736596163305463E-2</v>
      </c>
      <c r="AI7">
        <f t="shared" si="19"/>
        <v>1.7736596163305463E-2</v>
      </c>
      <c r="AJ7">
        <f t="shared" si="19"/>
        <v>1.7736596163305463E-2</v>
      </c>
      <c r="AK7">
        <f t="shared" ref="AK7:BP7" si="20">0.0135*($D$7)</f>
        <v>1.7736596163305463E-2</v>
      </c>
      <c r="AL7">
        <f t="shared" si="20"/>
        <v>1.7736596163305463E-2</v>
      </c>
      <c r="AM7">
        <f t="shared" si="20"/>
        <v>1.7736596163305463E-2</v>
      </c>
      <c r="AN7">
        <f t="shared" si="20"/>
        <v>1.7736596163305463E-2</v>
      </c>
      <c r="AO7">
        <f t="shared" si="20"/>
        <v>1.7736596163305463E-2</v>
      </c>
      <c r="AP7">
        <f t="shared" si="20"/>
        <v>1.7736596163305463E-2</v>
      </c>
      <c r="AQ7">
        <f t="shared" si="20"/>
        <v>1.7736596163305463E-2</v>
      </c>
      <c r="AR7">
        <f t="shared" si="20"/>
        <v>1.7736596163305463E-2</v>
      </c>
      <c r="AS7">
        <f t="shared" si="20"/>
        <v>1.7736596163305463E-2</v>
      </c>
      <c r="AT7">
        <f t="shared" si="20"/>
        <v>1.7736596163305463E-2</v>
      </c>
      <c r="AU7">
        <f t="shared" si="20"/>
        <v>1.7736596163305463E-2</v>
      </c>
      <c r="AV7">
        <f t="shared" si="20"/>
        <v>1.7736596163305463E-2</v>
      </c>
      <c r="AW7">
        <f t="shared" si="20"/>
        <v>1.7736596163305463E-2</v>
      </c>
      <c r="AX7">
        <f t="shared" si="20"/>
        <v>1.7736596163305463E-2</v>
      </c>
      <c r="AY7">
        <f t="shared" si="20"/>
        <v>1.7736596163305463E-2</v>
      </c>
      <c r="AZ7">
        <f t="shared" si="20"/>
        <v>1.7736596163305463E-2</v>
      </c>
      <c r="BA7">
        <f t="shared" si="20"/>
        <v>1.7736596163305463E-2</v>
      </c>
      <c r="BB7">
        <f t="shared" si="20"/>
        <v>1.7736596163305463E-2</v>
      </c>
      <c r="BC7">
        <f t="shared" si="20"/>
        <v>1.7736596163305463E-2</v>
      </c>
      <c r="BD7">
        <f t="shared" si="20"/>
        <v>1.7736596163305463E-2</v>
      </c>
      <c r="BE7">
        <f t="shared" si="20"/>
        <v>1.7736596163305463E-2</v>
      </c>
      <c r="BF7">
        <f t="shared" si="20"/>
        <v>1.7736596163305463E-2</v>
      </c>
      <c r="BG7">
        <f t="shared" si="20"/>
        <v>1.7736596163305463E-2</v>
      </c>
      <c r="BH7">
        <f t="shared" si="20"/>
        <v>1.7736596163305463E-2</v>
      </c>
      <c r="BI7">
        <f t="shared" si="20"/>
        <v>1.7736596163305463E-2</v>
      </c>
      <c r="BJ7">
        <f t="shared" si="20"/>
        <v>1.7736596163305463E-2</v>
      </c>
      <c r="BK7">
        <f t="shared" si="20"/>
        <v>1.7736596163305463E-2</v>
      </c>
      <c r="BL7">
        <f t="shared" si="20"/>
        <v>1.7736596163305463E-2</v>
      </c>
      <c r="BM7">
        <f t="shared" si="20"/>
        <v>1.7736596163305463E-2</v>
      </c>
      <c r="BN7">
        <f t="shared" si="20"/>
        <v>1.7736596163305463E-2</v>
      </c>
      <c r="BO7">
        <f t="shared" si="20"/>
        <v>1.7736596163305463E-2</v>
      </c>
      <c r="BP7">
        <f t="shared" si="20"/>
        <v>1.7736596163305463E-2</v>
      </c>
      <c r="BQ7">
        <f t="shared" ref="BQ7:BV7" si="21">0.0135*($D$7)</f>
        <v>1.7736596163305463E-2</v>
      </c>
      <c r="BR7">
        <f t="shared" si="21"/>
        <v>1.7736596163305463E-2</v>
      </c>
      <c r="BS7">
        <f t="shared" si="21"/>
        <v>1.7736596163305463E-2</v>
      </c>
      <c r="BT7">
        <f t="shared" si="21"/>
        <v>1.7736596163305463E-2</v>
      </c>
      <c r="BU7">
        <f t="shared" si="21"/>
        <v>1.7736596163305463E-2</v>
      </c>
      <c r="BV7">
        <f t="shared" si="21"/>
        <v>1.7736596163305463E-2</v>
      </c>
      <c r="BW7">
        <f t="shared" si="9"/>
        <v>1.7736596163305463E-2</v>
      </c>
      <c r="BX7">
        <f t="shared" si="5"/>
        <v>1.7736596163305463E-2</v>
      </c>
      <c r="BY7">
        <f t="shared" si="5"/>
        <v>1.7736596163305463E-2</v>
      </c>
      <c r="BZ7">
        <f t="shared" si="5"/>
        <v>1.7736596163305463E-2</v>
      </c>
      <c r="CA7">
        <f t="shared" si="5"/>
        <v>1.7736596163305463E-2</v>
      </c>
      <c r="CB7">
        <f t="shared" si="5"/>
        <v>1.7736596163305463E-2</v>
      </c>
      <c r="CC7">
        <f t="shared" si="5"/>
        <v>1.7736596163305463E-2</v>
      </c>
      <c r="CD7">
        <f t="shared" si="5"/>
        <v>1.7736596163305463E-2</v>
      </c>
      <c r="CE7">
        <f t="shared" si="5"/>
        <v>1.7736596163305463E-2</v>
      </c>
      <c r="CF7">
        <f t="shared" si="5"/>
        <v>1.7736596163305463E-2</v>
      </c>
      <c r="CG7">
        <f t="shared" si="5"/>
        <v>1.7736596163305463E-2</v>
      </c>
      <c r="CH7">
        <f t="shared" si="5"/>
        <v>1.7736596163305463E-2</v>
      </c>
      <c r="CI7">
        <f t="shared" si="5"/>
        <v>1.7736596163305463E-2</v>
      </c>
      <c r="CJ7">
        <f t="shared" si="5"/>
        <v>1.7736596163305463E-2</v>
      </c>
      <c r="CK7">
        <f t="shared" si="5"/>
        <v>1.7736596163305463E-2</v>
      </c>
      <c r="CL7">
        <f t="shared" si="5"/>
        <v>1.7736596163305463E-2</v>
      </c>
      <c r="CM7">
        <f t="shared" si="5"/>
        <v>1.7736596163305463E-2</v>
      </c>
      <c r="CN7">
        <f t="shared" si="5"/>
        <v>1.7736596163305463E-2</v>
      </c>
      <c r="CO7">
        <f t="shared" si="5"/>
        <v>1.7736596163305463E-2</v>
      </c>
      <c r="CP7">
        <f t="shared" si="5"/>
        <v>1.7736596163305463E-2</v>
      </c>
      <c r="CQ7">
        <f t="shared" si="5"/>
        <v>1.7736596163305463E-2</v>
      </c>
      <c r="CR7">
        <f t="shared" si="5"/>
        <v>1.7736596163305463E-2</v>
      </c>
      <c r="CS7">
        <f t="shared" si="5"/>
        <v>1.7736596163305463E-2</v>
      </c>
      <c r="CT7">
        <f t="shared" si="5"/>
        <v>1.7736596163305463E-2</v>
      </c>
      <c r="CU7">
        <f t="shared" si="5"/>
        <v>1.7736596163305463E-2</v>
      </c>
      <c r="CV7">
        <f t="shared" si="5"/>
        <v>1.7736596163305463E-2</v>
      </c>
      <c r="CW7">
        <f t="shared" si="5"/>
        <v>1.7736596163305463E-2</v>
      </c>
      <c r="CX7">
        <f t="shared" si="5"/>
        <v>1.7736596163305463E-2</v>
      </c>
      <c r="CY7">
        <f t="shared" si="5"/>
        <v>1.7736596163305463E-2</v>
      </c>
      <c r="CZ7">
        <f t="shared" si="5"/>
        <v>1.7736596163305463E-2</v>
      </c>
    </row>
    <row r="8" spans="1:104" x14ac:dyDescent="0.25">
      <c r="A8" s="434" t="s">
        <v>810</v>
      </c>
      <c r="B8" s="434" t="s">
        <v>267</v>
      </c>
      <c r="C8">
        <v>2002</v>
      </c>
      <c r="D8">
        <f t="shared" si="1"/>
        <v>1.6980292434837889</v>
      </c>
      <c r="E8">
        <f t="shared" ref="E8:AJ8" si="22">0.0256*($D$8)</f>
        <v>4.3469548633185001E-2</v>
      </c>
      <c r="F8">
        <f t="shared" si="22"/>
        <v>4.3469548633185001E-2</v>
      </c>
      <c r="G8">
        <f t="shared" si="22"/>
        <v>4.3469548633185001E-2</v>
      </c>
      <c r="H8">
        <f t="shared" si="22"/>
        <v>4.3469548633185001E-2</v>
      </c>
      <c r="I8">
        <f t="shared" si="22"/>
        <v>4.3469548633185001E-2</v>
      </c>
      <c r="J8">
        <f t="shared" si="22"/>
        <v>4.3469548633185001E-2</v>
      </c>
      <c r="K8">
        <f t="shared" si="22"/>
        <v>4.3469548633185001E-2</v>
      </c>
      <c r="L8">
        <f t="shared" si="22"/>
        <v>4.3469548633185001E-2</v>
      </c>
      <c r="M8">
        <f t="shared" si="22"/>
        <v>4.3469548633185001E-2</v>
      </c>
      <c r="N8">
        <f t="shared" si="22"/>
        <v>4.3469548633185001E-2</v>
      </c>
      <c r="O8">
        <f t="shared" si="22"/>
        <v>4.3469548633185001E-2</v>
      </c>
      <c r="P8">
        <f t="shared" si="22"/>
        <v>4.3469548633185001E-2</v>
      </c>
      <c r="Q8">
        <f t="shared" si="22"/>
        <v>4.3469548633185001E-2</v>
      </c>
      <c r="R8">
        <f t="shared" si="22"/>
        <v>4.3469548633185001E-2</v>
      </c>
      <c r="S8">
        <f t="shared" si="22"/>
        <v>4.3469548633185001E-2</v>
      </c>
      <c r="T8">
        <f t="shared" si="22"/>
        <v>4.3469548633185001E-2</v>
      </c>
      <c r="U8">
        <f t="shared" si="22"/>
        <v>4.3469548633185001E-2</v>
      </c>
      <c r="V8">
        <f t="shared" si="22"/>
        <v>4.3469548633185001E-2</v>
      </c>
      <c r="W8">
        <f t="shared" si="22"/>
        <v>4.3469548633185001E-2</v>
      </c>
      <c r="X8">
        <f t="shared" si="22"/>
        <v>4.3469548633185001E-2</v>
      </c>
      <c r="Y8">
        <f t="shared" si="22"/>
        <v>4.3469548633185001E-2</v>
      </c>
      <c r="Z8">
        <f t="shared" si="22"/>
        <v>4.3469548633185001E-2</v>
      </c>
      <c r="AA8">
        <f t="shared" si="22"/>
        <v>4.3469548633185001E-2</v>
      </c>
      <c r="AB8">
        <f t="shared" si="22"/>
        <v>4.3469548633185001E-2</v>
      </c>
      <c r="AC8">
        <f t="shared" si="22"/>
        <v>4.3469548633185001E-2</v>
      </c>
      <c r="AD8">
        <f t="shared" si="22"/>
        <v>4.3469548633185001E-2</v>
      </c>
      <c r="AE8">
        <f t="shared" si="22"/>
        <v>4.3469548633185001E-2</v>
      </c>
      <c r="AF8">
        <f t="shared" si="22"/>
        <v>4.3469548633185001E-2</v>
      </c>
      <c r="AG8">
        <f t="shared" si="22"/>
        <v>4.3469548633185001E-2</v>
      </c>
      <c r="AH8">
        <f t="shared" si="22"/>
        <v>4.3469548633185001E-2</v>
      </c>
      <c r="AI8">
        <f t="shared" si="22"/>
        <v>4.3469548633185001E-2</v>
      </c>
      <c r="AJ8">
        <f t="shared" si="22"/>
        <v>4.3469548633185001E-2</v>
      </c>
      <c r="AK8">
        <f t="shared" ref="AK8:BP8" si="23">0.0256*($D$8)</f>
        <v>4.3469548633185001E-2</v>
      </c>
      <c r="AL8">
        <f t="shared" si="23"/>
        <v>4.3469548633185001E-2</v>
      </c>
      <c r="AM8">
        <f t="shared" si="23"/>
        <v>4.3469548633185001E-2</v>
      </c>
      <c r="AN8">
        <f t="shared" si="23"/>
        <v>4.3469548633185001E-2</v>
      </c>
      <c r="AO8">
        <f t="shared" si="23"/>
        <v>4.3469548633185001E-2</v>
      </c>
      <c r="AP8">
        <f t="shared" si="23"/>
        <v>4.3469548633185001E-2</v>
      </c>
      <c r="AQ8">
        <f t="shared" si="23"/>
        <v>4.3469548633185001E-2</v>
      </c>
      <c r="AR8">
        <f t="shared" si="23"/>
        <v>4.3469548633185001E-2</v>
      </c>
      <c r="AS8">
        <f t="shared" si="23"/>
        <v>4.3469548633185001E-2</v>
      </c>
      <c r="AT8">
        <f t="shared" si="23"/>
        <v>4.3469548633185001E-2</v>
      </c>
      <c r="AU8">
        <f t="shared" si="23"/>
        <v>4.3469548633185001E-2</v>
      </c>
      <c r="AV8">
        <f t="shared" si="23"/>
        <v>4.3469548633185001E-2</v>
      </c>
      <c r="AW8">
        <f t="shared" si="23"/>
        <v>4.3469548633185001E-2</v>
      </c>
      <c r="AX8">
        <f t="shared" si="23"/>
        <v>4.3469548633185001E-2</v>
      </c>
      <c r="AY8">
        <f t="shared" si="23"/>
        <v>4.3469548633185001E-2</v>
      </c>
      <c r="AZ8">
        <f t="shared" si="23"/>
        <v>4.3469548633185001E-2</v>
      </c>
      <c r="BA8">
        <f t="shared" si="23"/>
        <v>4.3469548633185001E-2</v>
      </c>
      <c r="BB8">
        <f t="shared" si="23"/>
        <v>4.3469548633185001E-2</v>
      </c>
      <c r="BC8">
        <f t="shared" si="23"/>
        <v>4.3469548633185001E-2</v>
      </c>
      <c r="BD8">
        <f t="shared" si="23"/>
        <v>4.3469548633185001E-2</v>
      </c>
      <c r="BE8">
        <f t="shared" si="23"/>
        <v>4.3469548633185001E-2</v>
      </c>
      <c r="BF8">
        <f t="shared" si="23"/>
        <v>4.3469548633185001E-2</v>
      </c>
      <c r="BG8">
        <f t="shared" si="23"/>
        <v>4.3469548633185001E-2</v>
      </c>
      <c r="BH8">
        <f t="shared" si="23"/>
        <v>4.3469548633185001E-2</v>
      </c>
      <c r="BI8">
        <f t="shared" si="23"/>
        <v>4.3469548633185001E-2</v>
      </c>
      <c r="BJ8">
        <f t="shared" si="23"/>
        <v>4.3469548633185001E-2</v>
      </c>
      <c r="BK8">
        <f t="shared" si="23"/>
        <v>4.3469548633185001E-2</v>
      </c>
      <c r="BL8">
        <f t="shared" si="23"/>
        <v>4.3469548633185001E-2</v>
      </c>
      <c r="BM8">
        <f t="shared" si="23"/>
        <v>4.3469548633185001E-2</v>
      </c>
      <c r="BN8">
        <f t="shared" si="23"/>
        <v>4.3469548633185001E-2</v>
      </c>
      <c r="BO8">
        <f t="shared" si="23"/>
        <v>4.3469548633185001E-2</v>
      </c>
      <c r="BP8">
        <f t="shared" si="23"/>
        <v>4.3469548633185001E-2</v>
      </c>
      <c r="BQ8">
        <f t="shared" ref="BQ8:BV8" si="24">0.0256*($D$8)</f>
        <v>4.3469548633185001E-2</v>
      </c>
      <c r="BR8">
        <f t="shared" si="24"/>
        <v>4.3469548633185001E-2</v>
      </c>
      <c r="BS8">
        <f t="shared" si="24"/>
        <v>4.3469548633185001E-2</v>
      </c>
      <c r="BT8">
        <f t="shared" si="24"/>
        <v>4.3469548633185001E-2</v>
      </c>
      <c r="BU8">
        <f t="shared" si="24"/>
        <v>4.3469548633185001E-2</v>
      </c>
      <c r="BV8">
        <f t="shared" si="24"/>
        <v>4.3469548633185001E-2</v>
      </c>
      <c r="BW8">
        <f t="shared" si="9"/>
        <v>4.3469548633185001E-2</v>
      </c>
      <c r="BX8">
        <f t="shared" si="5"/>
        <v>4.3469548633185001E-2</v>
      </c>
      <c r="BY8">
        <f t="shared" si="5"/>
        <v>4.3469548633185001E-2</v>
      </c>
      <c r="BZ8">
        <f t="shared" si="5"/>
        <v>4.3469548633185001E-2</v>
      </c>
      <c r="CA8">
        <f t="shared" si="5"/>
        <v>4.3469548633185001E-2</v>
      </c>
      <c r="CB8">
        <f t="shared" si="5"/>
        <v>4.3469548633185001E-2</v>
      </c>
      <c r="CC8">
        <f t="shared" si="5"/>
        <v>4.3469548633185001E-2</v>
      </c>
      <c r="CD8">
        <f t="shared" si="5"/>
        <v>4.3469548633185001E-2</v>
      </c>
      <c r="CE8">
        <f t="shared" si="5"/>
        <v>4.3469548633185001E-2</v>
      </c>
      <c r="CF8">
        <f t="shared" si="5"/>
        <v>4.3469548633185001E-2</v>
      </c>
      <c r="CG8">
        <f t="shared" si="5"/>
        <v>4.3469548633185001E-2</v>
      </c>
      <c r="CH8">
        <f t="shared" si="5"/>
        <v>4.3469548633185001E-2</v>
      </c>
      <c r="CI8">
        <f t="shared" si="5"/>
        <v>4.3469548633185001E-2</v>
      </c>
      <c r="CJ8">
        <f t="shared" si="5"/>
        <v>4.3469548633185001E-2</v>
      </c>
      <c r="CK8">
        <f t="shared" si="5"/>
        <v>4.3469548633185001E-2</v>
      </c>
      <c r="CL8">
        <f t="shared" si="5"/>
        <v>4.3469548633185001E-2</v>
      </c>
      <c r="CM8">
        <f t="shared" si="5"/>
        <v>4.3469548633185001E-2</v>
      </c>
      <c r="CN8">
        <f t="shared" si="5"/>
        <v>4.3469548633185001E-2</v>
      </c>
      <c r="CO8">
        <f t="shared" si="5"/>
        <v>4.3469548633185001E-2</v>
      </c>
      <c r="CP8">
        <f t="shared" si="5"/>
        <v>4.3469548633185001E-2</v>
      </c>
      <c r="CQ8">
        <f t="shared" si="5"/>
        <v>4.3469548633185001E-2</v>
      </c>
      <c r="CR8">
        <f t="shared" si="5"/>
        <v>4.3469548633185001E-2</v>
      </c>
      <c r="CS8">
        <f t="shared" si="5"/>
        <v>4.3469548633185001E-2</v>
      </c>
      <c r="CT8">
        <f t="shared" si="5"/>
        <v>4.3469548633185001E-2</v>
      </c>
      <c r="CU8">
        <f t="shared" si="5"/>
        <v>4.3469548633185001E-2</v>
      </c>
      <c r="CV8">
        <f t="shared" si="5"/>
        <v>4.3469548633185001E-2</v>
      </c>
      <c r="CW8">
        <f t="shared" si="5"/>
        <v>4.3469548633185001E-2</v>
      </c>
      <c r="CX8">
        <f t="shared" si="5"/>
        <v>4.3469548633185001E-2</v>
      </c>
      <c r="CY8">
        <f t="shared" si="5"/>
        <v>4.3469548633185001E-2</v>
      </c>
      <c r="CZ8">
        <f t="shared" si="5"/>
        <v>4.3469548633185001E-2</v>
      </c>
    </row>
  </sheetData>
  <phoneticPr fontId="3" type="noConversion"/>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tabColor indexed="51"/>
    <pageSetUpPr fitToPage="1"/>
  </sheetPr>
  <dimension ref="A1:BT929"/>
  <sheetViews>
    <sheetView workbookViewId="0">
      <selection sqref="A1:BT1"/>
    </sheetView>
  </sheetViews>
  <sheetFormatPr defaultRowHeight="13.2" x14ac:dyDescent="0.25"/>
  <cols>
    <col min="1" max="1" width="27.6640625" customWidth="1"/>
    <col min="2" max="2" width="19.6640625" customWidth="1"/>
    <col min="3" max="3" width="16.5546875" customWidth="1"/>
    <col min="4" max="4" width="11.44140625" customWidth="1"/>
    <col min="5" max="5" width="9.6640625" customWidth="1"/>
    <col min="6" max="6" width="10.33203125" customWidth="1"/>
    <col min="7" max="7" width="10.44140625" customWidth="1"/>
    <col min="8" max="8" width="9.5546875" customWidth="1"/>
    <col min="9" max="10" width="10" customWidth="1"/>
    <col min="11" max="11" width="10.6640625" customWidth="1"/>
    <col min="12" max="12" width="9.5546875" customWidth="1"/>
    <col min="13" max="13" width="10.6640625" customWidth="1"/>
    <col min="14" max="14" width="10.33203125" customWidth="1"/>
    <col min="15" max="15" width="9.5546875" customWidth="1"/>
    <col min="16" max="16" width="9.6640625" customWidth="1"/>
    <col min="17" max="17" width="10" customWidth="1"/>
    <col min="18" max="19" width="9.6640625" customWidth="1"/>
    <col min="20" max="20" width="10" customWidth="1"/>
    <col min="21" max="22" width="9.6640625" customWidth="1"/>
    <col min="23" max="23" width="10" customWidth="1"/>
    <col min="24" max="24" width="9.6640625" customWidth="1"/>
    <col min="25" max="25" width="10.6640625" customWidth="1"/>
    <col min="26" max="26" width="10.33203125" customWidth="1"/>
    <col min="27" max="27" width="10" customWidth="1"/>
    <col min="28" max="28" width="9.6640625" customWidth="1"/>
    <col min="29" max="29" width="10.33203125" customWidth="1"/>
    <col min="30" max="30" width="10.44140625" customWidth="1"/>
    <col min="31" max="31" width="9.5546875" customWidth="1"/>
    <col min="32" max="32" width="10" customWidth="1"/>
    <col min="33" max="33" width="9.33203125" customWidth="1"/>
    <col min="34" max="34" width="10" customWidth="1"/>
    <col min="35" max="35" width="10.33203125" customWidth="1"/>
    <col min="36" max="36" width="9.6640625" customWidth="1"/>
    <col min="37" max="37" width="9.5546875" customWidth="1"/>
    <col min="38" max="38" width="9.6640625" customWidth="1"/>
    <col min="39" max="39" width="10.33203125" customWidth="1"/>
    <col min="40" max="42" width="9.6640625" customWidth="1"/>
    <col min="43" max="43" width="9.33203125" customWidth="1"/>
    <col min="44" max="44" width="9.5546875" customWidth="1"/>
    <col min="45" max="45" width="9.6640625" customWidth="1"/>
    <col min="46" max="46" width="10.33203125" customWidth="1"/>
    <col min="47" max="47" width="10.44140625" customWidth="1"/>
    <col min="48" max="48" width="9.5546875" customWidth="1"/>
    <col min="49" max="50" width="9.6640625" customWidth="1"/>
    <col min="51" max="52" width="9.5546875" customWidth="1"/>
    <col min="53" max="53" width="9.6640625" customWidth="1"/>
    <col min="54" max="54" width="9.5546875" customWidth="1"/>
    <col min="55" max="57" width="9.6640625" customWidth="1"/>
    <col min="58" max="58" width="9.5546875" customWidth="1"/>
    <col min="59" max="59" width="9.6640625" customWidth="1"/>
    <col min="60" max="60" width="9.5546875" customWidth="1"/>
    <col min="61" max="61" width="9.6640625" customWidth="1"/>
    <col min="62" max="62" width="10.33203125" customWidth="1"/>
    <col min="63" max="63" width="9.6640625" customWidth="1"/>
    <col min="64" max="64" width="10.33203125" customWidth="1"/>
    <col min="65" max="65" width="9.5546875" customWidth="1"/>
    <col min="66" max="66" width="9.6640625" customWidth="1"/>
    <col min="67" max="67" width="9.5546875" customWidth="1"/>
    <col min="68" max="68" width="9.6640625" customWidth="1"/>
    <col min="69" max="69" width="10.33203125" customWidth="1"/>
    <col min="70" max="70" width="9.6640625" customWidth="1"/>
    <col min="71" max="72" width="9.5546875" customWidth="1"/>
    <col min="73" max="73" width="10" customWidth="1"/>
  </cols>
  <sheetData>
    <row r="1" spans="1:72" ht="15.6" x14ac:dyDescent="0.3">
      <c r="A1" s="1598" t="s">
        <v>732</v>
      </c>
      <c r="B1" s="1598"/>
      <c r="C1" s="1598"/>
      <c r="D1" s="1598"/>
      <c r="E1" s="1598"/>
      <c r="F1" s="1598"/>
      <c r="G1" s="1598"/>
      <c r="H1" s="1598"/>
      <c r="I1" s="1598"/>
      <c r="J1" s="1598"/>
      <c r="K1" s="1598"/>
      <c r="L1" s="1598"/>
      <c r="M1" s="1598"/>
      <c r="N1" s="1598"/>
      <c r="O1" s="1598"/>
      <c r="P1" s="1598"/>
      <c r="Q1" s="1598"/>
      <c r="R1" s="1598"/>
      <c r="S1" s="1598"/>
      <c r="T1" s="1598"/>
      <c r="U1" s="1598"/>
      <c r="V1" s="1598"/>
      <c r="W1" s="1598"/>
      <c r="X1" s="1598"/>
      <c r="Y1" s="1598"/>
      <c r="Z1" s="1598"/>
      <c r="AA1" s="1598"/>
      <c r="AB1" s="1598"/>
      <c r="AC1" s="1598"/>
      <c r="AD1" s="1598"/>
      <c r="AE1" s="1598"/>
      <c r="AF1" s="1598"/>
      <c r="AG1" s="1598"/>
      <c r="AH1" s="1598"/>
      <c r="AI1" s="1598"/>
      <c r="AJ1" s="1598"/>
      <c r="AK1" s="1598"/>
      <c r="AL1" s="1598"/>
      <c r="AM1" s="1598"/>
      <c r="AN1" s="1598"/>
      <c r="AO1" s="1598"/>
      <c r="AP1" s="1598"/>
      <c r="AQ1" s="1598"/>
      <c r="AR1" s="1598"/>
      <c r="AS1" s="1598"/>
      <c r="AT1" s="1598"/>
      <c r="AU1" s="1598"/>
      <c r="AV1" s="1598"/>
      <c r="AW1" s="1598"/>
      <c r="AX1" s="1598"/>
      <c r="AY1" s="1598"/>
      <c r="AZ1" s="1598"/>
      <c r="BA1" s="1598"/>
      <c r="BB1" s="1598"/>
      <c r="BC1" s="1598"/>
      <c r="BD1" s="1598"/>
      <c r="BE1" s="1598"/>
      <c r="BF1" s="1598"/>
      <c r="BG1" s="1598"/>
      <c r="BH1" s="1598"/>
      <c r="BI1" s="1598"/>
      <c r="BJ1" s="1598"/>
      <c r="BK1" s="1598"/>
      <c r="BL1" s="1598"/>
      <c r="BM1" s="1598"/>
      <c r="BN1" s="1598"/>
      <c r="BO1" s="1598"/>
      <c r="BP1" s="1598"/>
      <c r="BQ1" s="1598"/>
      <c r="BR1" s="1598"/>
      <c r="BS1" s="1598"/>
      <c r="BT1" s="1598"/>
    </row>
    <row r="2" spans="1:72" x14ac:dyDescent="0.25">
      <c r="A2" s="1599" t="s">
        <v>733</v>
      </c>
      <c r="B2" s="1599"/>
      <c r="C2" s="1599"/>
      <c r="D2" s="1599"/>
      <c r="E2" s="1599"/>
      <c r="F2" s="1599"/>
      <c r="G2" s="1599"/>
      <c r="H2" s="1599"/>
      <c r="I2" s="1599"/>
      <c r="J2" s="1599"/>
      <c r="K2" s="1599"/>
      <c r="L2" s="1599"/>
      <c r="M2" s="1599"/>
      <c r="N2" s="1599"/>
      <c r="O2" s="1599"/>
      <c r="P2" s="1599"/>
      <c r="Q2" s="1599"/>
      <c r="R2" s="1599"/>
      <c r="S2" s="1599"/>
      <c r="T2" s="1599"/>
      <c r="U2" s="1599"/>
      <c r="V2" s="1599"/>
      <c r="W2" s="1599"/>
      <c r="X2" s="1599"/>
      <c r="Y2" s="1599"/>
      <c r="Z2" s="1599"/>
      <c r="AA2" s="1599"/>
      <c r="AB2" s="1599"/>
      <c r="AC2" s="1599"/>
      <c r="AD2" s="1599"/>
      <c r="AE2" s="1599"/>
      <c r="AF2" s="1599"/>
      <c r="AG2" s="1599"/>
      <c r="AH2" s="1599"/>
      <c r="AI2" s="1599"/>
      <c r="AJ2" s="1599"/>
      <c r="AK2" s="1599"/>
      <c r="AL2" s="1599"/>
      <c r="AM2" s="1599"/>
      <c r="AN2" s="1599"/>
      <c r="AO2" s="1599"/>
      <c r="AP2" s="1599"/>
      <c r="AQ2" s="1599"/>
      <c r="AR2" s="1599"/>
      <c r="AS2" s="1599"/>
      <c r="AT2" s="1599"/>
      <c r="AU2" s="1599"/>
      <c r="AV2" s="1599"/>
      <c r="AW2" s="1599"/>
      <c r="AX2" s="1599"/>
      <c r="AY2" s="1599"/>
      <c r="AZ2" s="1599"/>
      <c r="BA2" s="1599"/>
      <c r="BB2" s="1599"/>
      <c r="BC2" s="1599"/>
      <c r="BD2" s="1599"/>
      <c r="BE2" s="1599"/>
      <c r="BF2" s="1599"/>
      <c r="BG2" s="1599"/>
      <c r="BH2" s="1599"/>
      <c r="BI2" s="1599"/>
      <c r="BJ2" s="1599"/>
      <c r="BK2" s="1599"/>
      <c r="BL2" s="1599"/>
      <c r="BM2" s="1599"/>
      <c r="BN2" s="1599"/>
      <c r="BO2" s="1599"/>
      <c r="BP2" s="1599"/>
      <c r="BQ2" s="1599"/>
      <c r="BR2" s="1599"/>
      <c r="BS2" s="1599"/>
      <c r="BT2" s="1599"/>
    </row>
    <row r="3" spans="1:72" ht="13.8" thickBot="1" x14ac:dyDescent="0.3">
      <c r="A3" s="1600"/>
      <c r="B3" s="1600"/>
      <c r="C3" s="1600"/>
      <c r="D3" s="1600"/>
      <c r="E3" s="1600"/>
      <c r="F3" s="1600"/>
      <c r="G3" s="1600"/>
      <c r="H3" s="1600"/>
      <c r="I3" s="1600"/>
      <c r="J3" s="1600"/>
      <c r="K3" s="1600"/>
      <c r="L3" s="1600"/>
      <c r="M3" s="1600"/>
      <c r="N3" s="1600"/>
      <c r="O3" s="1600"/>
      <c r="P3" s="1600"/>
      <c r="Q3" s="1600"/>
      <c r="R3" s="1600"/>
      <c r="S3" s="1600"/>
      <c r="T3" s="1600"/>
      <c r="U3" s="1600"/>
      <c r="V3" s="1600"/>
      <c r="W3" s="1600"/>
      <c r="X3" s="1600"/>
      <c r="Y3" s="1600"/>
      <c r="Z3" s="1600"/>
      <c r="AA3" s="1600"/>
      <c r="AB3" s="1600"/>
      <c r="AC3" s="1600"/>
      <c r="AD3" s="1600"/>
      <c r="AE3" s="1600"/>
      <c r="AF3" s="1600"/>
      <c r="AG3" s="1600"/>
      <c r="AH3" s="1600"/>
      <c r="AI3" s="1600"/>
      <c r="AJ3" s="1600"/>
      <c r="AK3" s="1600"/>
      <c r="AL3" s="1600"/>
      <c r="AM3" s="1600"/>
      <c r="AN3" s="1600"/>
      <c r="AO3" s="1600"/>
      <c r="AP3" s="1600"/>
      <c r="AQ3" s="1600"/>
      <c r="AR3" s="1600"/>
      <c r="AS3" s="1600"/>
      <c r="AT3" s="1600"/>
      <c r="AU3" s="1600"/>
      <c r="AV3" s="1600"/>
      <c r="AW3" s="1600"/>
      <c r="AX3" s="1600"/>
      <c r="AY3" s="1600"/>
      <c r="AZ3" s="1600"/>
      <c r="BA3" s="1600"/>
      <c r="BB3" s="1600"/>
      <c r="BC3" s="1600"/>
      <c r="BD3" s="1600"/>
      <c r="BE3" s="1600"/>
      <c r="BF3" s="1600"/>
      <c r="BG3" s="1600"/>
      <c r="BH3" s="1600"/>
      <c r="BI3" s="1600"/>
      <c r="BJ3" s="1600"/>
      <c r="BK3" s="1600"/>
      <c r="BL3" s="1600"/>
      <c r="BM3" s="1600"/>
      <c r="BN3" s="1600"/>
      <c r="BO3" s="1600"/>
      <c r="BP3" s="1600"/>
      <c r="BQ3" s="1600"/>
      <c r="BR3" s="1600"/>
      <c r="BS3" s="1600"/>
      <c r="BT3" s="1600"/>
    </row>
    <row r="4" spans="1:72" x14ac:dyDescent="0.25">
      <c r="A4" s="757"/>
      <c r="B4" s="758" t="s">
        <v>1031</v>
      </c>
      <c r="C4" s="759">
        <v>2001</v>
      </c>
      <c r="D4" s="759">
        <v>2002</v>
      </c>
      <c r="E4" s="759">
        <v>2003</v>
      </c>
      <c r="F4" s="759">
        <v>2004</v>
      </c>
      <c r="G4" s="759">
        <v>2005</v>
      </c>
      <c r="H4" s="759">
        <v>2006</v>
      </c>
      <c r="I4" s="759">
        <v>2007</v>
      </c>
      <c r="J4" s="759">
        <v>2008</v>
      </c>
      <c r="K4" s="759">
        <v>2009</v>
      </c>
      <c r="L4" s="759">
        <v>2010</v>
      </c>
      <c r="M4" s="759">
        <v>2011</v>
      </c>
      <c r="N4" s="759">
        <v>2012</v>
      </c>
      <c r="O4" s="759">
        <v>2013</v>
      </c>
      <c r="P4" s="759">
        <v>2014</v>
      </c>
      <c r="Q4" s="759">
        <v>2015</v>
      </c>
      <c r="R4" s="759">
        <v>2016</v>
      </c>
      <c r="S4" s="759">
        <v>2017</v>
      </c>
      <c r="T4" s="759">
        <v>2018</v>
      </c>
      <c r="U4" s="759">
        <v>2019</v>
      </c>
      <c r="V4" s="759">
        <v>2020</v>
      </c>
      <c r="W4" s="759">
        <v>2021</v>
      </c>
      <c r="X4" s="759">
        <v>2022</v>
      </c>
      <c r="Y4" s="759">
        <v>2023</v>
      </c>
      <c r="Z4" s="759">
        <v>2024</v>
      </c>
      <c r="AA4" s="759">
        <v>2025</v>
      </c>
      <c r="AB4" s="759">
        <v>2026</v>
      </c>
      <c r="AC4" s="759">
        <v>2027</v>
      </c>
      <c r="AD4" s="759">
        <v>2028</v>
      </c>
      <c r="AE4" s="759">
        <v>2029</v>
      </c>
      <c r="AF4" s="759">
        <v>2030</v>
      </c>
      <c r="AG4" s="759">
        <v>2031</v>
      </c>
      <c r="AH4" s="759">
        <v>2032</v>
      </c>
      <c r="AI4" s="759">
        <v>2033</v>
      </c>
      <c r="AJ4" s="759">
        <v>2034</v>
      </c>
      <c r="AK4" s="759">
        <v>2035</v>
      </c>
      <c r="AL4" s="759">
        <v>2036</v>
      </c>
      <c r="AM4" s="759">
        <v>2037</v>
      </c>
      <c r="AN4" s="759">
        <v>2038</v>
      </c>
      <c r="AO4" s="759">
        <v>2039</v>
      </c>
      <c r="AP4" s="759">
        <v>2040</v>
      </c>
      <c r="AQ4" s="759">
        <v>2041</v>
      </c>
      <c r="AR4" s="759">
        <v>2042</v>
      </c>
      <c r="AS4" s="759">
        <v>2043</v>
      </c>
      <c r="AT4" s="759">
        <v>2044</v>
      </c>
      <c r="AU4" s="759">
        <v>2045</v>
      </c>
      <c r="AV4" s="759">
        <v>2046</v>
      </c>
      <c r="AW4" s="759">
        <v>2047</v>
      </c>
      <c r="AX4" s="759">
        <v>2048</v>
      </c>
      <c r="AY4" s="759">
        <v>2049</v>
      </c>
      <c r="AZ4" s="759">
        <v>2050</v>
      </c>
      <c r="BA4" s="759">
        <v>2051</v>
      </c>
      <c r="BB4" s="759">
        <v>2052</v>
      </c>
      <c r="BC4" s="759">
        <v>2053</v>
      </c>
      <c r="BD4" s="759">
        <v>2054</v>
      </c>
      <c r="BE4" s="759">
        <v>2056</v>
      </c>
      <c r="BF4" s="759">
        <v>2056</v>
      </c>
      <c r="BG4" s="759">
        <v>2057</v>
      </c>
      <c r="BH4" s="759">
        <v>2058</v>
      </c>
      <c r="BI4" s="759">
        <v>2059</v>
      </c>
      <c r="BJ4" s="759">
        <v>2060</v>
      </c>
      <c r="BK4" s="759">
        <v>2061</v>
      </c>
      <c r="BL4" s="759">
        <v>2062</v>
      </c>
      <c r="BM4" s="759">
        <v>2063</v>
      </c>
      <c r="BN4" s="759">
        <v>2064</v>
      </c>
      <c r="BO4" s="759">
        <v>2065</v>
      </c>
      <c r="BP4" s="759">
        <v>2066</v>
      </c>
      <c r="BQ4" s="759">
        <v>2067</v>
      </c>
      <c r="BR4" s="759">
        <v>2068</v>
      </c>
      <c r="BS4" s="759">
        <v>2069</v>
      </c>
      <c r="BT4" s="760">
        <v>2070</v>
      </c>
    </row>
    <row r="5" spans="1:72" x14ac:dyDescent="0.25">
      <c r="A5" s="1601" t="s">
        <v>734</v>
      </c>
      <c r="B5" s="1602"/>
      <c r="C5" s="1602"/>
      <c r="D5" s="1602"/>
      <c r="E5" s="1602"/>
      <c r="F5" s="1602"/>
      <c r="G5" s="1602"/>
      <c r="H5" s="1602"/>
      <c r="I5" s="1602"/>
      <c r="J5" s="1602"/>
      <c r="K5" s="1602"/>
      <c r="L5" s="1602"/>
      <c r="M5" s="1602"/>
      <c r="N5" s="1602"/>
      <c r="O5" s="1602"/>
      <c r="P5" s="1602"/>
      <c r="Q5" s="1602"/>
      <c r="R5" s="1602"/>
      <c r="S5" s="1602"/>
      <c r="T5" s="1602"/>
      <c r="U5" s="1602"/>
      <c r="V5" s="1602"/>
      <c r="W5" s="1602"/>
      <c r="X5" s="1602"/>
      <c r="Y5" s="1602"/>
      <c r="Z5" s="1602"/>
      <c r="AA5" s="1602"/>
      <c r="AB5" s="1602"/>
      <c r="AC5" s="1602"/>
      <c r="AD5" s="1602"/>
      <c r="AE5" s="1602"/>
      <c r="AF5" s="1602"/>
      <c r="AG5" s="1602"/>
      <c r="AH5" s="1602"/>
      <c r="AI5" s="1602"/>
      <c r="AJ5" s="1602"/>
      <c r="AK5" s="1602"/>
      <c r="AL5" s="1602"/>
      <c r="AM5" s="1602"/>
      <c r="AN5" s="1602"/>
      <c r="AO5" s="1602"/>
      <c r="AP5" s="1602"/>
      <c r="AQ5" s="1602"/>
      <c r="AR5" s="1602"/>
      <c r="AS5" s="1602"/>
      <c r="AT5" s="1602"/>
      <c r="AU5" s="1602"/>
      <c r="AV5" s="1602"/>
      <c r="AW5" s="1602"/>
      <c r="AX5" s="1602"/>
      <c r="AY5" s="1602"/>
      <c r="AZ5" s="1602"/>
      <c r="BA5" s="1602"/>
      <c r="BB5" s="1602"/>
      <c r="BC5" s="1602"/>
      <c r="BD5" s="1602"/>
      <c r="BE5" s="1602"/>
      <c r="BF5" s="1602"/>
      <c r="BG5" s="1602"/>
      <c r="BH5" s="1602"/>
      <c r="BI5" s="1602"/>
      <c r="BJ5" s="1602"/>
      <c r="BK5" s="1602"/>
      <c r="BL5" s="1602"/>
      <c r="BM5" s="1602"/>
      <c r="BN5" s="1602"/>
      <c r="BO5" s="1602"/>
      <c r="BP5" s="1602"/>
      <c r="BQ5" s="1602"/>
      <c r="BR5" s="1602"/>
      <c r="BS5" s="1602"/>
      <c r="BT5" s="1603"/>
    </row>
    <row r="6" spans="1:72" x14ac:dyDescent="0.25">
      <c r="A6" s="761" t="s">
        <v>735</v>
      </c>
      <c r="B6" s="762" t="s">
        <v>736</v>
      </c>
      <c r="C6" s="763">
        <v>8.9541000728991982</v>
      </c>
      <c r="D6" s="763">
        <v>6.8979457774252282</v>
      </c>
      <c r="E6" s="763">
        <v>8.4197996967243682</v>
      </c>
      <c r="F6" s="763">
        <v>8.8059982398770913</v>
      </c>
      <c r="G6" s="763">
        <v>8.8656468751295598</v>
      </c>
      <c r="H6" s="763">
        <v>8.2234977371287847</v>
      </c>
      <c r="I6" s="763">
        <v>7.8073426530046319</v>
      </c>
      <c r="J6" s="763">
        <v>7.4325694992857168</v>
      </c>
      <c r="K6" s="763">
        <v>7.297531685739191</v>
      </c>
      <c r="L6" s="763">
        <v>7.1966502441550162</v>
      </c>
      <c r="M6" s="763">
        <v>7.2405429268783017</v>
      </c>
      <c r="N6" s="763">
        <v>7.2944294079294778</v>
      </c>
      <c r="O6" s="763">
        <v>7.4037989917791105</v>
      </c>
      <c r="P6" s="763">
        <v>7.5440859727139706</v>
      </c>
      <c r="Q6" s="763">
        <v>7.6385998163583153</v>
      </c>
      <c r="R6" s="763">
        <v>7.6698249061152577</v>
      </c>
      <c r="S6" s="763">
        <v>7.596507558282819</v>
      </c>
      <c r="T6" s="763">
        <v>7.644327174942454</v>
      </c>
      <c r="U6" s="763">
        <v>7.7875295315148705</v>
      </c>
      <c r="V6" s="763">
        <v>8.0180296178133954</v>
      </c>
      <c r="W6" s="763">
        <v>8.1425457338117244</v>
      </c>
      <c r="X6" s="763">
        <v>8.1602542175436898</v>
      </c>
      <c r="Y6" s="763">
        <v>8.1927349319997838</v>
      </c>
      <c r="Z6" s="763">
        <v>8.2544961582939571</v>
      </c>
      <c r="AA6" s="763">
        <v>8.3511330316651513</v>
      </c>
      <c r="AB6" s="764">
        <v>8.4290329061652454</v>
      </c>
      <c r="AC6" s="764">
        <v>8.5069327806653394</v>
      </c>
      <c r="AD6" s="764">
        <v>8.5848326551654335</v>
      </c>
      <c r="AE6" s="764">
        <v>8.6627325296655275</v>
      </c>
      <c r="AF6" s="764">
        <v>8.7406324041656216</v>
      </c>
      <c r="AG6" s="764">
        <v>8.8185322786657157</v>
      </c>
      <c r="AH6" s="764">
        <v>8.8964321531658097</v>
      </c>
      <c r="AI6" s="764">
        <v>8.9743320276659038</v>
      </c>
      <c r="AJ6" s="764">
        <v>9.0522319021659978</v>
      </c>
      <c r="AK6" s="764">
        <v>9.1301317766660848</v>
      </c>
      <c r="AL6" s="764">
        <v>9.2578200706648097</v>
      </c>
      <c r="AM6" s="764">
        <v>9.3855083646635347</v>
      </c>
      <c r="AN6" s="764">
        <v>9.5131966586622596</v>
      </c>
      <c r="AO6" s="764">
        <v>9.6408849526609846</v>
      </c>
      <c r="AP6" s="764">
        <v>9.7685732466597095</v>
      </c>
      <c r="AQ6" s="764">
        <v>9.8962615406584344</v>
      </c>
      <c r="AR6" s="764">
        <v>10.023949834657159</v>
      </c>
      <c r="AS6" s="764">
        <v>10.151638128655884</v>
      </c>
      <c r="AT6" s="764">
        <v>10.279326422654609</v>
      </c>
      <c r="AU6" s="764">
        <v>10.407014716653334</v>
      </c>
      <c r="AV6" s="764">
        <v>10.534703010652059</v>
      </c>
      <c r="AW6" s="764">
        <v>10.662391304650784</v>
      </c>
      <c r="AX6" s="764">
        <v>10.790079598649509</v>
      </c>
      <c r="AY6" s="764">
        <v>10.917767892648234</v>
      </c>
      <c r="AZ6" s="765">
        <v>11.045456186646948</v>
      </c>
      <c r="BA6" s="764">
        <v>11.066404719719236</v>
      </c>
      <c r="BB6" s="764">
        <v>11.087353252791523</v>
      </c>
      <c r="BC6" s="764">
        <v>11.10830178586381</v>
      </c>
      <c r="BD6" s="764">
        <v>11.129250318936098</v>
      </c>
      <c r="BE6" s="764">
        <v>11.150198852008385</v>
      </c>
      <c r="BF6" s="764">
        <v>11.171147385080673</v>
      </c>
      <c r="BG6" s="764">
        <v>11.19209591815296</v>
      </c>
      <c r="BH6" s="764">
        <v>11.213044451225247</v>
      </c>
      <c r="BI6" s="764">
        <v>11.233992984297535</v>
      </c>
      <c r="BJ6" s="764">
        <v>11.254941517369822</v>
      </c>
      <c r="BK6" s="764">
        <v>11.27589005044211</v>
      </c>
      <c r="BL6" s="764">
        <v>11.296838583514397</v>
      </c>
      <c r="BM6" s="764">
        <v>11.317787116586684</v>
      </c>
      <c r="BN6" s="764">
        <v>11.338735649658972</v>
      </c>
      <c r="BO6" s="765">
        <v>11.359684182731248</v>
      </c>
      <c r="BP6" s="764">
        <v>11.381228672680008</v>
      </c>
      <c r="BQ6" s="764">
        <v>11.402773162628767</v>
      </c>
      <c r="BR6" s="764">
        <v>11.424317652577527</v>
      </c>
      <c r="BS6" s="764">
        <v>11.445862142526286</v>
      </c>
      <c r="BT6" s="766">
        <v>11.467406632475045</v>
      </c>
    </row>
    <row r="7" spans="1:72" x14ac:dyDescent="0.25">
      <c r="A7" s="767" t="s">
        <v>737</v>
      </c>
      <c r="B7" s="762" t="s">
        <v>736</v>
      </c>
      <c r="C7" s="763">
        <v>5.2088497969877503</v>
      </c>
      <c r="D7" s="763">
        <v>4.0515519538015683</v>
      </c>
      <c r="E7" s="763">
        <v>5.7953765594734321</v>
      </c>
      <c r="F7" s="763">
        <v>6.3059286733843276</v>
      </c>
      <c r="G7" s="763">
        <v>6.3351569917966728</v>
      </c>
      <c r="H7" s="763">
        <v>5.6603640970194089</v>
      </c>
      <c r="I7" s="763">
        <v>5.2154936812958672</v>
      </c>
      <c r="J7" s="763">
        <v>4.824472465605103</v>
      </c>
      <c r="K7" s="763">
        <v>4.7214620293311338</v>
      </c>
      <c r="L7" s="763">
        <v>4.5987567766657387</v>
      </c>
      <c r="M7" s="763">
        <v>4.6224680014376371</v>
      </c>
      <c r="N7" s="763">
        <v>4.6768878495918127</v>
      </c>
      <c r="O7" s="763">
        <v>4.7861952984108127</v>
      </c>
      <c r="P7" s="763">
        <v>4.922351045428587</v>
      </c>
      <c r="Q7" s="763">
        <v>5.0173813554475863</v>
      </c>
      <c r="R7" s="763">
        <v>5.0686005039035118</v>
      </c>
      <c r="S7" s="763">
        <v>5.0229759936062797</v>
      </c>
      <c r="T7" s="763">
        <v>5.0914502886106439</v>
      </c>
      <c r="U7" s="763">
        <v>5.2365480121576597</v>
      </c>
      <c r="V7" s="763">
        <v>5.4816269649649545</v>
      </c>
      <c r="W7" s="763">
        <v>5.5841408180740668</v>
      </c>
      <c r="X7" s="763">
        <v>5.5850370537559959</v>
      </c>
      <c r="Y7" s="763">
        <v>5.6052826350589937</v>
      </c>
      <c r="Z7" s="763">
        <v>5.6612136071582997</v>
      </c>
      <c r="AA7" s="763">
        <v>5.7676752715740598</v>
      </c>
      <c r="AB7" s="764">
        <v>5.8539244792759346</v>
      </c>
      <c r="AC7" s="764">
        <v>5.9401736869778095</v>
      </c>
      <c r="AD7" s="764">
        <v>6.0264228946796843</v>
      </c>
      <c r="AE7" s="764">
        <v>6.1126721023815591</v>
      </c>
      <c r="AF7" s="764">
        <v>6.1989213100834339</v>
      </c>
      <c r="AG7" s="764">
        <v>6.2851705177853088</v>
      </c>
      <c r="AH7" s="764">
        <v>6.3714197254871836</v>
      </c>
      <c r="AI7" s="764">
        <v>6.4576689331890584</v>
      </c>
      <c r="AJ7" s="764">
        <v>6.5439181408909333</v>
      </c>
      <c r="AK7" s="764">
        <v>6.6301673485928063</v>
      </c>
      <c r="AL7" s="764">
        <v>6.7228927087931387</v>
      </c>
      <c r="AM7" s="764">
        <v>6.8156180689934711</v>
      </c>
      <c r="AN7" s="764">
        <v>6.9083434291938035</v>
      </c>
      <c r="AO7" s="764">
        <v>7.0010687893941359</v>
      </c>
      <c r="AP7" s="764">
        <v>7.0937941495944683</v>
      </c>
      <c r="AQ7" s="764">
        <v>7.1865195097948007</v>
      </c>
      <c r="AR7" s="764">
        <v>7.2792448699951331</v>
      </c>
      <c r="AS7" s="764">
        <v>7.3719702301954655</v>
      </c>
      <c r="AT7" s="764">
        <v>7.4646955903957979</v>
      </c>
      <c r="AU7" s="764">
        <v>7.5574209505961303</v>
      </c>
      <c r="AV7" s="764">
        <v>7.6501463107964627</v>
      </c>
      <c r="AW7" s="764">
        <v>7.7428716709967951</v>
      </c>
      <c r="AX7" s="764">
        <v>7.8355970311971275</v>
      </c>
      <c r="AY7" s="764">
        <v>7.9283223913974599</v>
      </c>
      <c r="AZ7" s="765">
        <v>8.021047751597786</v>
      </c>
      <c r="BA7" s="764">
        <v>8.0362602680624171</v>
      </c>
      <c r="BB7" s="764">
        <v>8.0514727845270482</v>
      </c>
      <c r="BC7" s="764">
        <v>8.0666853009916792</v>
      </c>
      <c r="BD7" s="764">
        <v>8.0818978174563103</v>
      </c>
      <c r="BE7" s="764">
        <v>8.0971103339209414</v>
      </c>
      <c r="BF7" s="764">
        <v>8.1123228503855724</v>
      </c>
      <c r="BG7" s="764">
        <v>8.1275353668502035</v>
      </c>
      <c r="BH7" s="764">
        <v>8.1427478833148346</v>
      </c>
      <c r="BI7" s="764">
        <v>8.1579603997794656</v>
      </c>
      <c r="BJ7" s="764">
        <v>8.1731729162440967</v>
      </c>
      <c r="BK7" s="764">
        <v>8.1883854327087278</v>
      </c>
      <c r="BL7" s="764">
        <v>8.2035979491733588</v>
      </c>
      <c r="BM7" s="764">
        <v>8.2188104656379899</v>
      </c>
      <c r="BN7" s="764">
        <v>8.234022982102621</v>
      </c>
      <c r="BO7" s="765">
        <v>8.2492354985672645</v>
      </c>
      <c r="BP7" s="764">
        <v>8.2648807901462327</v>
      </c>
      <c r="BQ7" s="764">
        <v>8.2805260817252009</v>
      </c>
      <c r="BR7" s="764">
        <v>8.2961713733041691</v>
      </c>
      <c r="BS7" s="764">
        <v>8.3118166648831373</v>
      </c>
      <c r="BT7" s="766">
        <v>8.3274619564621091</v>
      </c>
    </row>
    <row r="8" spans="1:72" x14ac:dyDescent="0.25">
      <c r="A8" s="767" t="s">
        <v>738</v>
      </c>
      <c r="B8" s="762" t="s">
        <v>736</v>
      </c>
      <c r="C8" s="763">
        <v>5.6269638934579786</v>
      </c>
      <c r="D8" s="763">
        <v>3.8422456293735823</v>
      </c>
      <c r="E8" s="763">
        <v>5.691139826234779</v>
      </c>
      <c r="F8" s="763">
        <v>6.2376343214286925</v>
      </c>
      <c r="G8" s="763">
        <v>6.1731978092553481</v>
      </c>
      <c r="H8" s="763">
        <v>5.4998161252939477</v>
      </c>
      <c r="I8" s="763">
        <v>5.0667498741509744</v>
      </c>
      <c r="J8" s="763">
        <v>4.6999946247856554</v>
      </c>
      <c r="K8" s="763">
        <v>4.5877827360944901</v>
      </c>
      <c r="L8" s="763">
        <v>4.4974766767249967</v>
      </c>
      <c r="M8" s="763">
        <v>4.5471429464952013</v>
      </c>
      <c r="N8" s="763">
        <v>4.6470168064225401</v>
      </c>
      <c r="O8" s="763">
        <v>4.7885290901615907</v>
      </c>
      <c r="P8" s="763">
        <v>4.9298490038457894</v>
      </c>
      <c r="Q8" s="763">
        <v>5.0143193411377212</v>
      </c>
      <c r="R8" s="763">
        <v>5.0431599369588911</v>
      </c>
      <c r="S8" s="763">
        <v>4.9958503246307417</v>
      </c>
      <c r="T8" s="763">
        <v>5.071809156885692</v>
      </c>
      <c r="U8" s="763">
        <v>5.2209958625289659</v>
      </c>
      <c r="V8" s="763">
        <v>5.4542850660827948</v>
      </c>
      <c r="W8" s="763">
        <v>5.5514960671370845</v>
      </c>
      <c r="X8" s="763">
        <v>5.5489887943807661</v>
      </c>
      <c r="Y8" s="763">
        <v>5.5622220646660265</v>
      </c>
      <c r="Z8" s="763">
        <v>5.6263508841676488</v>
      </c>
      <c r="AA8" s="763">
        <v>5.730461856104295</v>
      </c>
      <c r="AB8" s="764">
        <v>5.8123040182474703</v>
      </c>
      <c r="AC8" s="764">
        <v>5.8941461803906456</v>
      </c>
      <c r="AD8" s="764">
        <v>5.9759883425338209</v>
      </c>
      <c r="AE8" s="764">
        <v>6.0578305046769962</v>
      </c>
      <c r="AF8" s="764">
        <v>6.1396726668201715</v>
      </c>
      <c r="AG8" s="764">
        <v>6.2215148289633468</v>
      </c>
      <c r="AH8" s="764">
        <v>6.3033569911065221</v>
      </c>
      <c r="AI8" s="764">
        <v>6.3851991532496974</v>
      </c>
      <c r="AJ8" s="764">
        <v>6.4670413153928727</v>
      </c>
      <c r="AK8" s="764">
        <v>6.5488834775360516</v>
      </c>
      <c r="AL8" s="764">
        <v>6.6404720525202734</v>
      </c>
      <c r="AM8" s="764">
        <v>6.7320606275044952</v>
      </c>
      <c r="AN8" s="764">
        <v>6.823649202488717</v>
      </c>
      <c r="AO8" s="764">
        <v>6.9152377774729388</v>
      </c>
      <c r="AP8" s="764">
        <v>7.0068263524571606</v>
      </c>
      <c r="AQ8" s="764">
        <v>7.0984149274413824</v>
      </c>
      <c r="AR8" s="764">
        <v>7.1900035024256042</v>
      </c>
      <c r="AS8" s="764">
        <v>7.2815920774098259</v>
      </c>
      <c r="AT8" s="764">
        <v>7.3731806523940477</v>
      </c>
      <c r="AU8" s="764">
        <v>7.4647692273782695</v>
      </c>
      <c r="AV8" s="764">
        <v>7.5563578023624913</v>
      </c>
      <c r="AW8" s="764">
        <v>7.6479463773467131</v>
      </c>
      <c r="AX8" s="764">
        <v>7.7395349523309349</v>
      </c>
      <c r="AY8" s="764">
        <v>7.8311235273151567</v>
      </c>
      <c r="AZ8" s="765">
        <v>7.9227121022993829</v>
      </c>
      <c r="BA8" s="764">
        <v>7.9377381178566102</v>
      </c>
      <c r="BB8" s="764">
        <v>7.9527641334138375</v>
      </c>
      <c r="BC8" s="764">
        <v>7.9677901489710647</v>
      </c>
      <c r="BD8" s="764">
        <v>7.982816164528292</v>
      </c>
      <c r="BE8" s="764">
        <v>7.9978421800855193</v>
      </c>
      <c r="BF8" s="764">
        <v>8.0128681956427457</v>
      </c>
      <c r="BG8" s="764">
        <v>8.0278942111999729</v>
      </c>
      <c r="BH8" s="764">
        <v>8.0429202267572002</v>
      </c>
      <c r="BI8" s="764">
        <v>8.0579462423144275</v>
      </c>
      <c r="BJ8" s="764">
        <v>8.0729722578716547</v>
      </c>
      <c r="BK8" s="764">
        <v>8.087998273428882</v>
      </c>
      <c r="BL8" s="764">
        <v>8.1030242889861093</v>
      </c>
      <c r="BM8" s="764">
        <v>8.1180503045433365</v>
      </c>
      <c r="BN8" s="764">
        <v>8.1330763201005638</v>
      </c>
      <c r="BO8" s="765">
        <v>8.1481023356577857</v>
      </c>
      <c r="BP8" s="764">
        <v>8.1635558206357306</v>
      </c>
      <c r="BQ8" s="764">
        <v>8.1790093056136755</v>
      </c>
      <c r="BR8" s="764">
        <v>8.1944627905916203</v>
      </c>
      <c r="BS8" s="764">
        <v>8.2099162755695652</v>
      </c>
      <c r="BT8" s="766">
        <v>8.2253697605475136</v>
      </c>
    </row>
    <row r="9" spans="1:72" x14ac:dyDescent="0.25">
      <c r="A9" s="1601" t="s">
        <v>739</v>
      </c>
      <c r="B9" s="1602"/>
      <c r="C9" s="1602"/>
      <c r="D9" s="1602"/>
      <c r="E9" s="1602"/>
      <c r="F9" s="1602"/>
      <c r="G9" s="1602"/>
      <c r="H9" s="1602"/>
      <c r="I9" s="1602"/>
      <c r="J9" s="1602"/>
      <c r="K9" s="1602"/>
      <c r="L9" s="1602"/>
      <c r="M9" s="1602"/>
      <c r="N9" s="1602"/>
      <c r="O9" s="1602"/>
      <c r="P9" s="1602"/>
      <c r="Q9" s="1602"/>
      <c r="R9" s="1602"/>
      <c r="S9" s="1602"/>
      <c r="T9" s="1602"/>
      <c r="U9" s="1602"/>
      <c r="V9" s="1602"/>
      <c r="W9" s="1602"/>
      <c r="X9" s="1602"/>
      <c r="Y9" s="1602"/>
      <c r="Z9" s="1602"/>
      <c r="AA9" s="1602"/>
      <c r="AB9" s="1602"/>
      <c r="AC9" s="1602"/>
      <c r="AD9" s="1602"/>
      <c r="AE9" s="1602"/>
      <c r="AF9" s="1602"/>
      <c r="AG9" s="1602"/>
      <c r="AH9" s="1602"/>
      <c r="AI9" s="1602"/>
      <c r="AJ9" s="1602"/>
      <c r="AK9" s="1602"/>
      <c r="AL9" s="1602"/>
      <c r="AM9" s="1602"/>
      <c r="AN9" s="1602"/>
      <c r="AO9" s="1602"/>
      <c r="AP9" s="1602"/>
      <c r="AQ9" s="1602"/>
      <c r="AR9" s="1602"/>
      <c r="AS9" s="1602"/>
      <c r="AT9" s="1602"/>
      <c r="AU9" s="1602"/>
      <c r="AV9" s="1602"/>
      <c r="AW9" s="1602"/>
      <c r="AX9" s="1602"/>
      <c r="AY9" s="1602"/>
      <c r="AZ9" s="1602"/>
      <c r="BA9" s="1602"/>
      <c r="BB9" s="1602"/>
      <c r="BC9" s="1602"/>
      <c r="BD9" s="1602"/>
      <c r="BE9" s="1602"/>
      <c r="BF9" s="1602"/>
      <c r="BG9" s="1602"/>
      <c r="BH9" s="1602"/>
      <c r="BI9" s="1602"/>
      <c r="BJ9" s="1602"/>
      <c r="BK9" s="1602"/>
      <c r="BL9" s="1602"/>
      <c r="BM9" s="1602"/>
      <c r="BN9" s="1602"/>
      <c r="BO9" s="1602"/>
      <c r="BP9" s="1602"/>
      <c r="BQ9" s="1602"/>
      <c r="BR9" s="1602"/>
      <c r="BS9" s="1602"/>
      <c r="BT9" s="1603"/>
    </row>
    <row r="10" spans="1:72" x14ac:dyDescent="0.25">
      <c r="A10" s="767" t="s">
        <v>672</v>
      </c>
      <c r="B10" s="762" t="s">
        <v>736</v>
      </c>
      <c r="C10" s="763">
        <v>24.866788774356646</v>
      </c>
      <c r="D10" s="763">
        <v>24.345010037692106</v>
      </c>
      <c r="E10" s="763">
        <v>24.223933219909672</v>
      </c>
      <c r="F10" s="763">
        <v>24.020635352944481</v>
      </c>
      <c r="G10" s="763">
        <v>23.91295186528621</v>
      </c>
      <c r="H10" s="763">
        <v>22.837542614846832</v>
      </c>
      <c r="I10" s="763">
        <v>21.69091966017233</v>
      </c>
      <c r="J10" s="763">
        <v>21.090846376599046</v>
      </c>
      <c r="K10" s="763">
        <v>21.058556043876806</v>
      </c>
      <c r="L10" s="763">
        <v>20.987678365887316</v>
      </c>
      <c r="M10" s="763">
        <v>20.983490961902529</v>
      </c>
      <c r="N10" s="763">
        <v>21.313707333690761</v>
      </c>
      <c r="O10" s="763">
        <v>21.638938984780914</v>
      </c>
      <c r="P10" s="763">
        <v>22.13258341123478</v>
      </c>
      <c r="Q10" s="763">
        <v>22.313049388381657</v>
      </c>
      <c r="R10" s="763">
        <v>22.486876361774936</v>
      </c>
      <c r="S10" s="763">
        <v>22.494946956634521</v>
      </c>
      <c r="T10" s="763">
        <v>22.662665807975912</v>
      </c>
      <c r="U10" s="763">
        <v>22.922821701697636</v>
      </c>
      <c r="V10" s="763">
        <v>23.270139622238439</v>
      </c>
      <c r="W10" s="763">
        <v>23.509686568997985</v>
      </c>
      <c r="X10" s="763">
        <v>23.493712398241108</v>
      </c>
      <c r="Y10" s="763">
        <v>23.423848763951703</v>
      </c>
      <c r="Z10" s="763">
        <v>23.513217827059155</v>
      </c>
      <c r="AA10" s="763">
        <v>23.645542576627872</v>
      </c>
      <c r="AB10" s="764">
        <v>23.786749293232678</v>
      </c>
      <c r="AC10" s="764">
        <v>23.927956009837484</v>
      </c>
      <c r="AD10" s="764">
        <v>24.06916272644229</v>
      </c>
      <c r="AE10" s="764">
        <v>24.210369443047096</v>
      </c>
      <c r="AF10" s="764">
        <v>24.351576159651902</v>
      </c>
      <c r="AG10" s="764">
        <v>24.492782876256708</v>
      </c>
      <c r="AH10" s="764">
        <v>24.633989592861514</v>
      </c>
      <c r="AI10" s="764">
        <v>24.77519630946632</v>
      </c>
      <c r="AJ10" s="764">
        <v>24.916403026071126</v>
      </c>
      <c r="AK10" s="764">
        <v>25.057609742675933</v>
      </c>
      <c r="AL10" s="764">
        <v>25.047759076850095</v>
      </c>
      <c r="AM10" s="764">
        <v>25.037908411024258</v>
      </c>
      <c r="AN10" s="764">
        <v>25.028057745198421</v>
      </c>
      <c r="AO10" s="764">
        <v>25.018207079372583</v>
      </c>
      <c r="AP10" s="764">
        <v>25.008356413546746</v>
      </c>
      <c r="AQ10" s="764">
        <v>24.998505747720909</v>
      </c>
      <c r="AR10" s="764">
        <v>24.988655081895072</v>
      </c>
      <c r="AS10" s="764">
        <v>24.978804416069234</v>
      </c>
      <c r="AT10" s="764">
        <v>24.968953750243397</v>
      </c>
      <c r="AU10" s="764">
        <v>24.95910308441756</v>
      </c>
      <c r="AV10" s="764">
        <v>24.949252418591723</v>
      </c>
      <c r="AW10" s="764">
        <v>24.939401752765885</v>
      </c>
      <c r="AX10" s="764">
        <v>24.929551086940048</v>
      </c>
      <c r="AY10" s="764">
        <v>24.919700421114211</v>
      </c>
      <c r="AZ10" s="765">
        <v>24.90984975528837</v>
      </c>
      <c r="BA10" s="764">
        <v>24.925673674379027</v>
      </c>
      <c r="BB10" s="764">
        <v>24.941497593469684</v>
      </c>
      <c r="BC10" s="764">
        <v>24.957321512560341</v>
      </c>
      <c r="BD10" s="764">
        <v>24.973145431650998</v>
      </c>
      <c r="BE10" s="764">
        <v>24.988969350741655</v>
      </c>
      <c r="BF10" s="764">
        <v>25.004793269832312</v>
      </c>
      <c r="BG10" s="764">
        <v>25.020617188922969</v>
      </c>
      <c r="BH10" s="764">
        <v>25.036441108013626</v>
      </c>
      <c r="BI10" s="764">
        <v>25.052265027104283</v>
      </c>
      <c r="BJ10" s="764">
        <v>25.068088946194941</v>
      </c>
      <c r="BK10" s="764">
        <v>25.083912865285598</v>
      </c>
      <c r="BL10" s="764">
        <v>25.099736784376255</v>
      </c>
      <c r="BM10" s="764">
        <v>25.115560703466912</v>
      </c>
      <c r="BN10" s="764">
        <v>25.131384622557569</v>
      </c>
      <c r="BO10" s="765">
        <v>25.147208541648205</v>
      </c>
      <c r="BP10" s="764">
        <v>25.163183242307905</v>
      </c>
      <c r="BQ10" s="764">
        <v>25.179157942967606</v>
      </c>
      <c r="BR10" s="764">
        <v>25.195132643627307</v>
      </c>
      <c r="BS10" s="764">
        <v>25.211107344287008</v>
      </c>
      <c r="BT10" s="766">
        <v>25.227082044946716</v>
      </c>
    </row>
    <row r="11" spans="1:72" x14ac:dyDescent="0.25">
      <c r="A11" s="767" t="s">
        <v>687</v>
      </c>
      <c r="B11" s="762" t="s">
        <v>736</v>
      </c>
      <c r="C11" s="763">
        <v>16.038863482553147</v>
      </c>
      <c r="D11" s="763">
        <v>15.36037109932807</v>
      </c>
      <c r="E11" s="763">
        <v>15.664056310113844</v>
      </c>
      <c r="F11" s="763">
        <v>16.390134465019642</v>
      </c>
      <c r="G11" s="763">
        <v>16.26049394877451</v>
      </c>
      <c r="H11" s="763">
        <v>15.718549229064077</v>
      </c>
      <c r="I11" s="763">
        <v>15.083546116666987</v>
      </c>
      <c r="J11" s="763">
        <v>14.764544869368896</v>
      </c>
      <c r="K11" s="763">
        <v>14.679648534306921</v>
      </c>
      <c r="L11" s="763">
        <v>14.510741661179726</v>
      </c>
      <c r="M11" s="763">
        <v>14.370329416023063</v>
      </c>
      <c r="N11" s="763">
        <v>14.522587083420669</v>
      </c>
      <c r="O11" s="763">
        <v>14.791267903345901</v>
      </c>
      <c r="P11" s="763">
        <v>15.142176731577413</v>
      </c>
      <c r="Q11" s="763">
        <v>15.304996360023072</v>
      </c>
      <c r="R11" s="763">
        <v>15.443286072533045</v>
      </c>
      <c r="S11" s="763">
        <v>15.485992224711291</v>
      </c>
      <c r="T11" s="763">
        <v>15.663456831338236</v>
      </c>
      <c r="U11" s="763">
        <v>15.910829809476709</v>
      </c>
      <c r="V11" s="763">
        <v>16.241389166634008</v>
      </c>
      <c r="W11" s="763">
        <v>16.419768400912066</v>
      </c>
      <c r="X11" s="763">
        <v>16.405212897174714</v>
      </c>
      <c r="Y11" s="763">
        <v>16.372526888577397</v>
      </c>
      <c r="Z11" s="763">
        <v>16.449089176249931</v>
      </c>
      <c r="AA11" s="763">
        <v>16.568027554817903</v>
      </c>
      <c r="AB11" s="764">
        <v>16.704753726753587</v>
      </c>
      <c r="AC11" s="764">
        <v>16.841479898689272</v>
      </c>
      <c r="AD11" s="764">
        <v>16.978206070624957</v>
      </c>
      <c r="AE11" s="764">
        <v>17.114932242560641</v>
      </c>
      <c r="AF11" s="764">
        <v>17.251658414496326</v>
      </c>
      <c r="AG11" s="764">
        <v>17.388384586432011</v>
      </c>
      <c r="AH11" s="764">
        <v>17.525110758367695</v>
      </c>
      <c r="AI11" s="764">
        <v>17.66183693030338</v>
      </c>
      <c r="AJ11" s="764">
        <v>17.798563102239065</v>
      </c>
      <c r="AK11" s="764">
        <v>17.935289274174743</v>
      </c>
      <c r="AL11" s="764">
        <v>17.928238540168429</v>
      </c>
      <c r="AM11" s="764">
        <v>17.921187806162116</v>
      </c>
      <c r="AN11" s="764">
        <v>17.914137072155803</v>
      </c>
      <c r="AO11" s="764">
        <v>17.90708633814949</v>
      </c>
      <c r="AP11" s="764">
        <v>17.900035604143177</v>
      </c>
      <c r="AQ11" s="764">
        <v>17.892984870136864</v>
      </c>
      <c r="AR11" s="764">
        <v>17.885934136130551</v>
      </c>
      <c r="AS11" s="764">
        <v>17.878883402124238</v>
      </c>
      <c r="AT11" s="764">
        <v>17.871832668117925</v>
      </c>
      <c r="AU11" s="764">
        <v>17.864781934111612</v>
      </c>
      <c r="AV11" s="764">
        <v>17.857731200105299</v>
      </c>
      <c r="AW11" s="764">
        <v>17.850680466098986</v>
      </c>
      <c r="AX11" s="764">
        <v>17.843629732092673</v>
      </c>
      <c r="AY11" s="764">
        <v>17.83657899808636</v>
      </c>
      <c r="AZ11" s="765">
        <v>17.829528264080036</v>
      </c>
      <c r="BA11" s="764">
        <v>17.840854426840831</v>
      </c>
      <c r="BB11" s="764">
        <v>17.852180589601627</v>
      </c>
      <c r="BC11" s="764">
        <v>17.863506752362422</v>
      </c>
      <c r="BD11" s="764">
        <v>17.874832915123218</v>
      </c>
      <c r="BE11" s="764">
        <v>17.886159077884013</v>
      </c>
      <c r="BF11" s="764">
        <v>17.897485240644809</v>
      </c>
      <c r="BG11" s="764">
        <v>17.908811403405604</v>
      </c>
      <c r="BH11" s="764">
        <v>17.9201375661664</v>
      </c>
      <c r="BI11" s="764">
        <v>17.931463728927195</v>
      </c>
      <c r="BJ11" s="764">
        <v>17.94278989168799</v>
      </c>
      <c r="BK11" s="764">
        <v>17.954116054448786</v>
      </c>
      <c r="BL11" s="764">
        <v>17.965442217209581</v>
      </c>
      <c r="BM11" s="764">
        <v>17.976768379970377</v>
      </c>
      <c r="BN11" s="764">
        <v>17.988094542731172</v>
      </c>
      <c r="BO11" s="765">
        <v>17.999420705491971</v>
      </c>
      <c r="BP11" s="764">
        <v>18.010854791996724</v>
      </c>
      <c r="BQ11" s="764">
        <v>18.022288878501477</v>
      </c>
      <c r="BR11" s="764">
        <v>18.033722965006231</v>
      </c>
      <c r="BS11" s="764">
        <v>18.045157051510984</v>
      </c>
      <c r="BT11" s="766">
        <v>18.056591138015737</v>
      </c>
    </row>
    <row r="12" spans="1:72" x14ac:dyDescent="0.25">
      <c r="A12" s="768" t="s">
        <v>740</v>
      </c>
      <c r="B12" s="762"/>
      <c r="C12" s="762"/>
      <c r="D12" s="762"/>
      <c r="E12" s="762"/>
      <c r="F12" s="762"/>
      <c r="G12" s="762"/>
      <c r="H12" s="762"/>
      <c r="I12" s="762"/>
      <c r="J12" s="762"/>
      <c r="K12" s="762"/>
      <c r="L12" s="762"/>
      <c r="M12" s="762"/>
      <c r="N12" s="762"/>
      <c r="O12" s="762"/>
      <c r="P12" s="762"/>
      <c r="Q12" s="762"/>
      <c r="R12" s="762"/>
      <c r="S12" s="762"/>
      <c r="T12" s="762"/>
      <c r="U12" s="762"/>
      <c r="V12" s="762"/>
      <c r="W12" s="762"/>
      <c r="X12" s="762"/>
      <c r="Y12" s="762"/>
      <c r="Z12" s="762"/>
      <c r="AA12" s="762"/>
      <c r="AB12" s="762"/>
      <c r="AC12" s="762"/>
      <c r="AD12" s="762"/>
      <c r="AE12" s="762"/>
      <c r="AF12" s="762"/>
      <c r="AG12" s="762"/>
      <c r="AH12" s="762"/>
      <c r="AI12" s="762"/>
      <c r="AJ12" s="762"/>
      <c r="AK12" s="762"/>
      <c r="AL12" s="762"/>
      <c r="AM12" s="762"/>
      <c r="AN12" s="762"/>
      <c r="AO12" s="762"/>
      <c r="AP12" s="762"/>
      <c r="AQ12" s="762"/>
      <c r="AR12" s="762"/>
      <c r="AS12" s="762"/>
      <c r="AT12" s="762"/>
      <c r="AU12" s="762"/>
      <c r="AV12" s="762"/>
      <c r="AW12" s="762"/>
      <c r="AX12" s="762"/>
      <c r="AY12" s="762"/>
      <c r="AZ12" s="762"/>
      <c r="BA12" s="762"/>
      <c r="BB12" s="762"/>
      <c r="BC12" s="762"/>
      <c r="BD12" s="762"/>
      <c r="BE12" s="762"/>
      <c r="BF12" s="762"/>
      <c r="BG12" s="762"/>
      <c r="BH12" s="762"/>
      <c r="BI12" s="762"/>
      <c r="BJ12" s="762"/>
      <c r="BK12" s="762"/>
      <c r="BL12" s="762"/>
      <c r="BM12" s="762"/>
      <c r="BN12" s="762"/>
      <c r="BO12" s="762"/>
      <c r="BP12" s="762"/>
      <c r="BQ12" s="762"/>
      <c r="BR12" s="762"/>
      <c r="BS12" s="762"/>
      <c r="BT12" s="769"/>
    </row>
    <row r="13" spans="1:72" x14ac:dyDescent="0.25">
      <c r="A13" s="767" t="s">
        <v>1069</v>
      </c>
      <c r="B13" s="762" t="s">
        <v>736</v>
      </c>
      <c r="C13" s="763">
        <v>1.3268491834774256</v>
      </c>
      <c r="D13" s="763">
        <v>1.32388562245189</v>
      </c>
      <c r="E13" s="763">
        <v>1.3334961719108085</v>
      </c>
      <c r="F13" s="763">
        <v>1.3380821099821107</v>
      </c>
      <c r="G13" s="763">
        <v>1.3443425871291239</v>
      </c>
      <c r="H13" s="763">
        <v>1.3528785733681756</v>
      </c>
      <c r="I13" s="763">
        <v>1.3415886383011697</v>
      </c>
      <c r="J13" s="763">
        <v>1.3403624656065469</v>
      </c>
      <c r="K13" s="763">
        <v>1.330997225248586</v>
      </c>
      <c r="L13" s="763">
        <v>1.3164209684110997</v>
      </c>
      <c r="M13" s="763">
        <v>1.3072140481112184</v>
      </c>
      <c r="N13" s="763">
        <v>1.3019573002491378</v>
      </c>
      <c r="O13" s="763">
        <v>1.2978333982656636</v>
      </c>
      <c r="P13" s="763">
        <v>1.295833644439585</v>
      </c>
      <c r="Q13" s="763">
        <v>1.2953486183904279</v>
      </c>
      <c r="R13" s="763">
        <v>1.2970626753456174</v>
      </c>
      <c r="S13" s="763">
        <v>1.2955796364343368</v>
      </c>
      <c r="T13" s="763">
        <v>1.3002382724914889</v>
      </c>
      <c r="U13" s="763">
        <v>1.3044509032987155</v>
      </c>
      <c r="V13" s="763">
        <v>1.3304805103337984</v>
      </c>
      <c r="W13" s="763">
        <v>1.3397570218680066</v>
      </c>
      <c r="X13" s="763">
        <v>1.3519914094007222</v>
      </c>
      <c r="Y13" s="763">
        <v>1.3569265463442153</v>
      </c>
      <c r="Z13" s="763">
        <v>1.3726611244228613</v>
      </c>
      <c r="AA13" s="763">
        <v>1.3854931266802686</v>
      </c>
      <c r="AB13" s="764">
        <v>1.3951349014789893</v>
      </c>
      <c r="AC13" s="764">
        <v>1.4047766762777101</v>
      </c>
      <c r="AD13" s="764">
        <v>1.4144184510764308</v>
      </c>
      <c r="AE13" s="764">
        <v>1.4240602258751516</v>
      </c>
      <c r="AF13" s="764">
        <v>1.4337020006738723</v>
      </c>
      <c r="AG13" s="764">
        <v>1.4433437754725931</v>
      </c>
      <c r="AH13" s="764">
        <v>1.4529855502713138</v>
      </c>
      <c r="AI13" s="764">
        <v>1.4626273250700346</v>
      </c>
      <c r="AJ13" s="764">
        <v>1.4722690998687553</v>
      </c>
      <c r="AK13" s="764">
        <v>1.481910874667477</v>
      </c>
      <c r="AL13" s="764">
        <v>1.4862555877963981</v>
      </c>
      <c r="AM13" s="764">
        <v>1.4906003009253193</v>
      </c>
      <c r="AN13" s="764">
        <v>1.4949450140542404</v>
      </c>
      <c r="AO13" s="764">
        <v>1.4992897271831616</v>
      </c>
      <c r="AP13" s="764">
        <v>1.5036344403120827</v>
      </c>
      <c r="AQ13" s="764">
        <v>1.5079791534410039</v>
      </c>
      <c r="AR13" s="764">
        <v>1.512323866569925</v>
      </c>
      <c r="AS13" s="764">
        <v>1.5166685796988462</v>
      </c>
      <c r="AT13" s="764">
        <v>1.5210132928277673</v>
      </c>
      <c r="AU13" s="764">
        <v>1.5253580059566885</v>
      </c>
      <c r="AV13" s="764">
        <v>1.5297027190856096</v>
      </c>
      <c r="AW13" s="764">
        <v>1.5340474322145308</v>
      </c>
      <c r="AX13" s="764">
        <v>1.5383921453434519</v>
      </c>
      <c r="AY13" s="764">
        <v>1.5427368584723731</v>
      </c>
      <c r="AZ13" s="765">
        <v>1.5470815716012942</v>
      </c>
      <c r="BA13" s="764">
        <v>1.5500157274134729</v>
      </c>
      <c r="BB13" s="764">
        <v>1.5529498832256516</v>
      </c>
      <c r="BC13" s="764">
        <v>1.5558840390378303</v>
      </c>
      <c r="BD13" s="764">
        <v>1.5588181948500091</v>
      </c>
      <c r="BE13" s="764">
        <v>1.5617523506621878</v>
      </c>
      <c r="BF13" s="764">
        <v>1.5646865064743665</v>
      </c>
      <c r="BG13" s="764">
        <v>1.5676206622865452</v>
      </c>
      <c r="BH13" s="764">
        <v>1.5705548180987239</v>
      </c>
      <c r="BI13" s="764">
        <v>1.5734889739109026</v>
      </c>
      <c r="BJ13" s="764">
        <v>1.5764231297230813</v>
      </c>
      <c r="BK13" s="764">
        <v>1.57935728553526</v>
      </c>
      <c r="BL13" s="764">
        <v>1.5822914413474387</v>
      </c>
      <c r="BM13" s="764">
        <v>1.5852255971596174</v>
      </c>
      <c r="BN13" s="764">
        <v>1.5881597529717961</v>
      </c>
      <c r="BO13" s="765">
        <v>1.5910939087839742</v>
      </c>
      <c r="BP13" s="764">
        <v>1.5941115372826113</v>
      </c>
      <c r="BQ13" s="764">
        <v>1.5971291657812485</v>
      </c>
      <c r="BR13" s="764">
        <v>1.6001467942798857</v>
      </c>
      <c r="BS13" s="764">
        <v>1.6031644227785229</v>
      </c>
      <c r="BT13" s="766">
        <v>1.6061820512771605</v>
      </c>
    </row>
    <row r="14" spans="1:72" x14ac:dyDescent="0.25">
      <c r="A14" s="1601" t="s">
        <v>741</v>
      </c>
      <c r="B14" s="1602"/>
      <c r="C14" s="1602"/>
      <c r="D14" s="1602"/>
      <c r="E14" s="1602"/>
      <c r="F14" s="1602"/>
      <c r="G14" s="1602"/>
      <c r="H14" s="1602"/>
      <c r="I14" s="1602"/>
      <c r="J14" s="1602"/>
      <c r="K14" s="1602"/>
      <c r="L14" s="1602"/>
      <c r="M14" s="1602"/>
      <c r="N14" s="1602"/>
      <c r="O14" s="1602"/>
      <c r="P14" s="1602"/>
      <c r="Q14" s="1602"/>
      <c r="R14" s="1602"/>
      <c r="S14" s="1602"/>
      <c r="T14" s="1602"/>
      <c r="U14" s="1602"/>
      <c r="V14" s="1602"/>
      <c r="W14" s="1602"/>
      <c r="X14" s="1602"/>
      <c r="Y14" s="1602"/>
      <c r="Z14" s="1602"/>
      <c r="AA14" s="1602"/>
      <c r="AB14" s="1602"/>
      <c r="AC14" s="1602"/>
      <c r="AD14" s="1602"/>
      <c r="AE14" s="1602"/>
      <c r="AF14" s="1602"/>
      <c r="AG14" s="1602"/>
      <c r="AH14" s="1602"/>
      <c r="AI14" s="1602"/>
      <c r="AJ14" s="1602"/>
      <c r="AK14" s="1602"/>
      <c r="AL14" s="1602"/>
      <c r="AM14" s="1602"/>
      <c r="AN14" s="1602"/>
      <c r="AO14" s="1602"/>
      <c r="AP14" s="1602"/>
      <c r="AQ14" s="1602"/>
      <c r="AR14" s="1602"/>
      <c r="AS14" s="1602"/>
      <c r="AT14" s="1602"/>
      <c r="AU14" s="1602"/>
      <c r="AV14" s="1602"/>
      <c r="AW14" s="1602"/>
      <c r="AX14" s="1602"/>
      <c r="AY14" s="1602"/>
      <c r="AZ14" s="1602"/>
      <c r="BA14" s="1602"/>
      <c r="BB14" s="1602"/>
      <c r="BC14" s="1602"/>
      <c r="BD14" s="1602"/>
      <c r="BE14" s="1602"/>
      <c r="BF14" s="1602"/>
      <c r="BG14" s="1602"/>
      <c r="BH14" s="1602"/>
      <c r="BI14" s="1602"/>
      <c r="BJ14" s="1602"/>
      <c r="BK14" s="1602"/>
      <c r="BL14" s="1602"/>
      <c r="BM14" s="1602"/>
      <c r="BN14" s="1602"/>
      <c r="BO14" s="1602"/>
      <c r="BP14" s="1602"/>
      <c r="BQ14" s="1602"/>
      <c r="BR14" s="1602"/>
      <c r="BS14" s="1602"/>
      <c r="BT14" s="1603"/>
    </row>
    <row r="15" spans="1:72" ht="23.4" x14ac:dyDescent="0.25">
      <c r="A15" s="761" t="s">
        <v>742</v>
      </c>
      <c r="B15" s="762" t="s">
        <v>736</v>
      </c>
      <c r="C15" s="763">
        <v>10.789461735918687</v>
      </c>
      <c r="D15" s="763">
        <v>9.9590971559848445</v>
      </c>
      <c r="E15" s="763">
        <v>11.383831536994775</v>
      </c>
      <c r="F15" s="763">
        <v>12.531178240506115</v>
      </c>
      <c r="G15" s="763">
        <v>12.036300060884058</v>
      </c>
      <c r="H15" s="763">
        <v>12.613383383121093</v>
      </c>
      <c r="I15" s="763">
        <v>13.01890940036416</v>
      </c>
      <c r="J15" s="763">
        <v>12.908589399085846</v>
      </c>
      <c r="K15" s="763">
        <v>12.946875513724528</v>
      </c>
      <c r="L15" s="763">
        <v>13.039098811599491</v>
      </c>
      <c r="M15" s="763">
        <v>13.088955960183741</v>
      </c>
      <c r="N15" s="763">
        <v>13.133508268392355</v>
      </c>
      <c r="O15" s="763">
        <v>13.038477461293056</v>
      </c>
      <c r="P15" s="763">
        <v>12.989168095138872</v>
      </c>
      <c r="Q15" s="763">
        <v>12.752903866318045</v>
      </c>
      <c r="R15" s="763">
        <v>12.539506322932722</v>
      </c>
      <c r="S15" s="763">
        <v>12.335074118848111</v>
      </c>
      <c r="T15" s="763">
        <v>12.292193988584152</v>
      </c>
      <c r="U15" s="763">
        <v>12.304560350921868</v>
      </c>
      <c r="V15" s="763">
        <v>12.340337204483362</v>
      </c>
      <c r="W15" s="763">
        <v>12.418707870087554</v>
      </c>
      <c r="X15" s="763">
        <v>12.438495640484758</v>
      </c>
      <c r="Y15" s="763">
        <v>12.492141534697302</v>
      </c>
      <c r="Z15" s="763">
        <v>12.624332072599859</v>
      </c>
      <c r="AA15" s="763">
        <v>13.025979869770596</v>
      </c>
      <c r="AB15" s="763">
        <v>13.053872203635709</v>
      </c>
      <c r="AC15" s="763">
        <v>13.081764537500822</v>
      </c>
      <c r="AD15" s="763">
        <v>13.109656871365935</v>
      </c>
      <c r="AE15" s="763">
        <v>13.137549205231048</v>
      </c>
      <c r="AF15" s="763">
        <v>13.165441539096161</v>
      </c>
      <c r="AG15" s="763">
        <v>13.193333872961274</v>
      </c>
      <c r="AH15" s="763">
        <v>13.221226206826387</v>
      </c>
      <c r="AI15" s="763">
        <v>13.2491185406915</v>
      </c>
      <c r="AJ15" s="763">
        <v>13.277010874556613</v>
      </c>
      <c r="AK15" s="763">
        <v>13.304903208421727</v>
      </c>
      <c r="AL15" s="763">
        <v>13.445726499778688</v>
      </c>
      <c r="AM15" s="763">
        <v>13.586549791135649</v>
      </c>
      <c r="AN15" s="763">
        <v>13.72737308249261</v>
      </c>
      <c r="AO15" s="763">
        <v>13.868196373849571</v>
      </c>
      <c r="AP15" s="763">
        <v>14.009019665206532</v>
      </c>
      <c r="AQ15" s="763">
        <v>14.149842956563493</v>
      </c>
      <c r="AR15" s="763">
        <v>14.290666247920454</v>
      </c>
      <c r="AS15" s="763">
        <v>14.431489539277415</v>
      </c>
      <c r="AT15" s="763">
        <v>14.572312830634376</v>
      </c>
      <c r="AU15" s="763">
        <v>14.713136121991337</v>
      </c>
      <c r="AV15" s="763">
        <v>14.853959413348298</v>
      </c>
      <c r="AW15" s="763">
        <v>14.994782704705258</v>
      </c>
      <c r="AX15" s="763">
        <v>15.135605996062219</v>
      </c>
      <c r="AY15" s="763">
        <v>15.27642928741918</v>
      </c>
      <c r="AZ15" s="763">
        <v>15.417252578776129</v>
      </c>
      <c r="BA15" s="763">
        <v>15.505038084680947</v>
      </c>
      <c r="BB15" s="763">
        <v>15.592823590585766</v>
      </c>
      <c r="BC15" s="763">
        <v>15.680609096490585</v>
      </c>
      <c r="BD15" s="763">
        <v>15.768394602395404</v>
      </c>
      <c r="BE15" s="763">
        <v>15.856180108300222</v>
      </c>
      <c r="BF15" s="763">
        <v>15.943965614205041</v>
      </c>
      <c r="BG15" s="763">
        <v>16.03175112010986</v>
      </c>
      <c r="BH15" s="763">
        <v>16.119536626014678</v>
      </c>
      <c r="BI15" s="763">
        <v>16.207322131919497</v>
      </c>
      <c r="BJ15" s="763">
        <v>16.295107637824316</v>
      </c>
      <c r="BK15" s="763">
        <v>16.382893143729135</v>
      </c>
      <c r="BL15" s="763">
        <v>16.470678649633953</v>
      </c>
      <c r="BM15" s="763">
        <v>16.558464155538772</v>
      </c>
      <c r="BN15" s="763">
        <v>16.646249661443591</v>
      </c>
      <c r="BO15" s="763">
        <v>16.734035167348416</v>
      </c>
      <c r="BP15" s="763">
        <v>16.829318405103567</v>
      </c>
      <c r="BQ15" s="763">
        <v>16.924601642858718</v>
      </c>
      <c r="BR15" s="763">
        <v>17.019884880613869</v>
      </c>
      <c r="BS15" s="763">
        <v>17.11516811836902</v>
      </c>
      <c r="BT15" s="770">
        <v>17.210451356124164</v>
      </c>
    </row>
    <row r="16" spans="1:72" x14ac:dyDescent="0.25">
      <c r="A16" s="767" t="s">
        <v>743</v>
      </c>
      <c r="B16" s="762" t="s">
        <v>736</v>
      </c>
      <c r="C16" s="763">
        <v>12.730520250245322</v>
      </c>
      <c r="D16" s="763">
        <v>11.801320287416596</v>
      </c>
      <c r="E16" s="763">
        <v>13.477350603859424</v>
      </c>
      <c r="F16" s="763">
        <v>15.275134761378448</v>
      </c>
      <c r="G16" s="763">
        <v>14.956036086352325</v>
      </c>
      <c r="H16" s="763">
        <v>15.333911517881027</v>
      </c>
      <c r="I16" s="763">
        <v>14.969645149302909</v>
      </c>
      <c r="J16" s="763">
        <v>14.856007634468792</v>
      </c>
      <c r="K16" s="763">
        <v>14.855665643260203</v>
      </c>
      <c r="L16" s="763">
        <v>14.676357863084307</v>
      </c>
      <c r="M16" s="763">
        <v>14.660823111264261</v>
      </c>
      <c r="N16" s="763">
        <v>14.621396694543213</v>
      </c>
      <c r="O16" s="763">
        <v>14.496914877081778</v>
      </c>
      <c r="P16" s="763">
        <v>14.525867813038341</v>
      </c>
      <c r="Q16" s="763">
        <v>14.406443289990676</v>
      </c>
      <c r="R16" s="763">
        <v>14.511791494657368</v>
      </c>
      <c r="S16" s="763">
        <v>14.408484301477108</v>
      </c>
      <c r="T16" s="763">
        <v>14.421367627269808</v>
      </c>
      <c r="U16" s="763">
        <v>14.483474821414545</v>
      </c>
      <c r="V16" s="763">
        <v>14.423047758498246</v>
      </c>
      <c r="W16" s="763">
        <v>14.678410804496627</v>
      </c>
      <c r="X16" s="763">
        <v>14.842794247393387</v>
      </c>
      <c r="Y16" s="763">
        <v>14.985196801851416</v>
      </c>
      <c r="Z16" s="763">
        <v>15.125157698145465</v>
      </c>
      <c r="AA16" s="763">
        <v>15.225733932459173</v>
      </c>
      <c r="AB16" s="764">
        <v>15.312322281050708</v>
      </c>
      <c r="AC16" s="764">
        <v>15.398910629642243</v>
      </c>
      <c r="AD16" s="764">
        <v>15.485498978233778</v>
      </c>
      <c r="AE16" s="764">
        <v>15.572087326825313</v>
      </c>
      <c r="AF16" s="764">
        <v>15.658675675416848</v>
      </c>
      <c r="AG16" s="764">
        <v>15.745264024008383</v>
      </c>
      <c r="AH16" s="764">
        <v>15.831852372599919</v>
      </c>
      <c r="AI16" s="764">
        <v>15.918440721191454</v>
      </c>
      <c r="AJ16" s="764">
        <v>16.005029069782989</v>
      </c>
      <c r="AK16" s="764">
        <v>16.091617418374518</v>
      </c>
      <c r="AL16" s="764">
        <v>16.26193617174043</v>
      </c>
      <c r="AM16" s="764">
        <v>16.432254925106342</v>
      </c>
      <c r="AN16" s="764">
        <v>16.602573678472254</v>
      </c>
      <c r="AO16" s="764">
        <v>16.772892431838166</v>
      </c>
      <c r="AP16" s="764">
        <v>16.943211185204078</v>
      </c>
      <c r="AQ16" s="764">
        <v>17.113529938569989</v>
      </c>
      <c r="AR16" s="764">
        <v>17.283848691935901</v>
      </c>
      <c r="AS16" s="764">
        <v>17.454167445301813</v>
      </c>
      <c r="AT16" s="764">
        <v>17.624486198667725</v>
      </c>
      <c r="AU16" s="764">
        <v>17.794804952033637</v>
      </c>
      <c r="AV16" s="764">
        <v>17.965123705399549</v>
      </c>
      <c r="AW16" s="764">
        <v>18.135442458765461</v>
      </c>
      <c r="AX16" s="764">
        <v>18.305761212131372</v>
      </c>
      <c r="AY16" s="764">
        <v>18.476079965497284</v>
      </c>
      <c r="AZ16" s="763">
        <v>18.646398718863171</v>
      </c>
      <c r="BA16" s="764">
        <v>18.752570913712709</v>
      </c>
      <c r="BB16" s="764">
        <v>18.858743108562248</v>
      </c>
      <c r="BC16" s="764">
        <v>18.964915303411786</v>
      </c>
      <c r="BD16" s="764">
        <v>19.071087498261324</v>
      </c>
      <c r="BE16" s="764">
        <v>19.177259693110862</v>
      </c>
      <c r="BF16" s="764">
        <v>19.283431887960401</v>
      </c>
      <c r="BG16" s="764">
        <v>19.389604082809939</v>
      </c>
      <c r="BH16" s="764">
        <v>19.495776277659477</v>
      </c>
      <c r="BI16" s="764">
        <v>19.601948472509015</v>
      </c>
      <c r="BJ16" s="764">
        <v>19.708120667358553</v>
      </c>
      <c r="BK16" s="764">
        <v>19.814292862208092</v>
      </c>
      <c r="BL16" s="764">
        <v>19.92046505705763</v>
      </c>
      <c r="BM16" s="764">
        <v>20.026637251907168</v>
      </c>
      <c r="BN16" s="764">
        <v>20.132809446756706</v>
      </c>
      <c r="BO16" s="763">
        <v>20.238981641606255</v>
      </c>
      <c r="BP16" s="764">
        <v>20.354221969500514</v>
      </c>
      <c r="BQ16" s="764">
        <v>20.469462297394774</v>
      </c>
      <c r="BR16" s="764">
        <v>20.584702625289033</v>
      </c>
      <c r="BS16" s="764">
        <v>20.699942953183292</v>
      </c>
      <c r="BT16" s="770">
        <v>20.815183281077545</v>
      </c>
    </row>
    <row r="17" spans="1:72" x14ac:dyDescent="0.25">
      <c r="A17" s="767" t="s">
        <v>311</v>
      </c>
      <c r="B17" s="762" t="s">
        <v>736</v>
      </c>
      <c r="C17" s="763">
        <v>15.730049999999999</v>
      </c>
      <c r="D17" s="763">
        <v>15.730049999999999</v>
      </c>
      <c r="E17" s="763">
        <v>15.730049999999999</v>
      </c>
      <c r="F17" s="763">
        <v>15.730049999999999</v>
      </c>
      <c r="G17" s="763">
        <v>15.730049999999999</v>
      </c>
      <c r="H17" s="763">
        <v>15.730049999999999</v>
      </c>
      <c r="I17" s="763">
        <v>15.730049999999999</v>
      </c>
      <c r="J17" s="763">
        <v>15.730049999999999</v>
      </c>
      <c r="K17" s="763">
        <v>15.730049999999999</v>
      </c>
      <c r="L17" s="763">
        <v>15.730049999999999</v>
      </c>
      <c r="M17" s="763">
        <v>15.730049999999999</v>
      </c>
      <c r="N17" s="763">
        <v>15.730049999999999</v>
      </c>
      <c r="O17" s="763">
        <v>15.730049999999999</v>
      </c>
      <c r="P17" s="763">
        <v>15.730049999999999</v>
      </c>
      <c r="Q17" s="763">
        <v>15.730049999999999</v>
      </c>
      <c r="R17" s="763">
        <v>15.730049999999999</v>
      </c>
      <c r="S17" s="763">
        <v>15.730049999999999</v>
      </c>
      <c r="T17" s="763">
        <v>15.730049999999999</v>
      </c>
      <c r="U17" s="763">
        <v>15.730049999999999</v>
      </c>
      <c r="V17" s="763">
        <v>15.730049999999999</v>
      </c>
      <c r="W17" s="763">
        <v>15.730049999999999</v>
      </c>
      <c r="X17" s="763">
        <v>15.730049999999999</v>
      </c>
      <c r="Y17" s="763">
        <v>15.730049999999999</v>
      </c>
      <c r="Z17" s="763">
        <v>15.730049999999999</v>
      </c>
      <c r="AA17" s="763">
        <v>15.730049999999999</v>
      </c>
      <c r="AB17" s="763">
        <v>15.730049999999999</v>
      </c>
      <c r="AC17" s="763">
        <v>15.730049999999999</v>
      </c>
      <c r="AD17" s="763">
        <v>15.730049999999999</v>
      </c>
      <c r="AE17" s="763">
        <v>15.730049999999999</v>
      </c>
      <c r="AF17" s="763">
        <v>15.730049999999999</v>
      </c>
      <c r="AG17" s="763">
        <v>15.730049999999999</v>
      </c>
      <c r="AH17" s="763">
        <v>15.730049999999999</v>
      </c>
      <c r="AI17" s="763">
        <v>15.730049999999999</v>
      </c>
      <c r="AJ17" s="763">
        <v>15.730049999999999</v>
      </c>
      <c r="AK17" s="763">
        <v>15.730049999999999</v>
      </c>
      <c r="AL17" s="763">
        <v>15.730049999999999</v>
      </c>
      <c r="AM17" s="763">
        <v>15.730049999999999</v>
      </c>
      <c r="AN17" s="763">
        <v>15.730049999999999</v>
      </c>
      <c r="AO17" s="763">
        <v>15.730049999999999</v>
      </c>
      <c r="AP17" s="763">
        <v>15.730049999999999</v>
      </c>
      <c r="AQ17" s="763">
        <v>15.730049999999999</v>
      </c>
      <c r="AR17" s="763">
        <v>15.730049999999999</v>
      </c>
      <c r="AS17" s="763">
        <v>15.730049999999999</v>
      </c>
      <c r="AT17" s="763">
        <v>15.730049999999999</v>
      </c>
      <c r="AU17" s="763">
        <v>15.730049999999999</v>
      </c>
      <c r="AV17" s="763">
        <v>15.730049999999999</v>
      </c>
      <c r="AW17" s="763">
        <v>15.730049999999999</v>
      </c>
      <c r="AX17" s="763">
        <v>15.730049999999999</v>
      </c>
      <c r="AY17" s="763">
        <v>15.730049999999999</v>
      </c>
      <c r="AZ17" s="763">
        <v>15.730049999999999</v>
      </c>
      <c r="BA17" s="763">
        <v>15.730049999999999</v>
      </c>
      <c r="BB17" s="763">
        <v>15.730049999999999</v>
      </c>
      <c r="BC17" s="763">
        <v>15.730049999999999</v>
      </c>
      <c r="BD17" s="763">
        <v>15.730049999999999</v>
      </c>
      <c r="BE17" s="763">
        <v>15.730049999999999</v>
      </c>
      <c r="BF17" s="763">
        <v>15.730049999999999</v>
      </c>
      <c r="BG17" s="763">
        <v>15.730049999999999</v>
      </c>
      <c r="BH17" s="763">
        <v>15.730049999999999</v>
      </c>
      <c r="BI17" s="763">
        <v>15.730049999999999</v>
      </c>
      <c r="BJ17" s="763">
        <v>15.730049999999999</v>
      </c>
      <c r="BK17" s="763">
        <v>15.730049999999999</v>
      </c>
      <c r="BL17" s="763">
        <v>15.730049999999999</v>
      </c>
      <c r="BM17" s="763">
        <v>15.730049999999999</v>
      </c>
      <c r="BN17" s="763">
        <v>15.730049999999999</v>
      </c>
      <c r="BO17" s="763">
        <v>15.730049999999999</v>
      </c>
      <c r="BP17" s="763">
        <v>15.730049999999999</v>
      </c>
      <c r="BQ17" s="763">
        <v>15.730049999999999</v>
      </c>
      <c r="BR17" s="763">
        <v>15.730049999999999</v>
      </c>
      <c r="BS17" s="763">
        <v>15.730049999999999</v>
      </c>
      <c r="BT17" s="770">
        <v>15.730049999999999</v>
      </c>
    </row>
    <row r="18" spans="1:72" x14ac:dyDescent="0.25">
      <c r="A18" s="761" t="s">
        <v>310</v>
      </c>
      <c r="B18" s="762" t="s">
        <v>736</v>
      </c>
      <c r="C18" s="763">
        <v>8.7353999999999985</v>
      </c>
      <c r="D18" s="763">
        <v>8.7353999999999985</v>
      </c>
      <c r="E18" s="763">
        <v>8.7353999999999985</v>
      </c>
      <c r="F18" s="763">
        <v>8.7353999999999985</v>
      </c>
      <c r="G18" s="763">
        <v>8.7353999999999985</v>
      </c>
      <c r="H18" s="763">
        <v>8.7353999999999985</v>
      </c>
      <c r="I18" s="763">
        <v>8.7353999999999985</v>
      </c>
      <c r="J18" s="763">
        <v>8.7353999999999985</v>
      </c>
      <c r="K18" s="763">
        <v>8.7353999999999985</v>
      </c>
      <c r="L18" s="763">
        <v>8.7353999999999985</v>
      </c>
      <c r="M18" s="763">
        <v>8.7353999999999985</v>
      </c>
      <c r="N18" s="763">
        <v>8.7353999999999985</v>
      </c>
      <c r="O18" s="763">
        <v>8.7353999999999985</v>
      </c>
      <c r="P18" s="763">
        <v>8.7353999999999985</v>
      </c>
      <c r="Q18" s="763">
        <v>8.7353999999999985</v>
      </c>
      <c r="R18" s="763">
        <v>8.7353999999999985</v>
      </c>
      <c r="S18" s="763">
        <v>8.7353999999999985</v>
      </c>
      <c r="T18" s="763">
        <v>8.7353999999999985</v>
      </c>
      <c r="U18" s="763">
        <v>8.7353999999999985</v>
      </c>
      <c r="V18" s="763">
        <v>8.7353999999999985</v>
      </c>
      <c r="W18" s="763">
        <v>8.7353999999999985</v>
      </c>
      <c r="X18" s="763">
        <v>8.7353999999999985</v>
      </c>
      <c r="Y18" s="763">
        <v>8.7353999999999985</v>
      </c>
      <c r="Z18" s="763">
        <v>8.7353999999999985</v>
      </c>
      <c r="AA18" s="763">
        <v>8.7353999999999985</v>
      </c>
      <c r="AB18" s="763">
        <v>8.7353999999999985</v>
      </c>
      <c r="AC18" s="763">
        <v>8.7353999999999985</v>
      </c>
      <c r="AD18" s="763">
        <v>8.7353999999999985</v>
      </c>
      <c r="AE18" s="763">
        <v>8.7353999999999985</v>
      </c>
      <c r="AF18" s="763">
        <v>8.7353999999999985</v>
      </c>
      <c r="AG18" s="763">
        <v>8.7353999999999985</v>
      </c>
      <c r="AH18" s="763">
        <v>8.7353999999999985</v>
      </c>
      <c r="AI18" s="763">
        <v>8.7353999999999985</v>
      </c>
      <c r="AJ18" s="763">
        <v>8.7353999999999985</v>
      </c>
      <c r="AK18" s="763">
        <v>8.7353999999999985</v>
      </c>
      <c r="AL18" s="763">
        <v>8.7353999999999985</v>
      </c>
      <c r="AM18" s="763">
        <v>8.7353999999999985</v>
      </c>
      <c r="AN18" s="763">
        <v>8.7353999999999985</v>
      </c>
      <c r="AO18" s="763">
        <v>8.7353999999999985</v>
      </c>
      <c r="AP18" s="763">
        <v>8.7353999999999985</v>
      </c>
      <c r="AQ18" s="763">
        <v>8.7353999999999985</v>
      </c>
      <c r="AR18" s="763">
        <v>8.7353999999999985</v>
      </c>
      <c r="AS18" s="763">
        <v>8.7353999999999985</v>
      </c>
      <c r="AT18" s="763">
        <v>8.7353999999999985</v>
      </c>
      <c r="AU18" s="763">
        <v>8.7353999999999985</v>
      </c>
      <c r="AV18" s="763">
        <v>8.7353999999999985</v>
      </c>
      <c r="AW18" s="763">
        <v>8.7353999999999985</v>
      </c>
      <c r="AX18" s="763">
        <v>8.7353999999999985</v>
      </c>
      <c r="AY18" s="763">
        <v>8.7353999999999985</v>
      </c>
      <c r="AZ18" s="763">
        <v>8.7353999999999985</v>
      </c>
      <c r="BA18" s="763">
        <v>8.7353999999999985</v>
      </c>
      <c r="BB18" s="763">
        <v>8.7353999999999985</v>
      </c>
      <c r="BC18" s="763">
        <v>8.7353999999999985</v>
      </c>
      <c r="BD18" s="763">
        <v>8.7353999999999985</v>
      </c>
      <c r="BE18" s="763">
        <v>8.7353999999999985</v>
      </c>
      <c r="BF18" s="763">
        <v>8.7353999999999985</v>
      </c>
      <c r="BG18" s="763">
        <v>8.7353999999999985</v>
      </c>
      <c r="BH18" s="763">
        <v>8.7353999999999985</v>
      </c>
      <c r="BI18" s="763">
        <v>8.7353999999999985</v>
      </c>
      <c r="BJ18" s="763">
        <v>8.7353999999999985</v>
      </c>
      <c r="BK18" s="763">
        <v>8.7353999999999985</v>
      </c>
      <c r="BL18" s="763">
        <v>8.7353999999999985</v>
      </c>
      <c r="BM18" s="763">
        <v>8.7353999999999985</v>
      </c>
      <c r="BN18" s="763">
        <v>8.7353999999999985</v>
      </c>
      <c r="BO18" s="763">
        <v>8.7353999999999985</v>
      </c>
      <c r="BP18" s="763">
        <v>8.7353999999999985</v>
      </c>
      <c r="BQ18" s="763">
        <v>8.7353999999999985</v>
      </c>
      <c r="BR18" s="763">
        <v>8.7353999999999985</v>
      </c>
      <c r="BS18" s="763">
        <v>8.7353999999999985</v>
      </c>
      <c r="BT18" s="770">
        <v>8.7353999999999985</v>
      </c>
    </row>
    <row r="19" spans="1:72" x14ac:dyDescent="0.25">
      <c r="A19" s="1601" t="s">
        <v>744</v>
      </c>
      <c r="B19" s="1602"/>
      <c r="C19" s="1602"/>
      <c r="D19" s="1602"/>
      <c r="E19" s="1602"/>
      <c r="F19" s="1602"/>
      <c r="G19" s="1602"/>
      <c r="H19" s="1602"/>
      <c r="I19" s="1602"/>
      <c r="J19" s="1602"/>
      <c r="K19" s="1602"/>
      <c r="L19" s="1602"/>
      <c r="M19" s="1602"/>
      <c r="N19" s="1602"/>
      <c r="O19" s="1602"/>
      <c r="P19" s="1602"/>
      <c r="Q19" s="1602"/>
      <c r="R19" s="1602"/>
      <c r="S19" s="1602"/>
      <c r="T19" s="1602"/>
      <c r="U19" s="1602"/>
      <c r="V19" s="1602"/>
      <c r="W19" s="1602"/>
      <c r="X19" s="1602"/>
      <c r="Y19" s="1602"/>
      <c r="Z19" s="1602"/>
      <c r="AA19" s="1602"/>
      <c r="AB19" s="1602"/>
      <c r="AC19" s="1602"/>
      <c r="AD19" s="1602"/>
      <c r="AE19" s="1602"/>
      <c r="AF19" s="1602"/>
      <c r="AG19" s="1602"/>
      <c r="AH19" s="1602"/>
      <c r="AI19" s="1602"/>
      <c r="AJ19" s="1602"/>
      <c r="AK19" s="1602"/>
      <c r="AL19" s="1602"/>
      <c r="AM19" s="1602"/>
      <c r="AN19" s="1602"/>
      <c r="AO19" s="1602"/>
      <c r="AP19" s="1602"/>
      <c r="AQ19" s="1602"/>
      <c r="AR19" s="1602"/>
      <c r="AS19" s="1602"/>
      <c r="AT19" s="1602"/>
      <c r="AU19" s="1602"/>
      <c r="AV19" s="1602"/>
      <c r="AW19" s="1602"/>
      <c r="AX19" s="1602"/>
      <c r="AY19" s="1602"/>
      <c r="AZ19" s="1602"/>
      <c r="BA19" s="1602"/>
      <c r="BB19" s="1602"/>
      <c r="BC19" s="1602"/>
      <c r="BD19" s="1602"/>
      <c r="BE19" s="1602"/>
      <c r="BF19" s="1602"/>
      <c r="BG19" s="1602"/>
      <c r="BH19" s="1602"/>
      <c r="BI19" s="1602"/>
      <c r="BJ19" s="1602"/>
      <c r="BK19" s="1602"/>
      <c r="BL19" s="1602"/>
      <c r="BM19" s="1602"/>
      <c r="BN19" s="1602"/>
      <c r="BO19" s="1602"/>
      <c r="BP19" s="1602"/>
      <c r="BQ19" s="1602"/>
      <c r="BR19" s="1602"/>
      <c r="BS19" s="1602"/>
      <c r="BT19" s="1603"/>
    </row>
    <row r="20" spans="1:72" ht="24" thickBot="1" x14ac:dyDescent="0.3">
      <c r="A20" s="771" t="s">
        <v>745</v>
      </c>
      <c r="B20" s="772" t="s">
        <v>736</v>
      </c>
      <c r="C20" s="773">
        <v>1.2696286520685174</v>
      </c>
      <c r="D20" s="773">
        <v>1.2696286520685174</v>
      </c>
      <c r="E20" s="773">
        <v>1.2696286520685174</v>
      </c>
      <c r="F20" s="773">
        <v>1.2696286520685174</v>
      </c>
      <c r="G20" s="773">
        <v>1.2696286520685174</v>
      </c>
      <c r="H20" s="773">
        <v>1.2696286520685174</v>
      </c>
      <c r="I20" s="773">
        <v>1.2696286520685174</v>
      </c>
      <c r="J20" s="773">
        <v>1.2696286520685174</v>
      </c>
      <c r="K20" s="773">
        <v>1.2696286520685174</v>
      </c>
      <c r="L20" s="773">
        <v>1.2696286520685174</v>
      </c>
      <c r="M20" s="773">
        <v>1.2716814065585227</v>
      </c>
      <c r="N20" s="773">
        <v>1.2809188017635484</v>
      </c>
      <c r="O20" s="773">
        <v>1.3178683825836508</v>
      </c>
      <c r="P20" s="773">
        <v>1.3209475143186591</v>
      </c>
      <c r="Q20" s="773">
        <v>1.3435278137087219</v>
      </c>
      <c r="R20" s="773">
        <v>1.3466069454437304</v>
      </c>
      <c r="S20" s="773">
        <v>1.3630289813637759</v>
      </c>
      <c r="T20" s="773">
        <v>1.3578970951387617</v>
      </c>
      <c r="U20" s="773">
        <v>1.383556526263833</v>
      </c>
      <c r="V20" s="773">
        <v>1.4030576939188868</v>
      </c>
      <c r="W20" s="773">
        <v>1.460534819639046</v>
      </c>
      <c r="X20" s="773">
        <v>1.4800359872941</v>
      </c>
      <c r="Y20" s="773">
        <v>1.4861942507641173</v>
      </c>
      <c r="Z20" s="773">
        <v>1.5118536818891883</v>
      </c>
      <c r="AA20" s="773">
        <v>1.5262229633192279</v>
      </c>
      <c r="AB20" s="773">
        <v>1.6236006669873051</v>
      </c>
      <c r="AC20" s="773">
        <v>1.7209783706553823</v>
      </c>
      <c r="AD20" s="773">
        <v>1.8183560743234595</v>
      </c>
      <c r="AE20" s="773">
        <v>1.9157337779915367</v>
      </c>
      <c r="AF20" s="773">
        <v>2.0131114816596138</v>
      </c>
      <c r="AG20" s="773">
        <v>2.1104891853276913</v>
      </c>
      <c r="AH20" s="773">
        <v>2.2078668889957687</v>
      </c>
      <c r="AI20" s="773">
        <v>2.3052445926638461</v>
      </c>
      <c r="AJ20" s="773">
        <v>2.4026222963319235</v>
      </c>
      <c r="AK20" s="773">
        <v>2.5</v>
      </c>
      <c r="AL20" s="773">
        <v>2.5714285714285716</v>
      </c>
      <c r="AM20" s="773">
        <v>2.6428571428571432</v>
      </c>
      <c r="AN20" s="773">
        <v>2.7142857142857149</v>
      </c>
      <c r="AO20" s="773">
        <v>2.7857142857142865</v>
      </c>
      <c r="AP20" s="773">
        <v>2.8571428571428581</v>
      </c>
      <c r="AQ20" s="773">
        <v>2.9285714285714297</v>
      </c>
      <c r="AR20" s="773">
        <v>3</v>
      </c>
      <c r="AS20" s="773">
        <v>3.071428571428573</v>
      </c>
      <c r="AT20" s="773">
        <v>3.1428571428571446</v>
      </c>
      <c r="AU20" s="773">
        <v>3.2142857142857162</v>
      </c>
      <c r="AV20" s="773">
        <v>3.2857142857142878</v>
      </c>
      <c r="AW20" s="773">
        <v>3.3571428571428594</v>
      </c>
      <c r="AX20" s="773">
        <v>3.428571428571431</v>
      </c>
      <c r="AY20" s="773">
        <v>3.5</v>
      </c>
      <c r="AZ20" s="773">
        <v>3.5714285714285743</v>
      </c>
      <c r="BA20" s="773">
        <v>3.6428571428571459</v>
      </c>
      <c r="BB20" s="773">
        <v>3.7142857142857175</v>
      </c>
      <c r="BC20" s="773">
        <v>3.7857142857142891</v>
      </c>
      <c r="BD20" s="773">
        <v>3.8571428571428608</v>
      </c>
      <c r="BE20" s="773">
        <v>3.9285714285714324</v>
      </c>
      <c r="BF20" s="773">
        <v>4</v>
      </c>
      <c r="BG20" s="773">
        <v>4.0714285714285747</v>
      </c>
      <c r="BH20" s="773">
        <v>4.1428571428571459</v>
      </c>
      <c r="BI20" s="773">
        <v>4.2142857142857171</v>
      </c>
      <c r="BJ20" s="773">
        <v>4.2857142857142883</v>
      </c>
      <c r="BK20" s="773">
        <v>4.3571428571428594</v>
      </c>
      <c r="BL20" s="773">
        <v>4.4285714285714306</v>
      </c>
      <c r="BM20" s="773">
        <v>4.5</v>
      </c>
      <c r="BN20" s="773">
        <v>4.571428571428573</v>
      </c>
      <c r="BO20" s="773">
        <v>4.6428571428571441</v>
      </c>
      <c r="BP20" s="773">
        <v>4.7142857142857153</v>
      </c>
      <c r="BQ20" s="773">
        <v>4.7857142857142865</v>
      </c>
      <c r="BR20" s="773">
        <v>4.8571428571428577</v>
      </c>
      <c r="BS20" s="773">
        <v>4.9285714285714288</v>
      </c>
      <c r="BT20" s="774">
        <v>5</v>
      </c>
    </row>
    <row r="21" spans="1:72" ht="47.25" customHeight="1" x14ac:dyDescent="0.25">
      <c r="A21" s="1609" t="s">
        <v>427</v>
      </c>
      <c r="B21" s="1610"/>
      <c r="C21" s="1610"/>
      <c r="D21" s="1610"/>
      <c r="E21" s="1610"/>
      <c r="F21" s="1610"/>
      <c r="G21" s="1610"/>
      <c r="H21" s="1610"/>
      <c r="I21" s="1610"/>
      <c r="J21" s="1610"/>
      <c r="K21" s="1610"/>
      <c r="L21" s="1610"/>
      <c r="M21" s="1610"/>
      <c r="N21" s="1610"/>
      <c r="O21" s="1610"/>
      <c r="P21" s="1610"/>
      <c r="Q21" s="1610"/>
      <c r="R21" s="1610"/>
      <c r="S21" s="1610"/>
      <c r="T21" s="1610"/>
      <c r="U21" s="775"/>
      <c r="V21" s="775"/>
      <c r="W21" s="775"/>
      <c r="X21" s="775"/>
      <c r="Y21" s="775"/>
      <c r="Z21" s="775"/>
      <c r="AA21" s="775"/>
      <c r="AB21" s="775"/>
      <c r="AC21" s="775"/>
      <c r="AD21" s="775"/>
      <c r="AE21" s="775"/>
      <c r="AF21" s="775"/>
      <c r="AG21" s="775"/>
      <c r="AH21" s="775"/>
      <c r="AI21" s="775"/>
      <c r="AJ21" s="775"/>
      <c r="AK21" s="775"/>
      <c r="AL21" s="775"/>
      <c r="AM21" s="775"/>
      <c r="AN21" s="775"/>
      <c r="AO21" s="775"/>
      <c r="AP21" s="775"/>
      <c r="AQ21" s="775"/>
      <c r="AR21" s="775"/>
      <c r="AS21" s="775"/>
      <c r="AT21" s="775"/>
      <c r="AU21" s="775"/>
      <c r="AV21" s="775"/>
      <c r="AW21" s="775"/>
      <c r="AX21" s="775"/>
      <c r="AY21" s="775"/>
      <c r="AZ21" s="775"/>
      <c r="BA21" s="775"/>
      <c r="BB21" s="775"/>
      <c r="BC21" s="775"/>
      <c r="BD21" s="775"/>
      <c r="BE21" s="775"/>
      <c r="BF21" s="775"/>
      <c r="BG21" s="775"/>
      <c r="BH21" s="775"/>
      <c r="BI21" s="775"/>
      <c r="BJ21" s="775"/>
      <c r="BK21" s="775"/>
      <c r="BL21" s="775"/>
      <c r="BM21" s="775"/>
      <c r="BN21" s="775"/>
      <c r="BO21" s="775"/>
      <c r="BP21" s="775"/>
      <c r="BQ21" s="775"/>
      <c r="BR21" s="775"/>
      <c r="BS21" s="775"/>
      <c r="BT21" s="775"/>
    </row>
    <row r="22" spans="1:72" x14ac:dyDescent="0.25">
      <c r="A22" s="776"/>
      <c r="B22" s="776"/>
      <c r="C22" s="776"/>
      <c r="D22" s="776"/>
      <c r="E22" s="776"/>
      <c r="F22" s="776"/>
      <c r="G22" s="776"/>
      <c r="H22" s="776"/>
      <c r="I22" s="776"/>
      <c r="J22" s="776"/>
      <c r="K22" s="776"/>
      <c r="L22" s="776"/>
      <c r="M22" s="776"/>
      <c r="N22" s="776"/>
      <c r="O22" s="776"/>
      <c r="P22" s="776"/>
      <c r="Q22" s="776"/>
      <c r="R22" s="776"/>
      <c r="S22" s="776"/>
      <c r="T22" s="776"/>
      <c r="U22" s="777"/>
      <c r="V22" s="777"/>
      <c r="W22" s="777"/>
      <c r="X22" s="777"/>
      <c r="Y22" s="777"/>
      <c r="Z22" s="777"/>
      <c r="AA22" s="777"/>
      <c r="AB22" s="777"/>
      <c r="AC22" s="777"/>
      <c r="AD22" s="777"/>
      <c r="AE22" s="777"/>
      <c r="AF22" s="777"/>
      <c r="AG22" s="777"/>
      <c r="AH22" s="777"/>
      <c r="AI22" s="777"/>
      <c r="AJ22" s="777"/>
      <c r="AK22" s="777"/>
      <c r="AL22" s="777"/>
      <c r="AM22" s="777"/>
      <c r="AN22" s="777"/>
      <c r="AO22" s="777"/>
      <c r="AP22" s="777"/>
      <c r="AQ22" s="777"/>
      <c r="AR22" s="777"/>
      <c r="AS22" s="777"/>
      <c r="AT22" s="777"/>
      <c r="AU22" s="777"/>
      <c r="AV22" s="777"/>
      <c r="AW22" s="777"/>
      <c r="AX22" s="777"/>
      <c r="AY22" s="777"/>
      <c r="AZ22" s="777"/>
      <c r="BA22" s="777"/>
      <c r="BB22" s="777"/>
      <c r="BC22" s="777"/>
      <c r="BD22" s="777"/>
      <c r="BE22" s="777"/>
      <c r="BF22" s="777"/>
      <c r="BG22" s="777"/>
      <c r="BH22" s="777"/>
      <c r="BI22" s="777"/>
      <c r="BJ22" s="777"/>
      <c r="BK22" s="777"/>
      <c r="BL22" s="777"/>
      <c r="BM22" s="777"/>
      <c r="BN22" s="777"/>
      <c r="BO22" s="777"/>
      <c r="BP22" s="777"/>
      <c r="BQ22" s="777"/>
      <c r="BR22" s="777"/>
      <c r="BS22" s="777"/>
      <c r="BT22" s="777"/>
    </row>
    <row r="23" spans="1:72" ht="42.75" customHeight="1" x14ac:dyDescent="0.25">
      <c r="A23" s="1611" t="s">
        <v>746</v>
      </c>
      <c r="B23" s="1611"/>
      <c r="C23" s="1611"/>
      <c r="D23" s="1611"/>
      <c r="E23" s="1611"/>
      <c r="F23" s="1611"/>
      <c r="G23" s="1611"/>
      <c r="H23" s="1611"/>
      <c r="I23" s="1611"/>
      <c r="J23" s="1611"/>
      <c r="K23" s="1611"/>
      <c r="L23" s="1611"/>
      <c r="M23" s="1611"/>
      <c r="N23" s="1611"/>
      <c r="O23" s="1611"/>
      <c r="P23" s="1611"/>
      <c r="Q23" s="1611"/>
      <c r="R23" s="1611"/>
      <c r="S23" s="1611"/>
      <c r="T23" s="1611"/>
      <c r="U23" s="777"/>
      <c r="V23" s="777"/>
      <c r="W23" s="777"/>
      <c r="X23" s="777"/>
      <c r="Y23" s="777"/>
      <c r="Z23" s="777"/>
      <c r="AA23" s="777"/>
      <c r="AB23" s="777"/>
      <c r="AC23" s="777"/>
      <c r="AD23" s="777"/>
      <c r="AE23" s="777"/>
      <c r="AF23" s="777"/>
      <c r="AG23" s="777"/>
      <c r="AH23" s="777"/>
      <c r="AI23" s="777"/>
      <c r="AJ23" s="777"/>
      <c r="AK23" s="777"/>
      <c r="AL23" s="777"/>
      <c r="AM23" s="777"/>
      <c r="AN23" s="777"/>
      <c r="AO23" s="777"/>
      <c r="AP23" s="777"/>
      <c r="AQ23" s="777"/>
      <c r="AR23" s="777"/>
      <c r="AS23" s="777"/>
      <c r="AT23" s="777"/>
      <c r="AU23" s="777"/>
      <c r="AV23" s="777"/>
      <c r="AW23" s="777"/>
      <c r="AX23" s="777"/>
      <c r="AY23" s="777"/>
      <c r="AZ23" s="777"/>
      <c r="BA23" s="777"/>
      <c r="BB23" s="777"/>
      <c r="BC23" s="777"/>
      <c r="BD23" s="777"/>
      <c r="BE23" s="777"/>
      <c r="BF23" s="777"/>
      <c r="BG23" s="777"/>
      <c r="BH23" s="777"/>
      <c r="BI23" s="777"/>
      <c r="BJ23" s="777"/>
      <c r="BK23" s="777"/>
      <c r="BL23" s="777"/>
      <c r="BM23" s="777"/>
      <c r="BN23" s="777"/>
      <c r="BO23" s="777"/>
      <c r="BP23" s="777"/>
      <c r="BQ23" s="777"/>
      <c r="BR23" s="777"/>
      <c r="BS23" s="777"/>
      <c r="BT23" s="777"/>
    </row>
    <row r="24" spans="1:72" x14ac:dyDescent="0.25">
      <c r="A24" s="777"/>
      <c r="B24" s="777"/>
      <c r="C24" s="777"/>
      <c r="D24" s="777"/>
      <c r="E24" s="777"/>
      <c r="F24" s="777"/>
      <c r="G24" s="777"/>
      <c r="H24" s="777"/>
      <c r="I24" s="777"/>
      <c r="J24" s="777"/>
      <c r="K24" s="777"/>
      <c r="L24" s="777"/>
      <c r="M24" s="777"/>
      <c r="N24" s="777"/>
      <c r="O24" s="777"/>
      <c r="P24" s="777"/>
      <c r="Q24" s="777"/>
      <c r="R24" s="777"/>
      <c r="S24" s="777"/>
      <c r="T24" s="777"/>
      <c r="U24" s="777"/>
      <c r="V24" s="777"/>
      <c r="W24" s="777"/>
      <c r="X24" s="777"/>
      <c r="Y24" s="777"/>
      <c r="Z24" s="777"/>
      <c r="AA24" s="777"/>
      <c r="AB24" s="777"/>
      <c r="AC24" s="777"/>
      <c r="AD24" s="777"/>
      <c r="AE24" s="777"/>
      <c r="AF24" s="777"/>
      <c r="AG24" s="777"/>
      <c r="AH24" s="777"/>
      <c r="AI24" s="777"/>
      <c r="AJ24" s="777"/>
      <c r="AK24" s="777"/>
      <c r="AL24" s="777"/>
      <c r="AM24" s="777"/>
      <c r="AN24" s="777"/>
      <c r="AO24" s="777"/>
      <c r="AP24" s="777"/>
      <c r="AQ24" s="777"/>
      <c r="AR24" s="777"/>
      <c r="AS24" s="777"/>
      <c r="AT24" s="777"/>
      <c r="AU24" s="777"/>
      <c r="AV24" s="777"/>
      <c r="AW24" s="777"/>
      <c r="AX24" s="777"/>
      <c r="AY24" s="777"/>
      <c r="AZ24" s="777"/>
      <c r="BA24" s="777"/>
      <c r="BB24" s="777"/>
      <c r="BC24" s="777"/>
      <c r="BD24" s="777"/>
      <c r="BE24" s="777"/>
      <c r="BF24" s="777"/>
      <c r="BG24" s="777"/>
      <c r="BH24" s="777"/>
      <c r="BI24" s="777"/>
      <c r="BJ24" s="777"/>
      <c r="BK24" s="777"/>
      <c r="BL24" s="777"/>
      <c r="BM24" s="777"/>
      <c r="BN24" s="777"/>
      <c r="BO24" s="777"/>
      <c r="BP24" s="777"/>
      <c r="BQ24" s="777"/>
      <c r="BR24" s="777"/>
      <c r="BS24" s="777"/>
      <c r="BT24" s="777"/>
    </row>
    <row r="25" spans="1:72" ht="15.6" x14ac:dyDescent="0.3">
      <c r="A25" s="1612" t="s">
        <v>1094</v>
      </c>
      <c r="B25" s="1612"/>
      <c r="C25" s="1612"/>
      <c r="D25" s="1612"/>
      <c r="E25" s="1612"/>
      <c r="F25" s="1612"/>
      <c r="G25" s="1612"/>
      <c r="H25" s="1612"/>
      <c r="I25" s="1612"/>
      <c r="J25" s="1612"/>
      <c r="K25" s="1612"/>
      <c r="L25" s="777"/>
      <c r="M25" s="777"/>
      <c r="N25" s="777"/>
      <c r="O25" s="777"/>
      <c r="P25" s="777"/>
      <c r="Q25" s="777"/>
      <c r="R25" s="777"/>
      <c r="S25" s="777"/>
      <c r="T25" s="777"/>
      <c r="U25" s="777"/>
      <c r="V25" s="777"/>
      <c r="W25" s="777"/>
      <c r="X25" s="777"/>
      <c r="Y25" s="777"/>
      <c r="Z25" s="777"/>
      <c r="AA25" s="777"/>
      <c r="AB25" s="777"/>
      <c r="AC25" s="777"/>
      <c r="AD25" s="777"/>
      <c r="AE25" s="777"/>
      <c r="AF25" s="777"/>
      <c r="AG25" s="777"/>
      <c r="AH25" s="777"/>
      <c r="AI25" s="777"/>
      <c r="AJ25" s="777"/>
      <c r="AK25" s="777"/>
      <c r="AL25" s="777"/>
      <c r="AM25" s="777"/>
      <c r="AN25" s="777"/>
      <c r="AO25" s="777"/>
      <c r="AP25" s="777"/>
      <c r="AQ25" s="777"/>
      <c r="AR25" s="777"/>
      <c r="AS25" s="777"/>
      <c r="AT25" s="777"/>
      <c r="AU25" s="777"/>
      <c r="AV25" s="777"/>
      <c r="AW25" s="777"/>
      <c r="AX25" s="777"/>
      <c r="AY25" s="777"/>
      <c r="AZ25" s="777"/>
      <c r="BA25" s="777"/>
      <c r="BB25" s="777"/>
      <c r="BC25" s="777"/>
      <c r="BD25" s="777"/>
      <c r="BE25" s="777"/>
      <c r="BF25" s="777"/>
      <c r="BG25" s="777"/>
      <c r="BH25" s="777"/>
      <c r="BI25" s="777"/>
      <c r="BJ25" s="777"/>
      <c r="BK25" s="777"/>
      <c r="BL25" s="777"/>
      <c r="BM25" s="777"/>
      <c r="BN25" s="777"/>
      <c r="BO25" s="777"/>
      <c r="BP25" s="777"/>
      <c r="BQ25" s="777"/>
      <c r="BR25" s="777"/>
      <c r="BS25" s="777"/>
      <c r="BT25" s="777"/>
    </row>
    <row r="26" spans="1:72" ht="13.8" thickBot="1" x14ac:dyDescent="0.3">
      <c r="A26" s="1613"/>
      <c r="B26" s="1613"/>
      <c r="C26" s="1613"/>
      <c r="D26" s="1613"/>
      <c r="E26" s="1613"/>
      <c r="F26" s="1613"/>
      <c r="G26" s="1613"/>
      <c r="H26" s="1613"/>
      <c r="I26" s="1613"/>
      <c r="J26" s="1613"/>
      <c r="K26" s="1613"/>
      <c r="L26" s="777"/>
      <c r="M26" s="777"/>
      <c r="N26" s="777"/>
      <c r="O26" s="777"/>
      <c r="P26" s="777"/>
      <c r="Q26" s="777"/>
      <c r="R26" s="777"/>
      <c r="S26" s="777"/>
      <c r="T26" s="777"/>
      <c r="U26" s="777"/>
      <c r="V26" s="777"/>
      <c r="W26" s="777"/>
      <c r="X26" s="777"/>
      <c r="Y26" s="777"/>
      <c r="Z26" s="777"/>
      <c r="AA26" s="777"/>
      <c r="AB26" s="777"/>
      <c r="AC26" s="777"/>
      <c r="AD26" s="777"/>
      <c r="AE26" s="777"/>
      <c r="AF26" s="777"/>
      <c r="AG26" s="777"/>
      <c r="AH26" s="777"/>
      <c r="AI26" s="777"/>
      <c r="AJ26" s="777"/>
      <c r="AK26" s="777"/>
      <c r="AL26" s="777"/>
      <c r="AM26" s="777"/>
      <c r="AN26" s="777"/>
      <c r="AO26" s="777"/>
      <c r="AP26" s="777"/>
      <c r="AQ26" s="777"/>
      <c r="AR26" s="777"/>
      <c r="AS26" s="777"/>
      <c r="AT26" s="777"/>
      <c r="AU26" s="777"/>
      <c r="AV26" s="777"/>
      <c r="AW26" s="777"/>
      <c r="AX26" s="777"/>
      <c r="AY26" s="777"/>
      <c r="AZ26" s="777"/>
      <c r="BA26" s="777"/>
      <c r="BB26" s="777"/>
      <c r="BC26" s="777"/>
      <c r="BD26" s="777"/>
      <c r="BE26" s="777"/>
      <c r="BF26" s="777"/>
      <c r="BG26" s="777"/>
      <c r="BH26" s="777"/>
      <c r="BI26" s="777"/>
      <c r="BJ26" s="777"/>
      <c r="BK26" s="777"/>
      <c r="BL26" s="777"/>
      <c r="BM26" s="777"/>
      <c r="BN26" s="777"/>
      <c r="BO26" s="777"/>
      <c r="BP26" s="777"/>
      <c r="BQ26" s="777"/>
      <c r="BR26" s="777"/>
      <c r="BS26" s="777"/>
      <c r="BT26" s="777"/>
    </row>
    <row r="27" spans="1:72" ht="39.6" x14ac:dyDescent="0.25">
      <c r="A27" s="778"/>
      <c r="B27" s="779" t="s">
        <v>747</v>
      </c>
      <c r="C27" s="779" t="s">
        <v>748</v>
      </c>
      <c r="D27" s="779" t="s">
        <v>1096</v>
      </c>
      <c r="E27" s="1614"/>
      <c r="F27" s="1614"/>
      <c r="G27" s="1614"/>
      <c r="H27" s="1614"/>
      <c r="I27" s="1614"/>
      <c r="J27" s="1616" t="s">
        <v>749</v>
      </c>
      <c r="K27" s="1617"/>
      <c r="L27" s="777"/>
      <c r="M27" s="777"/>
      <c r="N27" s="777"/>
      <c r="O27" s="777"/>
      <c r="P27" s="777"/>
      <c r="Q27" s="777"/>
      <c r="R27" s="777"/>
      <c r="S27" s="777"/>
      <c r="T27" s="777"/>
      <c r="U27" s="777"/>
      <c r="V27" s="777"/>
      <c r="W27" s="777"/>
      <c r="X27" s="777"/>
      <c r="Y27" s="777"/>
      <c r="Z27" s="777"/>
      <c r="AA27" s="777"/>
      <c r="AB27" s="777"/>
      <c r="AC27" s="777"/>
      <c r="AD27" s="777"/>
      <c r="AE27" s="777"/>
      <c r="AF27" s="777"/>
      <c r="AG27" s="777"/>
      <c r="AH27" s="777"/>
      <c r="AI27" s="777"/>
      <c r="AJ27" s="777"/>
      <c r="AK27" s="777"/>
      <c r="AL27" s="777"/>
      <c r="AM27" s="777"/>
      <c r="AN27" s="777"/>
      <c r="AO27" s="777"/>
      <c r="AP27" s="777"/>
      <c r="AQ27" s="777"/>
      <c r="AR27" s="777"/>
      <c r="AS27" s="777"/>
      <c r="AT27" s="777"/>
      <c r="AU27" s="777"/>
      <c r="AV27" s="777"/>
      <c r="AW27" s="777"/>
      <c r="AX27" s="777"/>
      <c r="AY27" s="777"/>
      <c r="AZ27" s="777"/>
      <c r="BA27" s="777"/>
      <c r="BB27" s="777"/>
      <c r="BC27" s="777"/>
      <c r="BD27" s="777"/>
      <c r="BE27" s="777"/>
      <c r="BF27" s="777"/>
      <c r="BG27" s="777"/>
      <c r="BH27" s="777"/>
      <c r="BI27" s="777"/>
      <c r="BJ27" s="777"/>
      <c r="BK27" s="777"/>
      <c r="BL27" s="777"/>
      <c r="BM27" s="777"/>
      <c r="BN27" s="777"/>
      <c r="BO27" s="777"/>
      <c r="BP27" s="777"/>
      <c r="BQ27" s="777"/>
      <c r="BR27" s="777"/>
      <c r="BS27" s="777"/>
      <c r="BT27" s="777"/>
    </row>
    <row r="28" spans="1:72" x14ac:dyDescent="0.25">
      <c r="A28" s="780" t="s">
        <v>558</v>
      </c>
      <c r="B28" s="781">
        <f>G40/F40</f>
        <v>1.0482288241385485</v>
      </c>
      <c r="C28" s="781">
        <f>H40/G40</f>
        <v>1.0526415477404851</v>
      </c>
      <c r="D28" s="781">
        <f>I40/H40</f>
        <v>1.0160295046377366</v>
      </c>
      <c r="E28" s="1615"/>
      <c r="F28" s="1615"/>
      <c r="G28" s="1615"/>
      <c r="H28" s="1615"/>
      <c r="I28" s="1615"/>
      <c r="J28" s="1615" t="s">
        <v>1066</v>
      </c>
      <c r="K28" s="1618" t="s">
        <v>1074</v>
      </c>
      <c r="L28" s="777"/>
      <c r="M28" s="777"/>
      <c r="N28" s="777"/>
      <c r="O28" s="777"/>
      <c r="P28" s="777"/>
      <c r="Q28" s="777"/>
      <c r="R28" s="777"/>
      <c r="S28" s="777"/>
      <c r="T28" s="777"/>
      <c r="U28" s="777"/>
      <c r="V28" s="777"/>
      <c r="W28" s="777"/>
      <c r="X28" s="777"/>
      <c r="Y28" s="777"/>
      <c r="Z28" s="777"/>
      <c r="AA28" s="777"/>
      <c r="AB28" s="777"/>
      <c r="AC28" s="777"/>
      <c r="AD28" s="777"/>
      <c r="AE28" s="777"/>
      <c r="AF28" s="777"/>
      <c r="AG28" s="777"/>
      <c r="AH28" s="777"/>
      <c r="AI28" s="777"/>
      <c r="AJ28" s="777"/>
      <c r="AK28" s="777"/>
      <c r="AL28" s="777"/>
      <c r="AM28" s="777"/>
      <c r="AN28" s="777"/>
      <c r="AO28" s="777"/>
      <c r="AP28" s="777"/>
      <c r="AQ28" s="777"/>
      <c r="AR28" s="777"/>
      <c r="AS28" s="777"/>
      <c r="AT28" s="777"/>
      <c r="AU28" s="777"/>
      <c r="AV28" s="777"/>
      <c r="AW28" s="777"/>
      <c r="AX28" s="777"/>
      <c r="AY28" s="777"/>
      <c r="AZ28" s="777"/>
      <c r="BA28" s="777"/>
      <c r="BB28" s="777"/>
      <c r="BC28" s="777"/>
      <c r="BD28" s="777"/>
      <c r="BE28" s="777"/>
      <c r="BF28" s="777"/>
      <c r="BG28" s="777"/>
      <c r="BH28" s="777"/>
      <c r="BI28" s="777"/>
      <c r="BJ28" s="777"/>
      <c r="BK28" s="777"/>
      <c r="BL28" s="777"/>
      <c r="BM28" s="777"/>
      <c r="BN28" s="777"/>
      <c r="BO28" s="777"/>
      <c r="BP28" s="777"/>
      <c r="BQ28" s="777"/>
      <c r="BR28" s="777"/>
      <c r="BS28" s="777"/>
      <c r="BT28" s="777"/>
    </row>
    <row r="29" spans="1:72" x14ac:dyDescent="0.25">
      <c r="A29" s="782" t="s">
        <v>559</v>
      </c>
      <c r="B29" s="783">
        <f t="shared" ref="B29:B35" si="0">G41/F41</f>
        <v>1.1441282284851997</v>
      </c>
      <c r="C29" s="783">
        <f t="shared" ref="C29:C35" si="1">H41/G41</f>
        <v>1.1360328119345371</v>
      </c>
      <c r="D29" s="783">
        <f t="shared" ref="D29:D35" si="2">I41/H41</f>
        <v>1.0363018547359477</v>
      </c>
      <c r="E29" s="1615"/>
      <c r="F29" s="1615"/>
      <c r="G29" s="1615"/>
      <c r="H29" s="1615"/>
      <c r="I29" s="1615"/>
      <c r="J29" s="1615"/>
      <c r="K29" s="1618"/>
      <c r="L29" s="777"/>
      <c r="M29" s="777"/>
      <c r="N29" s="777"/>
      <c r="O29" s="777"/>
      <c r="P29" s="777"/>
      <c r="Q29" s="777"/>
      <c r="R29" s="777"/>
      <c r="S29" s="777"/>
      <c r="T29" s="777"/>
      <c r="U29" s="777"/>
      <c r="V29" s="777"/>
      <c r="W29" s="777"/>
      <c r="X29" s="777"/>
      <c r="Y29" s="777"/>
      <c r="Z29" s="777"/>
      <c r="AA29" s="777"/>
      <c r="AB29" s="777"/>
      <c r="AC29" s="777"/>
      <c r="AD29" s="777"/>
      <c r="AE29" s="777"/>
      <c r="AF29" s="777"/>
      <c r="AG29" s="777"/>
      <c r="AH29" s="777"/>
      <c r="AI29" s="777"/>
      <c r="AJ29" s="777"/>
      <c r="AK29" s="777"/>
      <c r="AL29" s="777"/>
      <c r="AM29" s="777"/>
      <c r="AN29" s="777"/>
      <c r="AO29" s="777"/>
      <c r="AP29" s="777"/>
      <c r="AQ29" s="777"/>
      <c r="AR29" s="777"/>
      <c r="AS29" s="777"/>
      <c r="AT29" s="777"/>
      <c r="AU29" s="777"/>
      <c r="AV29" s="777"/>
      <c r="AW29" s="777"/>
      <c r="AX29" s="777"/>
      <c r="AY29" s="777"/>
      <c r="AZ29" s="777"/>
      <c r="BA29" s="777"/>
      <c r="BB29" s="777"/>
      <c r="BC29" s="777"/>
      <c r="BD29" s="777"/>
      <c r="BE29" s="777"/>
      <c r="BF29" s="777"/>
      <c r="BG29" s="777"/>
      <c r="BH29" s="777"/>
      <c r="BI29" s="777"/>
      <c r="BJ29" s="777"/>
      <c r="BK29" s="777"/>
      <c r="BL29" s="777"/>
      <c r="BM29" s="777"/>
      <c r="BN29" s="777"/>
      <c r="BO29" s="777"/>
      <c r="BP29" s="777"/>
      <c r="BQ29" s="777"/>
      <c r="BR29" s="777"/>
      <c r="BS29" s="777"/>
      <c r="BT29" s="777"/>
    </row>
    <row r="30" spans="1:72" x14ac:dyDescent="0.25">
      <c r="A30" s="780" t="s">
        <v>560</v>
      </c>
      <c r="B30" s="781">
        <f t="shared" si="0"/>
        <v>1.1252277801242987</v>
      </c>
      <c r="C30" s="781">
        <f t="shared" si="1"/>
        <v>1.1222249629995065</v>
      </c>
      <c r="D30" s="781">
        <f t="shared" si="2"/>
        <v>1.0285793469898747</v>
      </c>
      <c r="E30" s="1615"/>
      <c r="F30" s="1615"/>
      <c r="G30" s="1615"/>
      <c r="H30" s="1615"/>
      <c r="I30" s="1615"/>
      <c r="J30" s="784">
        <v>1991</v>
      </c>
      <c r="K30" s="785">
        <v>84.5</v>
      </c>
      <c r="L30" s="777"/>
      <c r="M30" s="777"/>
      <c r="N30" s="777"/>
      <c r="O30" s="777"/>
      <c r="P30" s="777"/>
      <c r="Q30" s="777"/>
      <c r="R30" s="777"/>
      <c r="S30" s="777"/>
      <c r="T30" s="777"/>
      <c r="U30" s="777"/>
      <c r="V30" s="777"/>
      <c r="W30" s="777"/>
      <c r="X30" s="777"/>
      <c r="Y30" s="777"/>
      <c r="Z30" s="777"/>
      <c r="AA30" s="777"/>
      <c r="AB30" s="777"/>
      <c r="AC30" s="777"/>
      <c r="AD30" s="777"/>
      <c r="AE30" s="777"/>
      <c r="AF30" s="777"/>
      <c r="AG30" s="777"/>
      <c r="AH30" s="777"/>
      <c r="AI30" s="777"/>
      <c r="AJ30" s="777"/>
      <c r="AK30" s="777"/>
      <c r="AL30" s="777"/>
      <c r="AM30" s="777"/>
      <c r="AN30" s="777"/>
      <c r="AO30" s="777"/>
      <c r="AP30" s="777"/>
      <c r="AQ30" s="777"/>
      <c r="AR30" s="777"/>
      <c r="AS30" s="777"/>
      <c r="AT30" s="777"/>
      <c r="AU30" s="777"/>
      <c r="AV30" s="777"/>
      <c r="AW30" s="777"/>
      <c r="AX30" s="777"/>
      <c r="AY30" s="777"/>
      <c r="AZ30" s="777"/>
      <c r="BA30" s="777"/>
      <c r="BB30" s="777"/>
      <c r="BC30" s="777"/>
      <c r="BD30" s="777"/>
      <c r="BE30" s="777"/>
      <c r="BF30" s="777"/>
      <c r="BG30" s="777"/>
      <c r="BH30" s="777"/>
      <c r="BI30" s="777"/>
      <c r="BJ30" s="777"/>
      <c r="BK30" s="777"/>
      <c r="BL30" s="777"/>
      <c r="BM30" s="777"/>
      <c r="BN30" s="777"/>
      <c r="BO30" s="777"/>
      <c r="BP30" s="777"/>
      <c r="BQ30" s="777"/>
      <c r="BR30" s="777"/>
      <c r="BS30" s="777"/>
      <c r="BT30" s="777"/>
    </row>
    <row r="31" spans="1:72" x14ac:dyDescent="0.25">
      <c r="A31" s="782" t="s">
        <v>561</v>
      </c>
      <c r="B31" s="783">
        <f t="shared" si="0"/>
        <v>1.0687839040840581</v>
      </c>
      <c r="C31" s="783">
        <f t="shared" si="1"/>
        <v>1.0213566498986533</v>
      </c>
      <c r="D31" s="783">
        <f t="shared" si="2"/>
        <v>1.0031375164207406</v>
      </c>
      <c r="E31" s="1615"/>
      <c r="F31" s="1615"/>
      <c r="G31" s="1615"/>
      <c r="H31" s="1615"/>
      <c r="I31" s="1615"/>
      <c r="J31" s="786">
        <v>1992</v>
      </c>
      <c r="K31" s="787">
        <v>86.4</v>
      </c>
      <c r="L31" s="777"/>
      <c r="M31" s="777"/>
      <c r="N31" s="777"/>
      <c r="O31" s="777"/>
      <c r="P31" s="777"/>
      <c r="Q31" s="777"/>
      <c r="R31" s="777"/>
      <c r="S31" s="777"/>
      <c r="T31" s="777"/>
      <c r="U31" s="777"/>
      <c r="V31" s="777"/>
      <c r="W31" s="777"/>
      <c r="X31" s="777"/>
      <c r="Y31" s="777"/>
      <c r="Z31" s="777"/>
      <c r="AA31" s="777"/>
      <c r="AB31" s="777"/>
      <c r="AC31" s="777"/>
      <c r="AD31" s="777"/>
      <c r="AE31" s="777"/>
      <c r="AF31" s="777"/>
      <c r="AG31" s="777"/>
      <c r="AH31" s="777"/>
      <c r="AI31" s="777"/>
      <c r="AJ31" s="777"/>
      <c r="AK31" s="777"/>
      <c r="AL31" s="777"/>
      <c r="AM31" s="777"/>
      <c r="AN31" s="777"/>
      <c r="AO31" s="777"/>
      <c r="AP31" s="777"/>
      <c r="AQ31" s="777"/>
      <c r="AR31" s="777"/>
      <c r="AS31" s="777"/>
      <c r="AT31" s="777"/>
      <c r="AU31" s="777"/>
      <c r="AV31" s="777"/>
      <c r="AW31" s="777"/>
      <c r="AX31" s="777"/>
      <c r="AY31" s="777"/>
      <c r="AZ31" s="777"/>
      <c r="BA31" s="777"/>
      <c r="BB31" s="777"/>
      <c r="BC31" s="777"/>
      <c r="BD31" s="777"/>
      <c r="BE31" s="777"/>
      <c r="BF31" s="777"/>
      <c r="BG31" s="777"/>
      <c r="BH31" s="777"/>
      <c r="BI31" s="777"/>
      <c r="BJ31" s="777"/>
      <c r="BK31" s="777"/>
      <c r="BL31" s="777"/>
      <c r="BM31" s="777"/>
      <c r="BN31" s="777"/>
      <c r="BO31" s="777"/>
      <c r="BP31" s="777"/>
      <c r="BQ31" s="777"/>
      <c r="BR31" s="777"/>
      <c r="BS31" s="777"/>
      <c r="BT31" s="777"/>
    </row>
    <row r="32" spans="1:72" x14ac:dyDescent="0.25">
      <c r="A32" s="780" t="s">
        <v>562</v>
      </c>
      <c r="B32" s="781">
        <f t="shared" si="0"/>
        <v>1.03736526166104</v>
      </c>
      <c r="C32" s="781">
        <f t="shared" si="1"/>
        <v>1.0084486821562659</v>
      </c>
      <c r="D32" s="781">
        <f t="shared" si="2"/>
        <v>1.0010687685088917</v>
      </c>
      <c r="E32" s="1615"/>
      <c r="F32" s="1615"/>
      <c r="G32" s="1615"/>
      <c r="H32" s="1615"/>
      <c r="I32" s="1615"/>
      <c r="J32" s="784">
        <v>1993</v>
      </c>
      <c r="K32" s="785">
        <v>88.4</v>
      </c>
      <c r="L32" s="777"/>
      <c r="M32" s="777"/>
      <c r="N32" s="777"/>
      <c r="O32" s="777"/>
      <c r="P32" s="777"/>
      <c r="Q32" s="777"/>
      <c r="R32" s="777"/>
      <c r="S32" s="777"/>
      <c r="T32" s="777"/>
      <c r="U32" s="777"/>
      <c r="V32" s="777"/>
      <c r="W32" s="777"/>
      <c r="X32" s="777"/>
      <c r="Y32" s="777"/>
      <c r="Z32" s="777"/>
      <c r="AA32" s="777"/>
      <c r="AB32" s="777"/>
      <c r="AC32" s="777"/>
      <c r="AD32" s="777"/>
      <c r="AE32" s="777"/>
      <c r="AF32" s="777"/>
      <c r="AG32" s="777"/>
      <c r="AH32" s="777"/>
      <c r="AI32" s="777"/>
      <c r="AJ32" s="777"/>
      <c r="AK32" s="777"/>
      <c r="AL32" s="777"/>
      <c r="AM32" s="777"/>
      <c r="AN32" s="777"/>
      <c r="AO32" s="777"/>
      <c r="AP32" s="777"/>
      <c r="AQ32" s="777"/>
      <c r="AR32" s="777"/>
      <c r="AS32" s="777"/>
      <c r="AT32" s="777"/>
      <c r="AU32" s="777"/>
      <c r="AV32" s="777"/>
      <c r="AW32" s="777"/>
      <c r="AX32" s="777"/>
      <c r="AY32" s="777"/>
      <c r="AZ32" s="777"/>
      <c r="BA32" s="777"/>
      <c r="BB32" s="777"/>
      <c r="BC32" s="777"/>
      <c r="BD32" s="777"/>
      <c r="BE32" s="777"/>
      <c r="BF32" s="777"/>
      <c r="BG32" s="777"/>
      <c r="BH32" s="777"/>
      <c r="BI32" s="777"/>
      <c r="BJ32" s="777"/>
      <c r="BK32" s="777"/>
      <c r="BL32" s="777"/>
      <c r="BM32" s="777"/>
      <c r="BN32" s="777"/>
      <c r="BO32" s="777"/>
      <c r="BP32" s="777"/>
      <c r="BQ32" s="777"/>
      <c r="BR32" s="777"/>
      <c r="BS32" s="777"/>
      <c r="BT32" s="777"/>
    </row>
    <row r="33" spans="1:72" x14ac:dyDescent="0.25">
      <c r="A33" s="782" t="s">
        <v>563</v>
      </c>
      <c r="B33" s="783">
        <f t="shared" si="0"/>
        <v>0.975071533164794</v>
      </c>
      <c r="C33" s="783">
        <f t="shared" si="1"/>
        <v>1.0087393571750138</v>
      </c>
      <c r="D33" s="783">
        <f t="shared" si="2"/>
        <v>0.99663324890666094</v>
      </c>
      <c r="E33" s="1615"/>
      <c r="F33" s="1615"/>
      <c r="G33" s="1615"/>
      <c r="H33" s="1615"/>
      <c r="I33" s="1615"/>
      <c r="J33" s="786">
        <v>1994</v>
      </c>
      <c r="K33" s="787">
        <v>90.3</v>
      </c>
      <c r="L33" s="777"/>
      <c r="M33" s="777"/>
      <c r="N33" s="777"/>
      <c r="O33" s="777"/>
      <c r="P33" s="777"/>
      <c r="Q33" s="777"/>
      <c r="R33" s="777"/>
      <c r="S33" s="777"/>
      <c r="T33" s="777"/>
      <c r="U33" s="777"/>
      <c r="V33" s="777"/>
      <c r="W33" s="777"/>
      <c r="X33" s="777"/>
      <c r="Y33" s="777"/>
      <c r="Z33" s="777"/>
      <c r="AA33" s="777"/>
      <c r="AB33" s="777"/>
      <c r="AC33" s="777"/>
      <c r="AD33" s="777"/>
      <c r="AE33" s="777"/>
      <c r="AF33" s="777"/>
      <c r="AG33" s="777"/>
      <c r="AH33" s="777"/>
      <c r="AI33" s="777"/>
      <c r="AJ33" s="777"/>
      <c r="AK33" s="777"/>
      <c r="AL33" s="777"/>
      <c r="AM33" s="777"/>
      <c r="AN33" s="777"/>
      <c r="AO33" s="777"/>
      <c r="AP33" s="777"/>
      <c r="AQ33" s="777"/>
      <c r="AR33" s="777"/>
      <c r="AS33" s="777"/>
      <c r="AT33" s="777"/>
      <c r="AU33" s="777"/>
      <c r="AV33" s="777"/>
      <c r="AW33" s="777"/>
      <c r="AX33" s="777"/>
      <c r="AY33" s="777"/>
      <c r="AZ33" s="777"/>
      <c r="BA33" s="777"/>
      <c r="BB33" s="777"/>
      <c r="BC33" s="777"/>
      <c r="BD33" s="777"/>
      <c r="BE33" s="777"/>
      <c r="BF33" s="777"/>
      <c r="BG33" s="777"/>
      <c r="BH33" s="777"/>
      <c r="BI33" s="777"/>
      <c r="BJ33" s="777"/>
      <c r="BK33" s="777"/>
      <c r="BL33" s="777"/>
      <c r="BM33" s="777"/>
      <c r="BN33" s="777"/>
      <c r="BO33" s="777"/>
      <c r="BP33" s="777"/>
      <c r="BQ33" s="777"/>
      <c r="BR33" s="777"/>
      <c r="BS33" s="777"/>
      <c r="BT33" s="777"/>
    </row>
    <row r="34" spans="1:72" x14ac:dyDescent="0.25">
      <c r="A34" s="780" t="s">
        <v>564</v>
      </c>
      <c r="B34" s="781">
        <f t="shared" si="0"/>
        <v>1.0938371922267365</v>
      </c>
      <c r="C34" s="781">
        <f t="shared" si="1"/>
        <v>1.0852680569229392</v>
      </c>
      <c r="D34" s="781">
        <f t="shared" si="2"/>
        <v>1.0142672175626977</v>
      </c>
      <c r="E34" s="1615"/>
      <c r="F34" s="1615"/>
      <c r="G34" s="1615"/>
      <c r="H34" s="1615"/>
      <c r="I34" s="1615"/>
      <c r="J34" s="784">
        <v>1995</v>
      </c>
      <c r="K34" s="785">
        <v>92.1</v>
      </c>
      <c r="L34" s="777"/>
      <c r="M34" s="777"/>
      <c r="N34" s="777"/>
      <c r="O34" s="777"/>
      <c r="P34" s="777"/>
      <c r="Q34" s="777"/>
      <c r="R34" s="777"/>
      <c r="S34" s="777"/>
      <c r="T34" s="777"/>
      <c r="U34" s="777"/>
      <c r="V34" s="777"/>
      <c r="W34" s="777"/>
      <c r="X34" s="777"/>
      <c r="Y34" s="777"/>
      <c r="Z34" s="777"/>
      <c r="AA34" s="777"/>
      <c r="AB34" s="777"/>
      <c r="AC34" s="777"/>
      <c r="AD34" s="777"/>
      <c r="AE34" s="777"/>
      <c r="AF34" s="777"/>
      <c r="AG34" s="777"/>
      <c r="AH34" s="777"/>
      <c r="AI34" s="777"/>
      <c r="AJ34" s="777"/>
      <c r="AK34" s="777"/>
      <c r="AL34" s="777"/>
      <c r="AM34" s="777"/>
      <c r="AN34" s="777"/>
      <c r="AO34" s="777"/>
      <c r="AP34" s="777"/>
      <c r="AQ34" s="777"/>
      <c r="AR34" s="777"/>
      <c r="AS34" s="777"/>
      <c r="AT34" s="777"/>
      <c r="AU34" s="777"/>
      <c r="AV34" s="777"/>
      <c r="AW34" s="777"/>
      <c r="AX34" s="777"/>
      <c r="AY34" s="777"/>
      <c r="AZ34" s="777"/>
      <c r="BA34" s="777"/>
      <c r="BB34" s="777"/>
      <c r="BC34" s="777"/>
      <c r="BD34" s="777"/>
      <c r="BE34" s="777"/>
      <c r="BF34" s="777"/>
      <c r="BG34" s="777"/>
      <c r="BH34" s="777"/>
      <c r="BI34" s="777"/>
      <c r="BJ34" s="777"/>
      <c r="BK34" s="777"/>
      <c r="BL34" s="777"/>
      <c r="BM34" s="777"/>
      <c r="BN34" s="777"/>
      <c r="BO34" s="777"/>
      <c r="BP34" s="777"/>
      <c r="BQ34" s="777"/>
      <c r="BR34" s="777"/>
      <c r="BS34" s="777"/>
      <c r="BT34" s="777"/>
    </row>
    <row r="35" spans="1:72" x14ac:dyDescent="0.25">
      <c r="A35" s="782" t="s">
        <v>311</v>
      </c>
      <c r="B35" s="783">
        <f t="shared" si="0"/>
        <v>1.0046194107582356</v>
      </c>
      <c r="C35" s="783">
        <f t="shared" si="1"/>
        <v>1.003094645903579</v>
      </c>
      <c r="D35" s="783">
        <f t="shared" si="2"/>
        <v>0.99710816742279029</v>
      </c>
      <c r="E35" s="1615"/>
      <c r="F35" s="1615"/>
      <c r="G35" s="1615"/>
      <c r="H35" s="1615"/>
      <c r="I35" s="1615"/>
      <c r="J35" s="786">
        <v>1996</v>
      </c>
      <c r="K35" s="787">
        <v>93.9</v>
      </c>
      <c r="L35" s="777"/>
      <c r="M35" s="777"/>
      <c r="N35" s="777"/>
      <c r="O35" s="777"/>
      <c r="P35" s="777"/>
      <c r="Q35" s="777"/>
      <c r="R35" s="777"/>
      <c r="S35" s="777"/>
      <c r="T35" s="777"/>
      <c r="U35" s="777"/>
      <c r="V35" s="777"/>
      <c r="W35" s="777"/>
      <c r="X35" s="777"/>
      <c r="Y35" s="777"/>
      <c r="Z35" s="777"/>
      <c r="AA35" s="777"/>
      <c r="AB35" s="777"/>
      <c r="AC35" s="777"/>
      <c r="AD35" s="777"/>
      <c r="AE35" s="777"/>
      <c r="AF35" s="777"/>
      <c r="AG35" s="777"/>
      <c r="AH35" s="777"/>
      <c r="AI35" s="777"/>
      <c r="AJ35" s="777"/>
      <c r="AK35" s="777"/>
      <c r="AL35" s="777"/>
      <c r="AM35" s="777"/>
      <c r="AN35" s="777"/>
      <c r="AO35" s="777"/>
      <c r="AP35" s="777"/>
      <c r="AQ35" s="777"/>
      <c r="AR35" s="777"/>
      <c r="AS35" s="777"/>
      <c r="AT35" s="777"/>
      <c r="AU35" s="777"/>
      <c r="AV35" s="777"/>
      <c r="AW35" s="777"/>
      <c r="AX35" s="777"/>
      <c r="AY35" s="777"/>
      <c r="AZ35" s="777"/>
      <c r="BA35" s="777"/>
      <c r="BB35" s="777"/>
      <c r="BC35" s="777"/>
      <c r="BD35" s="777"/>
      <c r="BE35" s="777"/>
      <c r="BF35" s="777"/>
      <c r="BG35" s="777"/>
      <c r="BH35" s="777"/>
      <c r="BI35" s="777"/>
      <c r="BJ35" s="777"/>
      <c r="BK35" s="777"/>
      <c r="BL35" s="777"/>
      <c r="BM35" s="777"/>
      <c r="BN35" s="777"/>
      <c r="BO35" s="777"/>
      <c r="BP35" s="777"/>
      <c r="BQ35" s="777"/>
      <c r="BR35" s="777"/>
      <c r="BS35" s="777"/>
      <c r="BT35" s="777"/>
    </row>
    <row r="36" spans="1:72" x14ac:dyDescent="0.25">
      <c r="A36" s="1619"/>
      <c r="B36" s="1620"/>
      <c r="C36" s="1620"/>
      <c r="D36" s="1620"/>
      <c r="E36" s="1615"/>
      <c r="F36" s="1615"/>
      <c r="G36" s="1615"/>
      <c r="H36" s="1615"/>
      <c r="I36" s="1615"/>
      <c r="J36" s="784">
        <v>1997</v>
      </c>
      <c r="K36" s="785">
        <v>95.4</v>
      </c>
      <c r="L36" s="777"/>
      <c r="M36" s="777"/>
      <c r="N36" s="777"/>
      <c r="O36" s="777"/>
      <c r="P36" s="777"/>
      <c r="Q36" s="777"/>
      <c r="R36" s="777"/>
      <c r="S36" s="777"/>
      <c r="T36" s="777"/>
      <c r="U36" s="777"/>
      <c r="V36" s="777"/>
      <c r="W36" s="777"/>
      <c r="X36" s="777"/>
      <c r="Y36" s="777"/>
      <c r="Z36" s="777"/>
      <c r="AA36" s="777"/>
      <c r="AB36" s="777"/>
      <c r="AC36" s="777"/>
      <c r="AD36" s="777"/>
      <c r="AE36" s="777"/>
      <c r="AF36" s="777"/>
      <c r="AG36" s="777"/>
      <c r="AH36" s="777"/>
      <c r="AI36" s="777"/>
      <c r="AJ36" s="777"/>
      <c r="AK36" s="777"/>
      <c r="AL36" s="777"/>
      <c r="AM36" s="777"/>
      <c r="AN36" s="777"/>
      <c r="AO36" s="777"/>
      <c r="AP36" s="777"/>
      <c r="AQ36" s="777"/>
      <c r="AR36" s="777"/>
      <c r="AS36" s="777"/>
      <c r="AT36" s="777"/>
      <c r="AU36" s="777"/>
      <c r="AV36" s="777"/>
      <c r="AW36" s="777"/>
      <c r="AX36" s="777"/>
      <c r="AY36" s="777"/>
      <c r="AZ36" s="777"/>
      <c r="BA36" s="777"/>
      <c r="BB36" s="777"/>
      <c r="BC36" s="777"/>
      <c r="BD36" s="777"/>
      <c r="BE36" s="777"/>
      <c r="BF36" s="777"/>
      <c r="BG36" s="777"/>
      <c r="BH36" s="777"/>
      <c r="BI36" s="777"/>
      <c r="BJ36" s="777"/>
      <c r="BK36" s="777"/>
      <c r="BL36" s="777"/>
      <c r="BM36" s="777"/>
      <c r="BN36" s="777"/>
      <c r="BO36" s="777"/>
      <c r="BP36" s="777"/>
      <c r="BQ36" s="777"/>
      <c r="BR36" s="777"/>
      <c r="BS36" s="777"/>
      <c r="BT36" s="777"/>
    </row>
    <row r="37" spans="1:72" x14ac:dyDescent="0.25">
      <c r="A37" s="1619"/>
      <c r="B37" s="1620"/>
      <c r="C37" s="1620"/>
      <c r="D37" s="1620"/>
      <c r="E37" s="1615"/>
      <c r="F37" s="1615"/>
      <c r="G37" s="1615"/>
      <c r="H37" s="1615"/>
      <c r="I37" s="1615"/>
      <c r="J37" s="786">
        <v>1998</v>
      </c>
      <c r="K37" s="787">
        <v>96.5</v>
      </c>
      <c r="L37" s="777"/>
      <c r="M37" s="777"/>
      <c r="N37" s="777"/>
      <c r="O37" s="777"/>
      <c r="P37" s="777"/>
      <c r="Q37" s="777"/>
      <c r="R37" s="777"/>
      <c r="S37" s="777"/>
      <c r="T37" s="777"/>
      <c r="U37" s="777"/>
      <c r="V37" s="777"/>
      <c r="W37" s="777"/>
      <c r="X37" s="777"/>
      <c r="Y37" s="777"/>
      <c r="Z37" s="777"/>
      <c r="AA37" s="777"/>
      <c r="AB37" s="777"/>
      <c r="AC37" s="777"/>
      <c r="AD37" s="777"/>
      <c r="AE37" s="777"/>
      <c r="AF37" s="777"/>
      <c r="AG37" s="777"/>
      <c r="AH37" s="777"/>
      <c r="AI37" s="777"/>
      <c r="AJ37" s="777"/>
      <c r="AK37" s="777"/>
      <c r="AL37" s="777"/>
      <c r="AM37" s="777"/>
      <c r="AN37" s="777"/>
      <c r="AO37" s="777"/>
      <c r="AP37" s="777"/>
      <c r="AQ37" s="777"/>
      <c r="AR37" s="777"/>
      <c r="AS37" s="777"/>
      <c r="AT37" s="777"/>
      <c r="AU37" s="777"/>
      <c r="AV37" s="777"/>
      <c r="AW37" s="777"/>
      <c r="AX37" s="777"/>
      <c r="AY37" s="777"/>
      <c r="AZ37" s="777"/>
      <c r="BA37" s="777"/>
      <c r="BB37" s="777"/>
      <c r="BC37" s="777"/>
      <c r="BD37" s="777"/>
      <c r="BE37" s="777"/>
      <c r="BF37" s="777"/>
      <c r="BG37" s="777"/>
      <c r="BH37" s="777"/>
      <c r="BI37" s="777"/>
      <c r="BJ37" s="777"/>
      <c r="BK37" s="777"/>
      <c r="BL37" s="777"/>
      <c r="BM37" s="777"/>
      <c r="BN37" s="777"/>
      <c r="BO37" s="777"/>
      <c r="BP37" s="777"/>
      <c r="BQ37" s="777"/>
      <c r="BR37" s="777"/>
      <c r="BS37" s="777"/>
      <c r="BT37" s="777"/>
    </row>
    <row r="38" spans="1:72" x14ac:dyDescent="0.25">
      <c r="A38" s="1624" t="s">
        <v>566</v>
      </c>
      <c r="B38" s="1625"/>
      <c r="C38" s="788" t="s">
        <v>567</v>
      </c>
      <c r="D38" s="788" t="s">
        <v>567</v>
      </c>
      <c r="E38" s="1625" t="s">
        <v>1095</v>
      </c>
      <c r="F38" s="1625"/>
      <c r="G38" s="1625"/>
      <c r="H38" s="1625"/>
      <c r="I38" s="1625"/>
      <c r="J38" s="784">
        <v>1999</v>
      </c>
      <c r="K38" s="785">
        <v>97.9</v>
      </c>
      <c r="L38" s="777"/>
      <c r="M38" s="777"/>
      <c r="N38" s="777"/>
      <c r="O38" s="777"/>
      <c r="P38" s="777"/>
      <c r="Q38" s="777"/>
      <c r="R38" s="777"/>
      <c r="S38" s="777"/>
      <c r="T38" s="777"/>
      <c r="U38" s="777"/>
      <c r="V38" s="777"/>
      <c r="W38" s="777"/>
      <c r="X38" s="777"/>
      <c r="Y38" s="777"/>
      <c r="Z38" s="777"/>
      <c r="AA38" s="777"/>
      <c r="AB38" s="777"/>
      <c r="AC38" s="777"/>
      <c r="AD38" s="777"/>
      <c r="AE38" s="777"/>
      <c r="AF38" s="777"/>
      <c r="AG38" s="777"/>
      <c r="AH38" s="777"/>
      <c r="AI38" s="777"/>
      <c r="AJ38" s="777"/>
      <c r="AK38" s="777"/>
      <c r="AL38" s="777"/>
      <c r="AM38" s="777"/>
      <c r="AN38" s="777"/>
      <c r="AO38" s="777"/>
      <c r="AP38" s="777"/>
      <c r="AQ38" s="777"/>
      <c r="AR38" s="777"/>
      <c r="AS38" s="777"/>
      <c r="AT38" s="777"/>
      <c r="AU38" s="777"/>
      <c r="AV38" s="777"/>
      <c r="AW38" s="777"/>
      <c r="AX38" s="777"/>
      <c r="AY38" s="777"/>
      <c r="AZ38" s="777"/>
      <c r="BA38" s="777"/>
      <c r="BB38" s="777"/>
      <c r="BC38" s="777"/>
      <c r="BD38" s="777"/>
      <c r="BE38" s="777"/>
      <c r="BF38" s="777"/>
      <c r="BG38" s="777"/>
      <c r="BH38" s="777"/>
      <c r="BI38" s="777"/>
      <c r="BJ38" s="777"/>
      <c r="BK38" s="777"/>
      <c r="BL38" s="777"/>
      <c r="BM38" s="777"/>
      <c r="BN38" s="777"/>
      <c r="BO38" s="777"/>
      <c r="BP38" s="777"/>
      <c r="BQ38" s="777"/>
      <c r="BR38" s="777"/>
      <c r="BS38" s="777"/>
      <c r="BT38" s="777"/>
    </row>
    <row r="39" spans="1:72" x14ac:dyDescent="0.25">
      <c r="A39" s="782"/>
      <c r="B39" s="741" t="s">
        <v>1031</v>
      </c>
      <c r="C39" s="786">
        <v>2000</v>
      </c>
      <c r="D39" s="786">
        <v>2005</v>
      </c>
      <c r="E39" s="786">
        <v>2020</v>
      </c>
      <c r="F39" s="786">
        <v>2035</v>
      </c>
      <c r="G39" s="786">
        <v>2050</v>
      </c>
      <c r="H39" s="786">
        <v>2065</v>
      </c>
      <c r="I39" s="786">
        <v>2070</v>
      </c>
      <c r="J39" s="786">
        <v>2000</v>
      </c>
      <c r="K39" s="787">
        <v>100</v>
      </c>
      <c r="L39" s="777"/>
      <c r="M39" s="777"/>
      <c r="N39" s="777"/>
      <c r="O39" s="777"/>
      <c r="P39" s="777"/>
      <c r="Q39" s="777"/>
      <c r="R39" s="777"/>
      <c r="S39" s="777"/>
      <c r="T39" s="777"/>
      <c r="U39" s="777"/>
      <c r="V39" s="777"/>
      <c r="W39" s="777"/>
      <c r="X39" s="777"/>
      <c r="Y39" s="777"/>
      <c r="Z39" s="777"/>
      <c r="AA39" s="777"/>
      <c r="AB39" s="777"/>
      <c r="AC39" s="777"/>
      <c r="AD39" s="777"/>
      <c r="AE39" s="777"/>
      <c r="AF39" s="777"/>
      <c r="AG39" s="777"/>
      <c r="AH39" s="777"/>
      <c r="AI39" s="777"/>
      <c r="AJ39" s="777"/>
      <c r="AK39" s="777"/>
      <c r="AL39" s="777"/>
      <c r="AM39" s="777"/>
      <c r="AN39" s="777"/>
      <c r="AO39" s="777"/>
      <c r="AP39" s="777"/>
      <c r="AQ39" s="777"/>
      <c r="AR39" s="777"/>
      <c r="AS39" s="777"/>
      <c r="AT39" s="777"/>
      <c r="AU39" s="777"/>
      <c r="AV39" s="777"/>
      <c r="AW39" s="777"/>
      <c r="AX39" s="777"/>
      <c r="AY39" s="777"/>
      <c r="AZ39" s="777"/>
      <c r="BA39" s="777"/>
      <c r="BB39" s="777"/>
      <c r="BC39" s="777"/>
      <c r="BD39" s="777"/>
      <c r="BE39" s="777"/>
      <c r="BF39" s="777"/>
      <c r="BG39" s="777"/>
      <c r="BH39" s="777"/>
      <c r="BI39" s="777"/>
      <c r="BJ39" s="777"/>
      <c r="BK39" s="777"/>
      <c r="BL39" s="777"/>
      <c r="BM39" s="777"/>
      <c r="BN39" s="777"/>
      <c r="BO39" s="777"/>
      <c r="BP39" s="777"/>
      <c r="BQ39" s="777"/>
      <c r="BR39" s="777"/>
      <c r="BS39" s="777"/>
      <c r="BT39" s="777"/>
    </row>
    <row r="40" spans="1:72" x14ac:dyDescent="0.25">
      <c r="A40" s="780" t="s">
        <v>558</v>
      </c>
      <c r="B40" s="789" t="s">
        <v>568</v>
      </c>
      <c r="C40" s="784">
        <v>25.276500000000002</v>
      </c>
      <c r="D40" s="784">
        <v>25.071000000000002</v>
      </c>
      <c r="E40" s="784">
        <v>49.911552427759986</v>
      </c>
      <c r="F40" s="784">
        <v>51.73380738099187</v>
      </c>
      <c r="G40" s="784">
        <v>54.228868079187265</v>
      </c>
      <c r="H40" s="784">
        <v>57.083559627090274</v>
      </c>
      <c r="I40" s="784">
        <v>57.998580810871225</v>
      </c>
      <c r="J40" s="784">
        <v>2001</v>
      </c>
      <c r="K40" s="785">
        <v>102.4</v>
      </c>
      <c r="L40" s="777"/>
      <c r="M40" s="777"/>
      <c r="N40" s="777"/>
      <c r="O40" s="777"/>
      <c r="P40" s="777"/>
      <c r="Q40" s="777"/>
      <c r="R40" s="777"/>
      <c r="S40" s="777"/>
      <c r="T40" s="777"/>
      <c r="U40" s="777"/>
      <c r="V40" s="777"/>
      <c r="W40" s="777"/>
      <c r="X40" s="777"/>
      <c r="Y40" s="777"/>
      <c r="Z40" s="777"/>
      <c r="AA40" s="777"/>
      <c r="AB40" s="777"/>
      <c r="AC40" s="777"/>
      <c r="AD40" s="777"/>
      <c r="AE40" s="777"/>
      <c r="AF40" s="777"/>
      <c r="AG40" s="777"/>
      <c r="AH40" s="777"/>
      <c r="AI40" s="777"/>
      <c r="AJ40" s="777"/>
      <c r="AK40" s="777"/>
      <c r="AL40" s="777"/>
      <c r="AM40" s="777"/>
      <c r="AN40" s="777"/>
      <c r="AO40" s="777"/>
      <c r="AP40" s="777"/>
      <c r="AQ40" s="777"/>
      <c r="AR40" s="777"/>
      <c r="AS40" s="777"/>
      <c r="AT40" s="777"/>
      <c r="AU40" s="777"/>
      <c r="AV40" s="777"/>
      <c r="AW40" s="777"/>
      <c r="AX40" s="777"/>
      <c r="AY40" s="777"/>
      <c r="AZ40" s="777"/>
      <c r="BA40" s="777"/>
      <c r="BB40" s="777"/>
      <c r="BC40" s="777"/>
      <c r="BD40" s="777"/>
      <c r="BE40" s="777"/>
      <c r="BF40" s="777"/>
      <c r="BG40" s="777"/>
      <c r="BH40" s="777"/>
      <c r="BI40" s="777"/>
      <c r="BJ40" s="777"/>
      <c r="BK40" s="777"/>
      <c r="BL40" s="777"/>
      <c r="BM40" s="777"/>
      <c r="BN40" s="777"/>
      <c r="BO40" s="777"/>
      <c r="BP40" s="777"/>
      <c r="BQ40" s="777"/>
      <c r="BR40" s="777"/>
      <c r="BS40" s="777"/>
      <c r="BT40" s="777"/>
    </row>
    <row r="41" spans="1:72" x14ac:dyDescent="0.25">
      <c r="A41" s="782" t="s">
        <v>559</v>
      </c>
      <c r="B41" s="790" t="s">
        <v>569</v>
      </c>
      <c r="C41" s="786">
        <v>3.83</v>
      </c>
      <c r="D41" s="786">
        <v>2.88</v>
      </c>
      <c r="E41" s="786">
        <v>3.4820792312666162</v>
      </c>
      <c r="F41" s="786">
        <v>3.718467288972283</v>
      </c>
      <c r="G41" s="786">
        <v>4.254403392012021</v>
      </c>
      <c r="H41" s="786">
        <v>4.8331418485312492</v>
      </c>
      <c r="I41" s="786">
        <v>5.0085938618348607</v>
      </c>
      <c r="J41" s="786">
        <v>2002</v>
      </c>
      <c r="K41" s="787">
        <v>104.1</v>
      </c>
      <c r="L41" s="777"/>
      <c r="M41" s="777"/>
      <c r="N41" s="777"/>
      <c r="O41" s="777"/>
      <c r="P41" s="777"/>
      <c r="Q41" s="777"/>
      <c r="R41" s="777"/>
      <c r="S41" s="777"/>
      <c r="T41" s="777"/>
      <c r="U41" s="777"/>
      <c r="V41" s="777"/>
      <c r="W41" s="777"/>
      <c r="X41" s="777"/>
      <c r="Y41" s="777"/>
      <c r="Z41" s="777"/>
      <c r="AA41" s="777"/>
      <c r="AB41" s="777"/>
      <c r="AC41" s="777"/>
      <c r="AD41" s="777"/>
      <c r="AE41" s="777"/>
      <c r="AF41" s="777"/>
      <c r="AG41" s="777"/>
      <c r="AH41" s="777"/>
      <c r="AI41" s="777"/>
      <c r="AJ41" s="777"/>
      <c r="AK41" s="777"/>
      <c r="AL41" s="777"/>
      <c r="AM41" s="777"/>
      <c r="AN41" s="777"/>
      <c r="AO41" s="777"/>
      <c r="AP41" s="777"/>
      <c r="AQ41" s="777"/>
      <c r="AR41" s="777"/>
      <c r="AS41" s="777"/>
      <c r="AT41" s="777"/>
      <c r="AU41" s="777"/>
      <c r="AV41" s="777"/>
      <c r="AW41" s="777"/>
      <c r="AX41" s="777"/>
      <c r="AY41" s="777"/>
      <c r="AZ41" s="777"/>
      <c r="BA41" s="777"/>
      <c r="BB41" s="777"/>
      <c r="BC41" s="777"/>
      <c r="BD41" s="777"/>
      <c r="BE41" s="777"/>
      <c r="BF41" s="777"/>
      <c r="BG41" s="777"/>
      <c r="BH41" s="777"/>
      <c r="BI41" s="777"/>
      <c r="BJ41" s="777"/>
      <c r="BK41" s="777"/>
      <c r="BL41" s="777"/>
      <c r="BM41" s="777"/>
      <c r="BN41" s="777"/>
      <c r="BO41" s="777"/>
      <c r="BP41" s="777"/>
      <c r="BQ41" s="777"/>
      <c r="BR41" s="777"/>
      <c r="BS41" s="777"/>
      <c r="BT41" s="777"/>
    </row>
    <row r="42" spans="1:72" x14ac:dyDescent="0.25">
      <c r="A42" s="780" t="s">
        <v>560</v>
      </c>
      <c r="B42" s="789" t="s">
        <v>569</v>
      </c>
      <c r="C42" s="784">
        <v>4.333333333333333</v>
      </c>
      <c r="D42" s="784">
        <v>3.2058823529411766</v>
      </c>
      <c r="E42" s="784">
        <v>5.3135477999345282</v>
      </c>
      <c r="F42" s="784">
        <v>5.6703709369749671</v>
      </c>
      <c r="G42" s="784">
        <v>6.3804589018936815</v>
      </c>
      <c r="H42" s="784">
        <v>7.1603102550975084</v>
      </c>
      <c r="I42" s="784">
        <v>7.3649472464330987</v>
      </c>
      <c r="J42" s="784">
        <v>2003</v>
      </c>
      <c r="K42" s="785">
        <v>106</v>
      </c>
      <c r="L42" s="777"/>
      <c r="M42" s="777"/>
      <c r="N42" s="777"/>
      <c r="O42" s="777"/>
      <c r="P42" s="777"/>
      <c r="Q42" s="777"/>
      <c r="R42" s="777"/>
      <c r="S42" s="777"/>
      <c r="T42" s="777"/>
      <c r="U42" s="777"/>
      <c r="V42" s="777"/>
      <c r="W42" s="777"/>
      <c r="X42" s="777"/>
      <c r="Y42" s="777"/>
      <c r="Z42" s="777"/>
      <c r="AA42" s="777"/>
      <c r="AB42" s="777"/>
      <c r="AC42" s="777"/>
      <c r="AD42" s="777"/>
      <c r="AE42" s="777"/>
      <c r="AF42" s="777"/>
      <c r="AG42" s="777"/>
      <c r="AH42" s="777"/>
      <c r="AI42" s="777"/>
      <c r="AJ42" s="777"/>
      <c r="AK42" s="777"/>
      <c r="AL42" s="777"/>
      <c r="AM42" s="777"/>
      <c r="AN42" s="777"/>
      <c r="AO42" s="777"/>
      <c r="AP42" s="777"/>
      <c r="AQ42" s="777"/>
      <c r="AR42" s="777"/>
      <c r="AS42" s="777"/>
      <c r="AT42" s="777"/>
      <c r="AU42" s="777"/>
      <c r="AV42" s="777"/>
      <c r="AW42" s="777"/>
      <c r="AX42" s="777"/>
      <c r="AY42" s="777"/>
      <c r="AZ42" s="777"/>
      <c r="BA42" s="777"/>
      <c r="BB42" s="777"/>
      <c r="BC42" s="777"/>
      <c r="BD42" s="777"/>
      <c r="BE42" s="777"/>
      <c r="BF42" s="777"/>
      <c r="BG42" s="777"/>
      <c r="BH42" s="777"/>
      <c r="BI42" s="777"/>
      <c r="BJ42" s="777"/>
      <c r="BK42" s="777"/>
      <c r="BL42" s="777"/>
      <c r="BM42" s="777"/>
      <c r="BN42" s="777"/>
      <c r="BO42" s="777"/>
      <c r="BP42" s="777"/>
      <c r="BQ42" s="777"/>
      <c r="BR42" s="777"/>
      <c r="BS42" s="777"/>
      <c r="BT42" s="777"/>
    </row>
    <row r="43" spans="1:72" x14ac:dyDescent="0.25">
      <c r="A43" s="782" t="s">
        <v>561</v>
      </c>
      <c r="B43" s="790" t="s">
        <v>570</v>
      </c>
      <c r="C43" s="786">
        <v>28.35</v>
      </c>
      <c r="D43" s="786">
        <v>23.27</v>
      </c>
      <c r="E43" s="786">
        <v>38.166254666132858</v>
      </c>
      <c r="F43" s="786">
        <v>44.018296607182357</v>
      </c>
      <c r="G43" s="786">
        <v>47.046046898954408</v>
      </c>
      <c r="H43" s="786">
        <v>48.050792851691</v>
      </c>
      <c r="I43" s="786">
        <v>48.201553003292787</v>
      </c>
      <c r="J43" s="786">
        <v>2004</v>
      </c>
      <c r="K43" s="791">
        <v>108.3</v>
      </c>
      <c r="L43" s="777"/>
      <c r="M43" s="777"/>
      <c r="N43" s="777"/>
      <c r="O43" s="777"/>
      <c r="P43" s="777"/>
      <c r="Q43" s="777"/>
      <c r="R43" s="777"/>
      <c r="S43" s="777"/>
      <c r="T43" s="777"/>
      <c r="U43" s="777"/>
      <c r="V43" s="777"/>
      <c r="W43" s="777"/>
      <c r="X43" s="777"/>
      <c r="Y43" s="777"/>
      <c r="Z43" s="777"/>
      <c r="AA43" s="777"/>
      <c r="AB43" s="777"/>
      <c r="AC43" s="777"/>
      <c r="AD43" s="777"/>
      <c r="AE43" s="777"/>
      <c r="AF43" s="777"/>
      <c r="AG43" s="777"/>
      <c r="AH43" s="777"/>
      <c r="AI43" s="777"/>
      <c r="AJ43" s="777"/>
      <c r="AK43" s="777"/>
      <c r="AL43" s="777"/>
      <c r="AM43" s="777"/>
      <c r="AN43" s="777"/>
      <c r="AO43" s="777"/>
      <c r="AP43" s="777"/>
      <c r="AQ43" s="777"/>
      <c r="AR43" s="777"/>
      <c r="AS43" s="777"/>
      <c r="AT43" s="777"/>
      <c r="AU43" s="777"/>
      <c r="AV43" s="777"/>
      <c r="AW43" s="777"/>
      <c r="AX43" s="777"/>
      <c r="AY43" s="777"/>
      <c r="AZ43" s="777"/>
      <c r="BA43" s="777"/>
      <c r="BB43" s="777"/>
      <c r="BC43" s="777"/>
      <c r="BD43" s="777"/>
      <c r="BE43" s="777"/>
      <c r="BF43" s="777"/>
      <c r="BG43" s="777"/>
      <c r="BH43" s="777"/>
      <c r="BI43" s="777"/>
      <c r="BJ43" s="777"/>
      <c r="BK43" s="777"/>
      <c r="BL43" s="777"/>
      <c r="BM43" s="777"/>
      <c r="BN43" s="777"/>
      <c r="BO43" s="777"/>
      <c r="BP43" s="777"/>
      <c r="BQ43" s="777"/>
      <c r="BR43" s="777"/>
      <c r="BS43" s="777"/>
      <c r="BT43" s="777"/>
    </row>
    <row r="44" spans="1:72" x14ac:dyDescent="0.25">
      <c r="A44" s="780" t="s">
        <v>562</v>
      </c>
      <c r="B44" s="789" t="s">
        <v>571</v>
      </c>
      <c r="C44" s="784">
        <v>1.5176666666666667</v>
      </c>
      <c r="D44" s="784">
        <v>1.2925714285714285</v>
      </c>
      <c r="E44" s="784">
        <v>1.9428327208531595</v>
      </c>
      <c r="F44" s="784">
        <v>2.1262391061548653</v>
      </c>
      <c r="G44" s="784">
        <v>2.2056865867102777</v>
      </c>
      <c r="H44" s="784">
        <v>2.2243217316177319</v>
      </c>
      <c r="I44" s="784">
        <v>2.2266990166381286</v>
      </c>
      <c r="J44" s="784">
        <v>2005</v>
      </c>
      <c r="K44" s="792">
        <v>110.5</v>
      </c>
      <c r="L44" s="777"/>
      <c r="M44" s="777"/>
      <c r="N44" s="777"/>
      <c r="O44" s="777"/>
      <c r="P44" s="777"/>
      <c r="Q44" s="777"/>
      <c r="R44" s="777"/>
      <c r="S44" s="777"/>
      <c r="T44" s="777"/>
      <c r="U44" s="777"/>
      <c r="V44" s="777"/>
      <c r="W44" s="777"/>
      <c r="X44" s="777"/>
      <c r="Y44" s="777"/>
      <c r="Z44" s="777"/>
      <c r="AA44" s="777"/>
      <c r="AB44" s="777"/>
      <c r="AC44" s="777"/>
      <c r="AD44" s="777"/>
      <c r="AE44" s="777"/>
      <c r="AF44" s="777"/>
      <c r="AG44" s="777"/>
      <c r="AH44" s="777"/>
      <c r="AI44" s="777"/>
      <c r="AJ44" s="777"/>
      <c r="AK44" s="777"/>
      <c r="AL44" s="777"/>
      <c r="AM44" s="777"/>
      <c r="AN44" s="777"/>
      <c r="AO44" s="777"/>
      <c r="AP44" s="777"/>
      <c r="AQ44" s="777"/>
      <c r="AR44" s="777"/>
      <c r="AS44" s="777"/>
      <c r="AT44" s="777"/>
      <c r="AU44" s="777"/>
      <c r="AV44" s="777"/>
      <c r="AW44" s="777"/>
      <c r="AX44" s="777"/>
      <c r="AY44" s="777"/>
      <c r="AZ44" s="777"/>
      <c r="BA44" s="777"/>
      <c r="BB44" s="777"/>
      <c r="BC44" s="777"/>
      <c r="BD44" s="777"/>
      <c r="BE44" s="777"/>
      <c r="BF44" s="777"/>
      <c r="BG44" s="777"/>
      <c r="BH44" s="777"/>
      <c r="BI44" s="777"/>
      <c r="BJ44" s="777"/>
      <c r="BK44" s="777"/>
      <c r="BL44" s="777"/>
      <c r="BM44" s="777"/>
      <c r="BN44" s="777"/>
      <c r="BO44" s="777"/>
      <c r="BP44" s="777"/>
      <c r="BQ44" s="777"/>
      <c r="BR44" s="777"/>
      <c r="BS44" s="777"/>
      <c r="BT44" s="777"/>
    </row>
    <row r="45" spans="1:72" x14ac:dyDescent="0.25">
      <c r="A45" s="782" t="s">
        <v>563</v>
      </c>
      <c r="B45" s="790" t="s">
        <v>572</v>
      </c>
      <c r="C45" s="786">
        <v>6.9</v>
      </c>
      <c r="D45" s="786">
        <v>6.4</v>
      </c>
      <c r="E45" s="786">
        <v>7.2674708046079139</v>
      </c>
      <c r="F45" s="786">
        <v>7.0885496188632935</v>
      </c>
      <c r="G45" s="786">
        <v>6.9118429447797478</v>
      </c>
      <c r="H45" s="786">
        <v>6.9722480090117775</v>
      </c>
      <c r="I45" s="786">
        <v>6.9487741854044058</v>
      </c>
      <c r="J45" s="1626" t="s">
        <v>750</v>
      </c>
      <c r="K45" s="1627"/>
      <c r="L45" s="777"/>
      <c r="M45" s="777"/>
      <c r="N45" s="777"/>
      <c r="O45" s="777"/>
      <c r="P45" s="777"/>
      <c r="Q45" s="777"/>
      <c r="R45" s="777"/>
      <c r="S45" s="777"/>
      <c r="T45" s="777"/>
      <c r="U45" s="777"/>
      <c r="V45" s="777"/>
      <c r="W45" s="777"/>
      <c r="X45" s="777"/>
      <c r="Y45" s="777"/>
      <c r="Z45" s="777"/>
      <c r="AA45" s="777"/>
      <c r="AB45" s="777"/>
      <c r="AC45" s="777"/>
      <c r="AD45" s="777"/>
      <c r="AE45" s="777"/>
      <c r="AF45" s="777"/>
      <c r="AG45" s="777"/>
      <c r="AH45" s="777"/>
      <c r="AI45" s="777"/>
      <c r="AJ45" s="777"/>
      <c r="AK45" s="777"/>
      <c r="AL45" s="777"/>
      <c r="AM45" s="777"/>
      <c r="AN45" s="777"/>
      <c r="AO45" s="777"/>
      <c r="AP45" s="777"/>
      <c r="AQ45" s="777"/>
      <c r="AR45" s="777"/>
      <c r="AS45" s="777"/>
      <c r="AT45" s="777"/>
      <c r="AU45" s="777"/>
      <c r="AV45" s="777"/>
      <c r="AW45" s="777"/>
      <c r="AX45" s="777"/>
      <c r="AY45" s="777"/>
      <c r="AZ45" s="777"/>
      <c r="BA45" s="777"/>
      <c r="BB45" s="777"/>
      <c r="BC45" s="777"/>
      <c r="BD45" s="777"/>
      <c r="BE45" s="777"/>
      <c r="BF45" s="777"/>
      <c r="BG45" s="777"/>
      <c r="BH45" s="777"/>
      <c r="BI45" s="777"/>
      <c r="BJ45" s="777"/>
      <c r="BK45" s="777"/>
      <c r="BL45" s="777"/>
      <c r="BM45" s="777"/>
      <c r="BN45" s="777"/>
      <c r="BO45" s="777"/>
      <c r="BP45" s="777"/>
      <c r="BQ45" s="777"/>
      <c r="BR45" s="777"/>
      <c r="BS45" s="777"/>
      <c r="BT45" s="777"/>
    </row>
    <row r="46" spans="1:72" x14ac:dyDescent="0.25">
      <c r="A46" s="780" t="s">
        <v>564</v>
      </c>
      <c r="B46" s="789" t="s">
        <v>573</v>
      </c>
      <c r="C46" s="784"/>
      <c r="D46" s="784"/>
      <c r="E46" s="784">
        <v>3.9267286033597717</v>
      </c>
      <c r="F46" s="784">
        <v>3.4025762910602637</v>
      </c>
      <c r="G46" s="784">
        <v>3.7218644965506216</v>
      </c>
      <c r="H46" s="784">
        <v>4.0392206503019663</v>
      </c>
      <c r="I46" s="784">
        <v>4.0968490901035652</v>
      </c>
      <c r="J46" s="1626"/>
      <c r="K46" s="1627"/>
      <c r="L46" s="777"/>
      <c r="M46" s="777"/>
      <c r="N46" s="777"/>
      <c r="O46" s="777"/>
      <c r="P46" s="777"/>
      <c r="Q46" s="777"/>
      <c r="R46" s="777"/>
      <c r="S46" s="777"/>
      <c r="T46" s="777"/>
      <c r="U46" s="777"/>
      <c r="V46" s="777"/>
      <c r="W46" s="777"/>
      <c r="X46" s="777"/>
      <c r="Y46" s="777"/>
      <c r="Z46" s="777"/>
      <c r="AA46" s="777"/>
      <c r="AB46" s="777"/>
      <c r="AC46" s="777"/>
      <c r="AD46" s="777"/>
      <c r="AE46" s="777"/>
      <c r="AF46" s="777"/>
      <c r="AG46" s="777"/>
      <c r="AH46" s="777"/>
      <c r="AI46" s="777"/>
      <c r="AJ46" s="777"/>
      <c r="AK46" s="777"/>
      <c r="AL46" s="777"/>
      <c r="AM46" s="777"/>
      <c r="AN46" s="777"/>
      <c r="AO46" s="777"/>
      <c r="AP46" s="777"/>
      <c r="AQ46" s="777"/>
      <c r="AR46" s="777"/>
      <c r="AS46" s="777"/>
      <c r="AT46" s="777"/>
      <c r="AU46" s="777"/>
      <c r="AV46" s="777"/>
      <c r="AW46" s="777"/>
      <c r="AX46" s="777"/>
      <c r="AY46" s="777"/>
      <c r="AZ46" s="777"/>
      <c r="BA46" s="777"/>
      <c r="BB46" s="777"/>
      <c r="BC46" s="777"/>
      <c r="BD46" s="777"/>
      <c r="BE46" s="777"/>
      <c r="BF46" s="777"/>
      <c r="BG46" s="777"/>
      <c r="BH46" s="777"/>
      <c r="BI46" s="777"/>
      <c r="BJ46" s="777"/>
      <c r="BK46" s="777"/>
      <c r="BL46" s="777"/>
      <c r="BM46" s="777"/>
      <c r="BN46" s="777"/>
      <c r="BO46" s="777"/>
      <c r="BP46" s="777"/>
      <c r="BQ46" s="777"/>
      <c r="BR46" s="777"/>
      <c r="BS46" s="777"/>
      <c r="BT46" s="777"/>
    </row>
    <row r="47" spans="1:72" x14ac:dyDescent="0.25">
      <c r="A47" s="782" t="s">
        <v>311</v>
      </c>
      <c r="B47" s="790" t="s">
        <v>573</v>
      </c>
      <c r="C47" s="786"/>
      <c r="D47" s="786"/>
      <c r="E47" s="786">
        <v>24.686324737923844</v>
      </c>
      <c r="F47" s="786">
        <v>23.090083577893328</v>
      </c>
      <c r="G47" s="786">
        <v>23.196746158381607</v>
      </c>
      <c r="H47" s="786">
        <v>23.268531873857007</v>
      </c>
      <c r="I47" s="786">
        <v>23.201243175360347</v>
      </c>
      <c r="J47" s="1626"/>
      <c r="K47" s="1627"/>
      <c r="L47" s="777"/>
      <c r="M47" s="777"/>
      <c r="N47" s="777"/>
      <c r="O47" s="777"/>
      <c r="P47" s="777"/>
      <c r="Q47" s="777"/>
      <c r="R47" s="777"/>
      <c r="S47" s="777"/>
      <c r="T47" s="777"/>
      <c r="U47" s="777"/>
      <c r="V47" s="777"/>
      <c r="W47" s="777"/>
      <c r="X47" s="777"/>
      <c r="Y47" s="777"/>
      <c r="Z47" s="777"/>
      <c r="AA47" s="777"/>
      <c r="AB47" s="777"/>
      <c r="AC47" s="777"/>
      <c r="AD47" s="777"/>
      <c r="AE47" s="777"/>
      <c r="AF47" s="777"/>
      <c r="AG47" s="777"/>
      <c r="AH47" s="777"/>
      <c r="AI47" s="777"/>
      <c r="AJ47" s="777"/>
      <c r="AK47" s="777"/>
      <c r="AL47" s="777"/>
      <c r="AM47" s="777"/>
      <c r="AN47" s="777"/>
      <c r="AO47" s="777"/>
      <c r="AP47" s="777"/>
      <c r="AQ47" s="777"/>
      <c r="AR47" s="777"/>
      <c r="AS47" s="777"/>
      <c r="AT47" s="777"/>
      <c r="AU47" s="777"/>
      <c r="AV47" s="777"/>
      <c r="AW47" s="777"/>
      <c r="AX47" s="777"/>
      <c r="AY47" s="777"/>
      <c r="AZ47" s="777"/>
      <c r="BA47" s="777"/>
      <c r="BB47" s="777"/>
      <c r="BC47" s="777"/>
      <c r="BD47" s="777"/>
      <c r="BE47" s="777"/>
      <c r="BF47" s="777"/>
      <c r="BG47" s="777"/>
      <c r="BH47" s="777"/>
      <c r="BI47" s="777"/>
      <c r="BJ47" s="777"/>
      <c r="BK47" s="777"/>
      <c r="BL47" s="777"/>
      <c r="BM47" s="777"/>
      <c r="BN47" s="777"/>
      <c r="BO47" s="777"/>
      <c r="BP47" s="777"/>
      <c r="BQ47" s="777"/>
      <c r="BR47" s="777"/>
      <c r="BS47" s="777"/>
      <c r="BT47" s="777"/>
    </row>
    <row r="48" spans="1:72" ht="39.6" x14ac:dyDescent="0.25">
      <c r="A48" s="798" t="s">
        <v>759</v>
      </c>
      <c r="B48" s="789" t="s">
        <v>568</v>
      </c>
      <c r="C48" s="784"/>
      <c r="D48" s="784"/>
      <c r="E48" s="784">
        <v>10</v>
      </c>
      <c r="F48" s="784">
        <v>10</v>
      </c>
      <c r="G48" s="784">
        <v>10</v>
      </c>
      <c r="H48" s="784">
        <v>10</v>
      </c>
      <c r="I48" s="784"/>
      <c r="J48" s="1626"/>
      <c r="K48" s="1627"/>
      <c r="L48" s="777"/>
      <c r="M48" s="777"/>
      <c r="N48" s="777"/>
      <c r="O48" s="777"/>
      <c r="P48" s="777"/>
      <c r="Q48" s="777"/>
      <c r="R48" s="777"/>
      <c r="S48" s="777"/>
      <c r="T48" s="777"/>
      <c r="U48" s="777"/>
      <c r="V48" s="777"/>
      <c r="W48" s="777"/>
      <c r="X48" s="777"/>
      <c r="Y48" s="777"/>
      <c r="Z48" s="777"/>
      <c r="AA48" s="777"/>
      <c r="AB48" s="777"/>
      <c r="AC48" s="777"/>
      <c r="AD48" s="777"/>
      <c r="AE48" s="777"/>
      <c r="AF48" s="777"/>
      <c r="AG48" s="777"/>
      <c r="AH48" s="777"/>
      <c r="AI48" s="777"/>
      <c r="AJ48" s="777"/>
      <c r="AK48" s="777"/>
      <c r="AL48" s="777"/>
      <c r="AM48" s="777"/>
      <c r="AN48" s="777"/>
      <c r="AO48" s="777"/>
      <c r="AP48" s="777"/>
      <c r="AQ48" s="777"/>
      <c r="AR48" s="777"/>
      <c r="AS48" s="777"/>
      <c r="AT48" s="777"/>
      <c r="AU48" s="777"/>
      <c r="AV48" s="777"/>
      <c r="AW48" s="777"/>
      <c r="AX48" s="777"/>
      <c r="AY48" s="777"/>
      <c r="AZ48" s="777"/>
      <c r="BA48" s="777"/>
      <c r="BB48" s="777"/>
      <c r="BC48" s="777"/>
      <c r="BD48" s="777"/>
      <c r="BE48" s="777"/>
      <c r="BF48" s="777"/>
      <c r="BG48" s="777"/>
      <c r="BH48" s="777"/>
      <c r="BI48" s="777"/>
      <c r="BJ48" s="777"/>
      <c r="BK48" s="777"/>
      <c r="BL48" s="777"/>
      <c r="BM48" s="777"/>
      <c r="BN48" s="777"/>
      <c r="BO48" s="777"/>
      <c r="BP48" s="777"/>
      <c r="BQ48" s="777"/>
      <c r="BR48" s="777"/>
      <c r="BS48" s="777"/>
      <c r="BT48" s="777"/>
    </row>
    <row r="49" spans="1:72" x14ac:dyDescent="0.25">
      <c r="B49" s="797" t="s">
        <v>758</v>
      </c>
      <c r="C49" s="795"/>
      <c r="D49" s="795"/>
      <c r="E49" s="795">
        <f>E48*$B$61</f>
        <v>0.65713983050847458</v>
      </c>
      <c r="F49" s="795">
        <f>F48*$B$61</f>
        <v>0.65713983050847458</v>
      </c>
      <c r="G49" s="795">
        <f>G48*$B$61</f>
        <v>0.65713983050847458</v>
      </c>
      <c r="H49" s="795">
        <f>H48*$B$61</f>
        <v>0.65713983050847458</v>
      </c>
      <c r="I49" s="795"/>
      <c r="J49" s="795"/>
      <c r="K49" s="796"/>
      <c r="L49" s="777"/>
      <c r="M49" s="777"/>
      <c r="N49" s="777"/>
      <c r="O49" s="777"/>
      <c r="P49" s="777"/>
      <c r="Q49" s="777"/>
      <c r="R49" s="777"/>
      <c r="S49" s="777"/>
      <c r="T49" s="777"/>
      <c r="U49" s="777"/>
      <c r="V49" s="777"/>
      <c r="W49" s="777"/>
      <c r="X49" s="777"/>
      <c r="Y49" s="777"/>
      <c r="Z49" s="777"/>
      <c r="AA49" s="777"/>
      <c r="AB49" s="777"/>
      <c r="AC49" s="777"/>
      <c r="AD49" s="777"/>
      <c r="AE49" s="777"/>
      <c r="AF49" s="777"/>
      <c r="AG49" s="777"/>
      <c r="AH49" s="777"/>
      <c r="AI49" s="777"/>
      <c r="AJ49" s="777"/>
      <c r="AK49" s="777"/>
      <c r="AL49" s="777"/>
      <c r="AM49" s="777"/>
      <c r="AN49" s="777"/>
      <c r="AO49" s="777"/>
      <c r="AP49" s="777"/>
      <c r="AQ49" s="777"/>
      <c r="AR49" s="777"/>
      <c r="AS49" s="777"/>
      <c r="AT49" s="777"/>
      <c r="AU49" s="777"/>
      <c r="AV49" s="777"/>
      <c r="AW49" s="777"/>
      <c r="AX49" s="777"/>
      <c r="AY49" s="777"/>
      <c r="AZ49" s="777"/>
      <c r="BA49" s="777"/>
      <c r="BB49" s="777"/>
      <c r="BC49" s="777"/>
      <c r="BD49" s="777"/>
      <c r="BE49" s="777"/>
      <c r="BF49" s="777"/>
      <c r="BG49" s="777"/>
      <c r="BH49" s="777"/>
      <c r="BI49" s="777"/>
      <c r="BJ49" s="777"/>
      <c r="BK49" s="777"/>
      <c r="BL49" s="777"/>
      <c r="BM49" s="777"/>
      <c r="BN49" s="777"/>
      <c r="BO49" s="777"/>
      <c r="BP49" s="777"/>
      <c r="BQ49" s="777"/>
      <c r="BR49" s="777"/>
      <c r="BS49" s="777"/>
      <c r="BT49" s="777"/>
    </row>
    <row r="50" spans="1:72" ht="26.4" x14ac:dyDescent="0.25">
      <c r="A50" s="798" t="s">
        <v>760</v>
      </c>
      <c r="B50" s="799" t="s">
        <v>573</v>
      </c>
      <c r="C50" s="784"/>
      <c r="D50" s="784"/>
      <c r="E50" s="784">
        <f>E49+E46</f>
        <v>4.5838684338682461</v>
      </c>
      <c r="F50" s="784">
        <f>F49+F46</f>
        <v>4.0597161215687381</v>
      </c>
      <c r="G50" s="784">
        <f>G49+G46</f>
        <v>4.3790043270590964</v>
      </c>
      <c r="H50" s="784">
        <f>H49+H46</f>
        <v>4.6963604808104407</v>
      </c>
      <c r="I50" s="784"/>
      <c r="J50" s="795"/>
      <c r="K50" s="796"/>
      <c r="L50" s="777"/>
      <c r="M50" s="777"/>
      <c r="N50" s="777"/>
      <c r="O50" s="777"/>
      <c r="P50" s="777"/>
      <c r="Q50" s="777"/>
      <c r="R50" s="777"/>
      <c r="S50" s="777"/>
      <c r="T50" s="777"/>
      <c r="U50" s="777"/>
      <c r="V50" s="777"/>
      <c r="W50" s="777"/>
      <c r="X50" s="777"/>
      <c r="Y50" s="777"/>
      <c r="Z50" s="777"/>
      <c r="AA50" s="777"/>
      <c r="AB50" s="777"/>
      <c r="AC50" s="777"/>
      <c r="AD50" s="777"/>
      <c r="AE50" s="777"/>
      <c r="AF50" s="777"/>
      <c r="AG50" s="777"/>
      <c r="AH50" s="777"/>
      <c r="AI50" s="777"/>
      <c r="AJ50" s="777"/>
      <c r="AK50" s="777"/>
      <c r="AL50" s="777"/>
      <c r="AM50" s="777"/>
      <c r="AN50" s="777"/>
      <c r="AO50" s="777"/>
      <c r="AP50" s="777"/>
      <c r="AQ50" s="777"/>
      <c r="AR50" s="777"/>
      <c r="AS50" s="777"/>
      <c r="AT50" s="777"/>
      <c r="AU50" s="777"/>
      <c r="AV50" s="777"/>
      <c r="AW50" s="777"/>
      <c r="AX50" s="777"/>
      <c r="AY50" s="777"/>
      <c r="AZ50" s="777"/>
      <c r="BA50" s="777"/>
      <c r="BB50" s="777"/>
      <c r="BC50" s="777"/>
      <c r="BD50" s="777"/>
      <c r="BE50" s="777"/>
      <c r="BF50" s="777"/>
      <c r="BG50" s="777"/>
      <c r="BH50" s="777"/>
      <c r="BI50" s="777"/>
      <c r="BJ50" s="777"/>
      <c r="BK50" s="777"/>
      <c r="BL50" s="777"/>
      <c r="BM50" s="777"/>
      <c r="BN50" s="777"/>
      <c r="BO50" s="777"/>
      <c r="BP50" s="777"/>
      <c r="BQ50" s="777"/>
      <c r="BR50" s="777"/>
      <c r="BS50" s="777"/>
      <c r="BT50" s="777"/>
    </row>
    <row r="51" spans="1:72" x14ac:dyDescent="0.25">
      <c r="B51" s="797"/>
      <c r="C51" s="795"/>
      <c r="D51" s="795"/>
      <c r="E51" s="795"/>
      <c r="F51" s="795"/>
      <c r="G51" s="795"/>
      <c r="H51" s="795"/>
      <c r="I51" s="795"/>
      <c r="J51" s="795"/>
      <c r="K51" s="796"/>
      <c r="L51" s="777"/>
      <c r="M51" s="777"/>
      <c r="N51" s="777"/>
      <c r="O51" s="777"/>
      <c r="P51" s="777"/>
      <c r="Q51" s="777"/>
      <c r="R51" s="777"/>
      <c r="S51" s="777"/>
      <c r="T51" s="777"/>
      <c r="U51" s="777"/>
      <c r="V51" s="777"/>
      <c r="W51" s="777"/>
      <c r="X51" s="777"/>
      <c r="Y51" s="777"/>
      <c r="Z51" s="777"/>
      <c r="AA51" s="777"/>
      <c r="AB51" s="777"/>
      <c r="AC51" s="777"/>
      <c r="AD51" s="777"/>
      <c r="AE51" s="777"/>
      <c r="AF51" s="777"/>
      <c r="AG51" s="777"/>
      <c r="AH51" s="777"/>
      <c r="AI51" s="777"/>
      <c r="AJ51" s="777"/>
      <c r="AK51" s="777"/>
      <c r="AL51" s="777"/>
      <c r="AM51" s="777"/>
      <c r="AN51" s="777"/>
      <c r="AO51" s="777"/>
      <c r="AP51" s="777"/>
      <c r="AQ51" s="777"/>
      <c r="AR51" s="777"/>
      <c r="AS51" s="777"/>
      <c r="AT51" s="777"/>
      <c r="AU51" s="777"/>
      <c r="AV51" s="777"/>
      <c r="AW51" s="777"/>
      <c r="AX51" s="777"/>
      <c r="AY51" s="777"/>
      <c r="AZ51" s="777"/>
      <c r="BA51" s="777"/>
      <c r="BB51" s="777"/>
      <c r="BC51" s="777"/>
      <c r="BD51" s="777"/>
      <c r="BE51" s="777"/>
      <c r="BF51" s="777"/>
      <c r="BG51" s="777"/>
      <c r="BH51" s="777"/>
      <c r="BI51" s="777"/>
      <c r="BJ51" s="777"/>
      <c r="BK51" s="777"/>
      <c r="BL51" s="777"/>
      <c r="BM51" s="777"/>
      <c r="BN51" s="777"/>
      <c r="BO51" s="777"/>
      <c r="BP51" s="777"/>
      <c r="BQ51" s="777"/>
      <c r="BR51" s="777"/>
      <c r="BS51" s="777"/>
      <c r="BT51" s="777"/>
    </row>
    <row r="52" spans="1:72" x14ac:dyDescent="0.25">
      <c r="A52" s="794" t="s">
        <v>751</v>
      </c>
      <c r="B52" s="795"/>
      <c r="C52" s="795"/>
      <c r="D52" s="795"/>
      <c r="E52" s="795"/>
      <c r="F52" s="795"/>
      <c r="G52" s="795"/>
      <c r="H52" s="795"/>
      <c r="I52" s="795"/>
      <c r="J52" s="795"/>
      <c r="K52" s="796"/>
      <c r="L52" s="777"/>
      <c r="M52" s="777"/>
      <c r="N52" s="777"/>
      <c r="O52" s="777"/>
      <c r="P52" s="777"/>
      <c r="Q52" s="777"/>
      <c r="R52" s="777"/>
      <c r="S52" s="777"/>
      <c r="T52" s="777"/>
      <c r="U52" s="777"/>
      <c r="V52" s="777"/>
      <c r="W52" s="777"/>
      <c r="X52" s="777"/>
      <c r="Y52" s="777"/>
      <c r="Z52" s="777"/>
      <c r="AA52" s="777"/>
      <c r="AB52" s="777"/>
      <c r="AC52" s="777"/>
      <c r="AD52" s="777"/>
      <c r="AE52" s="777"/>
      <c r="AF52" s="777"/>
      <c r="AG52" s="777"/>
      <c r="AH52" s="777"/>
      <c r="AI52" s="777"/>
      <c r="AJ52" s="777"/>
      <c r="AK52" s="777"/>
      <c r="AL52" s="777"/>
      <c r="AM52" s="777"/>
      <c r="AN52" s="777"/>
      <c r="AO52" s="777"/>
      <c r="AP52" s="777"/>
      <c r="AQ52" s="777"/>
      <c r="AR52" s="777"/>
      <c r="AS52" s="777"/>
      <c r="AT52" s="777"/>
      <c r="AU52" s="777"/>
      <c r="AV52" s="777"/>
      <c r="AW52" s="777"/>
      <c r="AX52" s="777"/>
      <c r="AY52" s="777"/>
      <c r="AZ52" s="777"/>
      <c r="BA52" s="777"/>
      <c r="BB52" s="777"/>
      <c r="BC52" s="777"/>
      <c r="BD52" s="777"/>
      <c r="BE52" s="777"/>
      <c r="BF52" s="777"/>
      <c r="BG52" s="777"/>
      <c r="BH52" s="777"/>
      <c r="BI52" s="777"/>
      <c r="BJ52" s="777"/>
      <c r="BK52" s="777"/>
      <c r="BL52" s="777"/>
      <c r="BM52" s="777"/>
      <c r="BN52" s="777"/>
      <c r="BO52" s="777"/>
      <c r="BP52" s="777"/>
      <c r="BQ52" s="777"/>
      <c r="BR52" s="777"/>
      <c r="BS52" s="777"/>
      <c r="BT52" s="777"/>
    </row>
    <row r="53" spans="1:72" x14ac:dyDescent="0.25">
      <c r="A53" s="1628" t="s">
        <v>752</v>
      </c>
      <c r="B53" s="1611"/>
      <c r="C53" s="1611"/>
      <c r="D53" s="1611"/>
      <c r="E53" s="1611"/>
      <c r="F53" s="1611"/>
      <c r="G53" s="1611"/>
      <c r="H53" s="1611"/>
      <c r="I53" s="1611"/>
      <c r="J53" s="1611"/>
      <c r="K53" s="1629"/>
      <c r="L53" s="777"/>
      <c r="M53" s="777"/>
      <c r="N53" s="777"/>
      <c r="O53" s="777"/>
      <c r="P53" s="777"/>
      <c r="Q53" s="777"/>
      <c r="R53" s="777"/>
      <c r="S53" s="777"/>
      <c r="T53" s="777"/>
      <c r="U53" s="777"/>
      <c r="V53" s="777"/>
      <c r="W53" s="777"/>
      <c r="X53" s="777"/>
      <c r="Y53" s="777"/>
      <c r="Z53" s="777"/>
      <c r="AA53" s="777"/>
      <c r="AB53" s="777"/>
      <c r="AC53" s="777"/>
      <c r="AD53" s="777"/>
      <c r="AE53" s="777"/>
      <c r="AF53" s="777"/>
      <c r="AG53" s="777"/>
      <c r="AH53" s="777"/>
      <c r="AI53" s="777"/>
      <c r="AJ53" s="777"/>
      <c r="AK53" s="777"/>
      <c r="AL53" s="777"/>
      <c r="AM53" s="777"/>
      <c r="AN53" s="777"/>
      <c r="AO53" s="777"/>
      <c r="AP53" s="777"/>
      <c r="AQ53" s="777"/>
      <c r="AR53" s="777"/>
      <c r="AS53" s="777"/>
      <c r="AT53" s="777"/>
      <c r="AU53" s="777"/>
      <c r="AV53" s="777"/>
      <c r="AW53" s="777"/>
      <c r="AX53" s="777"/>
      <c r="AY53" s="777"/>
      <c r="AZ53" s="777"/>
      <c r="BA53" s="777"/>
      <c r="BB53" s="777"/>
      <c r="BC53" s="777"/>
      <c r="BD53" s="777"/>
      <c r="BE53" s="777"/>
      <c r="BF53" s="777"/>
      <c r="BG53" s="777"/>
      <c r="BH53" s="777"/>
      <c r="BI53" s="777"/>
      <c r="BJ53" s="777"/>
      <c r="BK53" s="777"/>
      <c r="BL53" s="777"/>
      <c r="BM53" s="777"/>
      <c r="BN53" s="777"/>
      <c r="BO53" s="777"/>
      <c r="BP53" s="777"/>
      <c r="BQ53" s="777"/>
      <c r="BR53" s="777"/>
      <c r="BS53" s="777"/>
      <c r="BT53" s="777"/>
    </row>
    <row r="54" spans="1:72" x14ac:dyDescent="0.25">
      <c r="A54" s="1630" t="s">
        <v>319</v>
      </c>
      <c r="B54" s="1631"/>
      <c r="C54" s="1631"/>
      <c r="D54" s="1631"/>
      <c r="E54" s="1631"/>
      <c r="F54" s="1631"/>
      <c r="G54" s="1631"/>
      <c r="H54" s="1631"/>
      <c r="I54" s="1631"/>
      <c r="J54" s="1631"/>
      <c r="K54" s="1632"/>
      <c r="L54" s="777"/>
      <c r="M54" s="777"/>
      <c r="N54" s="777"/>
      <c r="O54" s="777"/>
      <c r="P54" s="777"/>
      <c r="Q54" s="777"/>
      <c r="R54" s="777"/>
      <c r="S54" s="777"/>
      <c r="T54" s="777"/>
      <c r="U54" s="777"/>
      <c r="V54" s="777"/>
      <c r="W54" s="777"/>
      <c r="X54" s="777"/>
      <c r="Y54" s="777"/>
      <c r="Z54" s="777"/>
      <c r="AA54" s="777"/>
      <c r="AB54" s="777"/>
      <c r="AC54" s="777"/>
      <c r="AD54" s="777"/>
      <c r="AE54" s="777"/>
      <c r="AF54" s="777"/>
      <c r="AG54" s="777"/>
      <c r="AH54" s="777"/>
      <c r="AI54" s="777"/>
      <c r="AJ54" s="777"/>
      <c r="AK54" s="777"/>
      <c r="AL54" s="777"/>
      <c r="AM54" s="777"/>
      <c r="AN54" s="777"/>
      <c r="AO54" s="777"/>
      <c r="AP54" s="777"/>
      <c r="AQ54" s="777"/>
      <c r="AR54" s="777"/>
      <c r="AS54" s="777"/>
      <c r="AT54" s="777"/>
      <c r="AU54" s="777"/>
      <c r="AV54" s="777"/>
      <c r="AW54" s="777"/>
      <c r="AX54" s="777"/>
      <c r="AY54" s="777"/>
      <c r="AZ54" s="777"/>
      <c r="BA54" s="777"/>
      <c r="BB54" s="777"/>
      <c r="BC54" s="777"/>
      <c r="BD54" s="777"/>
      <c r="BE54" s="777"/>
      <c r="BF54" s="777"/>
      <c r="BG54" s="777"/>
      <c r="BH54" s="777"/>
      <c r="BI54" s="777"/>
      <c r="BJ54" s="777"/>
      <c r="BK54" s="777"/>
      <c r="BL54" s="777"/>
      <c r="BM54" s="777"/>
      <c r="BN54" s="777"/>
      <c r="BO54" s="777"/>
      <c r="BP54" s="777"/>
      <c r="BQ54" s="777"/>
      <c r="BR54" s="777"/>
      <c r="BS54" s="777"/>
      <c r="BT54" s="777"/>
    </row>
    <row r="55" spans="1:72" x14ac:dyDescent="0.25">
      <c r="A55" s="1630"/>
      <c r="B55" s="1631"/>
      <c r="C55" s="1631"/>
      <c r="D55" s="1631"/>
      <c r="E55" s="1631"/>
      <c r="F55" s="1631"/>
      <c r="G55" s="1631"/>
      <c r="H55" s="1631"/>
      <c r="I55" s="1631"/>
      <c r="J55" s="1631"/>
      <c r="K55" s="1632"/>
      <c r="L55" s="777"/>
      <c r="M55" s="777"/>
      <c r="N55" s="777"/>
      <c r="O55" s="777"/>
      <c r="P55" s="777"/>
      <c r="Q55" s="777"/>
      <c r="R55" s="777"/>
      <c r="S55" s="777"/>
      <c r="T55" s="777"/>
      <c r="U55" s="777"/>
      <c r="V55" s="777"/>
      <c r="W55" s="777"/>
      <c r="X55" s="777"/>
      <c r="Y55" s="777"/>
      <c r="Z55" s="777"/>
      <c r="AA55" s="777"/>
      <c r="AB55" s="777"/>
      <c r="AC55" s="777"/>
      <c r="AD55" s="777"/>
      <c r="AE55" s="777"/>
      <c r="AF55" s="777"/>
      <c r="AG55" s="777"/>
      <c r="AH55" s="777"/>
      <c r="AI55" s="777"/>
      <c r="AJ55" s="777"/>
      <c r="AK55" s="777"/>
      <c r="AL55" s="777"/>
      <c r="AM55" s="777"/>
      <c r="AN55" s="777"/>
      <c r="AO55" s="777"/>
      <c r="AP55" s="777"/>
      <c r="AQ55" s="777"/>
      <c r="AR55" s="777"/>
      <c r="AS55" s="777"/>
      <c r="AT55" s="777"/>
      <c r="AU55" s="777"/>
      <c r="AV55" s="777"/>
      <c r="AW55" s="777"/>
      <c r="AX55" s="777"/>
      <c r="AY55" s="777"/>
      <c r="AZ55" s="777"/>
      <c r="BA55" s="777"/>
      <c r="BB55" s="777"/>
      <c r="BC55" s="777"/>
      <c r="BD55" s="777"/>
      <c r="BE55" s="777"/>
      <c r="BF55" s="777"/>
      <c r="BG55" s="777"/>
      <c r="BH55" s="777"/>
      <c r="BI55" s="777"/>
      <c r="BJ55" s="777"/>
      <c r="BK55" s="777"/>
      <c r="BL55" s="777"/>
      <c r="BM55" s="777"/>
      <c r="BN55" s="777"/>
      <c r="BO55" s="777"/>
      <c r="BP55" s="777"/>
      <c r="BQ55" s="777"/>
      <c r="BR55" s="777"/>
      <c r="BS55" s="777"/>
      <c r="BT55" s="777"/>
    </row>
    <row r="56" spans="1:72" ht="13.8" thickBot="1" x14ac:dyDescent="0.3">
      <c r="A56" s="1621" t="s">
        <v>753</v>
      </c>
      <c r="B56" s="1622"/>
      <c r="C56" s="1622"/>
      <c r="D56" s="1622"/>
      <c r="E56" s="1622"/>
      <c r="F56" s="1622"/>
      <c r="G56" s="1622"/>
      <c r="H56" s="1622"/>
      <c r="I56" s="1622"/>
      <c r="J56" s="1622"/>
      <c r="K56" s="1623"/>
      <c r="L56" s="777"/>
      <c r="M56" s="777"/>
      <c r="N56" s="777"/>
      <c r="O56" s="777"/>
      <c r="P56" s="777"/>
      <c r="Q56" s="777"/>
      <c r="R56" s="777"/>
      <c r="S56" s="777"/>
      <c r="T56" s="777"/>
      <c r="U56" s="777"/>
      <c r="V56" s="777"/>
      <c r="W56" s="777"/>
      <c r="X56" s="777"/>
      <c r="Y56" s="777"/>
      <c r="Z56" s="777"/>
      <c r="AA56" s="777"/>
      <c r="AB56" s="777"/>
      <c r="AC56" s="777"/>
      <c r="AD56" s="777"/>
      <c r="AE56" s="777"/>
      <c r="AF56" s="777"/>
      <c r="AG56" s="777"/>
      <c r="AH56" s="777"/>
      <c r="AI56" s="777"/>
      <c r="AJ56" s="777"/>
      <c r="AK56" s="777"/>
      <c r="AL56" s="777"/>
      <c r="AM56" s="777"/>
      <c r="AN56" s="777"/>
      <c r="AO56" s="777"/>
      <c r="AP56" s="777"/>
      <c r="AQ56" s="777"/>
      <c r="AR56" s="777"/>
      <c r="AS56" s="777"/>
      <c r="AT56" s="777"/>
      <c r="AU56" s="777"/>
      <c r="AV56" s="777"/>
      <c r="AW56" s="777"/>
      <c r="AX56" s="777"/>
      <c r="AY56" s="777"/>
      <c r="AZ56" s="777"/>
      <c r="BA56" s="777"/>
      <c r="BB56" s="777"/>
      <c r="BC56" s="777"/>
      <c r="BD56" s="777"/>
      <c r="BE56" s="777"/>
      <c r="BF56" s="777"/>
      <c r="BG56" s="777"/>
      <c r="BH56" s="777"/>
      <c r="BI56" s="777"/>
      <c r="BJ56" s="777"/>
      <c r="BK56" s="777"/>
      <c r="BL56" s="777"/>
      <c r="BM56" s="777"/>
      <c r="BN56" s="777"/>
      <c r="BO56" s="777"/>
      <c r="BP56" s="777"/>
      <c r="BQ56" s="777"/>
      <c r="BR56" s="777"/>
      <c r="BS56" s="777"/>
      <c r="BT56" s="777"/>
    </row>
    <row r="57" spans="1:72" x14ac:dyDescent="0.25">
      <c r="A57" s="793"/>
      <c r="B57" s="793"/>
      <c r="C57" s="793"/>
      <c r="D57" s="793"/>
      <c r="E57" s="793"/>
      <c r="F57" s="793"/>
      <c r="G57" s="793"/>
      <c r="H57" s="793"/>
      <c r="I57" s="793"/>
      <c r="J57" s="793"/>
      <c r="K57" s="793"/>
      <c r="L57" s="777"/>
      <c r="M57" s="777"/>
      <c r="N57" s="777"/>
      <c r="O57" s="777"/>
      <c r="P57" s="777"/>
      <c r="Q57" s="777"/>
      <c r="R57" s="777"/>
      <c r="S57" s="777"/>
      <c r="T57" s="777"/>
      <c r="U57" s="777"/>
      <c r="V57" s="777"/>
      <c r="W57" s="777"/>
      <c r="X57" s="777"/>
      <c r="Y57" s="777"/>
      <c r="Z57" s="777"/>
      <c r="AA57" s="777"/>
      <c r="AB57" s="777"/>
      <c r="AC57" s="777"/>
      <c r="AD57" s="777"/>
      <c r="AE57" s="777"/>
      <c r="AF57" s="777"/>
      <c r="AG57" s="777"/>
      <c r="AH57" s="777"/>
      <c r="AI57" s="777"/>
      <c r="AJ57" s="777"/>
      <c r="AK57" s="777"/>
      <c r="AL57" s="777"/>
      <c r="AM57" s="777"/>
      <c r="AN57" s="777"/>
      <c r="AO57" s="777"/>
      <c r="AP57" s="777"/>
      <c r="AQ57" s="777"/>
      <c r="AR57" s="777"/>
      <c r="AS57" s="777"/>
      <c r="AT57" s="777"/>
      <c r="AU57" s="777"/>
      <c r="AV57" s="777"/>
      <c r="AW57" s="777"/>
      <c r="AX57" s="777"/>
      <c r="AY57" s="777"/>
      <c r="AZ57" s="777"/>
      <c r="BA57" s="777"/>
      <c r="BB57" s="777"/>
      <c r="BC57" s="777"/>
      <c r="BD57" s="777"/>
      <c r="BE57" s="777"/>
      <c r="BF57" s="777"/>
      <c r="BG57" s="777"/>
      <c r="BH57" s="777"/>
      <c r="BI57" s="777"/>
      <c r="BJ57" s="777"/>
      <c r="BK57" s="777"/>
      <c r="BL57" s="777"/>
      <c r="BM57" s="777"/>
      <c r="BN57" s="777"/>
      <c r="BO57" s="777"/>
      <c r="BP57" s="777"/>
      <c r="BQ57" s="777"/>
      <c r="BR57" s="777"/>
      <c r="BS57" s="777"/>
      <c r="BT57" s="777"/>
    </row>
    <row r="58" spans="1:72" x14ac:dyDescent="0.25">
      <c r="A58" s="777" t="s">
        <v>756</v>
      </c>
      <c r="B58" s="777"/>
      <c r="C58" s="777"/>
      <c r="D58" s="777"/>
      <c r="E58" s="777"/>
      <c r="F58" s="777"/>
      <c r="G58" s="777"/>
      <c r="H58" s="777"/>
      <c r="I58" s="777"/>
      <c r="J58" s="777"/>
      <c r="K58" s="777"/>
      <c r="L58" s="777"/>
      <c r="M58" s="777"/>
      <c r="N58" s="777"/>
      <c r="O58" s="777"/>
      <c r="P58" s="777"/>
      <c r="Q58" s="777"/>
      <c r="R58" s="777"/>
      <c r="S58" s="777"/>
      <c r="T58" s="777"/>
      <c r="U58" s="777"/>
      <c r="V58" s="777"/>
      <c r="W58" s="777"/>
      <c r="X58" s="777"/>
      <c r="Y58" s="777"/>
      <c r="Z58" s="777"/>
      <c r="AA58" s="777"/>
      <c r="AB58" s="777"/>
      <c r="AC58" s="777"/>
      <c r="AD58" s="777"/>
      <c r="AE58" s="777"/>
      <c r="AF58" s="777"/>
      <c r="AG58" s="777"/>
      <c r="AH58" s="777"/>
      <c r="AI58" s="777"/>
      <c r="AJ58" s="777"/>
      <c r="AK58" s="777"/>
      <c r="AL58" s="777"/>
      <c r="AM58" s="777"/>
      <c r="AN58" s="777"/>
      <c r="AO58" s="777"/>
      <c r="AP58" s="777"/>
      <c r="AQ58" s="777"/>
      <c r="AR58" s="777"/>
      <c r="AS58" s="777"/>
      <c r="AT58" s="777"/>
      <c r="AU58" s="777"/>
      <c r="AV58" s="777"/>
      <c r="AW58" s="777"/>
      <c r="AX58" s="777"/>
      <c r="AY58" s="777"/>
      <c r="AZ58" s="777"/>
      <c r="BA58" s="777"/>
      <c r="BB58" s="777"/>
      <c r="BC58" s="777"/>
      <c r="BD58" s="777"/>
      <c r="BE58" s="777"/>
      <c r="BF58" s="777"/>
      <c r="BG58" s="777"/>
      <c r="BH58" s="777"/>
      <c r="BI58" s="777"/>
      <c r="BJ58" s="777"/>
      <c r="BK58" s="777"/>
      <c r="BL58" s="777"/>
      <c r="BM58" s="777"/>
      <c r="BN58" s="777"/>
      <c r="BO58" s="777"/>
      <c r="BP58" s="777"/>
      <c r="BQ58" s="777"/>
      <c r="BR58" s="777"/>
      <c r="BS58" s="777"/>
      <c r="BT58" s="777"/>
    </row>
    <row r="59" spans="1:72" x14ac:dyDescent="0.25">
      <c r="A59" s="777" t="s">
        <v>755</v>
      </c>
      <c r="B59" s="777">
        <v>19022</v>
      </c>
      <c r="C59" s="777"/>
      <c r="D59" s="777"/>
      <c r="E59" s="777"/>
      <c r="F59" s="777"/>
      <c r="G59" s="777"/>
      <c r="H59" s="777"/>
      <c r="I59" s="777"/>
      <c r="J59" s="777"/>
      <c r="K59" s="777"/>
      <c r="L59" s="777"/>
      <c r="M59" s="777"/>
      <c r="N59" s="777"/>
      <c r="O59" s="777"/>
      <c r="P59" s="777"/>
      <c r="Q59" s="777"/>
      <c r="R59" s="777"/>
      <c r="S59" s="777"/>
      <c r="T59" s="777"/>
      <c r="U59" s="777"/>
      <c r="V59" s="777"/>
      <c r="W59" s="777"/>
      <c r="X59" s="777"/>
      <c r="Y59" s="777"/>
      <c r="Z59" s="777"/>
      <c r="AA59" s="777"/>
      <c r="AB59" s="777"/>
      <c r="AC59" s="777"/>
      <c r="AD59" s="777"/>
      <c r="AE59" s="777"/>
      <c r="AF59" s="777"/>
      <c r="AG59" s="777"/>
      <c r="AH59" s="777"/>
      <c r="AI59" s="777"/>
      <c r="AJ59" s="777"/>
      <c r="AK59" s="777"/>
      <c r="AL59" s="777"/>
      <c r="AM59" s="777"/>
      <c r="AN59" s="777"/>
      <c r="AO59" s="777"/>
      <c r="AP59" s="777"/>
      <c r="AQ59" s="777"/>
      <c r="AR59" s="777"/>
      <c r="AS59" s="777"/>
      <c r="AT59" s="777"/>
      <c r="AU59" s="777"/>
      <c r="AV59" s="777"/>
      <c r="AW59" s="777"/>
      <c r="AX59" s="777"/>
      <c r="AY59" s="777"/>
      <c r="AZ59" s="777"/>
      <c r="BA59" s="777"/>
      <c r="BB59" s="777"/>
      <c r="BC59" s="777"/>
      <c r="BD59" s="777"/>
      <c r="BE59" s="777"/>
      <c r="BF59" s="777"/>
      <c r="BG59" s="777"/>
      <c r="BH59" s="777"/>
      <c r="BI59" s="777"/>
      <c r="BJ59" s="777"/>
      <c r="BK59" s="777"/>
      <c r="BL59" s="777"/>
      <c r="BM59" s="777"/>
      <c r="BN59" s="777"/>
      <c r="BO59" s="777"/>
      <c r="BP59" s="777"/>
      <c r="BQ59" s="777"/>
      <c r="BR59" s="777"/>
      <c r="BS59" s="777"/>
      <c r="BT59" s="777"/>
    </row>
    <row r="60" spans="1:72" x14ac:dyDescent="0.25">
      <c r="A60" s="777" t="s">
        <v>754</v>
      </c>
      <c r="B60" s="777">
        <v>17700</v>
      </c>
      <c r="C60" s="777"/>
      <c r="D60" s="777"/>
      <c r="E60" s="777"/>
      <c r="F60" s="777"/>
      <c r="G60" s="777"/>
      <c r="H60" s="777"/>
      <c r="I60" s="777"/>
      <c r="J60" s="777"/>
      <c r="K60" s="777"/>
      <c r="L60" s="777"/>
      <c r="M60" s="777"/>
      <c r="N60" s="777"/>
      <c r="O60" s="777"/>
      <c r="P60" s="777"/>
      <c r="Q60" s="777"/>
      <c r="R60" s="777"/>
      <c r="S60" s="777"/>
      <c r="T60" s="777"/>
      <c r="U60" s="777"/>
      <c r="V60" s="777"/>
      <c r="W60" s="777"/>
      <c r="X60" s="777"/>
      <c r="Y60" s="777"/>
      <c r="Z60" s="777"/>
      <c r="AA60" s="777"/>
      <c r="AB60" s="777"/>
      <c r="AC60" s="777"/>
      <c r="AD60" s="777"/>
      <c r="AE60" s="777"/>
      <c r="AF60" s="777"/>
      <c r="AG60" s="777"/>
      <c r="AH60" s="777"/>
      <c r="AI60" s="777"/>
      <c r="AJ60" s="777"/>
      <c r="AK60" s="777"/>
      <c r="AL60" s="777"/>
      <c r="AM60" s="777"/>
      <c r="AN60" s="777"/>
      <c r="AO60" s="777"/>
      <c r="AP60" s="777"/>
      <c r="AQ60" s="777"/>
      <c r="AR60" s="777"/>
      <c r="AS60" s="777"/>
      <c r="AT60" s="777"/>
      <c r="AU60" s="777"/>
      <c r="AV60" s="777"/>
      <c r="AW60" s="777"/>
      <c r="AX60" s="777"/>
      <c r="AY60" s="777"/>
      <c r="AZ60" s="777"/>
      <c r="BA60" s="777"/>
      <c r="BB60" s="777"/>
      <c r="BC60" s="777"/>
      <c r="BD60" s="777"/>
      <c r="BE60" s="777"/>
      <c r="BF60" s="777"/>
      <c r="BG60" s="777"/>
      <c r="BH60" s="777"/>
      <c r="BI60" s="777"/>
      <c r="BJ60" s="777"/>
      <c r="BK60" s="777"/>
      <c r="BL60" s="777"/>
      <c r="BM60" s="777"/>
      <c r="BN60" s="777"/>
      <c r="BO60" s="777"/>
      <c r="BP60" s="777"/>
      <c r="BQ60" s="777"/>
      <c r="BR60" s="777"/>
      <c r="BS60" s="777"/>
      <c r="BT60" s="777"/>
    </row>
    <row r="61" spans="1:72" x14ac:dyDescent="0.25">
      <c r="A61" s="777" t="s">
        <v>757</v>
      </c>
      <c r="B61" s="777">
        <f>2.205/2000/B60*mmBTU_to_GJ*1000000</f>
        <v>6.5713983050847455E-2</v>
      </c>
      <c r="C61" s="777"/>
      <c r="D61" s="777"/>
      <c r="E61" s="777"/>
      <c r="F61" s="777"/>
      <c r="G61" s="777"/>
      <c r="H61" s="777"/>
      <c r="I61" s="777"/>
      <c r="J61" s="777"/>
      <c r="K61" s="777"/>
      <c r="L61" s="777"/>
      <c r="M61" s="777"/>
      <c r="N61" s="777"/>
      <c r="O61" s="777"/>
      <c r="P61" s="777"/>
      <c r="Q61" s="777"/>
      <c r="R61" s="777"/>
      <c r="S61" s="777"/>
      <c r="T61" s="777"/>
      <c r="U61" s="777"/>
      <c r="V61" s="777"/>
      <c r="W61" s="777"/>
      <c r="X61" s="777"/>
      <c r="Y61" s="777"/>
      <c r="Z61" s="777"/>
      <c r="AA61" s="777"/>
      <c r="AB61" s="777"/>
      <c r="AC61" s="777"/>
      <c r="AD61" s="777"/>
      <c r="AE61" s="777"/>
      <c r="AF61" s="777"/>
      <c r="AG61" s="777"/>
      <c r="AH61" s="777"/>
      <c r="AI61" s="777"/>
      <c r="AJ61" s="777"/>
      <c r="AK61" s="777"/>
      <c r="AL61" s="777"/>
      <c r="AM61" s="777"/>
      <c r="AN61" s="777"/>
      <c r="AO61" s="777"/>
      <c r="AP61" s="777"/>
      <c r="AQ61" s="777"/>
      <c r="AR61" s="777"/>
      <c r="AS61" s="777"/>
      <c r="AT61" s="777"/>
      <c r="AU61" s="777"/>
      <c r="AV61" s="777"/>
      <c r="AW61" s="777"/>
      <c r="AX61" s="777"/>
      <c r="AY61" s="777"/>
      <c r="AZ61" s="777"/>
      <c r="BA61" s="777"/>
      <c r="BB61" s="777"/>
      <c r="BC61" s="777"/>
      <c r="BD61" s="777"/>
      <c r="BE61" s="777"/>
      <c r="BF61" s="777"/>
      <c r="BG61" s="777"/>
      <c r="BH61" s="777"/>
      <c r="BI61" s="777"/>
      <c r="BJ61" s="777"/>
      <c r="BK61" s="777"/>
      <c r="BL61" s="777"/>
      <c r="BM61" s="777"/>
      <c r="BN61" s="777"/>
      <c r="BO61" s="777"/>
      <c r="BP61" s="777"/>
      <c r="BQ61" s="777"/>
      <c r="BR61" s="777"/>
      <c r="BS61" s="777"/>
      <c r="BT61" s="777"/>
    </row>
    <row r="62" spans="1:72" x14ac:dyDescent="0.25">
      <c r="A62" s="777"/>
      <c r="B62" s="777"/>
      <c r="C62" s="777"/>
      <c r="D62" s="777"/>
      <c r="E62" s="777"/>
      <c r="F62" s="777"/>
      <c r="G62" s="777"/>
      <c r="H62" s="777"/>
      <c r="I62" s="777"/>
      <c r="J62" s="777"/>
      <c r="K62" s="777"/>
      <c r="L62" s="777"/>
      <c r="M62" s="777"/>
      <c r="N62" s="777"/>
      <c r="O62" s="777"/>
      <c r="P62" s="777"/>
      <c r="Q62" s="777"/>
      <c r="R62" s="777"/>
      <c r="S62" s="777"/>
      <c r="T62" s="777"/>
      <c r="U62" s="777"/>
      <c r="V62" s="777"/>
      <c r="W62" s="777"/>
      <c r="X62" s="777"/>
      <c r="Y62" s="777"/>
      <c r="Z62" s="777"/>
      <c r="AA62" s="777"/>
      <c r="AB62" s="777"/>
      <c r="AC62" s="777"/>
      <c r="AD62" s="777"/>
      <c r="AE62" s="777"/>
      <c r="AF62" s="777"/>
      <c r="AG62" s="777"/>
      <c r="AH62" s="777"/>
      <c r="AI62" s="777"/>
      <c r="AJ62" s="777"/>
      <c r="AK62" s="777"/>
      <c r="AL62" s="777"/>
      <c r="AM62" s="777"/>
      <c r="AN62" s="777"/>
      <c r="AO62" s="777"/>
      <c r="AP62" s="777"/>
      <c r="AQ62" s="777"/>
      <c r="AR62" s="777"/>
      <c r="AS62" s="777"/>
      <c r="AT62" s="777"/>
      <c r="AU62" s="777"/>
      <c r="AV62" s="777"/>
      <c r="AW62" s="777"/>
      <c r="AX62" s="777"/>
      <c r="AY62" s="777"/>
      <c r="AZ62" s="777"/>
      <c r="BA62" s="777"/>
      <c r="BB62" s="777"/>
      <c r="BC62" s="777"/>
      <c r="BD62" s="777"/>
      <c r="BE62" s="777"/>
      <c r="BF62" s="777"/>
      <c r="BG62" s="777"/>
      <c r="BH62" s="777"/>
      <c r="BI62" s="777"/>
      <c r="BJ62" s="777"/>
      <c r="BK62" s="777"/>
      <c r="BL62" s="777"/>
      <c r="BM62" s="777"/>
      <c r="BN62" s="777"/>
      <c r="BO62" s="777"/>
      <c r="BP62" s="777"/>
      <c r="BQ62" s="777"/>
      <c r="BR62" s="777"/>
      <c r="BS62" s="777"/>
      <c r="BT62" s="777"/>
    </row>
    <row r="63" spans="1:72" x14ac:dyDescent="0.25">
      <c r="A63" s="777"/>
      <c r="B63" s="777"/>
      <c r="C63" s="777"/>
      <c r="D63" s="777"/>
      <c r="E63" s="777"/>
      <c r="F63" s="777"/>
      <c r="G63" s="777"/>
      <c r="H63" s="777"/>
      <c r="I63" s="777"/>
      <c r="J63" s="777"/>
      <c r="K63" s="777"/>
      <c r="L63" s="777"/>
      <c r="M63" s="777"/>
      <c r="N63" s="777"/>
      <c r="O63" s="777"/>
      <c r="P63" s="777"/>
      <c r="Q63" s="777"/>
      <c r="R63" s="777"/>
      <c r="S63" s="777"/>
      <c r="T63" s="777"/>
      <c r="U63" s="777"/>
      <c r="V63" s="777"/>
      <c r="W63" s="777"/>
      <c r="X63" s="777"/>
      <c r="Y63" s="777"/>
      <c r="Z63" s="777"/>
      <c r="AA63" s="777"/>
      <c r="AB63" s="777"/>
      <c r="AC63" s="777"/>
      <c r="AD63" s="777"/>
      <c r="AE63" s="777"/>
      <c r="AF63" s="777"/>
      <c r="AG63" s="777"/>
      <c r="AH63" s="777"/>
      <c r="AI63" s="777"/>
      <c r="AJ63" s="777"/>
      <c r="AK63" s="777"/>
      <c r="AL63" s="777"/>
      <c r="AM63" s="777"/>
      <c r="AN63" s="777"/>
      <c r="AO63" s="777"/>
      <c r="AP63" s="777"/>
      <c r="AQ63" s="777"/>
      <c r="AR63" s="777"/>
      <c r="AS63" s="777"/>
      <c r="AT63" s="777"/>
      <c r="AU63" s="777"/>
      <c r="AV63" s="777"/>
      <c r="AW63" s="777"/>
      <c r="AX63" s="777"/>
      <c r="AY63" s="777"/>
      <c r="AZ63" s="777"/>
      <c r="BA63" s="777"/>
      <c r="BB63" s="777"/>
      <c r="BC63" s="777"/>
      <c r="BD63" s="777"/>
      <c r="BE63" s="777"/>
      <c r="BF63" s="777"/>
      <c r="BG63" s="777"/>
      <c r="BH63" s="777"/>
      <c r="BI63" s="777"/>
      <c r="BJ63" s="777"/>
      <c r="BK63" s="777"/>
      <c r="BL63" s="777"/>
      <c r="BM63" s="777"/>
      <c r="BN63" s="777"/>
      <c r="BO63" s="777"/>
      <c r="BP63" s="777"/>
      <c r="BQ63" s="777"/>
      <c r="BR63" s="777"/>
      <c r="BS63" s="777"/>
      <c r="BT63" s="777"/>
    </row>
    <row r="64" spans="1:72" x14ac:dyDescent="0.25">
      <c r="A64" s="777"/>
      <c r="B64" s="777" t="s">
        <v>763</v>
      </c>
      <c r="C64" s="777" t="s">
        <v>764</v>
      </c>
      <c r="D64" s="777"/>
      <c r="E64" s="777"/>
      <c r="F64" s="777"/>
      <c r="G64" s="777"/>
      <c r="H64" s="777"/>
      <c r="I64" s="777"/>
      <c r="J64" s="777"/>
      <c r="K64" s="777"/>
      <c r="L64" s="777"/>
      <c r="M64" s="777"/>
      <c r="N64" s="777"/>
      <c r="O64" s="777"/>
      <c r="P64" s="777"/>
      <c r="Q64" s="777"/>
      <c r="R64" s="777"/>
      <c r="S64" s="777"/>
      <c r="T64" s="777"/>
      <c r="U64" s="777"/>
      <c r="V64" s="777"/>
      <c r="W64" s="777"/>
      <c r="X64" s="777"/>
      <c r="Y64" s="777"/>
      <c r="Z64" s="777"/>
      <c r="AA64" s="777"/>
      <c r="AB64" s="777"/>
      <c r="AC64" s="777"/>
      <c r="AD64" s="777"/>
      <c r="AE64" s="777"/>
      <c r="AF64" s="777"/>
      <c r="AG64" s="777"/>
      <c r="AH64" s="777"/>
      <c r="AI64" s="777"/>
      <c r="AJ64" s="777"/>
      <c r="AK64" s="777"/>
      <c r="AL64" s="777"/>
      <c r="AM64" s="777"/>
      <c r="AN64" s="777"/>
      <c r="AO64" s="777"/>
      <c r="AP64" s="777"/>
      <c r="AQ64" s="777"/>
      <c r="AR64" s="777"/>
      <c r="AS64" s="777"/>
      <c r="AT64" s="777"/>
      <c r="AU64" s="777"/>
      <c r="AV64" s="777"/>
      <c r="AW64" s="777"/>
      <c r="AX64" s="777"/>
      <c r="AY64" s="777"/>
      <c r="AZ64" s="777"/>
      <c r="BA64" s="777"/>
      <c r="BB64" s="777"/>
      <c r="BC64" s="777"/>
      <c r="BD64" s="777"/>
      <c r="BE64" s="777"/>
      <c r="BF64" s="777"/>
      <c r="BG64" s="777"/>
      <c r="BH64" s="777"/>
      <c r="BI64" s="777"/>
      <c r="BJ64" s="777"/>
      <c r="BK64" s="777"/>
      <c r="BL64" s="777"/>
      <c r="BM64" s="777"/>
      <c r="BN64" s="777"/>
      <c r="BO64" s="777"/>
      <c r="BP64" s="777"/>
      <c r="BQ64" s="777"/>
      <c r="BR64" s="777"/>
      <c r="BS64" s="777"/>
      <c r="BT64" s="777"/>
    </row>
    <row r="65" spans="1:72" x14ac:dyDescent="0.25">
      <c r="A65" s="777"/>
      <c r="B65" s="777" t="s">
        <v>765</v>
      </c>
      <c r="C65" s="777" t="s">
        <v>766</v>
      </c>
      <c r="D65" s="777"/>
      <c r="E65" s="777"/>
      <c r="F65" s="777" t="s">
        <v>767</v>
      </c>
      <c r="G65" s="777"/>
      <c r="H65" s="777"/>
      <c r="I65" s="777"/>
      <c r="J65" s="777"/>
      <c r="K65" s="777"/>
      <c r="L65" s="777"/>
      <c r="M65" s="777"/>
      <c r="N65" s="777"/>
      <c r="O65" s="777"/>
      <c r="P65" s="777"/>
      <c r="Q65" s="777"/>
      <c r="R65" s="777"/>
      <c r="S65" s="777"/>
      <c r="T65" s="777"/>
      <c r="U65" s="777"/>
      <c r="V65" s="777"/>
      <c r="W65" s="777"/>
      <c r="X65" s="777"/>
      <c r="Y65" s="777"/>
      <c r="Z65" s="777"/>
      <c r="AA65" s="777"/>
      <c r="AB65" s="777"/>
      <c r="AC65" s="777"/>
      <c r="AD65" s="777"/>
      <c r="AE65" s="777"/>
      <c r="AF65" s="777"/>
      <c r="AG65" s="777"/>
      <c r="AH65" s="777"/>
      <c r="AI65" s="777"/>
      <c r="AJ65" s="777"/>
      <c r="AK65" s="777"/>
      <c r="AL65" s="777"/>
      <c r="AM65" s="777"/>
      <c r="AN65" s="777"/>
      <c r="AO65" s="777"/>
      <c r="AP65" s="777"/>
      <c r="AQ65" s="777"/>
      <c r="AR65" s="777"/>
      <c r="AS65" s="777"/>
      <c r="AT65" s="777"/>
      <c r="AU65" s="777"/>
      <c r="AV65" s="777"/>
      <c r="AW65" s="777"/>
      <c r="AX65" s="777"/>
      <c r="AY65" s="777"/>
      <c r="AZ65" s="777"/>
      <c r="BA65" s="777"/>
      <c r="BB65" s="777"/>
      <c r="BC65" s="777"/>
      <c r="BD65" s="777"/>
      <c r="BE65" s="777"/>
      <c r="BF65" s="777"/>
      <c r="BG65" s="777"/>
      <c r="BH65" s="777"/>
      <c r="BI65" s="777"/>
      <c r="BJ65" s="777"/>
      <c r="BK65" s="777"/>
      <c r="BL65" s="777"/>
      <c r="BM65" s="777"/>
      <c r="BN65" s="777"/>
      <c r="BO65" s="777"/>
      <c r="BP65" s="777"/>
      <c r="BQ65" s="777"/>
      <c r="BR65" s="777"/>
      <c r="BS65" s="777"/>
      <c r="BT65" s="777"/>
    </row>
    <row r="66" spans="1:72" x14ac:dyDescent="0.25">
      <c r="A66" s="777"/>
      <c r="B66" s="777" t="s">
        <v>768</v>
      </c>
      <c r="C66" s="777" t="s">
        <v>769</v>
      </c>
      <c r="D66" s="777"/>
      <c r="E66" s="777"/>
      <c r="F66" s="777"/>
      <c r="G66" s="777"/>
      <c r="H66" s="777"/>
      <c r="I66" s="777"/>
      <c r="J66" s="777"/>
      <c r="K66" s="777"/>
      <c r="L66" s="777"/>
      <c r="M66" s="777"/>
      <c r="N66" s="777"/>
      <c r="O66" s="777"/>
      <c r="P66" s="777"/>
      <c r="Q66" s="777"/>
      <c r="R66" s="777"/>
      <c r="S66" s="777"/>
      <c r="T66" s="777"/>
      <c r="U66" s="777"/>
      <c r="V66" s="777"/>
      <c r="W66" s="777"/>
      <c r="X66" s="777"/>
      <c r="Y66" s="777"/>
      <c r="Z66" s="777"/>
      <c r="AA66" s="777"/>
      <c r="AB66" s="777"/>
      <c r="AC66" s="777"/>
      <c r="AD66" s="777"/>
      <c r="AE66" s="777"/>
      <c r="AF66" s="777"/>
      <c r="AG66" s="777"/>
      <c r="AH66" s="777"/>
      <c r="AI66" s="777"/>
      <c r="AJ66" s="777"/>
      <c r="AK66" s="777"/>
      <c r="AL66" s="777"/>
      <c r="AM66" s="777"/>
      <c r="AN66" s="777"/>
      <c r="AO66" s="777"/>
      <c r="AP66" s="777"/>
      <c r="AQ66" s="777"/>
      <c r="AR66" s="777"/>
      <c r="AS66" s="777"/>
      <c r="AT66" s="777"/>
      <c r="AU66" s="777"/>
      <c r="AV66" s="777"/>
      <c r="AW66" s="777"/>
      <c r="AX66" s="777"/>
      <c r="AY66" s="777"/>
      <c r="AZ66" s="777"/>
      <c r="BA66" s="777"/>
      <c r="BB66" s="777"/>
      <c r="BC66" s="777"/>
      <c r="BD66" s="777"/>
      <c r="BE66" s="777"/>
      <c r="BF66" s="777"/>
      <c r="BG66" s="777"/>
      <c r="BH66" s="777"/>
      <c r="BI66" s="777"/>
      <c r="BJ66" s="777"/>
      <c r="BK66" s="777"/>
      <c r="BL66" s="777"/>
      <c r="BM66" s="777"/>
      <c r="BN66" s="777"/>
      <c r="BO66" s="777"/>
      <c r="BP66" s="777"/>
      <c r="BQ66" s="777"/>
      <c r="BR66" s="777"/>
      <c r="BS66" s="777"/>
      <c r="BT66" s="777"/>
    </row>
    <row r="67" spans="1:72" x14ac:dyDescent="0.25">
      <c r="A67" s="777"/>
      <c r="B67" s="777" t="s">
        <v>770</v>
      </c>
      <c r="C67" s="777"/>
      <c r="D67" s="777" t="s">
        <v>771</v>
      </c>
      <c r="E67" s="777"/>
      <c r="F67" s="777"/>
      <c r="G67" s="777"/>
      <c r="H67" s="777"/>
      <c r="I67" s="777"/>
      <c r="J67" s="777"/>
      <c r="K67" s="777"/>
      <c r="L67" s="777"/>
      <c r="M67" s="777"/>
      <c r="N67" s="777"/>
      <c r="O67" s="777"/>
      <c r="P67" s="777"/>
      <c r="Q67" s="777"/>
      <c r="R67" s="777"/>
      <c r="S67" s="777"/>
      <c r="T67" s="777"/>
      <c r="U67" s="777"/>
      <c r="V67" s="777"/>
      <c r="W67" s="777"/>
      <c r="X67" s="777"/>
      <c r="Y67" s="777"/>
      <c r="Z67" s="777"/>
      <c r="AA67" s="777"/>
      <c r="AB67" s="777"/>
      <c r="AC67" s="777"/>
      <c r="AD67" s="777"/>
      <c r="AE67" s="777"/>
      <c r="AF67" s="777"/>
      <c r="AG67" s="777"/>
      <c r="AH67" s="777"/>
      <c r="AI67" s="777"/>
      <c r="AJ67" s="777"/>
      <c r="AK67" s="777"/>
      <c r="AL67" s="777"/>
      <c r="AM67" s="777"/>
      <c r="AN67" s="777"/>
      <c r="AO67" s="777"/>
      <c r="AP67" s="777"/>
      <c r="AQ67" s="777"/>
      <c r="AR67" s="777"/>
      <c r="AS67" s="777"/>
      <c r="AT67" s="777"/>
      <c r="AU67" s="777"/>
      <c r="AV67" s="777"/>
      <c r="AW67" s="777"/>
      <c r="AX67" s="777"/>
      <c r="AY67" s="777"/>
      <c r="AZ67" s="777"/>
      <c r="BA67" s="777"/>
      <c r="BB67" s="777"/>
      <c r="BC67" s="777"/>
      <c r="BD67" s="777"/>
      <c r="BE67" s="777"/>
      <c r="BF67" s="777"/>
      <c r="BG67" s="777"/>
      <c r="BH67" s="777"/>
      <c r="BI67" s="777"/>
      <c r="BJ67" s="777"/>
      <c r="BK67" s="777"/>
      <c r="BL67" s="777"/>
      <c r="BM67" s="777"/>
      <c r="BN67" s="777"/>
      <c r="BO67" s="777"/>
      <c r="BP67" s="777"/>
      <c r="BQ67" s="777"/>
      <c r="BR67" s="777"/>
      <c r="BS67" s="777"/>
      <c r="BT67" s="777"/>
    </row>
    <row r="68" spans="1:72" x14ac:dyDescent="0.25">
      <c r="A68" s="777"/>
      <c r="B68" s="777"/>
      <c r="C68" s="777"/>
      <c r="D68" s="777"/>
      <c r="E68" s="777"/>
      <c r="F68" s="777"/>
      <c r="G68" s="777"/>
      <c r="H68" s="777"/>
      <c r="I68" s="777"/>
      <c r="J68" s="777"/>
      <c r="K68" s="777"/>
      <c r="L68" s="777"/>
      <c r="M68" s="777"/>
      <c r="N68" s="777"/>
      <c r="O68" s="777"/>
      <c r="P68" s="777"/>
      <c r="Q68" s="777"/>
      <c r="R68" s="777"/>
      <c r="S68" s="777"/>
      <c r="T68" s="777"/>
      <c r="U68" s="777"/>
      <c r="V68" s="777"/>
      <c r="W68" s="777"/>
      <c r="X68" s="777"/>
      <c r="Y68" s="777"/>
      <c r="Z68" s="777"/>
      <c r="AA68" s="777"/>
      <c r="AB68" s="777"/>
      <c r="AC68" s="777"/>
      <c r="AD68" s="777"/>
      <c r="AE68" s="777"/>
      <c r="AF68" s="777"/>
      <c r="AG68" s="777"/>
      <c r="AH68" s="777"/>
      <c r="AI68" s="777"/>
      <c r="AJ68" s="777"/>
      <c r="AK68" s="777"/>
      <c r="AL68" s="777"/>
      <c r="AM68" s="777"/>
      <c r="AN68" s="777"/>
      <c r="AO68" s="777"/>
      <c r="AP68" s="777"/>
      <c r="AQ68" s="777"/>
      <c r="AR68" s="777"/>
      <c r="AS68" s="777"/>
      <c r="AT68" s="777"/>
      <c r="AU68" s="777"/>
      <c r="AV68" s="777"/>
      <c r="AW68" s="777"/>
      <c r="AX68" s="777"/>
      <c r="AY68" s="777"/>
      <c r="AZ68" s="777"/>
      <c r="BA68" s="777"/>
      <c r="BB68" s="777"/>
      <c r="BC68" s="777"/>
      <c r="BD68" s="777"/>
      <c r="BE68" s="777"/>
      <c r="BF68" s="777"/>
      <c r="BG68" s="777"/>
      <c r="BH68" s="777"/>
      <c r="BI68" s="777"/>
      <c r="BJ68" s="777"/>
      <c r="BK68" s="777"/>
      <c r="BL68" s="777"/>
      <c r="BM68" s="777"/>
      <c r="BN68" s="777"/>
      <c r="BO68" s="777"/>
      <c r="BP68" s="777"/>
      <c r="BQ68" s="777"/>
      <c r="BR68" s="777"/>
      <c r="BS68" s="777"/>
      <c r="BT68" s="777"/>
    </row>
    <row r="69" spans="1:72" x14ac:dyDescent="0.25">
      <c r="A69" s="777"/>
      <c r="B69" s="777"/>
      <c r="C69" s="777"/>
      <c r="D69" s="777"/>
      <c r="E69" s="777"/>
      <c r="F69" s="777"/>
      <c r="G69" s="777"/>
      <c r="H69" s="777"/>
      <c r="I69" s="777"/>
      <c r="J69" s="777"/>
      <c r="K69" s="777"/>
      <c r="L69" s="777"/>
      <c r="M69" s="777"/>
      <c r="N69" s="777"/>
      <c r="O69" s="777"/>
      <c r="P69" s="777"/>
      <c r="Q69" s="777"/>
      <c r="R69" s="777"/>
      <c r="S69" s="777"/>
      <c r="T69" s="777"/>
      <c r="U69" s="777"/>
      <c r="V69" s="777"/>
      <c r="W69" s="777"/>
      <c r="X69" s="777"/>
      <c r="Y69" s="777"/>
      <c r="Z69" s="777"/>
      <c r="AA69" s="777"/>
      <c r="AB69" s="777"/>
      <c r="AC69" s="777"/>
      <c r="AD69" s="777"/>
      <c r="AE69" s="777"/>
      <c r="AF69" s="777"/>
      <c r="AG69" s="777"/>
      <c r="AH69" s="777"/>
      <c r="AI69" s="777"/>
      <c r="AJ69" s="777"/>
      <c r="AK69" s="777"/>
      <c r="AL69" s="777"/>
      <c r="AM69" s="777"/>
      <c r="AN69" s="777"/>
      <c r="AO69" s="777"/>
      <c r="AP69" s="777"/>
      <c r="AQ69" s="777"/>
      <c r="AR69" s="777"/>
      <c r="AS69" s="777"/>
      <c r="AT69" s="777"/>
      <c r="AU69" s="777"/>
      <c r="AV69" s="777"/>
      <c r="AW69" s="777"/>
      <c r="AX69" s="777"/>
      <c r="AY69" s="777"/>
      <c r="AZ69" s="777"/>
      <c r="BA69" s="777"/>
      <c r="BB69" s="777"/>
      <c r="BC69" s="777"/>
      <c r="BD69" s="777"/>
      <c r="BE69" s="777"/>
      <c r="BF69" s="777"/>
      <c r="BG69" s="777"/>
      <c r="BH69" s="777"/>
      <c r="BI69" s="777"/>
      <c r="BJ69" s="777"/>
      <c r="BK69" s="777"/>
      <c r="BL69" s="777"/>
      <c r="BM69" s="777"/>
      <c r="BN69" s="777"/>
      <c r="BO69" s="777"/>
      <c r="BP69" s="777"/>
      <c r="BQ69" s="777"/>
      <c r="BR69" s="777"/>
      <c r="BS69" s="777"/>
      <c r="BT69" s="777"/>
    </row>
    <row r="70" spans="1:72" x14ac:dyDescent="0.25">
      <c r="A70" s="777"/>
      <c r="B70" s="777"/>
      <c r="C70" s="777"/>
      <c r="D70" s="777"/>
      <c r="E70" s="777"/>
      <c r="F70" s="777"/>
      <c r="G70" s="777"/>
      <c r="H70" s="777"/>
      <c r="I70" s="777"/>
      <c r="J70" s="777"/>
      <c r="K70" s="777"/>
      <c r="L70" s="777"/>
      <c r="M70" s="777"/>
      <c r="N70" s="777"/>
      <c r="O70" s="777"/>
      <c r="P70" s="777"/>
      <c r="Q70" s="777"/>
      <c r="R70" s="777"/>
      <c r="S70" s="777"/>
      <c r="T70" s="777"/>
      <c r="U70" s="777"/>
      <c r="V70" s="777"/>
      <c r="W70" s="777"/>
      <c r="X70" s="777"/>
      <c r="Y70" s="777"/>
      <c r="Z70" s="777"/>
      <c r="AA70" s="777"/>
      <c r="AB70" s="777"/>
      <c r="AC70" s="777"/>
      <c r="AD70" s="777"/>
      <c r="AE70" s="777"/>
      <c r="AF70" s="777"/>
      <c r="AG70" s="777"/>
      <c r="AH70" s="777"/>
      <c r="AI70" s="777"/>
      <c r="AJ70" s="777"/>
      <c r="AK70" s="777"/>
      <c r="AL70" s="777"/>
      <c r="AM70" s="777"/>
      <c r="AN70" s="777"/>
      <c r="AO70" s="777"/>
      <c r="AP70" s="777"/>
      <c r="AQ70" s="777"/>
      <c r="AR70" s="777"/>
      <c r="AS70" s="777"/>
      <c r="AT70" s="777"/>
      <c r="AU70" s="777"/>
      <c r="AV70" s="777"/>
      <c r="AW70" s="777"/>
      <c r="AX70" s="777"/>
      <c r="AY70" s="777"/>
      <c r="AZ70" s="777"/>
      <c r="BA70" s="777"/>
      <c r="BB70" s="777"/>
      <c r="BC70" s="777"/>
      <c r="BD70" s="777"/>
      <c r="BE70" s="777"/>
      <c r="BF70" s="777"/>
      <c r="BG70" s="777"/>
      <c r="BH70" s="777"/>
      <c r="BI70" s="777"/>
      <c r="BJ70" s="777"/>
      <c r="BK70" s="777"/>
      <c r="BL70" s="777"/>
      <c r="BM70" s="777"/>
      <c r="BN70" s="777"/>
      <c r="BO70" s="777"/>
      <c r="BP70" s="777"/>
      <c r="BQ70" s="777"/>
      <c r="BR70" s="777"/>
      <c r="BS70" s="777"/>
      <c r="BT70" s="777"/>
    </row>
    <row r="71" spans="1:72" x14ac:dyDescent="0.25">
      <c r="A71" s="777"/>
      <c r="B71" s="777"/>
      <c r="C71" s="777"/>
      <c r="D71" s="777"/>
      <c r="E71" s="777"/>
      <c r="F71" s="777"/>
      <c r="G71" s="777"/>
      <c r="H71" s="777"/>
      <c r="I71" s="777"/>
      <c r="J71" s="777"/>
      <c r="K71" s="777"/>
      <c r="L71" s="777"/>
      <c r="M71" s="777"/>
      <c r="N71" s="777"/>
      <c r="O71" s="777"/>
      <c r="P71" s="777"/>
      <c r="Q71" s="777"/>
      <c r="R71" s="777"/>
      <c r="S71" s="777"/>
      <c r="T71" s="777"/>
      <c r="U71" s="777"/>
      <c r="V71" s="777"/>
      <c r="W71" s="777"/>
      <c r="X71" s="777"/>
      <c r="Y71" s="777"/>
      <c r="Z71" s="777"/>
      <c r="AA71" s="777"/>
      <c r="AB71" s="777"/>
      <c r="AC71" s="777"/>
      <c r="AD71" s="777"/>
      <c r="AE71" s="777"/>
      <c r="AF71" s="777"/>
      <c r="AG71" s="777"/>
      <c r="AH71" s="777"/>
      <c r="AI71" s="777"/>
      <c r="AJ71" s="777"/>
      <c r="AK71" s="777"/>
      <c r="AL71" s="777"/>
      <c r="AM71" s="777"/>
      <c r="AN71" s="777"/>
      <c r="AO71" s="777"/>
      <c r="AP71" s="777"/>
      <c r="AQ71" s="777"/>
      <c r="AR71" s="777"/>
      <c r="AS71" s="777"/>
      <c r="AT71" s="777"/>
      <c r="AU71" s="777"/>
      <c r="AV71" s="777"/>
      <c r="AW71" s="777"/>
      <c r="AX71" s="777"/>
      <c r="AY71" s="777"/>
      <c r="AZ71" s="777"/>
      <c r="BA71" s="777"/>
      <c r="BB71" s="777"/>
      <c r="BC71" s="777"/>
      <c r="BD71" s="777"/>
      <c r="BE71" s="777"/>
      <c r="BF71" s="777"/>
      <c r="BG71" s="777"/>
      <c r="BH71" s="777"/>
      <c r="BI71" s="777"/>
      <c r="BJ71" s="777"/>
      <c r="BK71" s="777"/>
      <c r="BL71" s="777"/>
      <c r="BM71" s="777"/>
      <c r="BN71" s="777"/>
      <c r="BO71" s="777"/>
      <c r="BP71" s="777"/>
      <c r="BQ71" s="777"/>
      <c r="BR71" s="777"/>
      <c r="BS71" s="777"/>
      <c r="BT71" s="777"/>
    </row>
    <row r="72" spans="1:72" x14ac:dyDescent="0.25">
      <c r="A72" s="777" t="s">
        <v>772</v>
      </c>
      <c r="B72" s="777"/>
      <c r="C72" s="777"/>
      <c r="D72" s="777"/>
      <c r="E72" s="777"/>
      <c r="F72" s="777"/>
      <c r="G72" s="777"/>
      <c r="H72" s="777"/>
      <c r="I72" s="777"/>
      <c r="J72" s="777"/>
      <c r="K72" s="777"/>
      <c r="L72" s="777"/>
      <c r="M72" s="777"/>
      <c r="N72" s="777"/>
      <c r="O72" s="777"/>
      <c r="P72" s="777"/>
      <c r="Q72" s="777"/>
      <c r="R72" s="777"/>
      <c r="S72" s="777"/>
      <c r="T72" s="777"/>
      <c r="U72" s="777"/>
      <c r="V72" s="777"/>
      <c r="W72" s="777"/>
      <c r="X72" s="777"/>
      <c r="Y72" s="777"/>
      <c r="Z72" s="777"/>
      <c r="AA72" s="777"/>
      <c r="AB72" s="777"/>
      <c r="AC72" s="777"/>
      <c r="AD72" s="777"/>
      <c r="AE72" s="777"/>
      <c r="AF72" s="777"/>
      <c r="AG72" s="777"/>
      <c r="AH72" s="777"/>
      <c r="AI72" s="777"/>
      <c r="AJ72" s="777"/>
      <c r="AK72" s="777"/>
      <c r="AL72" s="777"/>
      <c r="AM72" s="777"/>
      <c r="AN72" s="777"/>
      <c r="AO72" s="777"/>
      <c r="AP72" s="777"/>
      <c r="AQ72" s="777"/>
      <c r="AR72" s="777"/>
      <c r="AS72" s="777"/>
      <c r="AT72" s="777"/>
      <c r="AU72" s="777"/>
      <c r="AV72" s="777"/>
      <c r="AW72" s="777"/>
      <c r="AX72" s="777"/>
      <c r="AY72" s="777"/>
      <c r="AZ72" s="777"/>
      <c r="BA72" s="777"/>
      <c r="BB72" s="777"/>
      <c r="BC72" s="777"/>
      <c r="BD72" s="777"/>
      <c r="BE72" s="777"/>
      <c r="BF72" s="777"/>
      <c r="BG72" s="777"/>
      <c r="BH72" s="777"/>
      <c r="BI72" s="777"/>
      <c r="BJ72" s="777"/>
      <c r="BK72" s="777"/>
      <c r="BL72" s="777"/>
      <c r="BM72" s="777"/>
      <c r="BN72" s="777"/>
      <c r="BO72" s="777"/>
      <c r="BP72" s="777"/>
      <c r="BQ72" s="777"/>
      <c r="BR72" s="777"/>
      <c r="BS72" s="777"/>
      <c r="BT72" s="777"/>
    </row>
    <row r="73" spans="1:72" x14ac:dyDescent="0.25">
      <c r="A73" s="777"/>
      <c r="B73" s="777"/>
      <c r="C73" s="777"/>
      <c r="D73" s="777"/>
      <c r="E73" s="777"/>
      <c r="F73" s="777"/>
      <c r="G73" s="777"/>
      <c r="H73" s="777"/>
      <c r="I73" s="777"/>
      <c r="J73" s="777"/>
      <c r="K73" s="777"/>
      <c r="L73" s="777"/>
      <c r="M73" s="777"/>
      <c r="N73" s="777"/>
      <c r="O73" s="777"/>
      <c r="P73" s="777"/>
      <c r="Q73" s="777"/>
      <c r="R73" s="777"/>
      <c r="S73" s="777"/>
      <c r="T73" s="777"/>
      <c r="U73" s="777"/>
      <c r="V73" s="777"/>
      <c r="W73" s="777"/>
      <c r="X73" s="777"/>
      <c r="Y73" s="777"/>
      <c r="Z73" s="777"/>
      <c r="AA73" s="777"/>
      <c r="AB73" s="777"/>
      <c r="AC73" s="777"/>
      <c r="AD73" s="777"/>
      <c r="AE73" s="777"/>
      <c r="AF73" s="777"/>
      <c r="AG73" s="777"/>
      <c r="AH73" s="777"/>
      <c r="AI73" s="777"/>
      <c r="AJ73" s="777"/>
      <c r="AK73" s="777"/>
      <c r="AL73" s="777"/>
      <c r="AM73" s="777"/>
      <c r="AN73" s="777"/>
      <c r="AO73" s="777"/>
      <c r="AP73" s="777"/>
      <c r="AQ73" s="777"/>
      <c r="AR73" s="777"/>
      <c r="AS73" s="777"/>
      <c r="AT73" s="777"/>
      <c r="AU73" s="777"/>
      <c r="AV73" s="777"/>
      <c r="AW73" s="777"/>
      <c r="AX73" s="777"/>
      <c r="AY73" s="777"/>
      <c r="AZ73" s="777"/>
      <c r="BA73" s="777"/>
      <c r="BB73" s="777"/>
      <c r="BC73" s="777"/>
      <c r="BD73" s="777"/>
      <c r="BE73" s="777"/>
      <c r="BF73" s="777"/>
      <c r="BG73" s="777"/>
      <c r="BH73" s="777"/>
      <c r="BI73" s="777"/>
      <c r="BJ73" s="777"/>
      <c r="BK73" s="777"/>
      <c r="BL73" s="777"/>
      <c r="BM73" s="777"/>
      <c r="BN73" s="777"/>
      <c r="BO73" s="777"/>
      <c r="BP73" s="777"/>
      <c r="BQ73" s="777"/>
      <c r="BR73" s="777"/>
      <c r="BS73" s="777"/>
      <c r="BT73" s="777"/>
    </row>
    <row r="74" spans="1:72" x14ac:dyDescent="0.25">
      <c r="A74" s="777" t="s">
        <v>773</v>
      </c>
      <c r="B74" s="777"/>
      <c r="C74" s="777"/>
      <c r="D74" s="777"/>
      <c r="E74" s="777"/>
      <c r="F74" s="777"/>
      <c r="G74" s="777"/>
      <c r="H74" s="777"/>
      <c r="I74" s="777"/>
      <c r="J74" s="777"/>
      <c r="K74" s="777"/>
      <c r="L74" s="777"/>
      <c r="M74" s="777"/>
      <c r="N74" s="777"/>
      <c r="O74" s="777"/>
      <c r="P74" s="777"/>
      <c r="Q74" s="777"/>
      <c r="R74" s="777"/>
      <c r="S74" s="777"/>
      <c r="T74" s="777"/>
      <c r="U74" s="777"/>
      <c r="V74" s="777"/>
      <c r="W74" s="777"/>
      <c r="X74" s="777"/>
      <c r="Y74" s="777"/>
      <c r="Z74" s="777"/>
      <c r="AA74" s="777"/>
      <c r="AB74" s="777"/>
      <c r="AC74" s="777"/>
      <c r="AD74" s="777"/>
      <c r="AE74" s="777"/>
      <c r="AF74" s="777"/>
      <c r="AG74" s="777"/>
      <c r="AH74" s="777"/>
      <c r="AI74" s="777"/>
      <c r="AJ74" s="777"/>
      <c r="AK74" s="777"/>
      <c r="AL74" s="777"/>
      <c r="AM74" s="777"/>
      <c r="AN74" s="777"/>
      <c r="AO74" s="777"/>
      <c r="AP74" s="777"/>
      <c r="AQ74" s="777"/>
      <c r="AR74" s="777"/>
      <c r="AS74" s="777"/>
      <c r="AT74" s="777"/>
      <c r="AU74" s="777"/>
      <c r="AV74" s="777"/>
      <c r="AW74" s="777"/>
      <c r="AX74" s="777"/>
      <c r="AY74" s="777"/>
      <c r="AZ74" s="777"/>
      <c r="BA74" s="777"/>
      <c r="BB74" s="777"/>
      <c r="BC74" s="777"/>
      <c r="BD74" s="777"/>
      <c r="BE74" s="777"/>
      <c r="BF74" s="777"/>
      <c r="BG74" s="777"/>
      <c r="BH74" s="777"/>
      <c r="BI74" s="777"/>
      <c r="BJ74" s="777"/>
      <c r="BK74" s="777"/>
      <c r="BL74" s="777"/>
      <c r="BM74" s="777"/>
      <c r="BN74" s="777"/>
      <c r="BO74" s="777"/>
      <c r="BP74" s="777"/>
      <c r="BQ74" s="777"/>
      <c r="BR74" s="777"/>
      <c r="BS74" s="777"/>
      <c r="BT74" s="777"/>
    </row>
    <row r="75" spans="1:72" x14ac:dyDescent="0.25">
      <c r="A75" s="777" t="s">
        <v>774</v>
      </c>
      <c r="B75" s="777"/>
      <c r="C75" s="777"/>
      <c r="D75" s="777"/>
      <c r="E75" s="777"/>
      <c r="F75" s="777"/>
      <c r="G75" s="777"/>
      <c r="H75" s="777"/>
      <c r="I75" s="777"/>
      <c r="J75" s="777"/>
      <c r="K75" s="777"/>
      <c r="L75" s="777"/>
      <c r="M75" s="777"/>
      <c r="N75" s="777"/>
      <c r="O75" s="777"/>
      <c r="P75" s="777"/>
      <c r="Q75" s="777"/>
      <c r="R75" s="777"/>
      <c r="S75" s="777"/>
      <c r="T75" s="777"/>
      <c r="U75" s="777"/>
      <c r="V75" s="777"/>
      <c r="W75" s="777"/>
      <c r="X75" s="777"/>
      <c r="Y75" s="777"/>
      <c r="Z75" s="777"/>
      <c r="AA75" s="777"/>
      <c r="AB75" s="777"/>
      <c r="AC75" s="777"/>
      <c r="AD75" s="777"/>
      <c r="AE75" s="777"/>
      <c r="AF75" s="777"/>
      <c r="AG75" s="777"/>
      <c r="AH75" s="777"/>
      <c r="AI75" s="777"/>
      <c r="AJ75" s="777"/>
      <c r="AK75" s="777"/>
      <c r="AL75" s="777"/>
      <c r="AM75" s="777"/>
      <c r="AN75" s="777"/>
      <c r="AO75" s="777"/>
      <c r="AP75" s="777"/>
      <c r="AQ75" s="777"/>
      <c r="AR75" s="777"/>
      <c r="AS75" s="777"/>
      <c r="AT75" s="777"/>
      <c r="AU75" s="777"/>
      <c r="AV75" s="777"/>
      <c r="AW75" s="777"/>
      <c r="AX75" s="777"/>
      <c r="AY75" s="777"/>
      <c r="AZ75" s="777"/>
      <c r="BA75" s="777"/>
      <c r="BB75" s="777"/>
      <c r="BC75" s="777"/>
      <c r="BD75" s="777"/>
      <c r="BE75" s="777"/>
      <c r="BF75" s="777"/>
      <c r="BG75" s="777"/>
      <c r="BH75" s="777"/>
      <c r="BI75" s="777"/>
      <c r="BJ75" s="777"/>
      <c r="BK75" s="777"/>
      <c r="BL75" s="777"/>
      <c r="BM75" s="777"/>
      <c r="BN75" s="777"/>
      <c r="BO75" s="777"/>
      <c r="BP75" s="777"/>
      <c r="BQ75" s="777"/>
      <c r="BR75" s="777"/>
      <c r="BS75" s="777"/>
      <c r="BT75" s="777"/>
    </row>
    <row r="76" spans="1:72" x14ac:dyDescent="0.25">
      <c r="A76" s="777"/>
      <c r="B76" s="777"/>
      <c r="C76" s="777"/>
      <c r="D76" s="777"/>
      <c r="E76" s="777"/>
      <c r="F76" s="777"/>
      <c r="G76" s="777"/>
      <c r="H76" s="777"/>
      <c r="I76" s="777"/>
      <c r="J76" s="777"/>
      <c r="K76" s="777"/>
      <c r="L76" s="777"/>
      <c r="M76" s="777"/>
      <c r="N76" s="777"/>
      <c r="O76" s="777"/>
      <c r="P76" s="777"/>
      <c r="Q76" s="777"/>
      <c r="R76" s="777"/>
      <c r="S76" s="777"/>
      <c r="T76" s="777"/>
      <c r="U76" s="777"/>
      <c r="V76" s="777"/>
      <c r="W76" s="777"/>
      <c r="X76" s="777"/>
      <c r="Y76" s="777"/>
      <c r="Z76" s="777"/>
      <c r="AA76" s="777"/>
      <c r="AB76" s="777"/>
      <c r="AC76" s="777"/>
      <c r="AD76" s="777"/>
      <c r="AE76" s="777" t="s">
        <v>775</v>
      </c>
      <c r="AF76" s="777"/>
      <c r="AG76" s="777"/>
      <c r="AH76" s="777"/>
      <c r="AI76" s="777"/>
      <c r="AJ76" s="777"/>
      <c r="AK76" s="777"/>
      <c r="AL76" s="777"/>
      <c r="AM76" s="777"/>
      <c r="AN76" s="777"/>
      <c r="AO76" s="777"/>
      <c r="AP76" s="777"/>
      <c r="AQ76" s="777"/>
      <c r="AR76" s="777"/>
      <c r="AS76" s="777"/>
      <c r="AT76" s="777"/>
      <c r="AU76" s="777"/>
      <c r="AV76" s="777"/>
      <c r="AW76" s="777"/>
      <c r="AX76" s="777"/>
      <c r="AY76" s="777"/>
      <c r="AZ76" s="777"/>
      <c r="BA76" s="777"/>
      <c r="BB76" s="777"/>
      <c r="BC76" s="777"/>
      <c r="BD76" s="777"/>
      <c r="BE76" s="777"/>
      <c r="BF76" s="777"/>
      <c r="BG76" s="777"/>
      <c r="BH76" s="777"/>
      <c r="BI76" s="777"/>
      <c r="BJ76" s="777"/>
      <c r="BK76" s="777"/>
      <c r="BL76" s="777"/>
      <c r="BM76" s="777"/>
      <c r="BN76" s="777"/>
      <c r="BO76" s="777"/>
      <c r="BP76" s="777"/>
      <c r="BQ76" s="777"/>
      <c r="BR76" s="777"/>
      <c r="BS76" s="777"/>
      <c r="BT76" s="777"/>
    </row>
    <row r="77" spans="1:72" x14ac:dyDescent="0.25">
      <c r="A77" s="777" t="s">
        <v>776</v>
      </c>
      <c r="B77" s="777">
        <v>2007</v>
      </c>
      <c r="C77" s="777">
        <v>2008</v>
      </c>
      <c r="D77" s="777">
        <v>2009</v>
      </c>
      <c r="E77" s="777">
        <v>2010</v>
      </c>
      <c r="F77" s="777">
        <v>2011</v>
      </c>
      <c r="G77" s="777">
        <v>2012</v>
      </c>
      <c r="H77" s="777">
        <v>2013</v>
      </c>
      <c r="I77" s="777">
        <v>2014</v>
      </c>
      <c r="J77" s="777">
        <v>2015</v>
      </c>
      <c r="K77" s="777">
        <v>2016</v>
      </c>
      <c r="L77" s="777">
        <v>2017</v>
      </c>
      <c r="M77" s="777">
        <v>2018</v>
      </c>
      <c r="N77" s="777">
        <v>2019</v>
      </c>
      <c r="O77" s="777">
        <v>2020</v>
      </c>
      <c r="P77" s="777">
        <v>2021</v>
      </c>
      <c r="Q77" s="777">
        <v>2022</v>
      </c>
      <c r="R77" s="777">
        <v>2023</v>
      </c>
      <c r="S77" s="777">
        <v>2024</v>
      </c>
      <c r="T77" s="777">
        <v>2025</v>
      </c>
      <c r="U77" s="777">
        <v>2026</v>
      </c>
      <c r="V77" s="777">
        <v>2027</v>
      </c>
      <c r="W77" s="777">
        <v>2028</v>
      </c>
      <c r="X77" s="777">
        <v>2029</v>
      </c>
      <c r="Y77" s="777">
        <v>2030</v>
      </c>
      <c r="Z77" s="777">
        <v>2031</v>
      </c>
      <c r="AA77" s="777">
        <v>2032</v>
      </c>
      <c r="AB77" s="777">
        <v>2033</v>
      </c>
      <c r="AC77" s="777">
        <v>2034</v>
      </c>
      <c r="AD77" s="777">
        <v>2035</v>
      </c>
      <c r="AE77" s="777">
        <v>2035</v>
      </c>
      <c r="AF77" s="777"/>
      <c r="AG77" s="777"/>
      <c r="AH77" s="777"/>
      <c r="AI77" s="777"/>
      <c r="AJ77" s="777"/>
      <c r="AK77" s="777"/>
      <c r="AL77" s="777"/>
      <c r="AM77" s="777"/>
      <c r="AN77" s="777"/>
      <c r="AO77" s="777"/>
      <c r="AP77" s="777"/>
      <c r="AQ77" s="777"/>
      <c r="AR77" s="777"/>
      <c r="AS77" s="777"/>
      <c r="AT77" s="777"/>
      <c r="AU77" s="777"/>
      <c r="AV77" s="777"/>
      <c r="AW77" s="777"/>
      <c r="AX77" s="777"/>
      <c r="AY77" s="777"/>
      <c r="AZ77" s="777"/>
      <c r="BA77" s="777"/>
      <c r="BB77" s="777"/>
      <c r="BC77" s="777"/>
      <c r="BD77" s="777"/>
      <c r="BE77" s="777"/>
      <c r="BF77" s="777"/>
      <c r="BG77" s="777"/>
      <c r="BH77" s="777"/>
      <c r="BI77" s="777"/>
      <c r="BJ77" s="777"/>
      <c r="BK77" s="777"/>
      <c r="BL77" s="777"/>
      <c r="BM77" s="777"/>
      <c r="BN77" s="777"/>
      <c r="BO77" s="777"/>
      <c r="BP77" s="777"/>
      <c r="BQ77" s="777"/>
      <c r="BR77" s="777"/>
      <c r="BS77" s="777"/>
      <c r="BT77" s="777"/>
    </row>
    <row r="78" spans="1:72" x14ac:dyDescent="0.25">
      <c r="A78" s="777"/>
      <c r="B78" s="777"/>
      <c r="C78" s="777"/>
      <c r="D78" s="777"/>
      <c r="E78" s="777"/>
      <c r="F78" s="777"/>
      <c r="G78" s="777"/>
      <c r="H78" s="777"/>
      <c r="I78" s="777"/>
      <c r="J78" s="777"/>
      <c r="K78" s="777"/>
      <c r="L78" s="777"/>
      <c r="M78" s="777"/>
      <c r="N78" s="777"/>
      <c r="O78" s="777"/>
      <c r="P78" s="777"/>
      <c r="Q78" s="777"/>
      <c r="R78" s="777"/>
      <c r="S78" s="777"/>
      <c r="T78" s="777"/>
      <c r="U78" s="777"/>
      <c r="V78" s="777"/>
      <c r="W78" s="777"/>
      <c r="X78" s="777"/>
      <c r="Y78" s="777"/>
      <c r="Z78" s="777"/>
      <c r="AA78" s="777"/>
      <c r="AB78" s="777"/>
      <c r="AC78" s="777"/>
      <c r="AD78" s="777"/>
      <c r="AE78" s="777"/>
      <c r="AF78" s="777"/>
      <c r="AG78" s="777"/>
      <c r="AH78" s="777"/>
      <c r="AI78" s="777"/>
      <c r="AJ78" s="777"/>
      <c r="AK78" s="777"/>
      <c r="AL78" s="777"/>
      <c r="AM78" s="777"/>
      <c r="AN78" s="777"/>
      <c r="AO78" s="777"/>
      <c r="AP78" s="777"/>
      <c r="AQ78" s="777"/>
      <c r="AR78" s="777"/>
      <c r="AS78" s="777"/>
      <c r="AT78" s="777"/>
      <c r="AU78" s="777"/>
      <c r="AV78" s="777"/>
      <c r="AW78" s="777"/>
      <c r="AX78" s="777"/>
      <c r="AY78" s="777"/>
      <c r="AZ78" s="777"/>
      <c r="BA78" s="777"/>
      <c r="BB78" s="777"/>
      <c r="BC78" s="777"/>
      <c r="BD78" s="777"/>
      <c r="BE78" s="777"/>
      <c r="BF78" s="777"/>
      <c r="BG78" s="777"/>
      <c r="BH78" s="777"/>
      <c r="BI78" s="777"/>
      <c r="BJ78" s="777"/>
      <c r="BK78" s="777"/>
      <c r="BL78" s="777"/>
      <c r="BM78" s="777"/>
      <c r="BN78" s="777"/>
      <c r="BO78" s="777"/>
      <c r="BP78" s="777"/>
      <c r="BQ78" s="777"/>
      <c r="BR78" s="777"/>
      <c r="BS78" s="777"/>
      <c r="BT78" s="777"/>
    </row>
    <row r="79" spans="1:72" x14ac:dyDescent="0.25">
      <c r="A79" s="777" t="s">
        <v>463</v>
      </c>
      <c r="B79" s="777"/>
      <c r="C79" s="777"/>
      <c r="D79" s="777"/>
      <c r="E79" s="777"/>
      <c r="F79" s="777"/>
      <c r="G79" s="777"/>
      <c r="H79" s="777"/>
      <c r="I79" s="777"/>
      <c r="J79" s="777"/>
      <c r="K79" s="777"/>
      <c r="L79" s="777"/>
      <c r="M79" s="777"/>
      <c r="N79" s="777"/>
      <c r="O79" s="777"/>
      <c r="P79" s="777"/>
      <c r="Q79" s="777"/>
      <c r="R79" s="777"/>
      <c r="S79" s="777"/>
      <c r="T79" s="777"/>
      <c r="U79" s="777"/>
      <c r="V79" s="777"/>
      <c r="W79" s="777"/>
      <c r="X79" s="777"/>
      <c r="Y79" s="777"/>
      <c r="Z79" s="777"/>
      <c r="AA79" s="777"/>
      <c r="AB79" s="777"/>
      <c r="AC79" s="777"/>
      <c r="AD79" s="777"/>
      <c r="AE79" s="777"/>
      <c r="AF79" s="777"/>
      <c r="AG79" s="777"/>
      <c r="AH79" s="777"/>
      <c r="AI79" s="777"/>
      <c r="AJ79" s="777"/>
      <c r="AK79" s="777"/>
      <c r="AL79" s="777"/>
      <c r="AM79" s="777"/>
      <c r="AN79" s="777"/>
      <c r="AO79" s="777"/>
      <c r="AP79" s="777"/>
      <c r="AQ79" s="777"/>
      <c r="AR79" s="777"/>
      <c r="AS79" s="777"/>
      <c r="AT79" s="777"/>
      <c r="AU79" s="777"/>
      <c r="AV79" s="777"/>
      <c r="AW79" s="777"/>
      <c r="AX79" s="777"/>
      <c r="AY79" s="777"/>
      <c r="AZ79" s="777"/>
      <c r="BA79" s="777"/>
      <c r="BB79" s="777"/>
      <c r="BC79" s="777"/>
      <c r="BD79" s="777"/>
      <c r="BE79" s="777"/>
      <c r="BF79" s="777"/>
      <c r="BG79" s="777"/>
      <c r="BH79" s="777"/>
      <c r="BI79" s="777"/>
      <c r="BJ79" s="777"/>
      <c r="BK79" s="777"/>
      <c r="BL79" s="777"/>
      <c r="BM79" s="777"/>
      <c r="BN79" s="777"/>
      <c r="BO79" s="777"/>
      <c r="BP79" s="777"/>
      <c r="BQ79" s="777"/>
      <c r="BR79" s="777"/>
      <c r="BS79" s="777"/>
      <c r="BT79" s="777"/>
    </row>
    <row r="80" spans="1:72" x14ac:dyDescent="0.25">
      <c r="A80" s="777" t="s">
        <v>598</v>
      </c>
      <c r="B80" s="777">
        <v>26.25</v>
      </c>
      <c r="C80" s="777">
        <v>29.35</v>
      </c>
      <c r="D80" s="777">
        <v>24.9</v>
      </c>
      <c r="E80" s="777">
        <v>24.01</v>
      </c>
      <c r="F80" s="777">
        <v>24.09</v>
      </c>
      <c r="G80" s="777">
        <v>25.25</v>
      </c>
      <c r="H80" s="777">
        <v>26.47</v>
      </c>
      <c r="I80" s="777">
        <v>27.44</v>
      </c>
      <c r="J80" s="777">
        <v>28.03</v>
      </c>
      <c r="K80" s="777">
        <v>28.67</v>
      </c>
      <c r="L80" s="777">
        <v>29.21</v>
      </c>
      <c r="M80" s="777">
        <v>29.8</v>
      </c>
      <c r="N80" s="777">
        <v>30.06</v>
      </c>
      <c r="O80" s="777">
        <v>30.29</v>
      </c>
      <c r="P80" s="777">
        <v>30.53</v>
      </c>
      <c r="Q80" s="777">
        <v>30.73</v>
      </c>
      <c r="R80" s="777">
        <v>31.01</v>
      </c>
      <c r="S80" s="777">
        <v>31.28</v>
      </c>
      <c r="T80" s="777">
        <v>31.55</v>
      </c>
      <c r="U80" s="777">
        <v>31.7</v>
      </c>
      <c r="V80" s="777">
        <v>31.98</v>
      </c>
      <c r="W80" s="777">
        <v>32.229999999999997</v>
      </c>
      <c r="X80" s="777">
        <v>32.590000000000003</v>
      </c>
      <c r="Y80" s="777">
        <v>32.81</v>
      </c>
      <c r="Z80" s="777">
        <v>33.17</v>
      </c>
      <c r="AA80" s="777">
        <v>33.51</v>
      </c>
      <c r="AB80" s="777">
        <v>33.9</v>
      </c>
      <c r="AC80" s="777">
        <v>34.26</v>
      </c>
      <c r="AD80" s="777">
        <v>34.65</v>
      </c>
      <c r="AE80" s="813">
        <v>6.0000000000000001E-3</v>
      </c>
      <c r="AF80" s="777"/>
      <c r="AG80" s="777"/>
      <c r="AH80" s="777"/>
      <c r="AI80" s="777"/>
      <c r="AJ80" s="777"/>
      <c r="AK80" s="777"/>
      <c r="AL80" s="777"/>
      <c r="AM80" s="777"/>
      <c r="AN80" s="777"/>
      <c r="AO80" s="777"/>
      <c r="AP80" s="777"/>
      <c r="AQ80" s="777"/>
      <c r="AR80" s="777"/>
      <c r="AS80" s="777"/>
      <c r="AT80" s="777"/>
      <c r="AU80" s="777"/>
      <c r="AV80" s="777"/>
      <c r="AW80" s="777"/>
      <c r="AX80" s="777"/>
      <c r="AY80" s="777"/>
      <c r="AZ80" s="777"/>
      <c r="BA80" s="777"/>
      <c r="BB80" s="777"/>
      <c r="BC80" s="777"/>
      <c r="BD80" s="777"/>
      <c r="BE80" s="777"/>
      <c r="BF80" s="777"/>
      <c r="BG80" s="777"/>
      <c r="BH80" s="777"/>
      <c r="BI80" s="777"/>
      <c r="BJ80" s="777"/>
      <c r="BK80" s="777"/>
      <c r="BL80" s="777"/>
      <c r="BM80" s="777"/>
      <c r="BN80" s="777"/>
      <c r="BO80" s="777"/>
      <c r="BP80" s="777"/>
      <c r="BQ80" s="777"/>
      <c r="BR80" s="777"/>
      <c r="BS80" s="777"/>
      <c r="BT80" s="777"/>
    </row>
    <row r="81" spans="1:72" x14ac:dyDescent="0.25">
      <c r="A81" s="777" t="s">
        <v>599</v>
      </c>
      <c r="B81" s="777">
        <v>20.3</v>
      </c>
      <c r="C81" s="777">
        <v>24.47</v>
      </c>
      <c r="D81" s="777">
        <v>17.98</v>
      </c>
      <c r="E81" s="777">
        <v>17.57</v>
      </c>
      <c r="F81" s="777">
        <v>17.72</v>
      </c>
      <c r="G81" s="777">
        <v>18.84</v>
      </c>
      <c r="H81" s="777">
        <v>19.86</v>
      </c>
      <c r="I81" s="777">
        <v>20.58</v>
      </c>
      <c r="J81" s="777">
        <v>21.08</v>
      </c>
      <c r="K81" s="777">
        <v>22</v>
      </c>
      <c r="L81" s="777">
        <v>22.66</v>
      </c>
      <c r="M81" s="777">
        <v>23.32</v>
      </c>
      <c r="N81" s="777">
        <v>23.74</v>
      </c>
      <c r="O81" s="777">
        <v>24.1</v>
      </c>
      <c r="P81" s="777">
        <v>24.24</v>
      </c>
      <c r="Q81" s="777">
        <v>24.44</v>
      </c>
      <c r="R81" s="777">
        <v>24.76</v>
      </c>
      <c r="S81" s="777">
        <v>24.94</v>
      </c>
      <c r="T81" s="777">
        <v>25.23</v>
      </c>
      <c r="U81" s="777">
        <v>25.5</v>
      </c>
      <c r="V81" s="777">
        <v>25.72</v>
      </c>
      <c r="W81" s="777">
        <v>26.04</v>
      </c>
      <c r="X81" s="777">
        <v>26.44</v>
      </c>
      <c r="Y81" s="777">
        <v>26.61</v>
      </c>
      <c r="Z81" s="777">
        <v>27.05</v>
      </c>
      <c r="AA81" s="777">
        <v>27.45</v>
      </c>
      <c r="AB81" s="777">
        <v>27.82</v>
      </c>
      <c r="AC81" s="777">
        <v>28.24</v>
      </c>
      <c r="AD81" s="777">
        <v>28.66</v>
      </c>
      <c r="AE81" s="813">
        <v>6.0000000000000001E-3</v>
      </c>
      <c r="AF81" s="777"/>
      <c r="AG81" s="777"/>
      <c r="AH81" s="777"/>
      <c r="AI81" s="777"/>
      <c r="AJ81" s="777"/>
      <c r="AK81" s="777"/>
      <c r="AL81" s="777"/>
      <c r="AM81" s="777"/>
      <c r="AN81" s="777"/>
      <c r="AO81" s="777"/>
      <c r="AP81" s="777"/>
      <c r="AQ81" s="777"/>
      <c r="AR81" s="777"/>
      <c r="AS81" s="777"/>
      <c r="AT81" s="777"/>
      <c r="AU81" s="777"/>
      <c r="AV81" s="777"/>
      <c r="AW81" s="777"/>
      <c r="AX81" s="777"/>
      <c r="AY81" s="777"/>
      <c r="AZ81" s="777"/>
      <c r="BA81" s="777"/>
      <c r="BB81" s="777"/>
      <c r="BC81" s="777"/>
      <c r="BD81" s="777"/>
      <c r="BE81" s="777"/>
      <c r="BF81" s="777"/>
      <c r="BG81" s="777"/>
      <c r="BH81" s="777"/>
      <c r="BI81" s="777"/>
      <c r="BJ81" s="777"/>
      <c r="BK81" s="777"/>
      <c r="BL81" s="777"/>
      <c r="BM81" s="777"/>
      <c r="BN81" s="777"/>
      <c r="BO81" s="777"/>
      <c r="BP81" s="777"/>
      <c r="BQ81" s="777"/>
      <c r="BR81" s="777"/>
      <c r="BS81" s="777"/>
      <c r="BT81" s="777"/>
    </row>
    <row r="82" spans="1:72" x14ac:dyDescent="0.25">
      <c r="A82" s="777" t="s">
        <v>500</v>
      </c>
      <c r="B82" s="777">
        <v>12.94</v>
      </c>
      <c r="C82" s="777">
        <v>13.48</v>
      </c>
      <c r="D82" s="777">
        <v>11.39</v>
      </c>
      <c r="E82" s="777">
        <v>10.89</v>
      </c>
      <c r="F82" s="777">
        <v>11.78</v>
      </c>
      <c r="G82" s="777">
        <v>11.87</v>
      </c>
      <c r="H82" s="777">
        <v>11.48</v>
      </c>
      <c r="I82" s="777">
        <v>11.41</v>
      </c>
      <c r="J82" s="777">
        <v>11.56</v>
      </c>
      <c r="K82" s="777">
        <v>11.65</v>
      </c>
      <c r="L82" s="777">
        <v>11.69</v>
      </c>
      <c r="M82" s="777">
        <v>11.76</v>
      </c>
      <c r="N82" s="777">
        <v>11.83</v>
      </c>
      <c r="O82" s="777">
        <v>11.95</v>
      </c>
      <c r="P82" s="777">
        <v>12.07</v>
      </c>
      <c r="Q82" s="777">
        <v>12.26</v>
      </c>
      <c r="R82" s="777">
        <v>12.29</v>
      </c>
      <c r="S82" s="777">
        <v>12.2</v>
      </c>
      <c r="T82" s="777">
        <v>12.29</v>
      </c>
      <c r="U82" s="777">
        <v>12.46</v>
      </c>
      <c r="V82" s="777">
        <v>12.66</v>
      </c>
      <c r="W82" s="777">
        <v>12.9</v>
      </c>
      <c r="X82" s="777">
        <v>13.16</v>
      </c>
      <c r="Y82" s="777">
        <v>13.44</v>
      </c>
      <c r="Z82" s="777">
        <v>13.78</v>
      </c>
      <c r="AA82" s="777">
        <v>13.93</v>
      </c>
      <c r="AB82" s="777">
        <v>14.03</v>
      </c>
      <c r="AC82" s="777">
        <v>14.25</v>
      </c>
      <c r="AD82" s="777">
        <v>14.4</v>
      </c>
      <c r="AE82" s="813">
        <v>2E-3</v>
      </c>
      <c r="AF82" s="777"/>
      <c r="AG82" s="777"/>
      <c r="AH82" s="777"/>
      <c r="AI82" s="777"/>
      <c r="AJ82" s="777"/>
      <c r="AK82" s="777"/>
      <c r="AL82" s="777"/>
      <c r="AM82" s="777"/>
      <c r="AN82" s="777"/>
      <c r="AO82" s="777"/>
      <c r="AP82" s="777"/>
      <c r="AQ82" s="777"/>
      <c r="AR82" s="777"/>
      <c r="AS82" s="777"/>
      <c r="AT82" s="777"/>
      <c r="AU82" s="777"/>
      <c r="AV82" s="777"/>
      <c r="AW82" s="777"/>
      <c r="AX82" s="777"/>
      <c r="AY82" s="777"/>
      <c r="AZ82" s="777"/>
      <c r="BA82" s="777"/>
      <c r="BB82" s="777"/>
      <c r="BC82" s="777"/>
      <c r="BD82" s="777"/>
      <c r="BE82" s="777"/>
      <c r="BF82" s="777"/>
      <c r="BG82" s="777"/>
      <c r="BH82" s="777"/>
      <c r="BI82" s="777"/>
      <c r="BJ82" s="777"/>
      <c r="BK82" s="777"/>
      <c r="BL82" s="777"/>
      <c r="BM82" s="777"/>
      <c r="BN82" s="777"/>
      <c r="BO82" s="777"/>
      <c r="BP82" s="777"/>
      <c r="BQ82" s="777"/>
      <c r="BR82" s="777"/>
      <c r="BS82" s="777"/>
      <c r="BT82" s="777"/>
    </row>
    <row r="83" spans="1:72" x14ac:dyDescent="0.25">
      <c r="A83" s="777" t="s">
        <v>469</v>
      </c>
      <c r="B83" s="777">
        <v>31.82</v>
      </c>
      <c r="C83" s="777">
        <v>33.29</v>
      </c>
      <c r="D83" s="777">
        <v>32.33</v>
      </c>
      <c r="E83" s="777">
        <v>30.94</v>
      </c>
      <c r="F83" s="777">
        <v>29.9</v>
      </c>
      <c r="G83" s="777">
        <v>31.08</v>
      </c>
      <c r="H83" s="777">
        <v>31.47</v>
      </c>
      <c r="I83" s="777">
        <v>31.49</v>
      </c>
      <c r="J83" s="777">
        <v>31.43</v>
      </c>
      <c r="K83" s="777">
        <v>31.64</v>
      </c>
      <c r="L83" s="777">
        <v>31.8</v>
      </c>
      <c r="M83" s="777">
        <v>31.78</v>
      </c>
      <c r="N83" s="777">
        <v>31.68</v>
      </c>
      <c r="O83" s="777">
        <v>31.84</v>
      </c>
      <c r="P83" s="777">
        <v>32.01</v>
      </c>
      <c r="Q83" s="777">
        <v>32.08</v>
      </c>
      <c r="R83" s="777">
        <v>32.200000000000003</v>
      </c>
      <c r="S83" s="777">
        <v>32.28</v>
      </c>
      <c r="T83" s="777">
        <v>32.26</v>
      </c>
      <c r="U83" s="777">
        <v>32.4</v>
      </c>
      <c r="V83" s="777">
        <v>32.57</v>
      </c>
      <c r="W83" s="777">
        <v>32.729999999999997</v>
      </c>
      <c r="X83" s="777">
        <v>33.130000000000003</v>
      </c>
      <c r="Y83" s="777">
        <v>33.46</v>
      </c>
      <c r="Z83" s="777">
        <v>33.81</v>
      </c>
      <c r="AA83" s="777">
        <v>34.11</v>
      </c>
      <c r="AB83" s="777">
        <v>34.26</v>
      </c>
      <c r="AC83" s="777">
        <v>34.49</v>
      </c>
      <c r="AD83" s="777">
        <v>34.71</v>
      </c>
      <c r="AE83" s="813">
        <v>2E-3</v>
      </c>
      <c r="AF83" s="777"/>
      <c r="AG83" s="777"/>
      <c r="AH83" s="777"/>
      <c r="AI83" s="777"/>
      <c r="AJ83" s="777"/>
      <c r="AK83" s="777"/>
      <c r="AL83" s="777"/>
      <c r="AM83" s="777"/>
      <c r="AN83" s="777"/>
      <c r="AO83" s="777"/>
      <c r="AP83" s="777"/>
      <c r="AQ83" s="777"/>
      <c r="AR83" s="777"/>
      <c r="AS83" s="777"/>
      <c r="AT83" s="777"/>
      <c r="AU83" s="777"/>
      <c r="AV83" s="777"/>
      <c r="AW83" s="777"/>
      <c r="AX83" s="777"/>
      <c r="AY83" s="777"/>
      <c r="AZ83" s="777"/>
      <c r="BA83" s="777"/>
      <c r="BB83" s="777"/>
      <c r="BC83" s="777"/>
      <c r="BD83" s="777"/>
      <c r="BE83" s="777"/>
      <c r="BF83" s="777"/>
      <c r="BG83" s="777"/>
      <c r="BH83" s="777"/>
      <c r="BI83" s="777"/>
      <c r="BJ83" s="777"/>
      <c r="BK83" s="777"/>
      <c r="BL83" s="777"/>
      <c r="BM83" s="777"/>
      <c r="BN83" s="777"/>
      <c r="BO83" s="777"/>
      <c r="BP83" s="777"/>
      <c r="BQ83" s="777"/>
      <c r="BR83" s="777"/>
      <c r="BS83" s="777"/>
      <c r="BT83" s="777"/>
    </row>
    <row r="84" spans="1:72" x14ac:dyDescent="0.25">
      <c r="A84" s="777"/>
      <c r="B84" s="777"/>
      <c r="C84" s="777"/>
      <c r="D84" s="777"/>
      <c r="E84" s="777"/>
      <c r="F84" s="777"/>
      <c r="G84" s="777"/>
      <c r="H84" s="777"/>
      <c r="I84" s="777"/>
      <c r="J84" s="777"/>
      <c r="K84" s="777"/>
      <c r="L84" s="777"/>
      <c r="M84" s="777"/>
      <c r="N84" s="777"/>
      <c r="O84" s="777"/>
      <c r="P84" s="777"/>
      <c r="Q84" s="777"/>
      <c r="R84" s="777"/>
      <c r="S84" s="777"/>
      <c r="T84" s="777"/>
      <c r="U84" s="777"/>
      <c r="V84" s="777"/>
      <c r="W84" s="777"/>
      <c r="X84" s="777"/>
      <c r="Y84" s="777"/>
      <c r="Z84" s="777"/>
      <c r="AA84" s="777"/>
      <c r="AB84" s="777"/>
      <c r="AC84" s="777"/>
      <c r="AD84" s="777"/>
      <c r="AE84" s="777"/>
      <c r="AF84" s="777"/>
      <c r="AG84" s="777"/>
      <c r="AH84" s="777"/>
      <c r="AI84" s="777"/>
      <c r="AJ84" s="777"/>
      <c r="AK84" s="777"/>
      <c r="AL84" s="777"/>
      <c r="AM84" s="777"/>
      <c r="AN84" s="777"/>
      <c r="AO84" s="777"/>
      <c r="AP84" s="777"/>
      <c r="AQ84" s="777"/>
      <c r="AR84" s="777"/>
      <c r="AS84" s="777"/>
      <c r="AT84" s="777"/>
      <c r="AU84" s="777"/>
      <c r="AV84" s="777"/>
      <c r="AW84" s="777"/>
      <c r="AX84" s="777"/>
      <c r="AY84" s="777"/>
      <c r="AZ84" s="777"/>
      <c r="BA84" s="777"/>
      <c r="BB84" s="777"/>
      <c r="BC84" s="777"/>
      <c r="BD84" s="777"/>
      <c r="BE84" s="777"/>
      <c r="BF84" s="777"/>
      <c r="BG84" s="777"/>
      <c r="BH84" s="777"/>
      <c r="BI84" s="777"/>
      <c r="BJ84" s="777"/>
      <c r="BK84" s="777"/>
      <c r="BL84" s="777"/>
      <c r="BM84" s="777"/>
      <c r="BN84" s="777"/>
      <c r="BO84" s="777"/>
      <c r="BP84" s="777"/>
      <c r="BQ84" s="777"/>
      <c r="BR84" s="777"/>
      <c r="BS84" s="777"/>
      <c r="BT84" s="777"/>
    </row>
    <row r="85" spans="1:72" x14ac:dyDescent="0.25">
      <c r="A85" s="777" t="s">
        <v>470</v>
      </c>
      <c r="B85" s="777"/>
      <c r="C85" s="777"/>
      <c r="D85" s="777"/>
      <c r="E85" s="777"/>
      <c r="F85" s="777"/>
      <c r="G85" s="777"/>
      <c r="H85" s="777"/>
      <c r="I85" s="777"/>
      <c r="J85" s="777"/>
      <c r="K85" s="777"/>
      <c r="L85" s="777"/>
      <c r="M85" s="777"/>
      <c r="N85" s="777"/>
      <c r="O85" s="777"/>
      <c r="P85" s="777"/>
      <c r="Q85" s="777"/>
      <c r="R85" s="777"/>
      <c r="S85" s="777"/>
      <c r="T85" s="777"/>
      <c r="U85" s="777"/>
      <c r="V85" s="777"/>
      <c r="W85" s="777"/>
      <c r="X85" s="777"/>
      <c r="Y85" s="777"/>
      <c r="Z85" s="777"/>
      <c r="AA85" s="777"/>
      <c r="AB85" s="777"/>
      <c r="AC85" s="777"/>
      <c r="AD85" s="777"/>
      <c r="AE85" s="777"/>
      <c r="AF85" s="777"/>
      <c r="AG85" s="777"/>
      <c r="AH85" s="777"/>
      <c r="AI85" s="777"/>
      <c r="AJ85" s="777"/>
      <c r="AK85" s="777"/>
      <c r="AL85" s="777"/>
      <c r="AM85" s="777"/>
      <c r="AN85" s="777"/>
      <c r="AO85" s="777"/>
      <c r="AP85" s="777"/>
      <c r="AQ85" s="777"/>
      <c r="AR85" s="777"/>
      <c r="AS85" s="777"/>
      <c r="AT85" s="777"/>
      <c r="AU85" s="777"/>
      <c r="AV85" s="777"/>
      <c r="AW85" s="777"/>
      <c r="AX85" s="777"/>
      <c r="AY85" s="777"/>
      <c r="AZ85" s="777"/>
      <c r="BA85" s="777"/>
      <c r="BB85" s="777"/>
      <c r="BC85" s="777"/>
      <c r="BD85" s="777"/>
      <c r="BE85" s="777"/>
      <c r="BF85" s="777"/>
      <c r="BG85" s="777"/>
      <c r="BH85" s="777"/>
      <c r="BI85" s="777"/>
      <c r="BJ85" s="777"/>
      <c r="BK85" s="777"/>
      <c r="BL85" s="777"/>
      <c r="BM85" s="777"/>
      <c r="BN85" s="777"/>
      <c r="BO85" s="777"/>
      <c r="BP85" s="777"/>
      <c r="BQ85" s="777"/>
      <c r="BR85" s="777"/>
      <c r="BS85" s="777"/>
      <c r="BT85" s="777"/>
    </row>
    <row r="86" spans="1:72" x14ac:dyDescent="0.25">
      <c r="A86" s="777" t="s">
        <v>598</v>
      </c>
      <c r="B86" s="777">
        <v>20.65</v>
      </c>
      <c r="C86" s="777">
        <v>26.15</v>
      </c>
      <c r="D86" s="777">
        <v>19.82</v>
      </c>
      <c r="E86" s="777">
        <v>20.78</v>
      </c>
      <c r="F86" s="777">
        <v>20.86</v>
      </c>
      <c r="G86" s="777">
        <v>22.02</v>
      </c>
      <c r="H86" s="777">
        <v>23.23</v>
      </c>
      <c r="I86" s="777">
        <v>24.19</v>
      </c>
      <c r="J86" s="777">
        <v>24.77</v>
      </c>
      <c r="K86" s="777">
        <v>25.41</v>
      </c>
      <c r="L86" s="777">
        <v>25.95</v>
      </c>
      <c r="M86" s="777">
        <v>26.53</v>
      </c>
      <c r="N86" s="777">
        <v>26.79</v>
      </c>
      <c r="O86" s="777">
        <v>27.02</v>
      </c>
      <c r="P86" s="777">
        <v>27.25</v>
      </c>
      <c r="Q86" s="777">
        <v>27.46</v>
      </c>
      <c r="R86" s="777">
        <v>27.73</v>
      </c>
      <c r="S86" s="777">
        <v>28</v>
      </c>
      <c r="T86" s="777">
        <v>28.26</v>
      </c>
      <c r="U86" s="777">
        <v>28.41</v>
      </c>
      <c r="V86" s="777">
        <v>28.68</v>
      </c>
      <c r="W86" s="777">
        <v>28.93</v>
      </c>
      <c r="X86" s="777">
        <v>29.28</v>
      </c>
      <c r="Y86" s="777">
        <v>29.5</v>
      </c>
      <c r="Z86" s="777">
        <v>29.86</v>
      </c>
      <c r="AA86" s="777">
        <v>30.19</v>
      </c>
      <c r="AB86" s="777">
        <v>30.58</v>
      </c>
      <c r="AC86" s="777">
        <v>30.94</v>
      </c>
      <c r="AD86" s="777">
        <v>31.32</v>
      </c>
      <c r="AE86" s="813">
        <v>7.0000000000000001E-3</v>
      </c>
      <c r="AF86" s="777"/>
      <c r="AG86" s="777"/>
      <c r="AH86" s="777"/>
      <c r="AI86" s="777"/>
      <c r="AJ86" s="777"/>
      <c r="AK86" s="777"/>
      <c r="AL86" s="777"/>
      <c r="AM86" s="777"/>
      <c r="AN86" s="777"/>
      <c r="AO86" s="777"/>
      <c r="AP86" s="777"/>
      <c r="AQ86" s="777"/>
      <c r="AR86" s="777"/>
      <c r="AS86" s="777"/>
      <c r="AT86" s="777"/>
      <c r="AU86" s="777"/>
      <c r="AV86" s="777"/>
      <c r="AW86" s="777"/>
      <c r="AX86" s="777"/>
      <c r="AY86" s="777"/>
      <c r="AZ86" s="777"/>
      <c r="BA86" s="777"/>
      <c r="BB86" s="777"/>
      <c r="BC86" s="777"/>
      <c r="BD86" s="777"/>
      <c r="BE86" s="777"/>
      <c r="BF86" s="777"/>
      <c r="BG86" s="777"/>
      <c r="BH86" s="777"/>
      <c r="BI86" s="777"/>
      <c r="BJ86" s="777"/>
      <c r="BK86" s="777"/>
      <c r="BL86" s="777"/>
      <c r="BM86" s="777"/>
      <c r="BN86" s="777"/>
      <c r="BO86" s="777"/>
      <c r="BP86" s="777"/>
      <c r="BQ86" s="777"/>
      <c r="BR86" s="777"/>
      <c r="BS86" s="777"/>
      <c r="BT86" s="777"/>
    </row>
    <row r="87" spans="1:72" x14ac:dyDescent="0.25">
      <c r="A87" s="777" t="s">
        <v>599</v>
      </c>
      <c r="B87" s="777">
        <v>17.48</v>
      </c>
      <c r="C87" s="777">
        <v>21.5</v>
      </c>
      <c r="D87" s="777">
        <v>15.8</v>
      </c>
      <c r="E87" s="777">
        <v>14.82</v>
      </c>
      <c r="F87" s="777">
        <v>15.24</v>
      </c>
      <c r="G87" s="777">
        <v>16.38</v>
      </c>
      <c r="H87" s="777">
        <v>17.399999999999999</v>
      </c>
      <c r="I87" s="777">
        <v>18.11</v>
      </c>
      <c r="J87" s="777">
        <v>18.72</v>
      </c>
      <c r="K87" s="777">
        <v>19.559999999999999</v>
      </c>
      <c r="L87" s="777">
        <v>20.2</v>
      </c>
      <c r="M87" s="777">
        <v>20.84</v>
      </c>
      <c r="N87" s="777">
        <v>21.26</v>
      </c>
      <c r="O87" s="777">
        <v>21.6</v>
      </c>
      <c r="P87" s="777">
        <v>21.78</v>
      </c>
      <c r="Q87" s="777">
        <v>22.04</v>
      </c>
      <c r="R87" s="777">
        <v>22.29</v>
      </c>
      <c r="S87" s="777">
        <v>22.43</v>
      </c>
      <c r="T87" s="777">
        <v>22.72</v>
      </c>
      <c r="U87" s="777">
        <v>22.97</v>
      </c>
      <c r="V87" s="777">
        <v>23.21</v>
      </c>
      <c r="W87" s="777">
        <v>23.53</v>
      </c>
      <c r="X87" s="777">
        <v>23.93</v>
      </c>
      <c r="Y87" s="777">
        <v>24.11</v>
      </c>
      <c r="Z87" s="777">
        <v>24.54</v>
      </c>
      <c r="AA87" s="777">
        <v>24.94</v>
      </c>
      <c r="AB87" s="777">
        <v>25.28</v>
      </c>
      <c r="AC87" s="777">
        <v>25.69</v>
      </c>
      <c r="AD87" s="777">
        <v>26.13</v>
      </c>
      <c r="AE87" s="813">
        <v>7.0000000000000001E-3</v>
      </c>
      <c r="AF87" s="777"/>
      <c r="AG87" s="777"/>
      <c r="AH87" s="777"/>
      <c r="AI87" s="777"/>
      <c r="AJ87" s="777"/>
      <c r="AK87" s="777"/>
      <c r="AL87" s="777"/>
      <c r="AM87" s="777"/>
      <c r="AN87" s="777"/>
      <c r="AO87" s="777"/>
      <c r="AP87" s="777"/>
      <c r="AQ87" s="777"/>
      <c r="AR87" s="777"/>
      <c r="AS87" s="777"/>
      <c r="AT87" s="777"/>
      <c r="AU87" s="777"/>
      <c r="AV87" s="777"/>
      <c r="AW87" s="777"/>
      <c r="AX87" s="777"/>
      <c r="AY87" s="777"/>
      <c r="AZ87" s="777"/>
      <c r="BA87" s="777"/>
      <c r="BB87" s="777"/>
      <c r="BC87" s="777"/>
      <c r="BD87" s="777"/>
      <c r="BE87" s="777"/>
      <c r="BF87" s="777"/>
      <c r="BG87" s="777"/>
      <c r="BH87" s="777"/>
      <c r="BI87" s="777"/>
      <c r="BJ87" s="777"/>
      <c r="BK87" s="777"/>
      <c r="BL87" s="777"/>
      <c r="BM87" s="777"/>
      <c r="BN87" s="777"/>
      <c r="BO87" s="777"/>
      <c r="BP87" s="777"/>
      <c r="BQ87" s="777"/>
      <c r="BR87" s="777"/>
      <c r="BS87" s="777"/>
      <c r="BT87" s="777"/>
    </row>
    <row r="88" spans="1:72" x14ac:dyDescent="0.25">
      <c r="A88" s="777" t="s">
        <v>712</v>
      </c>
      <c r="B88" s="777">
        <v>8.39</v>
      </c>
      <c r="C88" s="777">
        <v>15.52</v>
      </c>
      <c r="D88" s="777">
        <v>9.27</v>
      </c>
      <c r="E88" s="777">
        <v>9.4499999999999993</v>
      </c>
      <c r="F88" s="777">
        <v>9.6300000000000008</v>
      </c>
      <c r="G88" s="777">
        <v>10.85</v>
      </c>
      <c r="H88" s="777">
        <v>11.98</v>
      </c>
      <c r="I88" s="777">
        <v>12.76</v>
      </c>
      <c r="J88" s="777">
        <v>13.13</v>
      </c>
      <c r="K88" s="777">
        <v>13.68</v>
      </c>
      <c r="L88" s="777">
        <v>14.17</v>
      </c>
      <c r="M88" s="777">
        <v>14.69</v>
      </c>
      <c r="N88" s="777">
        <v>15.26</v>
      </c>
      <c r="O88" s="777">
        <v>15.46</v>
      </c>
      <c r="P88" s="777">
        <v>15.68</v>
      </c>
      <c r="Q88" s="777">
        <v>15.89</v>
      </c>
      <c r="R88" s="777">
        <v>16.12</v>
      </c>
      <c r="S88" s="777">
        <v>16.34</v>
      </c>
      <c r="T88" s="777">
        <v>16.54</v>
      </c>
      <c r="U88" s="777">
        <v>16.63</v>
      </c>
      <c r="V88" s="777">
        <v>16.82</v>
      </c>
      <c r="W88" s="777">
        <v>17.059999999999999</v>
      </c>
      <c r="X88" s="777">
        <v>17.28</v>
      </c>
      <c r="Y88" s="777">
        <v>17.54</v>
      </c>
      <c r="Z88" s="777">
        <v>17.89</v>
      </c>
      <c r="AA88" s="777">
        <v>18.12</v>
      </c>
      <c r="AB88" s="777">
        <v>18.25</v>
      </c>
      <c r="AC88" s="777">
        <v>18.68</v>
      </c>
      <c r="AD88" s="777">
        <v>18.84</v>
      </c>
      <c r="AE88" s="813">
        <v>7.0000000000000001E-3</v>
      </c>
      <c r="AF88" s="777"/>
      <c r="AG88" s="777"/>
      <c r="AH88" s="777"/>
      <c r="AI88" s="777"/>
      <c r="AJ88" s="777"/>
      <c r="AK88" s="777"/>
      <c r="AL88" s="777"/>
      <c r="AM88" s="777"/>
      <c r="AN88" s="777"/>
      <c r="AO88" s="777"/>
      <c r="AP88" s="777"/>
      <c r="AQ88" s="777"/>
      <c r="AR88" s="777"/>
      <c r="AS88" s="777"/>
      <c r="AT88" s="777"/>
      <c r="AU88" s="777"/>
      <c r="AV88" s="777"/>
      <c r="AW88" s="777"/>
      <c r="AX88" s="777"/>
      <c r="AY88" s="777"/>
      <c r="AZ88" s="777"/>
      <c r="BA88" s="777"/>
      <c r="BB88" s="777"/>
      <c r="BC88" s="777"/>
      <c r="BD88" s="777"/>
      <c r="BE88" s="777"/>
      <c r="BF88" s="777"/>
      <c r="BG88" s="777"/>
      <c r="BH88" s="777"/>
      <c r="BI88" s="777"/>
      <c r="BJ88" s="777"/>
      <c r="BK88" s="777"/>
      <c r="BL88" s="777"/>
      <c r="BM88" s="777"/>
      <c r="BN88" s="777"/>
      <c r="BO88" s="777"/>
      <c r="BP88" s="777"/>
      <c r="BQ88" s="777"/>
      <c r="BR88" s="777"/>
      <c r="BS88" s="777"/>
      <c r="BT88" s="777"/>
    </row>
    <row r="89" spans="1:72" x14ac:dyDescent="0.25">
      <c r="A89" s="777" t="s">
        <v>500</v>
      </c>
      <c r="B89" s="777">
        <v>11.2</v>
      </c>
      <c r="C89" s="777">
        <v>11.94</v>
      </c>
      <c r="D89" s="777">
        <v>9.0500000000000007</v>
      </c>
      <c r="E89" s="777">
        <v>8.67</v>
      </c>
      <c r="F89" s="777">
        <v>9.7200000000000006</v>
      </c>
      <c r="G89" s="777">
        <v>10.07</v>
      </c>
      <c r="H89" s="777">
        <v>9.92</v>
      </c>
      <c r="I89" s="777">
        <v>9.85</v>
      </c>
      <c r="J89" s="777">
        <v>9.99</v>
      </c>
      <c r="K89" s="777">
        <v>10.08</v>
      </c>
      <c r="L89" s="777">
        <v>10.11</v>
      </c>
      <c r="M89" s="777">
        <v>10.16</v>
      </c>
      <c r="N89" s="777">
        <v>10.23</v>
      </c>
      <c r="O89" s="777">
        <v>10.35</v>
      </c>
      <c r="P89" s="777">
        <v>10.46</v>
      </c>
      <c r="Q89" s="777">
        <v>10.65</v>
      </c>
      <c r="R89" s="777">
        <v>10.69</v>
      </c>
      <c r="S89" s="777">
        <v>10.62</v>
      </c>
      <c r="T89" s="777">
        <v>10.7</v>
      </c>
      <c r="U89" s="777">
        <v>10.86</v>
      </c>
      <c r="V89" s="777">
        <v>11.04</v>
      </c>
      <c r="W89" s="777">
        <v>11.28</v>
      </c>
      <c r="X89" s="777">
        <v>11.52</v>
      </c>
      <c r="Y89" s="777">
        <v>11.78</v>
      </c>
      <c r="Z89" s="777">
        <v>12.11</v>
      </c>
      <c r="AA89" s="777">
        <v>12.26</v>
      </c>
      <c r="AB89" s="777">
        <v>12.32</v>
      </c>
      <c r="AC89" s="777">
        <v>12.52</v>
      </c>
      <c r="AD89" s="777">
        <v>12.66</v>
      </c>
      <c r="AE89" s="813">
        <v>2E-3</v>
      </c>
      <c r="AF89" s="777"/>
      <c r="AG89" s="777"/>
      <c r="AH89" s="777"/>
      <c r="AI89" s="777"/>
      <c r="AJ89" s="777"/>
      <c r="AK89" s="777"/>
      <c r="AL89" s="777"/>
      <c r="AM89" s="777"/>
      <c r="AN89" s="777"/>
      <c r="AO89" s="777"/>
      <c r="AP89" s="777"/>
      <c r="AQ89" s="777"/>
      <c r="AR89" s="777"/>
      <c r="AS89" s="777"/>
      <c r="AT89" s="777"/>
      <c r="AU89" s="777"/>
      <c r="AV89" s="777"/>
      <c r="AW89" s="777"/>
      <c r="AX89" s="777"/>
      <c r="AY89" s="777"/>
      <c r="AZ89" s="777"/>
      <c r="BA89" s="777"/>
      <c r="BB89" s="777"/>
      <c r="BC89" s="777"/>
      <c r="BD89" s="777"/>
      <c r="BE89" s="777"/>
      <c r="BF89" s="777"/>
      <c r="BG89" s="777"/>
      <c r="BH89" s="777"/>
      <c r="BI89" s="777"/>
      <c r="BJ89" s="777"/>
      <c r="BK89" s="777"/>
      <c r="BL89" s="777"/>
      <c r="BM89" s="777"/>
      <c r="BN89" s="777"/>
      <c r="BO89" s="777"/>
      <c r="BP89" s="777"/>
      <c r="BQ89" s="777"/>
      <c r="BR89" s="777"/>
      <c r="BS89" s="777"/>
      <c r="BT89" s="777"/>
    </row>
    <row r="90" spans="1:72" x14ac:dyDescent="0.25">
      <c r="A90" s="777" t="s">
        <v>469</v>
      </c>
      <c r="B90" s="777">
        <v>28.81</v>
      </c>
      <c r="C90" s="777">
        <v>30.47</v>
      </c>
      <c r="D90" s="777">
        <v>28.94</v>
      </c>
      <c r="E90" s="777">
        <v>27.37</v>
      </c>
      <c r="F90" s="777">
        <v>25.72</v>
      </c>
      <c r="G90" s="777">
        <v>26.72</v>
      </c>
      <c r="H90" s="777">
        <v>26.81</v>
      </c>
      <c r="I90" s="777">
        <v>26.55</v>
      </c>
      <c r="J90" s="777">
        <v>26.55</v>
      </c>
      <c r="K90" s="777">
        <v>26.81</v>
      </c>
      <c r="L90" s="777">
        <v>26.97</v>
      </c>
      <c r="M90" s="777">
        <v>26.98</v>
      </c>
      <c r="N90" s="777">
        <v>26.93</v>
      </c>
      <c r="O90" s="777">
        <v>27.12</v>
      </c>
      <c r="P90" s="777">
        <v>27.31</v>
      </c>
      <c r="Q90" s="777">
        <v>27.42</v>
      </c>
      <c r="R90" s="777">
        <v>27.62</v>
      </c>
      <c r="S90" s="777">
        <v>27.77</v>
      </c>
      <c r="T90" s="777">
        <v>27.72</v>
      </c>
      <c r="U90" s="777">
        <v>27.87</v>
      </c>
      <c r="V90" s="777">
        <v>28.05</v>
      </c>
      <c r="W90" s="777">
        <v>28.25</v>
      </c>
      <c r="X90" s="777">
        <v>28.67</v>
      </c>
      <c r="Y90" s="777">
        <v>28.99</v>
      </c>
      <c r="Z90" s="777">
        <v>29.37</v>
      </c>
      <c r="AA90" s="777">
        <v>29.73</v>
      </c>
      <c r="AB90" s="777">
        <v>29.9</v>
      </c>
      <c r="AC90" s="777">
        <v>30.15</v>
      </c>
      <c r="AD90" s="777">
        <v>30.37</v>
      </c>
      <c r="AE90" s="813">
        <v>0</v>
      </c>
      <c r="AF90" s="777"/>
      <c r="AG90" s="777"/>
      <c r="AH90" s="777"/>
      <c r="AI90" s="777"/>
      <c r="AJ90" s="777"/>
      <c r="AK90" s="777"/>
      <c r="AL90" s="777"/>
      <c r="AM90" s="777"/>
      <c r="AN90" s="777"/>
      <c r="AO90" s="777"/>
      <c r="AP90" s="777"/>
      <c r="AQ90" s="777"/>
      <c r="AR90" s="777"/>
      <c r="AS90" s="777"/>
      <c r="AT90" s="777"/>
      <c r="AU90" s="777"/>
      <c r="AV90" s="777"/>
      <c r="AW90" s="777"/>
      <c r="AX90" s="777"/>
      <c r="AY90" s="777"/>
      <c r="AZ90" s="777"/>
      <c r="BA90" s="777"/>
      <c r="BB90" s="777"/>
      <c r="BC90" s="777"/>
      <c r="BD90" s="777"/>
      <c r="BE90" s="777"/>
      <c r="BF90" s="777"/>
      <c r="BG90" s="777"/>
      <c r="BH90" s="777"/>
      <c r="BI90" s="777"/>
      <c r="BJ90" s="777"/>
      <c r="BK90" s="777"/>
      <c r="BL90" s="777"/>
      <c r="BM90" s="777"/>
      <c r="BN90" s="777"/>
      <c r="BO90" s="777"/>
      <c r="BP90" s="777"/>
      <c r="BQ90" s="777"/>
      <c r="BR90" s="777"/>
      <c r="BS90" s="777"/>
      <c r="BT90" s="777"/>
    </row>
    <row r="91" spans="1:72" x14ac:dyDescent="0.25">
      <c r="A91" s="777"/>
      <c r="B91" s="777"/>
      <c r="C91" s="777"/>
      <c r="D91" s="777"/>
      <c r="E91" s="777"/>
      <c r="F91" s="777"/>
      <c r="G91" s="777"/>
      <c r="H91" s="777"/>
      <c r="I91" s="777"/>
      <c r="J91" s="777"/>
      <c r="K91" s="777"/>
      <c r="L91" s="777"/>
      <c r="M91" s="777"/>
      <c r="N91" s="777"/>
      <c r="O91" s="777"/>
      <c r="P91" s="777"/>
      <c r="Q91" s="777"/>
      <c r="R91" s="777"/>
      <c r="S91" s="777"/>
      <c r="T91" s="777"/>
      <c r="U91" s="777"/>
      <c r="V91" s="777"/>
      <c r="W91" s="777"/>
      <c r="X91" s="777"/>
      <c r="Y91" s="777"/>
      <c r="Z91" s="777"/>
      <c r="AA91" s="777"/>
      <c r="AB91" s="777"/>
      <c r="AC91" s="777"/>
      <c r="AD91" s="777"/>
      <c r="AE91" s="777"/>
      <c r="AF91" s="777"/>
      <c r="AG91" s="777"/>
      <c r="AH91" s="777"/>
      <c r="AI91" s="777"/>
      <c r="AJ91" s="777"/>
      <c r="AK91" s="777"/>
      <c r="AL91" s="777"/>
      <c r="AM91" s="777"/>
      <c r="AN91" s="777"/>
      <c r="AO91" s="777"/>
      <c r="AP91" s="777"/>
      <c r="AQ91" s="777"/>
      <c r="AR91" s="777"/>
      <c r="AS91" s="777"/>
      <c r="AT91" s="777"/>
      <c r="AU91" s="777"/>
      <c r="AV91" s="777"/>
      <c r="AW91" s="777"/>
      <c r="AX91" s="777"/>
      <c r="AY91" s="777"/>
      <c r="AZ91" s="777"/>
      <c r="BA91" s="777"/>
      <c r="BB91" s="777"/>
      <c r="BC91" s="777"/>
      <c r="BD91" s="777"/>
      <c r="BE91" s="777"/>
      <c r="BF91" s="777"/>
      <c r="BG91" s="777"/>
      <c r="BH91" s="777"/>
      <c r="BI91" s="777"/>
      <c r="BJ91" s="777"/>
      <c r="BK91" s="777"/>
      <c r="BL91" s="777"/>
      <c r="BM91" s="777"/>
      <c r="BN91" s="777"/>
      <c r="BO91" s="777"/>
      <c r="BP91" s="777"/>
      <c r="BQ91" s="777"/>
      <c r="BR91" s="777"/>
      <c r="BS91" s="777"/>
      <c r="BT91" s="777"/>
    </row>
    <row r="92" spans="1:72" x14ac:dyDescent="0.25">
      <c r="A92" s="777" t="s">
        <v>601</v>
      </c>
      <c r="B92" s="777"/>
      <c r="C92" s="777"/>
      <c r="D92" s="777"/>
      <c r="E92" s="777"/>
      <c r="F92" s="777"/>
      <c r="G92" s="777"/>
      <c r="H92" s="777"/>
      <c r="I92" s="777"/>
      <c r="J92" s="777"/>
      <c r="K92" s="777"/>
      <c r="L92" s="777"/>
      <c r="M92" s="777"/>
      <c r="N92" s="777"/>
      <c r="O92" s="777"/>
      <c r="P92" s="777"/>
      <c r="Q92" s="777"/>
      <c r="R92" s="777"/>
      <c r="S92" s="777"/>
      <c r="T92" s="777"/>
      <c r="U92" s="777"/>
      <c r="V92" s="777"/>
      <c r="W92" s="777"/>
      <c r="X92" s="777"/>
      <c r="Y92" s="777"/>
      <c r="Z92" s="777"/>
      <c r="AA92" s="777"/>
      <c r="AB92" s="777"/>
      <c r="AC92" s="777"/>
      <c r="AD92" s="777"/>
      <c r="AE92" s="777"/>
      <c r="AF92" s="777"/>
      <c r="AG92" s="777"/>
      <c r="AH92" s="777"/>
      <c r="AI92" s="777"/>
      <c r="AJ92" s="777"/>
      <c r="AK92" s="777"/>
      <c r="AL92" s="777"/>
      <c r="AM92" s="777"/>
      <c r="AN92" s="777"/>
      <c r="AO92" s="777"/>
      <c r="AP92" s="777"/>
      <c r="AQ92" s="777"/>
      <c r="AR92" s="777"/>
      <c r="AS92" s="777"/>
      <c r="AT92" s="777"/>
      <c r="AU92" s="777"/>
      <c r="AV92" s="777"/>
      <c r="AW92" s="777"/>
      <c r="AX92" s="777"/>
      <c r="AY92" s="777"/>
      <c r="AZ92" s="777"/>
      <c r="BA92" s="777"/>
      <c r="BB92" s="777"/>
      <c r="BC92" s="777"/>
      <c r="BD92" s="777"/>
      <c r="BE92" s="777"/>
      <c r="BF92" s="777"/>
      <c r="BG92" s="777"/>
      <c r="BH92" s="777"/>
      <c r="BI92" s="777"/>
      <c r="BJ92" s="777"/>
      <c r="BK92" s="777"/>
      <c r="BL92" s="777"/>
      <c r="BM92" s="777"/>
      <c r="BN92" s="777"/>
      <c r="BO92" s="777"/>
      <c r="BP92" s="777"/>
      <c r="BQ92" s="777"/>
      <c r="BR92" s="777"/>
      <c r="BS92" s="777"/>
      <c r="BT92" s="777"/>
    </row>
    <row r="93" spans="1:72" x14ac:dyDescent="0.25">
      <c r="A93" s="777" t="s">
        <v>598</v>
      </c>
      <c r="B93" s="777">
        <v>22.01</v>
      </c>
      <c r="C93" s="777">
        <v>24.2</v>
      </c>
      <c r="D93" s="777">
        <v>18.64</v>
      </c>
      <c r="E93" s="777">
        <v>18.36</v>
      </c>
      <c r="F93" s="777">
        <v>18.46</v>
      </c>
      <c r="G93" s="777">
        <v>19.61</v>
      </c>
      <c r="H93" s="777">
        <v>20.9</v>
      </c>
      <c r="I93" s="777">
        <v>21.9</v>
      </c>
      <c r="J93" s="777">
        <v>22.49</v>
      </c>
      <c r="K93" s="777">
        <v>23.25</v>
      </c>
      <c r="L93" s="777">
        <v>23.76</v>
      </c>
      <c r="M93" s="777">
        <v>24.31</v>
      </c>
      <c r="N93" s="777">
        <v>24.62</v>
      </c>
      <c r="O93" s="777">
        <v>24.86</v>
      </c>
      <c r="P93" s="777">
        <v>25.09</v>
      </c>
      <c r="Q93" s="777">
        <v>25.3</v>
      </c>
      <c r="R93" s="777">
        <v>25.59</v>
      </c>
      <c r="S93" s="777">
        <v>25.86</v>
      </c>
      <c r="T93" s="777">
        <v>26.12</v>
      </c>
      <c r="U93" s="777">
        <v>26.27</v>
      </c>
      <c r="V93" s="777">
        <v>26.55</v>
      </c>
      <c r="W93" s="777">
        <v>26.8</v>
      </c>
      <c r="X93" s="777">
        <v>27.15</v>
      </c>
      <c r="Y93" s="777">
        <v>27.38</v>
      </c>
      <c r="Z93" s="777">
        <v>27.74</v>
      </c>
      <c r="AA93" s="777">
        <v>28.08</v>
      </c>
      <c r="AB93" s="777">
        <v>28.48</v>
      </c>
      <c r="AC93" s="777">
        <v>28.86</v>
      </c>
      <c r="AD93" s="777">
        <v>29.25</v>
      </c>
      <c r="AE93" s="813">
        <v>7.0000000000000001E-3</v>
      </c>
      <c r="AF93" s="777"/>
      <c r="AG93" s="777"/>
      <c r="AH93" s="777"/>
      <c r="AI93" s="777"/>
      <c r="AJ93" s="777"/>
      <c r="AK93" s="777"/>
      <c r="AL93" s="777"/>
      <c r="AM93" s="777"/>
      <c r="AN93" s="777"/>
      <c r="AO93" s="777"/>
      <c r="AP93" s="777"/>
      <c r="AQ93" s="777"/>
      <c r="AR93" s="777"/>
      <c r="AS93" s="777"/>
      <c r="AT93" s="777"/>
      <c r="AU93" s="777"/>
      <c r="AV93" s="777"/>
      <c r="AW93" s="777"/>
      <c r="AX93" s="777"/>
      <c r="AY93" s="777"/>
      <c r="AZ93" s="777"/>
      <c r="BA93" s="777"/>
      <c r="BB93" s="777"/>
      <c r="BC93" s="777"/>
      <c r="BD93" s="777"/>
      <c r="BE93" s="777"/>
      <c r="BF93" s="777"/>
      <c r="BG93" s="777"/>
      <c r="BH93" s="777"/>
      <c r="BI93" s="777"/>
      <c r="BJ93" s="777"/>
      <c r="BK93" s="777"/>
      <c r="BL93" s="777"/>
      <c r="BM93" s="777"/>
      <c r="BN93" s="777"/>
      <c r="BO93" s="777"/>
      <c r="BP93" s="777"/>
      <c r="BQ93" s="777"/>
      <c r="BR93" s="777"/>
      <c r="BS93" s="777"/>
      <c r="BT93" s="777"/>
    </row>
    <row r="94" spans="1:72" x14ac:dyDescent="0.25">
      <c r="A94" s="777" t="s">
        <v>599</v>
      </c>
      <c r="B94" s="777">
        <v>18.07</v>
      </c>
      <c r="C94" s="777">
        <v>22.31</v>
      </c>
      <c r="D94" s="777">
        <v>16.399999999999999</v>
      </c>
      <c r="E94" s="777">
        <v>14.38</v>
      </c>
      <c r="F94" s="777">
        <v>15.38</v>
      </c>
      <c r="G94" s="777">
        <v>16.55</v>
      </c>
      <c r="H94" s="777">
        <v>17.59</v>
      </c>
      <c r="I94" s="777">
        <v>18.32</v>
      </c>
      <c r="J94" s="777">
        <v>19</v>
      </c>
      <c r="K94" s="777">
        <v>19.8</v>
      </c>
      <c r="L94" s="777">
        <v>20.440000000000001</v>
      </c>
      <c r="M94" s="777">
        <v>21.08</v>
      </c>
      <c r="N94" s="777">
        <v>21.49</v>
      </c>
      <c r="O94" s="777">
        <v>21.83</v>
      </c>
      <c r="P94" s="777">
        <v>22.03</v>
      </c>
      <c r="Q94" s="777">
        <v>22.36</v>
      </c>
      <c r="R94" s="777">
        <v>22.56</v>
      </c>
      <c r="S94" s="777">
        <v>22.67</v>
      </c>
      <c r="T94" s="777">
        <v>22.97</v>
      </c>
      <c r="U94" s="777">
        <v>23.22</v>
      </c>
      <c r="V94" s="777">
        <v>23.48</v>
      </c>
      <c r="W94" s="777">
        <v>23.81</v>
      </c>
      <c r="X94" s="777">
        <v>24.22</v>
      </c>
      <c r="Y94" s="777">
        <v>24.4</v>
      </c>
      <c r="Z94" s="777">
        <v>24.84</v>
      </c>
      <c r="AA94" s="777">
        <v>25.25</v>
      </c>
      <c r="AB94" s="777">
        <v>25.6</v>
      </c>
      <c r="AC94" s="777">
        <v>26.02</v>
      </c>
      <c r="AD94" s="777">
        <v>26.48</v>
      </c>
      <c r="AE94" s="813">
        <v>6.0000000000000001E-3</v>
      </c>
      <c r="AF94" s="777"/>
      <c r="AG94" s="777"/>
      <c r="AH94" s="777"/>
      <c r="AI94" s="777"/>
      <c r="AJ94" s="777"/>
      <c r="AK94" s="777"/>
      <c r="AL94" s="777"/>
      <c r="AM94" s="777"/>
      <c r="AN94" s="777"/>
      <c r="AO94" s="777"/>
      <c r="AP94" s="777"/>
      <c r="AQ94" s="777"/>
      <c r="AR94" s="777"/>
      <c r="AS94" s="777"/>
      <c r="AT94" s="777"/>
      <c r="AU94" s="777"/>
      <c r="AV94" s="777"/>
      <c r="AW94" s="777"/>
      <c r="AX94" s="777"/>
      <c r="AY94" s="777"/>
      <c r="AZ94" s="777"/>
      <c r="BA94" s="777"/>
      <c r="BB94" s="777"/>
      <c r="BC94" s="777"/>
      <c r="BD94" s="777"/>
      <c r="BE94" s="777"/>
      <c r="BF94" s="777"/>
      <c r="BG94" s="777"/>
      <c r="BH94" s="777"/>
      <c r="BI94" s="777"/>
      <c r="BJ94" s="777"/>
      <c r="BK94" s="777"/>
      <c r="BL94" s="777"/>
      <c r="BM94" s="777"/>
      <c r="BN94" s="777"/>
      <c r="BO94" s="777"/>
      <c r="BP94" s="777"/>
      <c r="BQ94" s="777"/>
      <c r="BR94" s="777"/>
      <c r="BS94" s="777"/>
      <c r="BT94" s="777"/>
    </row>
    <row r="95" spans="1:72" x14ac:dyDescent="0.25">
      <c r="A95" s="777" t="s">
        <v>600</v>
      </c>
      <c r="B95" s="777">
        <v>8.84</v>
      </c>
      <c r="C95" s="777">
        <v>16.309999999999999</v>
      </c>
      <c r="D95" s="777">
        <v>9.75</v>
      </c>
      <c r="E95" s="777">
        <v>13.12</v>
      </c>
      <c r="F95" s="777">
        <v>13.24</v>
      </c>
      <c r="G95" s="777">
        <v>14.32</v>
      </c>
      <c r="H95" s="777">
        <v>15.31</v>
      </c>
      <c r="I95" s="777">
        <v>16.079999999999998</v>
      </c>
      <c r="J95" s="777">
        <v>16.47</v>
      </c>
      <c r="K95" s="777">
        <v>16.96</v>
      </c>
      <c r="L95" s="777">
        <v>17.37</v>
      </c>
      <c r="M95" s="777">
        <v>17.82</v>
      </c>
      <c r="N95" s="777">
        <v>18.09</v>
      </c>
      <c r="O95" s="777">
        <v>18.2</v>
      </c>
      <c r="P95" s="777">
        <v>18.43</v>
      </c>
      <c r="Q95" s="777">
        <v>18.61</v>
      </c>
      <c r="R95" s="777">
        <v>18.82</v>
      </c>
      <c r="S95" s="777">
        <v>19.03</v>
      </c>
      <c r="T95" s="777">
        <v>19.23</v>
      </c>
      <c r="U95" s="777">
        <v>19.3</v>
      </c>
      <c r="V95" s="777">
        <v>19.489999999999998</v>
      </c>
      <c r="W95" s="777">
        <v>19.73</v>
      </c>
      <c r="X95" s="777">
        <v>19.98</v>
      </c>
      <c r="Y95" s="777">
        <v>20.27</v>
      </c>
      <c r="Z95" s="777">
        <v>20.61</v>
      </c>
      <c r="AA95" s="777">
        <v>20.87</v>
      </c>
      <c r="AB95" s="777">
        <v>21.12</v>
      </c>
      <c r="AC95" s="777">
        <v>21.44</v>
      </c>
      <c r="AD95" s="777">
        <v>21.72</v>
      </c>
      <c r="AE95" s="813">
        <v>1.0999999999999999E-2</v>
      </c>
      <c r="AF95" s="777"/>
      <c r="AG95" s="777"/>
      <c r="AH95" s="777"/>
      <c r="AI95" s="777"/>
      <c r="AJ95" s="777"/>
      <c r="AK95" s="777"/>
      <c r="AL95" s="777"/>
      <c r="AM95" s="777"/>
      <c r="AN95" s="777"/>
      <c r="AO95" s="777"/>
      <c r="AP95" s="777"/>
      <c r="AQ95" s="777"/>
      <c r="AR95" s="777"/>
      <c r="AS95" s="777"/>
      <c r="AT95" s="777"/>
      <c r="AU95" s="777"/>
      <c r="AV95" s="777"/>
      <c r="AW95" s="777"/>
      <c r="AX95" s="777"/>
      <c r="AY95" s="777"/>
      <c r="AZ95" s="777"/>
      <c r="BA95" s="777"/>
      <c r="BB95" s="777"/>
      <c r="BC95" s="777"/>
      <c r="BD95" s="777"/>
      <c r="BE95" s="777"/>
      <c r="BF95" s="777"/>
      <c r="BG95" s="777"/>
      <c r="BH95" s="777"/>
      <c r="BI95" s="777"/>
      <c r="BJ95" s="777"/>
      <c r="BK95" s="777"/>
      <c r="BL95" s="777"/>
      <c r="BM95" s="777"/>
      <c r="BN95" s="777"/>
      <c r="BO95" s="777"/>
      <c r="BP95" s="777"/>
      <c r="BQ95" s="777"/>
      <c r="BR95" s="777"/>
      <c r="BS95" s="777"/>
      <c r="BT95" s="777"/>
    </row>
    <row r="96" spans="1:72" x14ac:dyDescent="0.25">
      <c r="A96" s="777" t="s">
        <v>602</v>
      </c>
      <c r="B96" s="777">
        <v>7.58</v>
      </c>
      <c r="C96" s="777">
        <v>9.11</v>
      </c>
      <c r="D96" s="777">
        <v>4.2</v>
      </c>
      <c r="E96" s="777">
        <v>4.87</v>
      </c>
      <c r="F96" s="777">
        <v>5.97</v>
      </c>
      <c r="G96" s="777">
        <v>6.39</v>
      </c>
      <c r="H96" s="777">
        <v>6.33</v>
      </c>
      <c r="I96" s="777">
        <v>6.28</v>
      </c>
      <c r="J96" s="777">
        <v>6.45</v>
      </c>
      <c r="K96" s="777">
        <v>6.52</v>
      </c>
      <c r="L96" s="777">
        <v>6.51</v>
      </c>
      <c r="M96" s="777">
        <v>6.55</v>
      </c>
      <c r="N96" s="777">
        <v>6.6</v>
      </c>
      <c r="O96" s="777">
        <v>6.7</v>
      </c>
      <c r="P96" s="777">
        <v>6.78</v>
      </c>
      <c r="Q96" s="777">
        <v>6.96</v>
      </c>
      <c r="R96" s="777">
        <v>7.01</v>
      </c>
      <c r="S96" s="777">
        <v>6.96</v>
      </c>
      <c r="T96" s="777">
        <v>7.02</v>
      </c>
      <c r="U96" s="777">
        <v>7.15</v>
      </c>
      <c r="V96" s="777">
        <v>7.29</v>
      </c>
      <c r="W96" s="777">
        <v>7.51</v>
      </c>
      <c r="X96" s="777">
        <v>7.73</v>
      </c>
      <c r="Y96" s="777">
        <v>7.98</v>
      </c>
      <c r="Z96" s="777">
        <v>8.2899999999999991</v>
      </c>
      <c r="AA96" s="777">
        <v>8.4</v>
      </c>
      <c r="AB96" s="777">
        <v>8.42</v>
      </c>
      <c r="AC96" s="777">
        <v>8.61</v>
      </c>
      <c r="AD96" s="777">
        <v>8.73</v>
      </c>
      <c r="AE96" s="813">
        <v>-2E-3</v>
      </c>
      <c r="AF96" s="777"/>
      <c r="AG96" s="777"/>
      <c r="AH96" s="777"/>
      <c r="AI96" s="777"/>
      <c r="AJ96" s="777"/>
      <c r="AK96" s="777"/>
      <c r="AL96" s="777"/>
      <c r="AM96" s="777"/>
      <c r="AN96" s="777"/>
      <c r="AO96" s="777"/>
      <c r="AP96" s="777"/>
      <c r="AQ96" s="777"/>
      <c r="AR96" s="777"/>
      <c r="AS96" s="777"/>
      <c r="AT96" s="777"/>
      <c r="AU96" s="777"/>
      <c r="AV96" s="777"/>
      <c r="AW96" s="777"/>
      <c r="AX96" s="777"/>
      <c r="AY96" s="777"/>
      <c r="AZ96" s="777"/>
      <c r="BA96" s="777"/>
      <c r="BB96" s="777"/>
      <c r="BC96" s="777"/>
      <c r="BD96" s="777"/>
      <c r="BE96" s="777"/>
      <c r="BF96" s="777"/>
      <c r="BG96" s="777"/>
      <c r="BH96" s="777"/>
      <c r="BI96" s="777"/>
      <c r="BJ96" s="777"/>
      <c r="BK96" s="777"/>
      <c r="BL96" s="777"/>
      <c r="BM96" s="777"/>
      <c r="BN96" s="777"/>
      <c r="BO96" s="777"/>
      <c r="BP96" s="777"/>
      <c r="BQ96" s="777"/>
      <c r="BR96" s="777"/>
      <c r="BS96" s="777"/>
      <c r="BT96" s="777"/>
    </row>
    <row r="97" spans="1:72" x14ac:dyDescent="0.25">
      <c r="A97" s="777" t="s">
        <v>603</v>
      </c>
      <c r="B97" s="777">
        <v>3.69</v>
      </c>
      <c r="C97" s="777">
        <v>4.49</v>
      </c>
      <c r="D97" s="777">
        <v>4.72</v>
      </c>
      <c r="E97" s="777">
        <v>4.8</v>
      </c>
      <c r="F97" s="777">
        <v>4.8600000000000003</v>
      </c>
      <c r="G97" s="777">
        <v>5.0199999999999996</v>
      </c>
      <c r="H97" s="777">
        <v>5.05</v>
      </c>
      <c r="I97" s="777">
        <v>5.08</v>
      </c>
      <c r="J97" s="777">
        <v>5.08</v>
      </c>
      <c r="K97" s="777">
        <v>5.09</v>
      </c>
      <c r="L97" s="777">
        <v>5.16</v>
      </c>
      <c r="M97" s="777">
        <v>5.22</v>
      </c>
      <c r="N97" s="777">
        <v>5.29</v>
      </c>
      <c r="O97" s="777">
        <v>5.32</v>
      </c>
      <c r="P97" s="777">
        <v>5.35</v>
      </c>
      <c r="Q97" s="777">
        <v>5.36</v>
      </c>
      <c r="R97" s="777">
        <v>5.35</v>
      </c>
      <c r="S97" s="777">
        <v>5.32</v>
      </c>
      <c r="T97" s="777">
        <v>5.24</v>
      </c>
      <c r="U97" s="777">
        <v>5.16</v>
      </c>
      <c r="V97" s="777">
        <v>5.14</v>
      </c>
      <c r="W97" s="777">
        <v>5.14</v>
      </c>
      <c r="X97" s="777">
        <v>5.1100000000000003</v>
      </c>
      <c r="Y97" s="777">
        <v>5.1100000000000003</v>
      </c>
      <c r="Z97" s="777">
        <v>5.09</v>
      </c>
      <c r="AA97" s="777">
        <v>5.08</v>
      </c>
      <c r="AB97" s="777">
        <v>5.08</v>
      </c>
      <c r="AC97" s="777">
        <v>5.0599999999999996</v>
      </c>
      <c r="AD97" s="777">
        <v>5.0599999999999996</v>
      </c>
      <c r="AE97" s="813">
        <v>4.0000000000000001E-3</v>
      </c>
      <c r="AF97" s="777"/>
      <c r="AG97" s="777"/>
      <c r="AH97" s="777"/>
      <c r="AI97" s="777"/>
      <c r="AJ97" s="777"/>
      <c r="AK97" s="777"/>
      <c r="AL97" s="777"/>
      <c r="AM97" s="777"/>
      <c r="AN97" s="777"/>
      <c r="AO97" s="777"/>
      <c r="AP97" s="777"/>
      <c r="AQ97" s="777"/>
      <c r="AR97" s="777"/>
      <c r="AS97" s="777"/>
      <c r="AT97" s="777"/>
      <c r="AU97" s="777"/>
      <c r="AV97" s="777"/>
      <c r="AW97" s="777"/>
      <c r="AX97" s="777"/>
      <c r="AY97" s="777"/>
      <c r="AZ97" s="777"/>
      <c r="BA97" s="777"/>
      <c r="BB97" s="777"/>
      <c r="BC97" s="777"/>
      <c r="BD97" s="777"/>
      <c r="BE97" s="777"/>
      <c r="BF97" s="777"/>
      <c r="BG97" s="777"/>
      <c r="BH97" s="777"/>
      <c r="BI97" s="777"/>
      <c r="BJ97" s="777"/>
      <c r="BK97" s="777"/>
      <c r="BL97" s="777"/>
      <c r="BM97" s="777"/>
      <c r="BN97" s="777"/>
      <c r="BO97" s="777"/>
      <c r="BP97" s="777"/>
      <c r="BQ97" s="777"/>
      <c r="BR97" s="777"/>
      <c r="BS97" s="777"/>
      <c r="BT97" s="777"/>
    </row>
    <row r="98" spans="1:72" x14ac:dyDescent="0.25">
      <c r="A98" s="777" t="s">
        <v>604</v>
      </c>
      <c r="B98" s="777">
        <v>2.48</v>
      </c>
      <c r="C98" s="777">
        <v>2.84</v>
      </c>
      <c r="D98" s="777">
        <v>2.79</v>
      </c>
      <c r="E98" s="777">
        <v>2.69</v>
      </c>
      <c r="F98" s="777">
        <v>2.69</v>
      </c>
      <c r="G98" s="777">
        <v>2.69</v>
      </c>
      <c r="H98" s="777">
        <v>2.66</v>
      </c>
      <c r="I98" s="777">
        <v>2.68</v>
      </c>
      <c r="J98" s="777">
        <v>2.69</v>
      </c>
      <c r="K98" s="777">
        <v>2.68</v>
      </c>
      <c r="L98" s="777">
        <v>2.69</v>
      </c>
      <c r="M98" s="777">
        <v>2.68</v>
      </c>
      <c r="N98" s="777">
        <v>2.67</v>
      </c>
      <c r="O98" s="777">
        <v>2.66</v>
      </c>
      <c r="P98" s="777">
        <v>2.65</v>
      </c>
      <c r="Q98" s="777">
        <v>2.65</v>
      </c>
      <c r="R98" s="777">
        <v>2.63</v>
      </c>
      <c r="S98" s="777">
        <v>2.63</v>
      </c>
      <c r="T98" s="777">
        <v>2.63</v>
      </c>
      <c r="U98" s="777">
        <v>2.64</v>
      </c>
      <c r="V98" s="777">
        <v>2.63</v>
      </c>
      <c r="W98" s="777">
        <v>2.64</v>
      </c>
      <c r="X98" s="777">
        <v>2.65</v>
      </c>
      <c r="Y98" s="777">
        <v>2.66</v>
      </c>
      <c r="Z98" s="777">
        <v>2.67</v>
      </c>
      <c r="AA98" s="777">
        <v>2.67</v>
      </c>
      <c r="AB98" s="777">
        <v>2.69</v>
      </c>
      <c r="AC98" s="777">
        <v>2.7</v>
      </c>
      <c r="AD98" s="777">
        <v>2.71</v>
      </c>
      <c r="AE98" s="813">
        <v>-2E-3</v>
      </c>
      <c r="AF98" s="777"/>
      <c r="AG98" s="777"/>
      <c r="AH98" s="777"/>
      <c r="AI98" s="777"/>
      <c r="AJ98" s="777"/>
      <c r="AK98" s="777"/>
      <c r="AL98" s="777"/>
      <c r="AM98" s="777"/>
      <c r="AN98" s="777"/>
      <c r="AO98" s="777"/>
      <c r="AP98" s="777"/>
      <c r="AQ98" s="777"/>
      <c r="AR98" s="777"/>
      <c r="AS98" s="777"/>
      <c r="AT98" s="777"/>
      <c r="AU98" s="777"/>
      <c r="AV98" s="777"/>
      <c r="AW98" s="777"/>
      <c r="AX98" s="777"/>
      <c r="AY98" s="777"/>
      <c r="AZ98" s="777"/>
      <c r="BA98" s="777"/>
      <c r="BB98" s="777"/>
      <c r="BC98" s="777"/>
      <c r="BD98" s="777"/>
      <c r="BE98" s="777"/>
      <c r="BF98" s="777"/>
      <c r="BG98" s="777"/>
      <c r="BH98" s="777"/>
      <c r="BI98" s="777"/>
      <c r="BJ98" s="777"/>
      <c r="BK98" s="777"/>
      <c r="BL98" s="777"/>
      <c r="BM98" s="777"/>
      <c r="BN98" s="777"/>
      <c r="BO98" s="777"/>
      <c r="BP98" s="777"/>
      <c r="BQ98" s="777"/>
      <c r="BR98" s="777"/>
      <c r="BS98" s="777"/>
      <c r="BT98" s="777"/>
    </row>
    <row r="99" spans="1:72" x14ac:dyDescent="0.25">
      <c r="A99" s="777" t="s">
        <v>605</v>
      </c>
      <c r="B99" s="777" t="s">
        <v>777</v>
      </c>
      <c r="C99" s="777" t="s">
        <v>777</v>
      </c>
      <c r="D99" s="777" t="s">
        <v>777</v>
      </c>
      <c r="E99" s="777" t="s">
        <v>777</v>
      </c>
      <c r="F99" s="777">
        <v>1.26</v>
      </c>
      <c r="G99" s="777">
        <v>1.04</v>
      </c>
      <c r="H99" s="777">
        <v>1.04</v>
      </c>
      <c r="I99" s="777">
        <v>1.41</v>
      </c>
      <c r="J99" s="777">
        <v>1.42</v>
      </c>
      <c r="K99" s="777">
        <v>1.46</v>
      </c>
      <c r="L99" s="777">
        <v>1.48</v>
      </c>
      <c r="M99" s="777">
        <v>1.48</v>
      </c>
      <c r="N99" s="777">
        <v>1.47</v>
      </c>
      <c r="O99" s="777">
        <v>1.46</v>
      </c>
      <c r="P99" s="777">
        <v>1.49</v>
      </c>
      <c r="Q99" s="777">
        <v>1.5</v>
      </c>
      <c r="R99" s="777">
        <v>1.52</v>
      </c>
      <c r="S99" s="777">
        <v>1.49</v>
      </c>
      <c r="T99" s="777">
        <v>1.49</v>
      </c>
      <c r="U99" s="777">
        <v>1.47</v>
      </c>
      <c r="V99" s="777">
        <v>1.46</v>
      </c>
      <c r="W99" s="777">
        <v>1.45</v>
      </c>
      <c r="X99" s="777">
        <v>1.44</v>
      </c>
      <c r="Y99" s="777">
        <v>1.44</v>
      </c>
      <c r="Z99" s="777">
        <v>1.44</v>
      </c>
      <c r="AA99" s="777">
        <v>1.44</v>
      </c>
      <c r="AB99" s="777">
        <v>1.46</v>
      </c>
      <c r="AC99" s="777">
        <v>1.48</v>
      </c>
      <c r="AD99" s="777">
        <v>1.51</v>
      </c>
      <c r="AE99" s="777" t="s">
        <v>777</v>
      </c>
      <c r="AF99" s="777"/>
      <c r="AG99" s="777"/>
      <c r="AH99" s="777"/>
      <c r="AI99" s="777"/>
      <c r="AJ99" s="777"/>
      <c r="AK99" s="777"/>
      <c r="AL99" s="777"/>
      <c r="AM99" s="777"/>
      <c r="AN99" s="777"/>
      <c r="AO99" s="777"/>
      <c r="AP99" s="777"/>
      <c r="AQ99" s="777"/>
      <c r="AR99" s="777"/>
      <c r="AS99" s="777"/>
      <c r="AT99" s="777"/>
      <c r="AU99" s="777"/>
      <c r="AV99" s="777"/>
      <c r="AW99" s="777"/>
      <c r="AX99" s="777"/>
      <c r="AY99" s="777"/>
      <c r="AZ99" s="777"/>
      <c r="BA99" s="777"/>
      <c r="BB99" s="777"/>
      <c r="BC99" s="777"/>
      <c r="BD99" s="777"/>
      <c r="BE99" s="777"/>
      <c r="BF99" s="777"/>
      <c r="BG99" s="777"/>
      <c r="BH99" s="777"/>
      <c r="BI99" s="777"/>
      <c r="BJ99" s="777"/>
      <c r="BK99" s="777"/>
      <c r="BL99" s="777"/>
      <c r="BM99" s="777"/>
      <c r="BN99" s="777"/>
      <c r="BO99" s="777"/>
      <c r="BP99" s="777"/>
      <c r="BQ99" s="777"/>
      <c r="BR99" s="777"/>
      <c r="BS99" s="777"/>
      <c r="BT99" s="777"/>
    </row>
    <row r="100" spans="1:72" x14ac:dyDescent="0.25">
      <c r="A100" s="777" t="s">
        <v>469</v>
      </c>
      <c r="B100" s="777">
        <v>19.02</v>
      </c>
      <c r="C100" s="777">
        <v>20.21</v>
      </c>
      <c r="D100" s="777">
        <v>20.04</v>
      </c>
      <c r="E100" s="777">
        <v>19.149999999999999</v>
      </c>
      <c r="F100" s="777">
        <v>17.11</v>
      </c>
      <c r="G100" s="777">
        <v>17.73</v>
      </c>
      <c r="H100" s="777">
        <v>17.62</v>
      </c>
      <c r="I100" s="777">
        <v>17.350000000000001</v>
      </c>
      <c r="J100" s="777">
        <v>17.37</v>
      </c>
      <c r="K100" s="777">
        <v>17.62</v>
      </c>
      <c r="L100" s="777">
        <v>17.75</v>
      </c>
      <c r="M100" s="777">
        <v>17.77</v>
      </c>
      <c r="N100" s="777">
        <v>17.75</v>
      </c>
      <c r="O100" s="777">
        <v>17.920000000000002</v>
      </c>
      <c r="P100" s="777">
        <v>18.07</v>
      </c>
      <c r="Q100" s="777">
        <v>18.190000000000001</v>
      </c>
      <c r="R100" s="777">
        <v>18.38</v>
      </c>
      <c r="S100" s="777">
        <v>18.53</v>
      </c>
      <c r="T100" s="777">
        <v>18.5</v>
      </c>
      <c r="U100" s="777">
        <v>18.61</v>
      </c>
      <c r="V100" s="777">
        <v>18.78</v>
      </c>
      <c r="W100" s="777">
        <v>18.97</v>
      </c>
      <c r="X100" s="777">
        <v>19.3</v>
      </c>
      <c r="Y100" s="777">
        <v>19.579999999999998</v>
      </c>
      <c r="Z100" s="777">
        <v>19.88</v>
      </c>
      <c r="AA100" s="777">
        <v>20.16</v>
      </c>
      <c r="AB100" s="777">
        <v>20.3</v>
      </c>
      <c r="AC100" s="777">
        <v>20.52</v>
      </c>
      <c r="AD100" s="777">
        <v>20.71</v>
      </c>
      <c r="AE100" s="813">
        <v>1E-3</v>
      </c>
      <c r="AF100" s="777"/>
      <c r="AG100" s="777"/>
      <c r="AH100" s="777"/>
      <c r="AI100" s="777"/>
      <c r="AJ100" s="777"/>
      <c r="AK100" s="777"/>
      <c r="AL100" s="777"/>
      <c r="AM100" s="777"/>
      <c r="AN100" s="777"/>
      <c r="AO100" s="777"/>
      <c r="AP100" s="777"/>
      <c r="AQ100" s="777"/>
      <c r="AR100" s="777"/>
      <c r="AS100" s="777"/>
      <c r="AT100" s="777"/>
      <c r="AU100" s="777"/>
      <c r="AV100" s="777"/>
      <c r="AW100" s="777"/>
      <c r="AX100" s="777"/>
      <c r="AY100" s="777"/>
      <c r="AZ100" s="777"/>
      <c r="BA100" s="777"/>
      <c r="BB100" s="777"/>
      <c r="BC100" s="777"/>
      <c r="BD100" s="777"/>
      <c r="BE100" s="777"/>
      <c r="BF100" s="777"/>
      <c r="BG100" s="777"/>
      <c r="BH100" s="777"/>
      <c r="BI100" s="777"/>
      <c r="BJ100" s="777"/>
      <c r="BK100" s="777"/>
      <c r="BL100" s="777"/>
      <c r="BM100" s="777"/>
      <c r="BN100" s="777"/>
      <c r="BO100" s="777"/>
      <c r="BP100" s="777"/>
      <c r="BQ100" s="777"/>
      <c r="BR100" s="777"/>
      <c r="BS100" s="777"/>
      <c r="BT100" s="777"/>
    </row>
    <row r="101" spans="1:72" x14ac:dyDescent="0.25">
      <c r="A101" s="777"/>
      <c r="B101" s="777"/>
      <c r="C101" s="777"/>
      <c r="D101" s="777"/>
      <c r="E101" s="777"/>
      <c r="F101" s="777"/>
      <c r="G101" s="777"/>
      <c r="H101" s="777"/>
      <c r="I101" s="777"/>
      <c r="J101" s="777"/>
      <c r="K101" s="777"/>
      <c r="L101" s="777"/>
      <c r="M101" s="777"/>
      <c r="N101" s="777"/>
      <c r="O101" s="777"/>
      <c r="P101" s="777"/>
      <c r="Q101" s="777"/>
      <c r="R101" s="777"/>
      <c r="S101" s="777"/>
      <c r="T101" s="777"/>
      <c r="U101" s="777"/>
      <c r="V101" s="777"/>
      <c r="W101" s="777"/>
      <c r="X101" s="777"/>
      <c r="Y101" s="777"/>
      <c r="Z101" s="777"/>
      <c r="AA101" s="777"/>
      <c r="AB101" s="777"/>
      <c r="AC101" s="777"/>
      <c r="AD101" s="777"/>
      <c r="AE101" s="777"/>
      <c r="AF101" s="777"/>
      <c r="AG101" s="777"/>
      <c r="AH101" s="777"/>
      <c r="AI101" s="777"/>
      <c r="AJ101" s="777"/>
      <c r="AK101" s="777"/>
      <c r="AL101" s="777"/>
      <c r="AM101" s="777"/>
      <c r="AN101" s="777"/>
      <c r="AO101" s="777"/>
      <c r="AP101" s="777"/>
      <c r="AQ101" s="777"/>
      <c r="AR101" s="777"/>
      <c r="AS101" s="777"/>
      <c r="AT101" s="777"/>
      <c r="AU101" s="777"/>
      <c r="AV101" s="777"/>
      <c r="AW101" s="777"/>
      <c r="AX101" s="777"/>
      <c r="AY101" s="777"/>
      <c r="AZ101" s="777"/>
      <c r="BA101" s="777"/>
      <c r="BB101" s="777"/>
      <c r="BC101" s="777"/>
      <c r="BD101" s="777"/>
      <c r="BE101" s="777"/>
      <c r="BF101" s="777"/>
      <c r="BG101" s="777"/>
      <c r="BH101" s="777"/>
      <c r="BI101" s="777"/>
      <c r="BJ101" s="777"/>
      <c r="BK101" s="777"/>
      <c r="BL101" s="777"/>
      <c r="BM101" s="777"/>
      <c r="BN101" s="777"/>
      <c r="BO101" s="777"/>
      <c r="BP101" s="777"/>
      <c r="BQ101" s="777"/>
      <c r="BR101" s="777"/>
      <c r="BS101" s="777"/>
      <c r="BT101" s="777"/>
    </row>
    <row r="102" spans="1:72" x14ac:dyDescent="0.25">
      <c r="A102" s="777" t="s">
        <v>477</v>
      </c>
      <c r="B102" s="777"/>
      <c r="C102" s="777"/>
      <c r="D102" s="777"/>
      <c r="E102" s="777"/>
      <c r="F102" s="777"/>
      <c r="G102" s="777"/>
      <c r="H102" s="777"/>
      <c r="I102" s="777"/>
      <c r="J102" s="777"/>
      <c r="K102" s="777"/>
      <c r="L102" s="777"/>
      <c r="M102" s="777"/>
      <c r="N102" s="777"/>
      <c r="O102" s="777"/>
      <c r="P102" s="777"/>
      <c r="Q102" s="777"/>
      <c r="R102" s="777"/>
      <c r="S102" s="777"/>
      <c r="T102" s="777"/>
      <c r="U102" s="777"/>
      <c r="V102" s="777"/>
      <c r="W102" s="777"/>
      <c r="X102" s="777"/>
      <c r="Y102" s="777"/>
      <c r="Z102" s="777"/>
      <c r="AA102" s="777"/>
      <c r="AB102" s="777"/>
      <c r="AC102" s="777"/>
      <c r="AD102" s="777"/>
      <c r="AE102" s="777"/>
      <c r="AF102" s="777"/>
      <c r="AG102" s="777"/>
      <c r="AH102" s="777"/>
      <c r="AI102" s="777"/>
      <c r="AJ102" s="777"/>
      <c r="AK102" s="777"/>
      <c r="AL102" s="777"/>
      <c r="AM102" s="777"/>
      <c r="AN102" s="777"/>
      <c r="AO102" s="777"/>
      <c r="AP102" s="777"/>
      <c r="AQ102" s="777"/>
      <c r="AR102" s="777"/>
      <c r="AS102" s="777"/>
      <c r="AT102" s="777"/>
      <c r="AU102" s="777"/>
      <c r="AV102" s="777"/>
      <c r="AW102" s="777"/>
      <c r="AX102" s="777"/>
      <c r="AY102" s="777"/>
      <c r="AZ102" s="777"/>
      <c r="BA102" s="777"/>
      <c r="BB102" s="777"/>
      <c r="BC102" s="777"/>
      <c r="BD102" s="777"/>
      <c r="BE102" s="777"/>
      <c r="BF102" s="777"/>
      <c r="BG102" s="777"/>
      <c r="BH102" s="777"/>
      <c r="BI102" s="777"/>
      <c r="BJ102" s="777"/>
      <c r="BK102" s="777"/>
      <c r="BL102" s="777"/>
      <c r="BM102" s="777"/>
      <c r="BN102" s="777"/>
      <c r="BO102" s="777"/>
      <c r="BP102" s="777"/>
      <c r="BQ102" s="777"/>
      <c r="BR102" s="777"/>
      <c r="BS102" s="777"/>
      <c r="BT102" s="777"/>
    </row>
    <row r="103" spans="1:72" x14ac:dyDescent="0.25">
      <c r="A103" s="777" t="s">
        <v>606</v>
      </c>
      <c r="B103" s="777">
        <v>23.83</v>
      </c>
      <c r="C103" s="777">
        <v>29.93</v>
      </c>
      <c r="D103" s="777">
        <v>25.2</v>
      </c>
      <c r="E103" s="777">
        <v>23.89</v>
      </c>
      <c r="F103" s="777">
        <v>23.98</v>
      </c>
      <c r="G103" s="777">
        <v>25.13</v>
      </c>
      <c r="H103" s="777">
        <v>26.33</v>
      </c>
      <c r="I103" s="777">
        <v>27.29</v>
      </c>
      <c r="J103" s="777">
        <v>27.88</v>
      </c>
      <c r="K103" s="777">
        <v>28.53</v>
      </c>
      <c r="L103" s="777">
        <v>29.07</v>
      </c>
      <c r="M103" s="777">
        <v>29.65</v>
      </c>
      <c r="N103" s="777">
        <v>29.91</v>
      </c>
      <c r="O103" s="777">
        <v>30.13</v>
      </c>
      <c r="P103" s="777">
        <v>30.36</v>
      </c>
      <c r="Q103" s="777">
        <v>30.56</v>
      </c>
      <c r="R103" s="777">
        <v>30.83</v>
      </c>
      <c r="S103" s="777">
        <v>31.1</v>
      </c>
      <c r="T103" s="777">
        <v>31.36</v>
      </c>
      <c r="U103" s="777">
        <v>31.5</v>
      </c>
      <c r="V103" s="777">
        <v>31.77</v>
      </c>
      <c r="W103" s="777">
        <v>32.01</v>
      </c>
      <c r="X103" s="777">
        <v>32.36</v>
      </c>
      <c r="Y103" s="777">
        <v>32.58</v>
      </c>
      <c r="Z103" s="777">
        <v>32.93</v>
      </c>
      <c r="AA103" s="777">
        <v>33.26</v>
      </c>
      <c r="AB103" s="777">
        <v>33.64</v>
      </c>
      <c r="AC103" s="777">
        <v>34</v>
      </c>
      <c r="AD103" s="777">
        <v>34.380000000000003</v>
      </c>
      <c r="AE103" s="813">
        <v>5.0000000000000001E-3</v>
      </c>
      <c r="AF103" s="777"/>
      <c r="AG103" s="777"/>
      <c r="AH103" s="777"/>
      <c r="AI103" s="777"/>
      <c r="AJ103" s="777"/>
      <c r="AK103" s="777"/>
      <c r="AL103" s="777"/>
      <c r="AM103" s="777"/>
      <c r="AN103" s="777"/>
      <c r="AO103" s="777"/>
      <c r="AP103" s="777"/>
      <c r="AQ103" s="777"/>
      <c r="AR103" s="777"/>
      <c r="AS103" s="777"/>
      <c r="AT103" s="777"/>
      <c r="AU103" s="777"/>
      <c r="AV103" s="777"/>
      <c r="AW103" s="777"/>
      <c r="AX103" s="777"/>
      <c r="AY103" s="777"/>
      <c r="AZ103" s="777"/>
      <c r="BA103" s="777"/>
      <c r="BB103" s="777"/>
      <c r="BC103" s="777"/>
      <c r="BD103" s="777"/>
      <c r="BE103" s="777"/>
      <c r="BF103" s="777"/>
      <c r="BG103" s="777"/>
      <c r="BH103" s="777"/>
      <c r="BI103" s="777"/>
      <c r="BJ103" s="777"/>
      <c r="BK103" s="777"/>
      <c r="BL103" s="777"/>
      <c r="BM103" s="777"/>
      <c r="BN103" s="777"/>
      <c r="BO103" s="777"/>
      <c r="BP103" s="777"/>
      <c r="BQ103" s="777"/>
      <c r="BR103" s="777"/>
      <c r="BS103" s="777"/>
      <c r="BT103" s="777"/>
    </row>
    <row r="104" spans="1:72" x14ac:dyDescent="0.25">
      <c r="A104" s="777" t="s">
        <v>607</v>
      </c>
      <c r="B104" s="777">
        <v>27.43</v>
      </c>
      <c r="C104" s="777">
        <v>26.93</v>
      </c>
      <c r="D104" s="777">
        <v>23.29</v>
      </c>
      <c r="E104" s="777">
        <v>20.64</v>
      </c>
      <c r="F104" s="777">
        <v>20.97</v>
      </c>
      <c r="G104" s="777">
        <v>22.13</v>
      </c>
      <c r="H104" s="777">
        <v>24.21</v>
      </c>
      <c r="I104" s="777">
        <v>25.23</v>
      </c>
      <c r="J104" s="777">
        <v>25.55</v>
      </c>
      <c r="K104" s="777">
        <v>25.08</v>
      </c>
      <c r="L104" s="777">
        <v>25.9</v>
      </c>
      <c r="M104" s="777">
        <v>26.54</v>
      </c>
      <c r="N104" s="777">
        <v>26.68</v>
      </c>
      <c r="O104" s="777">
        <v>26.95</v>
      </c>
      <c r="P104" s="777">
        <v>27.32</v>
      </c>
      <c r="Q104" s="777">
        <v>27.82</v>
      </c>
      <c r="R104" s="777">
        <v>28.31</v>
      </c>
      <c r="S104" s="777">
        <v>28.55</v>
      </c>
      <c r="T104" s="777">
        <v>28.86</v>
      </c>
      <c r="U104" s="777">
        <v>29.22</v>
      </c>
      <c r="V104" s="777">
        <v>29.49</v>
      </c>
      <c r="W104" s="777">
        <v>30.03</v>
      </c>
      <c r="X104" s="777">
        <v>30.44</v>
      </c>
      <c r="Y104" s="777">
        <v>30.64</v>
      </c>
      <c r="Z104" s="777">
        <v>30.86</v>
      </c>
      <c r="AA104" s="777">
        <v>31.29</v>
      </c>
      <c r="AB104" s="777">
        <v>31.49</v>
      </c>
      <c r="AC104" s="777">
        <v>31.77</v>
      </c>
      <c r="AD104" s="777">
        <v>32.229999999999997</v>
      </c>
      <c r="AE104" s="813">
        <v>7.0000000000000001E-3</v>
      </c>
      <c r="AF104" s="777"/>
      <c r="AG104" s="777"/>
      <c r="AH104" s="777"/>
      <c r="AI104" s="777"/>
      <c r="AJ104" s="777"/>
      <c r="AK104" s="777"/>
      <c r="AL104" s="777"/>
      <c r="AM104" s="777"/>
      <c r="AN104" s="777"/>
      <c r="AO104" s="777"/>
      <c r="AP104" s="777"/>
      <c r="AQ104" s="777"/>
      <c r="AR104" s="777"/>
      <c r="AS104" s="777"/>
      <c r="AT104" s="777"/>
      <c r="AU104" s="777"/>
      <c r="AV104" s="777"/>
      <c r="AW104" s="777"/>
      <c r="AX104" s="777"/>
      <c r="AY104" s="777"/>
      <c r="AZ104" s="777"/>
      <c r="BA104" s="777"/>
      <c r="BB104" s="777"/>
      <c r="BC104" s="777"/>
      <c r="BD104" s="777"/>
      <c r="BE104" s="777"/>
      <c r="BF104" s="777"/>
      <c r="BG104" s="777"/>
      <c r="BH104" s="777"/>
      <c r="BI104" s="777"/>
      <c r="BJ104" s="777"/>
      <c r="BK104" s="777"/>
      <c r="BL104" s="777"/>
      <c r="BM104" s="777"/>
      <c r="BN104" s="777"/>
      <c r="BO104" s="777"/>
      <c r="BP104" s="777"/>
      <c r="BQ104" s="777"/>
      <c r="BR104" s="777"/>
      <c r="BS104" s="777"/>
      <c r="BT104" s="777"/>
    </row>
    <row r="105" spans="1:72" x14ac:dyDescent="0.25">
      <c r="A105" s="777" t="s">
        <v>608</v>
      </c>
      <c r="B105" s="777">
        <v>23.66</v>
      </c>
      <c r="C105" s="777">
        <v>26.76</v>
      </c>
      <c r="D105" s="777">
        <v>19.14</v>
      </c>
      <c r="E105" s="777">
        <v>20.55</v>
      </c>
      <c r="F105" s="777">
        <v>20.88</v>
      </c>
      <c r="G105" s="777">
        <v>22.03</v>
      </c>
      <c r="H105" s="777">
        <v>24.02</v>
      </c>
      <c r="I105" s="777">
        <v>24.94</v>
      </c>
      <c r="J105" s="777">
        <v>25.37</v>
      </c>
      <c r="K105" s="777">
        <v>25.94</v>
      </c>
      <c r="L105" s="777">
        <v>26.47</v>
      </c>
      <c r="M105" s="777">
        <v>26.89</v>
      </c>
      <c r="N105" s="777">
        <v>27.2</v>
      </c>
      <c r="O105" s="777">
        <v>27.59</v>
      </c>
      <c r="P105" s="777">
        <v>27.82</v>
      </c>
      <c r="Q105" s="777">
        <v>28.18</v>
      </c>
      <c r="R105" s="777">
        <v>28.42</v>
      </c>
      <c r="S105" s="777">
        <v>28.54</v>
      </c>
      <c r="T105" s="777">
        <v>28.87</v>
      </c>
      <c r="U105" s="777">
        <v>29.19</v>
      </c>
      <c r="V105" s="777">
        <v>29.47</v>
      </c>
      <c r="W105" s="777">
        <v>29.9</v>
      </c>
      <c r="X105" s="777">
        <v>30.27</v>
      </c>
      <c r="Y105" s="777">
        <v>30.42</v>
      </c>
      <c r="Z105" s="777">
        <v>30.77</v>
      </c>
      <c r="AA105" s="777">
        <v>31.16</v>
      </c>
      <c r="AB105" s="777">
        <v>31.44</v>
      </c>
      <c r="AC105" s="777">
        <v>31.81</v>
      </c>
      <c r="AD105" s="777">
        <v>32.33</v>
      </c>
      <c r="AE105" s="813">
        <v>7.0000000000000001E-3</v>
      </c>
      <c r="AF105" s="777"/>
      <c r="AG105" s="777"/>
      <c r="AH105" s="777"/>
      <c r="AI105" s="777"/>
      <c r="AJ105" s="777"/>
      <c r="AK105" s="777"/>
      <c r="AL105" s="777"/>
      <c r="AM105" s="777"/>
      <c r="AN105" s="777"/>
      <c r="AO105" s="777"/>
      <c r="AP105" s="777"/>
      <c r="AQ105" s="777"/>
      <c r="AR105" s="777"/>
      <c r="AS105" s="777"/>
      <c r="AT105" s="777"/>
      <c r="AU105" s="777"/>
      <c r="AV105" s="777"/>
      <c r="AW105" s="777"/>
      <c r="AX105" s="777"/>
      <c r="AY105" s="777"/>
      <c r="AZ105" s="777"/>
      <c r="BA105" s="777"/>
      <c r="BB105" s="777"/>
      <c r="BC105" s="777"/>
      <c r="BD105" s="777"/>
      <c r="BE105" s="777"/>
      <c r="BF105" s="777"/>
      <c r="BG105" s="777"/>
      <c r="BH105" s="777"/>
      <c r="BI105" s="777"/>
      <c r="BJ105" s="777"/>
      <c r="BK105" s="777"/>
      <c r="BL105" s="777"/>
      <c r="BM105" s="777"/>
      <c r="BN105" s="777"/>
      <c r="BO105" s="777"/>
      <c r="BP105" s="777"/>
      <c r="BQ105" s="777"/>
      <c r="BR105" s="777"/>
      <c r="BS105" s="777"/>
      <c r="BT105" s="777"/>
    </row>
    <row r="106" spans="1:72" x14ac:dyDescent="0.25">
      <c r="A106" s="777" t="s">
        <v>609</v>
      </c>
      <c r="B106" s="777">
        <v>15.77</v>
      </c>
      <c r="C106" s="777">
        <v>22.71</v>
      </c>
      <c r="D106" s="777">
        <v>12.73</v>
      </c>
      <c r="E106" s="777">
        <v>14.79</v>
      </c>
      <c r="F106" s="777">
        <v>15.16</v>
      </c>
      <c r="G106" s="777">
        <v>16.54</v>
      </c>
      <c r="H106" s="777">
        <v>17.690000000000001</v>
      </c>
      <c r="I106" s="777">
        <v>18.46</v>
      </c>
      <c r="J106" s="777">
        <v>19.04</v>
      </c>
      <c r="K106" s="777">
        <v>19.760000000000002</v>
      </c>
      <c r="L106" s="777">
        <v>20.41</v>
      </c>
      <c r="M106" s="777">
        <v>20.97</v>
      </c>
      <c r="N106" s="777">
        <v>21.35</v>
      </c>
      <c r="O106" s="777">
        <v>21.69</v>
      </c>
      <c r="P106" s="777">
        <v>21.85</v>
      </c>
      <c r="Q106" s="777">
        <v>22.09</v>
      </c>
      <c r="R106" s="777">
        <v>22.41</v>
      </c>
      <c r="S106" s="777">
        <v>22.61</v>
      </c>
      <c r="T106" s="777">
        <v>22.92</v>
      </c>
      <c r="U106" s="777">
        <v>23.19</v>
      </c>
      <c r="V106" s="777">
        <v>23.48</v>
      </c>
      <c r="W106" s="777">
        <v>23.9</v>
      </c>
      <c r="X106" s="777">
        <v>24.26</v>
      </c>
      <c r="Y106" s="777">
        <v>24.51</v>
      </c>
      <c r="Z106" s="777">
        <v>24.9</v>
      </c>
      <c r="AA106" s="777">
        <v>25.3</v>
      </c>
      <c r="AB106" s="777">
        <v>25.64</v>
      </c>
      <c r="AC106" s="777">
        <v>26.05</v>
      </c>
      <c r="AD106" s="777">
        <v>26.48</v>
      </c>
      <c r="AE106" s="813">
        <v>6.0000000000000001E-3</v>
      </c>
      <c r="AF106" s="777"/>
      <c r="AG106" s="777"/>
      <c r="AH106" s="777"/>
      <c r="AI106" s="777"/>
      <c r="AJ106" s="777"/>
      <c r="AK106" s="777"/>
      <c r="AL106" s="777"/>
      <c r="AM106" s="777"/>
      <c r="AN106" s="777"/>
      <c r="AO106" s="777"/>
      <c r="AP106" s="777"/>
      <c r="AQ106" s="777"/>
      <c r="AR106" s="777"/>
      <c r="AS106" s="777"/>
      <c r="AT106" s="777"/>
      <c r="AU106" s="777"/>
      <c r="AV106" s="777"/>
      <c r="AW106" s="777"/>
      <c r="AX106" s="777"/>
      <c r="AY106" s="777"/>
      <c r="AZ106" s="777"/>
      <c r="BA106" s="777"/>
      <c r="BB106" s="777"/>
      <c r="BC106" s="777"/>
      <c r="BD106" s="777"/>
      <c r="BE106" s="777"/>
      <c r="BF106" s="777"/>
      <c r="BG106" s="777"/>
      <c r="BH106" s="777"/>
      <c r="BI106" s="777"/>
      <c r="BJ106" s="777"/>
      <c r="BK106" s="777"/>
      <c r="BL106" s="777"/>
      <c r="BM106" s="777"/>
      <c r="BN106" s="777"/>
      <c r="BO106" s="777"/>
      <c r="BP106" s="777"/>
      <c r="BQ106" s="777"/>
      <c r="BR106" s="777"/>
      <c r="BS106" s="777"/>
      <c r="BT106" s="777"/>
    </row>
    <row r="107" spans="1:72" x14ac:dyDescent="0.25">
      <c r="A107" s="777" t="s">
        <v>713</v>
      </c>
      <c r="B107" s="777">
        <v>21.55</v>
      </c>
      <c r="C107" s="777">
        <v>27.65</v>
      </c>
      <c r="D107" s="777">
        <v>17.77</v>
      </c>
      <c r="E107" s="777">
        <v>19.12</v>
      </c>
      <c r="F107" s="777">
        <v>19.309999999999999</v>
      </c>
      <c r="G107" s="777">
        <v>20.51</v>
      </c>
      <c r="H107" s="777">
        <v>21.54</v>
      </c>
      <c r="I107" s="777">
        <v>22.25</v>
      </c>
      <c r="J107" s="777">
        <v>22.93</v>
      </c>
      <c r="K107" s="777">
        <v>23.68</v>
      </c>
      <c r="L107" s="777">
        <v>24.26</v>
      </c>
      <c r="M107" s="777">
        <v>24.91</v>
      </c>
      <c r="N107" s="777">
        <v>25.29</v>
      </c>
      <c r="O107" s="777">
        <v>25.6</v>
      </c>
      <c r="P107" s="777">
        <v>25.79</v>
      </c>
      <c r="Q107" s="777">
        <v>26.12</v>
      </c>
      <c r="R107" s="777">
        <v>26.26</v>
      </c>
      <c r="S107" s="777">
        <v>26.34</v>
      </c>
      <c r="T107" s="777">
        <v>26.63</v>
      </c>
      <c r="U107" s="777">
        <v>26.83</v>
      </c>
      <c r="V107" s="777">
        <v>27.09</v>
      </c>
      <c r="W107" s="777">
        <v>27.4</v>
      </c>
      <c r="X107" s="777">
        <v>27.8</v>
      </c>
      <c r="Y107" s="777">
        <v>27.96</v>
      </c>
      <c r="Z107" s="777">
        <v>28.38</v>
      </c>
      <c r="AA107" s="777">
        <v>28.78</v>
      </c>
      <c r="AB107" s="777">
        <v>29.09</v>
      </c>
      <c r="AC107" s="777">
        <v>29.49</v>
      </c>
      <c r="AD107" s="777">
        <v>29.96</v>
      </c>
      <c r="AE107" s="813">
        <v>3.0000000000000001E-3</v>
      </c>
      <c r="AF107" s="777"/>
      <c r="AG107" s="777"/>
      <c r="AH107" s="777"/>
      <c r="AI107" s="777"/>
      <c r="AJ107" s="777"/>
      <c r="AK107" s="777"/>
      <c r="AL107" s="777"/>
      <c r="AM107" s="777"/>
      <c r="AN107" s="777"/>
      <c r="AO107" s="777"/>
      <c r="AP107" s="777"/>
      <c r="AQ107" s="777"/>
      <c r="AR107" s="777"/>
      <c r="AS107" s="777"/>
      <c r="AT107" s="777"/>
      <c r="AU107" s="777"/>
      <c r="AV107" s="777"/>
      <c r="AW107" s="777"/>
      <c r="AX107" s="777"/>
      <c r="AY107" s="777"/>
      <c r="AZ107" s="777"/>
      <c r="BA107" s="777"/>
      <c r="BB107" s="777"/>
      <c r="BC107" s="777"/>
      <c r="BD107" s="777"/>
      <c r="BE107" s="777"/>
      <c r="BF107" s="777"/>
      <c r="BG107" s="777"/>
      <c r="BH107" s="777"/>
      <c r="BI107" s="777"/>
      <c r="BJ107" s="777"/>
      <c r="BK107" s="777"/>
      <c r="BL107" s="777"/>
      <c r="BM107" s="777"/>
      <c r="BN107" s="777"/>
      <c r="BO107" s="777"/>
      <c r="BP107" s="777"/>
      <c r="BQ107" s="777"/>
      <c r="BR107" s="777"/>
      <c r="BS107" s="777"/>
      <c r="BT107" s="777"/>
    </row>
    <row r="108" spans="1:72" x14ac:dyDescent="0.25">
      <c r="A108" s="777" t="s">
        <v>600</v>
      </c>
      <c r="B108" s="777">
        <v>9.19</v>
      </c>
      <c r="C108" s="777">
        <v>14.49</v>
      </c>
      <c r="D108" s="777">
        <v>8.86</v>
      </c>
      <c r="E108" s="777">
        <v>10.210000000000001</v>
      </c>
      <c r="F108" s="777">
        <v>10.32</v>
      </c>
      <c r="G108" s="777">
        <v>11.5</v>
      </c>
      <c r="H108" s="777">
        <v>12.44</v>
      </c>
      <c r="I108" s="777">
        <v>13.18</v>
      </c>
      <c r="J108" s="777">
        <v>13.58</v>
      </c>
      <c r="K108" s="777">
        <v>13.9</v>
      </c>
      <c r="L108" s="777">
        <v>14.43</v>
      </c>
      <c r="M108" s="777">
        <v>14.81</v>
      </c>
      <c r="N108" s="777">
        <v>14.97</v>
      </c>
      <c r="O108" s="777">
        <v>14.99</v>
      </c>
      <c r="P108" s="777">
        <v>15.23</v>
      </c>
      <c r="Q108" s="777">
        <v>15.34</v>
      </c>
      <c r="R108" s="777">
        <v>15.55</v>
      </c>
      <c r="S108" s="777">
        <v>15.75</v>
      </c>
      <c r="T108" s="777">
        <v>15.93</v>
      </c>
      <c r="U108" s="777">
        <v>15.98</v>
      </c>
      <c r="V108" s="777">
        <v>16.27</v>
      </c>
      <c r="W108" s="777">
        <v>16.5</v>
      </c>
      <c r="X108" s="777">
        <v>16.8</v>
      </c>
      <c r="Y108" s="777">
        <v>17.100000000000001</v>
      </c>
      <c r="Z108" s="777">
        <v>17.420000000000002</v>
      </c>
      <c r="AA108" s="777">
        <v>17.690000000000001</v>
      </c>
      <c r="AB108" s="777">
        <v>17.93</v>
      </c>
      <c r="AC108" s="777">
        <v>18.239999999999998</v>
      </c>
      <c r="AD108" s="777">
        <v>18.600000000000001</v>
      </c>
      <c r="AE108" s="813">
        <v>8.9999999999999993E-3</v>
      </c>
      <c r="AF108" s="777"/>
      <c r="AG108" s="777"/>
      <c r="AH108" s="777"/>
      <c r="AI108" s="777"/>
      <c r="AJ108" s="777"/>
      <c r="AK108" s="777"/>
      <c r="AL108" s="777"/>
      <c r="AM108" s="777"/>
      <c r="AN108" s="777"/>
      <c r="AO108" s="777"/>
      <c r="AP108" s="777"/>
      <c r="AQ108" s="777"/>
      <c r="AR108" s="777"/>
      <c r="AS108" s="777"/>
      <c r="AT108" s="777"/>
      <c r="AU108" s="777"/>
      <c r="AV108" s="777"/>
      <c r="AW108" s="777"/>
      <c r="AX108" s="777"/>
      <c r="AY108" s="777"/>
      <c r="AZ108" s="777"/>
      <c r="BA108" s="777"/>
      <c r="BB108" s="777"/>
      <c r="BC108" s="777"/>
      <c r="BD108" s="777"/>
      <c r="BE108" s="777"/>
      <c r="BF108" s="777"/>
      <c r="BG108" s="777"/>
      <c r="BH108" s="777"/>
      <c r="BI108" s="777"/>
      <c r="BJ108" s="777"/>
      <c r="BK108" s="777"/>
      <c r="BL108" s="777"/>
      <c r="BM108" s="777"/>
      <c r="BN108" s="777"/>
      <c r="BO108" s="777"/>
      <c r="BP108" s="777"/>
      <c r="BQ108" s="777"/>
      <c r="BR108" s="777"/>
      <c r="BS108" s="777"/>
      <c r="BT108" s="777"/>
    </row>
    <row r="109" spans="1:72" x14ac:dyDescent="0.25">
      <c r="A109" s="777" t="s">
        <v>611</v>
      </c>
      <c r="B109" s="777">
        <v>13.84</v>
      </c>
      <c r="C109" s="777">
        <v>15.96</v>
      </c>
      <c r="D109" s="777">
        <v>11.36</v>
      </c>
      <c r="E109" s="777">
        <v>12</v>
      </c>
      <c r="F109" s="777">
        <v>13.09</v>
      </c>
      <c r="G109" s="777">
        <v>13.49</v>
      </c>
      <c r="H109" s="777">
        <v>13.36</v>
      </c>
      <c r="I109" s="777">
        <v>13.25</v>
      </c>
      <c r="J109" s="777">
        <v>13.37</v>
      </c>
      <c r="K109" s="777">
        <v>13.41</v>
      </c>
      <c r="L109" s="777">
        <v>13.38</v>
      </c>
      <c r="M109" s="777">
        <v>13.37</v>
      </c>
      <c r="N109" s="777">
        <v>13.38</v>
      </c>
      <c r="O109" s="777">
        <v>13.44</v>
      </c>
      <c r="P109" s="777">
        <v>13.46</v>
      </c>
      <c r="Q109" s="777">
        <v>13.58</v>
      </c>
      <c r="R109" s="777">
        <v>13.54</v>
      </c>
      <c r="S109" s="777">
        <v>13.41</v>
      </c>
      <c r="T109" s="777">
        <v>13.43</v>
      </c>
      <c r="U109" s="777">
        <v>13.54</v>
      </c>
      <c r="V109" s="777">
        <v>13.65</v>
      </c>
      <c r="W109" s="777">
        <v>13.83</v>
      </c>
      <c r="X109" s="777">
        <v>14</v>
      </c>
      <c r="Y109" s="777">
        <v>14.19</v>
      </c>
      <c r="Z109" s="777">
        <v>14.46</v>
      </c>
      <c r="AA109" s="777">
        <v>14.54</v>
      </c>
      <c r="AB109" s="777">
        <v>14.55</v>
      </c>
      <c r="AC109" s="777">
        <v>14.7</v>
      </c>
      <c r="AD109" s="777">
        <v>14.78</v>
      </c>
      <c r="AE109" s="813">
        <v>-3.0000000000000001E-3</v>
      </c>
      <c r="AF109" s="777"/>
      <c r="AG109" s="777"/>
      <c r="AH109" s="777"/>
      <c r="AI109" s="777"/>
      <c r="AJ109" s="777"/>
      <c r="AK109" s="777"/>
      <c r="AL109" s="777"/>
      <c r="AM109" s="777"/>
      <c r="AN109" s="777"/>
      <c r="AO109" s="777"/>
      <c r="AP109" s="777"/>
      <c r="AQ109" s="777"/>
      <c r="AR109" s="777"/>
      <c r="AS109" s="777"/>
      <c r="AT109" s="777"/>
      <c r="AU109" s="777"/>
      <c r="AV109" s="777"/>
      <c r="AW109" s="777"/>
      <c r="AX109" s="777"/>
      <c r="AY109" s="777"/>
      <c r="AZ109" s="777"/>
      <c r="BA109" s="777"/>
      <c r="BB109" s="777"/>
      <c r="BC109" s="777"/>
      <c r="BD109" s="777"/>
      <c r="BE109" s="777"/>
      <c r="BF109" s="777"/>
      <c r="BG109" s="777"/>
      <c r="BH109" s="777"/>
      <c r="BI109" s="777"/>
      <c r="BJ109" s="777"/>
      <c r="BK109" s="777"/>
      <c r="BL109" s="777"/>
      <c r="BM109" s="777"/>
      <c r="BN109" s="777"/>
      <c r="BO109" s="777"/>
      <c r="BP109" s="777"/>
      <c r="BQ109" s="777"/>
      <c r="BR109" s="777"/>
      <c r="BS109" s="777"/>
      <c r="BT109" s="777"/>
    </row>
    <row r="110" spans="1:72" x14ac:dyDescent="0.25">
      <c r="A110" s="777" t="s">
        <v>469</v>
      </c>
      <c r="B110" s="777">
        <v>32.03</v>
      </c>
      <c r="C110" s="777">
        <v>33.729999999999997</v>
      </c>
      <c r="D110" s="777">
        <v>32.299999999999997</v>
      </c>
      <c r="E110" s="777">
        <v>30.29</v>
      </c>
      <c r="F110" s="777">
        <v>27.63</v>
      </c>
      <c r="G110" s="777">
        <v>29.66</v>
      </c>
      <c r="H110" s="777">
        <v>29.72</v>
      </c>
      <c r="I110" s="777">
        <v>29.07</v>
      </c>
      <c r="J110" s="777">
        <v>28.79</v>
      </c>
      <c r="K110" s="777">
        <v>29.01</v>
      </c>
      <c r="L110" s="777">
        <v>29.04</v>
      </c>
      <c r="M110" s="777">
        <v>28.87</v>
      </c>
      <c r="N110" s="777">
        <v>28.59</v>
      </c>
      <c r="O110" s="777">
        <v>28.55</v>
      </c>
      <c r="P110" s="777">
        <v>28.54</v>
      </c>
      <c r="Q110" s="777">
        <v>28.43</v>
      </c>
      <c r="R110" s="777">
        <v>28.48</v>
      </c>
      <c r="S110" s="777">
        <v>28.64</v>
      </c>
      <c r="T110" s="777">
        <v>28.63</v>
      </c>
      <c r="U110" s="777">
        <v>28.88</v>
      </c>
      <c r="V110" s="777">
        <v>29.32</v>
      </c>
      <c r="W110" s="777">
        <v>29.79</v>
      </c>
      <c r="X110" s="777">
        <v>30.51</v>
      </c>
      <c r="Y110" s="777">
        <v>31.01</v>
      </c>
      <c r="Z110" s="777">
        <v>31.61</v>
      </c>
      <c r="AA110" s="777">
        <v>32.15</v>
      </c>
      <c r="AB110" s="777">
        <v>32.47</v>
      </c>
      <c r="AC110" s="777">
        <v>32.89</v>
      </c>
      <c r="AD110" s="777">
        <v>33.26</v>
      </c>
      <c r="AE110" s="813">
        <v>-1E-3</v>
      </c>
      <c r="AF110" s="777"/>
      <c r="AG110" s="777"/>
      <c r="AH110" s="777"/>
      <c r="AI110" s="777"/>
      <c r="AJ110" s="777"/>
      <c r="AK110" s="777"/>
      <c r="AL110" s="777"/>
      <c r="AM110" s="777"/>
      <c r="AN110" s="777"/>
      <c r="AO110" s="777"/>
      <c r="AP110" s="777"/>
      <c r="AQ110" s="777"/>
      <c r="AR110" s="777"/>
      <c r="AS110" s="777"/>
      <c r="AT110" s="777"/>
      <c r="AU110" s="777"/>
      <c r="AV110" s="777"/>
      <c r="AW110" s="777"/>
      <c r="AX110" s="777"/>
      <c r="AY110" s="777"/>
      <c r="AZ110" s="777"/>
      <c r="BA110" s="777"/>
      <c r="BB110" s="777"/>
      <c r="BC110" s="777"/>
      <c r="BD110" s="777"/>
      <c r="BE110" s="777"/>
      <c r="BF110" s="777"/>
      <c r="BG110" s="777"/>
      <c r="BH110" s="777"/>
      <c r="BI110" s="777"/>
      <c r="BJ110" s="777"/>
      <c r="BK110" s="777"/>
      <c r="BL110" s="777"/>
      <c r="BM110" s="777"/>
      <c r="BN110" s="777"/>
      <c r="BO110" s="777"/>
      <c r="BP110" s="777"/>
      <c r="BQ110" s="777"/>
      <c r="BR110" s="777"/>
      <c r="BS110" s="777"/>
      <c r="BT110" s="777"/>
    </row>
    <row r="111" spans="1:72" x14ac:dyDescent="0.25">
      <c r="A111" s="777"/>
      <c r="B111" s="777"/>
      <c r="C111" s="777"/>
      <c r="D111" s="777"/>
      <c r="E111" s="777"/>
      <c r="F111" s="777"/>
      <c r="G111" s="777"/>
      <c r="H111" s="777"/>
      <c r="I111" s="777"/>
      <c r="J111" s="777"/>
      <c r="K111" s="777"/>
      <c r="L111" s="777"/>
      <c r="M111" s="777"/>
      <c r="N111" s="777"/>
      <c r="O111" s="777"/>
      <c r="P111" s="777"/>
      <c r="Q111" s="777"/>
      <c r="R111" s="777"/>
      <c r="S111" s="777"/>
      <c r="T111" s="777"/>
      <c r="U111" s="777"/>
      <c r="V111" s="777"/>
      <c r="W111" s="777"/>
      <c r="X111" s="777"/>
      <c r="Y111" s="777"/>
      <c r="Z111" s="777"/>
      <c r="AA111" s="777"/>
      <c r="AB111" s="777"/>
      <c r="AC111" s="777"/>
      <c r="AD111" s="777"/>
      <c r="AE111" s="777"/>
      <c r="AF111" s="777"/>
      <c r="AG111" s="777"/>
      <c r="AH111" s="777"/>
      <c r="AI111" s="777"/>
      <c r="AJ111" s="777"/>
      <c r="AK111" s="777"/>
      <c r="AL111" s="777"/>
      <c r="AM111" s="777"/>
      <c r="AN111" s="777"/>
      <c r="AO111" s="777"/>
      <c r="AP111" s="777"/>
      <c r="AQ111" s="777"/>
      <c r="AR111" s="777"/>
      <c r="AS111" s="777"/>
      <c r="AT111" s="777"/>
      <c r="AU111" s="777"/>
      <c r="AV111" s="777"/>
      <c r="AW111" s="777"/>
      <c r="AX111" s="777"/>
      <c r="AY111" s="777"/>
      <c r="AZ111" s="777"/>
      <c r="BA111" s="777"/>
      <c r="BB111" s="777"/>
      <c r="BC111" s="777"/>
      <c r="BD111" s="777"/>
      <c r="BE111" s="777"/>
      <c r="BF111" s="777"/>
      <c r="BG111" s="777"/>
      <c r="BH111" s="777"/>
      <c r="BI111" s="777"/>
      <c r="BJ111" s="777"/>
      <c r="BK111" s="777"/>
      <c r="BL111" s="777"/>
      <c r="BM111" s="777"/>
      <c r="BN111" s="777"/>
      <c r="BO111" s="777"/>
      <c r="BP111" s="777"/>
      <c r="BQ111" s="777"/>
      <c r="BR111" s="777"/>
      <c r="BS111" s="777"/>
      <c r="BT111" s="777"/>
    </row>
    <row r="112" spans="1:72" x14ac:dyDescent="0.25">
      <c r="A112" s="777" t="s">
        <v>612</v>
      </c>
      <c r="B112" s="777"/>
      <c r="C112" s="777"/>
      <c r="D112" s="777"/>
      <c r="E112" s="777"/>
      <c r="F112" s="777"/>
      <c r="G112" s="777"/>
      <c r="H112" s="777"/>
      <c r="I112" s="777"/>
      <c r="J112" s="777"/>
      <c r="K112" s="777"/>
      <c r="L112" s="777"/>
      <c r="M112" s="777"/>
      <c r="N112" s="777"/>
      <c r="O112" s="777"/>
      <c r="P112" s="777"/>
      <c r="Q112" s="777"/>
      <c r="R112" s="777"/>
      <c r="S112" s="777"/>
      <c r="T112" s="777"/>
      <c r="U112" s="777"/>
      <c r="V112" s="777"/>
      <c r="W112" s="777"/>
      <c r="X112" s="777"/>
      <c r="Y112" s="777"/>
      <c r="Z112" s="777"/>
      <c r="AA112" s="777"/>
      <c r="AB112" s="777"/>
      <c r="AC112" s="777"/>
      <c r="AD112" s="777"/>
      <c r="AE112" s="777"/>
      <c r="AF112" s="777"/>
      <c r="AG112" s="777"/>
      <c r="AH112" s="777"/>
      <c r="AI112" s="777"/>
      <c r="AJ112" s="777"/>
      <c r="AK112" s="777"/>
      <c r="AL112" s="777"/>
      <c r="AM112" s="777"/>
      <c r="AN112" s="777"/>
      <c r="AO112" s="777"/>
      <c r="AP112" s="777"/>
      <c r="AQ112" s="777"/>
      <c r="AR112" s="777"/>
      <c r="AS112" s="777"/>
      <c r="AT112" s="777"/>
      <c r="AU112" s="777"/>
      <c r="AV112" s="777"/>
      <c r="AW112" s="777"/>
      <c r="AX112" s="777"/>
      <c r="AY112" s="777"/>
      <c r="AZ112" s="777"/>
      <c r="BA112" s="777"/>
      <c r="BB112" s="777"/>
      <c r="BC112" s="777"/>
      <c r="BD112" s="777"/>
      <c r="BE112" s="777"/>
      <c r="BF112" s="777"/>
      <c r="BG112" s="777"/>
      <c r="BH112" s="777"/>
      <c r="BI112" s="777"/>
      <c r="BJ112" s="777"/>
      <c r="BK112" s="777"/>
      <c r="BL112" s="777"/>
      <c r="BM112" s="777"/>
      <c r="BN112" s="777"/>
      <c r="BO112" s="777"/>
      <c r="BP112" s="777"/>
      <c r="BQ112" s="777"/>
      <c r="BR112" s="777"/>
      <c r="BS112" s="777"/>
      <c r="BT112" s="777"/>
    </row>
    <row r="113" spans="1:72" x14ac:dyDescent="0.25">
      <c r="A113" s="777" t="s">
        <v>599</v>
      </c>
      <c r="B113" s="777">
        <v>15.75</v>
      </c>
      <c r="C113" s="777">
        <v>19.37</v>
      </c>
      <c r="D113" s="777">
        <v>14.24</v>
      </c>
      <c r="E113" s="777">
        <v>13.91</v>
      </c>
      <c r="F113" s="777">
        <v>14.06</v>
      </c>
      <c r="G113" s="777">
        <v>15.2</v>
      </c>
      <c r="H113" s="777">
        <v>16.21</v>
      </c>
      <c r="I113" s="777">
        <v>16.89</v>
      </c>
      <c r="J113" s="777">
        <v>17.36</v>
      </c>
      <c r="K113" s="777">
        <v>18.22</v>
      </c>
      <c r="L113" s="777">
        <v>18.88</v>
      </c>
      <c r="M113" s="777">
        <v>19.510000000000002</v>
      </c>
      <c r="N113" s="777">
        <v>19.920000000000002</v>
      </c>
      <c r="O113" s="777">
        <v>20.25</v>
      </c>
      <c r="P113" s="777">
        <v>20.399999999999999</v>
      </c>
      <c r="Q113" s="777">
        <v>20.58</v>
      </c>
      <c r="R113" s="777">
        <v>20.89</v>
      </c>
      <c r="S113" s="777">
        <v>21.07</v>
      </c>
      <c r="T113" s="777">
        <v>21.35</v>
      </c>
      <c r="U113" s="777">
        <v>21.6</v>
      </c>
      <c r="V113" s="777">
        <v>21.83</v>
      </c>
      <c r="W113" s="777">
        <v>22.14</v>
      </c>
      <c r="X113" s="777">
        <v>22.54</v>
      </c>
      <c r="Y113" s="777">
        <v>22.71</v>
      </c>
      <c r="Z113" s="777">
        <v>23.14</v>
      </c>
      <c r="AA113" s="777">
        <v>23.54</v>
      </c>
      <c r="AB113" s="777">
        <v>23.87</v>
      </c>
      <c r="AC113" s="777">
        <v>24.28</v>
      </c>
      <c r="AD113" s="777">
        <v>24.7</v>
      </c>
      <c r="AE113" s="813">
        <v>8.9999999999999993E-3</v>
      </c>
      <c r="AF113" s="777"/>
      <c r="AG113" s="777"/>
      <c r="AH113" s="777"/>
      <c r="AI113" s="777"/>
      <c r="AJ113" s="777"/>
      <c r="AK113" s="777"/>
      <c r="AL113" s="777"/>
      <c r="AM113" s="777"/>
      <c r="AN113" s="777"/>
      <c r="AO113" s="777"/>
      <c r="AP113" s="777"/>
      <c r="AQ113" s="777"/>
      <c r="AR113" s="777"/>
      <c r="AS113" s="777"/>
      <c r="AT113" s="777"/>
      <c r="AU113" s="777"/>
      <c r="AV113" s="777"/>
      <c r="AW113" s="777"/>
      <c r="AX113" s="777"/>
      <c r="AY113" s="777"/>
      <c r="AZ113" s="777"/>
      <c r="BA113" s="777"/>
      <c r="BB113" s="777"/>
      <c r="BC113" s="777"/>
      <c r="BD113" s="777"/>
      <c r="BE113" s="777"/>
      <c r="BF113" s="777"/>
      <c r="BG113" s="777"/>
      <c r="BH113" s="777"/>
      <c r="BI113" s="777"/>
      <c r="BJ113" s="777"/>
      <c r="BK113" s="777"/>
      <c r="BL113" s="777"/>
      <c r="BM113" s="777"/>
      <c r="BN113" s="777"/>
      <c r="BO113" s="777"/>
      <c r="BP113" s="777"/>
      <c r="BQ113" s="777"/>
      <c r="BR113" s="777"/>
      <c r="BS113" s="777"/>
      <c r="BT113" s="777"/>
    </row>
    <row r="114" spans="1:72" x14ac:dyDescent="0.25">
      <c r="A114" s="777" t="s">
        <v>600</v>
      </c>
      <c r="B114" s="777">
        <v>9.0399999999999991</v>
      </c>
      <c r="C114" s="777">
        <v>14.56</v>
      </c>
      <c r="D114" s="777">
        <v>8.7799999999999994</v>
      </c>
      <c r="E114" s="777">
        <v>12</v>
      </c>
      <c r="F114" s="777">
        <v>12.17</v>
      </c>
      <c r="G114" s="777">
        <v>13.34</v>
      </c>
      <c r="H114" s="777">
        <v>14.37</v>
      </c>
      <c r="I114" s="777">
        <v>15.11</v>
      </c>
      <c r="J114" s="777">
        <v>15.53</v>
      </c>
      <c r="K114" s="777">
        <v>15.93</v>
      </c>
      <c r="L114" s="777">
        <v>16.45</v>
      </c>
      <c r="M114" s="777">
        <v>16.89</v>
      </c>
      <c r="N114" s="777">
        <v>17.14</v>
      </c>
      <c r="O114" s="777">
        <v>17.22</v>
      </c>
      <c r="P114" s="777">
        <v>17.47</v>
      </c>
      <c r="Q114" s="777">
        <v>17.63</v>
      </c>
      <c r="R114" s="777">
        <v>17.850000000000001</v>
      </c>
      <c r="S114" s="777">
        <v>18.079999999999998</v>
      </c>
      <c r="T114" s="777">
        <v>18.3</v>
      </c>
      <c r="U114" s="777">
        <v>18.38</v>
      </c>
      <c r="V114" s="777">
        <v>18.68</v>
      </c>
      <c r="W114" s="777">
        <v>18.940000000000001</v>
      </c>
      <c r="X114" s="777">
        <v>19.23</v>
      </c>
      <c r="Y114" s="777">
        <v>19.55</v>
      </c>
      <c r="Z114" s="777">
        <v>19.899999999999999</v>
      </c>
      <c r="AA114" s="777">
        <v>20.190000000000001</v>
      </c>
      <c r="AB114" s="777">
        <v>20.43</v>
      </c>
      <c r="AC114" s="777">
        <v>20.77</v>
      </c>
      <c r="AD114" s="777">
        <v>21.12</v>
      </c>
      <c r="AE114" s="813">
        <v>1.4E-2</v>
      </c>
      <c r="AF114" s="777"/>
      <c r="AG114" s="777"/>
      <c r="AH114" s="777"/>
      <c r="AI114" s="777"/>
      <c r="AJ114" s="777"/>
      <c r="AK114" s="777"/>
      <c r="AL114" s="777"/>
      <c r="AM114" s="777"/>
      <c r="AN114" s="777"/>
      <c r="AO114" s="777"/>
      <c r="AP114" s="777"/>
      <c r="AQ114" s="777"/>
      <c r="AR114" s="777"/>
      <c r="AS114" s="777"/>
      <c r="AT114" s="777"/>
      <c r="AU114" s="777"/>
      <c r="AV114" s="777"/>
      <c r="AW114" s="777"/>
      <c r="AX114" s="777"/>
      <c r="AY114" s="777"/>
      <c r="AZ114" s="777"/>
      <c r="BA114" s="777"/>
      <c r="BB114" s="777"/>
      <c r="BC114" s="777"/>
      <c r="BD114" s="777"/>
      <c r="BE114" s="777"/>
      <c r="BF114" s="777"/>
      <c r="BG114" s="777"/>
      <c r="BH114" s="777"/>
      <c r="BI114" s="777"/>
      <c r="BJ114" s="777"/>
      <c r="BK114" s="777"/>
      <c r="BL114" s="777"/>
      <c r="BM114" s="777"/>
      <c r="BN114" s="777"/>
      <c r="BO114" s="777"/>
      <c r="BP114" s="777"/>
      <c r="BQ114" s="777"/>
      <c r="BR114" s="777"/>
      <c r="BS114" s="777"/>
      <c r="BT114" s="777"/>
    </row>
    <row r="115" spans="1:72" x14ac:dyDescent="0.25">
      <c r="A115" s="777" t="s">
        <v>500</v>
      </c>
      <c r="B115" s="777">
        <v>7.26</v>
      </c>
      <c r="C115" s="777">
        <v>9.09</v>
      </c>
      <c r="D115" s="777">
        <v>4.1399999999999997</v>
      </c>
      <c r="E115" s="777">
        <v>4.8499999999999996</v>
      </c>
      <c r="F115" s="777">
        <v>5.82</v>
      </c>
      <c r="G115" s="777">
        <v>6.17</v>
      </c>
      <c r="H115" s="777">
        <v>5.94</v>
      </c>
      <c r="I115" s="777">
        <v>5.9</v>
      </c>
      <c r="J115" s="777">
        <v>6.08</v>
      </c>
      <c r="K115" s="777">
        <v>6.16</v>
      </c>
      <c r="L115" s="777">
        <v>6.17</v>
      </c>
      <c r="M115" s="777">
        <v>6.22</v>
      </c>
      <c r="N115" s="777">
        <v>6.29</v>
      </c>
      <c r="O115" s="777">
        <v>6.42</v>
      </c>
      <c r="P115" s="777">
        <v>6.52</v>
      </c>
      <c r="Q115" s="777">
        <v>6.69</v>
      </c>
      <c r="R115" s="777">
        <v>6.74</v>
      </c>
      <c r="S115" s="777">
        <v>6.7</v>
      </c>
      <c r="T115" s="777">
        <v>6.75</v>
      </c>
      <c r="U115" s="777">
        <v>6.91</v>
      </c>
      <c r="V115" s="777">
        <v>7.05</v>
      </c>
      <c r="W115" s="777">
        <v>7.27</v>
      </c>
      <c r="X115" s="777">
        <v>7.51</v>
      </c>
      <c r="Y115" s="777">
        <v>7.73</v>
      </c>
      <c r="Z115" s="777">
        <v>8.02</v>
      </c>
      <c r="AA115" s="777">
        <v>8.14</v>
      </c>
      <c r="AB115" s="777">
        <v>8.17</v>
      </c>
      <c r="AC115" s="777">
        <v>8.35</v>
      </c>
      <c r="AD115" s="777">
        <v>8.4600000000000009</v>
      </c>
      <c r="AE115" s="813">
        <v>-3.0000000000000001E-3</v>
      </c>
      <c r="AF115" s="777"/>
      <c r="AG115" s="777"/>
      <c r="AH115" s="777"/>
      <c r="AI115" s="777"/>
      <c r="AJ115" s="777"/>
      <c r="AK115" s="777"/>
      <c r="AL115" s="777"/>
      <c r="AM115" s="777"/>
      <c r="AN115" s="777"/>
      <c r="AO115" s="777"/>
      <c r="AP115" s="777"/>
      <c r="AQ115" s="777"/>
      <c r="AR115" s="777"/>
      <c r="AS115" s="777"/>
      <c r="AT115" s="777"/>
      <c r="AU115" s="777"/>
      <c r="AV115" s="777"/>
      <c r="AW115" s="777"/>
      <c r="AX115" s="777"/>
      <c r="AY115" s="777"/>
      <c r="AZ115" s="777"/>
      <c r="BA115" s="777"/>
      <c r="BB115" s="777"/>
      <c r="BC115" s="777"/>
      <c r="BD115" s="777"/>
      <c r="BE115" s="777"/>
      <c r="BF115" s="777"/>
      <c r="BG115" s="777"/>
      <c r="BH115" s="777"/>
      <c r="BI115" s="777"/>
      <c r="BJ115" s="777"/>
      <c r="BK115" s="777"/>
      <c r="BL115" s="777"/>
      <c r="BM115" s="777"/>
      <c r="BN115" s="777"/>
      <c r="BO115" s="777"/>
      <c r="BP115" s="777"/>
      <c r="BQ115" s="777"/>
      <c r="BR115" s="777"/>
      <c r="BS115" s="777"/>
      <c r="BT115" s="777"/>
    </row>
    <row r="116" spans="1:72" x14ac:dyDescent="0.25">
      <c r="A116" s="777" t="s">
        <v>613</v>
      </c>
      <c r="B116" s="777">
        <v>1.8</v>
      </c>
      <c r="C116" s="777">
        <v>2.0499999999999998</v>
      </c>
      <c r="D116" s="777">
        <v>2.15</v>
      </c>
      <c r="E116" s="777">
        <v>1.99</v>
      </c>
      <c r="F116" s="777">
        <v>1.98</v>
      </c>
      <c r="G116" s="777">
        <v>1.99</v>
      </c>
      <c r="H116" s="777">
        <v>1.99</v>
      </c>
      <c r="I116" s="777">
        <v>1.99</v>
      </c>
      <c r="J116" s="777">
        <v>2.0099999999999998</v>
      </c>
      <c r="K116" s="777">
        <v>1.99</v>
      </c>
      <c r="L116" s="777">
        <v>2</v>
      </c>
      <c r="M116" s="777">
        <v>1.99</v>
      </c>
      <c r="N116" s="777">
        <v>1.99</v>
      </c>
      <c r="O116" s="777">
        <v>1.98</v>
      </c>
      <c r="P116" s="777">
        <v>1.98</v>
      </c>
      <c r="Q116" s="777">
        <v>1.99</v>
      </c>
      <c r="R116" s="777">
        <v>1.99</v>
      </c>
      <c r="S116" s="777">
        <v>1.99</v>
      </c>
      <c r="T116" s="777">
        <v>1.99</v>
      </c>
      <c r="U116" s="777">
        <v>2</v>
      </c>
      <c r="V116" s="777">
        <v>2</v>
      </c>
      <c r="W116" s="777">
        <v>2.0099999999999998</v>
      </c>
      <c r="X116" s="777">
        <v>2.02</v>
      </c>
      <c r="Y116" s="777">
        <v>2.0299999999999998</v>
      </c>
      <c r="Z116" s="777">
        <v>2.04</v>
      </c>
      <c r="AA116" s="777">
        <v>2.0499999999999998</v>
      </c>
      <c r="AB116" s="777">
        <v>2.06</v>
      </c>
      <c r="AC116" s="777">
        <v>2.0699999999999998</v>
      </c>
      <c r="AD116" s="777">
        <v>2.09</v>
      </c>
      <c r="AE116" s="813">
        <v>1E-3</v>
      </c>
      <c r="AF116" s="777"/>
      <c r="AG116" s="777"/>
      <c r="AH116" s="777"/>
      <c r="AI116" s="777"/>
      <c r="AJ116" s="777"/>
      <c r="AK116" s="777"/>
      <c r="AL116" s="777"/>
      <c r="AM116" s="777"/>
      <c r="AN116" s="777"/>
      <c r="AO116" s="777"/>
      <c r="AP116" s="777"/>
      <c r="AQ116" s="777"/>
      <c r="AR116" s="777"/>
      <c r="AS116" s="777"/>
      <c r="AT116" s="777"/>
      <c r="AU116" s="777"/>
      <c r="AV116" s="777"/>
      <c r="AW116" s="777"/>
      <c r="AX116" s="777"/>
      <c r="AY116" s="777"/>
      <c r="AZ116" s="777"/>
      <c r="BA116" s="777"/>
      <c r="BB116" s="777"/>
      <c r="BC116" s="777"/>
      <c r="BD116" s="777"/>
      <c r="BE116" s="777"/>
      <c r="BF116" s="777"/>
      <c r="BG116" s="777"/>
      <c r="BH116" s="777"/>
      <c r="BI116" s="777"/>
      <c r="BJ116" s="777"/>
      <c r="BK116" s="777"/>
      <c r="BL116" s="777"/>
      <c r="BM116" s="777"/>
      <c r="BN116" s="777"/>
      <c r="BO116" s="777"/>
      <c r="BP116" s="777"/>
      <c r="BQ116" s="777"/>
      <c r="BR116" s="777"/>
      <c r="BS116" s="777"/>
      <c r="BT116" s="777"/>
    </row>
    <row r="117" spans="1:72" x14ac:dyDescent="0.25">
      <c r="A117" s="777"/>
      <c r="B117" s="777"/>
      <c r="C117" s="777"/>
      <c r="D117" s="777"/>
      <c r="E117" s="777"/>
      <c r="F117" s="777"/>
      <c r="G117" s="777"/>
      <c r="H117" s="777"/>
      <c r="I117" s="777"/>
      <c r="J117" s="777"/>
      <c r="K117" s="777"/>
      <c r="L117" s="777"/>
      <c r="M117" s="777"/>
      <c r="N117" s="777"/>
      <c r="O117" s="777"/>
      <c r="P117" s="777"/>
      <c r="Q117" s="777"/>
      <c r="R117" s="777"/>
      <c r="S117" s="777"/>
      <c r="T117" s="777"/>
      <c r="U117" s="777"/>
      <c r="V117" s="777"/>
      <c r="W117" s="777"/>
      <c r="X117" s="777"/>
      <c r="Y117" s="777"/>
      <c r="Z117" s="777"/>
      <c r="AA117" s="777"/>
      <c r="AB117" s="777"/>
      <c r="AC117" s="777"/>
      <c r="AD117" s="777"/>
      <c r="AE117" s="777"/>
      <c r="AF117" s="777"/>
      <c r="AG117" s="777"/>
      <c r="AH117" s="777"/>
      <c r="AI117" s="777"/>
      <c r="AJ117" s="777"/>
      <c r="AK117" s="777"/>
      <c r="AL117" s="777"/>
      <c r="AM117" s="777"/>
      <c r="AN117" s="777"/>
      <c r="AO117" s="777"/>
      <c r="AP117" s="777"/>
      <c r="AQ117" s="777"/>
      <c r="AR117" s="777"/>
      <c r="AS117" s="777"/>
      <c r="AT117" s="777"/>
      <c r="AU117" s="777"/>
      <c r="AV117" s="777"/>
      <c r="AW117" s="777"/>
      <c r="AX117" s="777"/>
      <c r="AY117" s="777"/>
      <c r="AZ117" s="777"/>
      <c r="BA117" s="777"/>
      <c r="BB117" s="777"/>
      <c r="BC117" s="777"/>
      <c r="BD117" s="777"/>
      <c r="BE117" s="777"/>
      <c r="BF117" s="777"/>
      <c r="BG117" s="777"/>
      <c r="BH117" s="777"/>
      <c r="BI117" s="777"/>
      <c r="BJ117" s="777"/>
      <c r="BK117" s="777"/>
      <c r="BL117" s="777"/>
      <c r="BM117" s="777"/>
      <c r="BN117" s="777"/>
      <c r="BO117" s="777"/>
      <c r="BP117" s="777"/>
      <c r="BQ117" s="777"/>
      <c r="BR117" s="777"/>
      <c r="BS117" s="777"/>
      <c r="BT117" s="777"/>
    </row>
    <row r="118" spans="1:72" x14ac:dyDescent="0.25">
      <c r="A118" s="777" t="s">
        <v>614</v>
      </c>
      <c r="B118" s="777"/>
      <c r="C118" s="777"/>
      <c r="D118" s="777"/>
      <c r="E118" s="777"/>
      <c r="F118" s="777"/>
      <c r="G118" s="777"/>
      <c r="H118" s="777"/>
      <c r="I118" s="777"/>
      <c r="J118" s="777"/>
      <c r="K118" s="777"/>
      <c r="L118" s="777"/>
      <c r="M118" s="777"/>
      <c r="N118" s="777"/>
      <c r="O118" s="777"/>
      <c r="P118" s="777"/>
      <c r="Q118" s="777"/>
      <c r="R118" s="777"/>
      <c r="S118" s="777"/>
      <c r="T118" s="777"/>
      <c r="U118" s="777"/>
      <c r="V118" s="777"/>
      <c r="W118" s="777"/>
      <c r="X118" s="777"/>
      <c r="Y118" s="777"/>
      <c r="Z118" s="777"/>
      <c r="AA118" s="777"/>
      <c r="AB118" s="777"/>
      <c r="AC118" s="777"/>
      <c r="AD118" s="777"/>
      <c r="AE118" s="777"/>
      <c r="AF118" s="777"/>
      <c r="AG118" s="777"/>
      <c r="AH118" s="777"/>
      <c r="AI118" s="777"/>
      <c r="AJ118" s="777"/>
      <c r="AK118" s="777"/>
      <c r="AL118" s="777"/>
      <c r="AM118" s="777"/>
      <c r="AN118" s="777"/>
      <c r="AO118" s="777"/>
      <c r="AP118" s="777"/>
      <c r="AQ118" s="777"/>
      <c r="AR118" s="777"/>
      <c r="AS118" s="777"/>
      <c r="AT118" s="777"/>
      <c r="AU118" s="777"/>
      <c r="AV118" s="777"/>
      <c r="AW118" s="777"/>
      <c r="AX118" s="777"/>
      <c r="AY118" s="777"/>
      <c r="AZ118" s="777"/>
      <c r="BA118" s="777"/>
      <c r="BB118" s="777"/>
      <c r="BC118" s="777"/>
      <c r="BD118" s="777"/>
      <c r="BE118" s="777"/>
      <c r="BF118" s="777"/>
      <c r="BG118" s="777"/>
      <c r="BH118" s="777"/>
      <c r="BI118" s="777"/>
      <c r="BJ118" s="777"/>
      <c r="BK118" s="777"/>
      <c r="BL118" s="777"/>
      <c r="BM118" s="777"/>
      <c r="BN118" s="777"/>
      <c r="BO118" s="777"/>
      <c r="BP118" s="777"/>
      <c r="BQ118" s="777"/>
      <c r="BR118" s="777"/>
      <c r="BS118" s="777"/>
      <c r="BT118" s="777"/>
    </row>
    <row r="119" spans="1:72" x14ac:dyDescent="0.25">
      <c r="A119" s="777" t="s">
        <v>598</v>
      </c>
      <c r="B119" s="777">
        <v>18.940000000000001</v>
      </c>
      <c r="C119" s="777">
        <v>20.190000000000001</v>
      </c>
      <c r="D119" s="777">
        <v>18.36</v>
      </c>
      <c r="E119" s="777">
        <v>16.850000000000001</v>
      </c>
      <c r="F119" s="777">
        <v>16.87</v>
      </c>
      <c r="G119" s="777">
        <v>17.87</v>
      </c>
      <c r="H119" s="777">
        <v>18.97</v>
      </c>
      <c r="I119" s="777">
        <v>19.82</v>
      </c>
      <c r="J119" s="777">
        <v>20.3</v>
      </c>
      <c r="K119" s="777">
        <v>20.84</v>
      </c>
      <c r="L119" s="777">
        <v>21.26</v>
      </c>
      <c r="M119" s="777">
        <v>21.71</v>
      </c>
      <c r="N119" s="777">
        <v>21.93</v>
      </c>
      <c r="O119" s="777">
        <v>22.15</v>
      </c>
      <c r="P119" s="777">
        <v>22.36</v>
      </c>
      <c r="Q119" s="777">
        <v>22.56</v>
      </c>
      <c r="R119" s="777">
        <v>22.83</v>
      </c>
      <c r="S119" s="777">
        <v>23.09</v>
      </c>
      <c r="T119" s="777">
        <v>23.34</v>
      </c>
      <c r="U119" s="777">
        <v>23.49</v>
      </c>
      <c r="V119" s="777">
        <v>23.75</v>
      </c>
      <c r="W119" s="777">
        <v>24</v>
      </c>
      <c r="X119" s="777">
        <v>24.34</v>
      </c>
      <c r="Y119" s="777">
        <v>24.55</v>
      </c>
      <c r="Z119" s="777">
        <v>24.91</v>
      </c>
      <c r="AA119" s="777">
        <v>25.25</v>
      </c>
      <c r="AB119" s="777">
        <v>25.63</v>
      </c>
      <c r="AC119" s="777">
        <v>25.99</v>
      </c>
      <c r="AD119" s="777">
        <v>26.37</v>
      </c>
      <c r="AE119" s="813">
        <v>0.01</v>
      </c>
      <c r="AF119" s="777"/>
      <c r="AG119" s="777"/>
      <c r="AH119" s="777"/>
      <c r="AI119" s="777"/>
      <c r="AJ119" s="777"/>
      <c r="AK119" s="777"/>
      <c r="AL119" s="777"/>
      <c r="AM119" s="777"/>
      <c r="AN119" s="777"/>
      <c r="AO119" s="777"/>
      <c r="AP119" s="777"/>
      <c r="AQ119" s="777"/>
      <c r="AR119" s="777"/>
      <c r="AS119" s="777"/>
      <c r="AT119" s="777"/>
      <c r="AU119" s="777"/>
      <c r="AV119" s="777"/>
      <c r="AW119" s="777"/>
      <c r="AX119" s="777"/>
      <c r="AY119" s="777"/>
      <c r="AZ119" s="777"/>
      <c r="BA119" s="777"/>
      <c r="BB119" s="777"/>
      <c r="BC119" s="777"/>
      <c r="BD119" s="777"/>
      <c r="BE119" s="777"/>
      <c r="BF119" s="777"/>
      <c r="BG119" s="777"/>
      <c r="BH119" s="777"/>
      <c r="BI119" s="777"/>
      <c r="BJ119" s="777"/>
      <c r="BK119" s="777"/>
      <c r="BL119" s="777"/>
      <c r="BM119" s="777"/>
      <c r="BN119" s="777"/>
      <c r="BO119" s="777"/>
      <c r="BP119" s="777"/>
      <c r="BQ119" s="777"/>
      <c r="BR119" s="777"/>
      <c r="BS119" s="777"/>
      <c r="BT119" s="777"/>
    </row>
    <row r="120" spans="1:72" x14ac:dyDescent="0.25">
      <c r="A120" s="777" t="s">
        <v>607</v>
      </c>
      <c r="B120" s="777">
        <v>27.43</v>
      </c>
      <c r="C120" s="777">
        <v>26.93</v>
      </c>
      <c r="D120" s="777">
        <v>23.29</v>
      </c>
      <c r="E120" s="777">
        <v>20.64</v>
      </c>
      <c r="F120" s="777">
        <v>20.97</v>
      </c>
      <c r="G120" s="777">
        <v>22.13</v>
      </c>
      <c r="H120" s="777">
        <v>24.21</v>
      </c>
      <c r="I120" s="777">
        <v>25.23</v>
      </c>
      <c r="J120" s="777">
        <v>25.55</v>
      </c>
      <c r="K120" s="777">
        <v>25.08</v>
      </c>
      <c r="L120" s="777">
        <v>25.9</v>
      </c>
      <c r="M120" s="777">
        <v>26.54</v>
      </c>
      <c r="N120" s="777">
        <v>26.68</v>
      </c>
      <c r="O120" s="777">
        <v>26.95</v>
      </c>
      <c r="P120" s="777">
        <v>27.32</v>
      </c>
      <c r="Q120" s="777">
        <v>27.82</v>
      </c>
      <c r="R120" s="777">
        <v>28.31</v>
      </c>
      <c r="S120" s="777">
        <v>28.55</v>
      </c>
      <c r="T120" s="777">
        <v>28.86</v>
      </c>
      <c r="U120" s="777">
        <v>29.22</v>
      </c>
      <c r="V120" s="777">
        <v>29.49</v>
      </c>
      <c r="W120" s="777">
        <v>30.03</v>
      </c>
      <c r="X120" s="777">
        <v>30.44</v>
      </c>
      <c r="Y120" s="777">
        <v>30.64</v>
      </c>
      <c r="Z120" s="777">
        <v>30.86</v>
      </c>
      <c r="AA120" s="777">
        <v>31.29</v>
      </c>
      <c r="AB120" s="777">
        <v>31.49</v>
      </c>
      <c r="AC120" s="777">
        <v>31.77</v>
      </c>
      <c r="AD120" s="777">
        <v>32.229999999999997</v>
      </c>
      <c r="AE120" s="813">
        <v>7.0000000000000001E-3</v>
      </c>
      <c r="AF120" s="777"/>
      <c r="AG120" s="777"/>
      <c r="AH120" s="777"/>
      <c r="AI120" s="777"/>
      <c r="AJ120" s="777"/>
      <c r="AK120" s="777"/>
      <c r="AL120" s="777"/>
      <c r="AM120" s="777"/>
      <c r="AN120" s="777"/>
      <c r="AO120" s="777"/>
      <c r="AP120" s="777"/>
      <c r="AQ120" s="777"/>
      <c r="AR120" s="777"/>
      <c r="AS120" s="777"/>
      <c r="AT120" s="777"/>
      <c r="AU120" s="777"/>
      <c r="AV120" s="777"/>
      <c r="AW120" s="777"/>
      <c r="AX120" s="777"/>
      <c r="AY120" s="777"/>
      <c r="AZ120" s="777"/>
      <c r="BA120" s="777"/>
      <c r="BB120" s="777"/>
      <c r="BC120" s="777"/>
      <c r="BD120" s="777"/>
      <c r="BE120" s="777"/>
      <c r="BF120" s="777"/>
      <c r="BG120" s="777"/>
      <c r="BH120" s="777"/>
      <c r="BI120" s="777"/>
      <c r="BJ120" s="777"/>
      <c r="BK120" s="777"/>
      <c r="BL120" s="777"/>
      <c r="BM120" s="777"/>
      <c r="BN120" s="777"/>
      <c r="BO120" s="777"/>
      <c r="BP120" s="777"/>
      <c r="BQ120" s="777"/>
      <c r="BR120" s="777"/>
      <c r="BS120" s="777"/>
      <c r="BT120" s="777"/>
    </row>
    <row r="121" spans="1:72" x14ac:dyDescent="0.25">
      <c r="A121" s="777" t="s">
        <v>608</v>
      </c>
      <c r="B121" s="777">
        <v>23.55</v>
      </c>
      <c r="C121" s="777">
        <v>26.54</v>
      </c>
      <c r="D121" s="777">
        <v>19.149999999999999</v>
      </c>
      <c r="E121" s="777">
        <v>20.55</v>
      </c>
      <c r="F121" s="777">
        <v>20.88</v>
      </c>
      <c r="G121" s="777">
        <v>22.03</v>
      </c>
      <c r="H121" s="777">
        <v>24.01</v>
      </c>
      <c r="I121" s="777">
        <v>24.94</v>
      </c>
      <c r="J121" s="777">
        <v>25.36</v>
      </c>
      <c r="K121" s="777">
        <v>25.93</v>
      </c>
      <c r="L121" s="777">
        <v>26.46</v>
      </c>
      <c r="M121" s="777">
        <v>26.89</v>
      </c>
      <c r="N121" s="777">
        <v>27.2</v>
      </c>
      <c r="O121" s="777">
        <v>27.59</v>
      </c>
      <c r="P121" s="777">
        <v>27.82</v>
      </c>
      <c r="Q121" s="777">
        <v>28.17</v>
      </c>
      <c r="R121" s="777">
        <v>28.41</v>
      </c>
      <c r="S121" s="777">
        <v>28.54</v>
      </c>
      <c r="T121" s="777">
        <v>28.87</v>
      </c>
      <c r="U121" s="777">
        <v>29.18</v>
      </c>
      <c r="V121" s="777">
        <v>29.47</v>
      </c>
      <c r="W121" s="777">
        <v>29.9</v>
      </c>
      <c r="X121" s="777">
        <v>30.27</v>
      </c>
      <c r="Y121" s="777">
        <v>30.41</v>
      </c>
      <c r="Z121" s="777">
        <v>30.76</v>
      </c>
      <c r="AA121" s="777">
        <v>31.16</v>
      </c>
      <c r="AB121" s="777">
        <v>31.43</v>
      </c>
      <c r="AC121" s="777">
        <v>31.81</v>
      </c>
      <c r="AD121" s="777">
        <v>32.32</v>
      </c>
      <c r="AE121" s="813">
        <v>7.0000000000000001E-3</v>
      </c>
      <c r="AF121" s="777"/>
      <c r="AG121" s="777"/>
      <c r="AH121" s="777"/>
      <c r="AI121" s="777"/>
      <c r="AJ121" s="777"/>
      <c r="AK121" s="777"/>
      <c r="AL121" s="777"/>
      <c r="AM121" s="777"/>
      <c r="AN121" s="777"/>
      <c r="AO121" s="777"/>
      <c r="AP121" s="777"/>
      <c r="AQ121" s="777"/>
      <c r="AR121" s="777"/>
      <c r="AS121" s="777"/>
      <c r="AT121" s="777"/>
      <c r="AU121" s="777"/>
      <c r="AV121" s="777"/>
      <c r="AW121" s="777"/>
      <c r="AX121" s="777"/>
      <c r="AY121" s="777"/>
      <c r="AZ121" s="777"/>
      <c r="BA121" s="777"/>
      <c r="BB121" s="777"/>
      <c r="BC121" s="777"/>
      <c r="BD121" s="777"/>
      <c r="BE121" s="777"/>
      <c r="BF121" s="777"/>
      <c r="BG121" s="777"/>
      <c r="BH121" s="777"/>
      <c r="BI121" s="777"/>
      <c r="BJ121" s="777"/>
      <c r="BK121" s="777"/>
      <c r="BL121" s="777"/>
      <c r="BM121" s="777"/>
      <c r="BN121" s="777"/>
      <c r="BO121" s="777"/>
      <c r="BP121" s="777"/>
      <c r="BQ121" s="777"/>
      <c r="BR121" s="777"/>
      <c r="BS121" s="777"/>
      <c r="BT121" s="777"/>
    </row>
    <row r="122" spans="1:72" x14ac:dyDescent="0.25">
      <c r="A122" s="777" t="s">
        <v>615</v>
      </c>
      <c r="B122" s="777">
        <v>15.77</v>
      </c>
      <c r="C122" s="777">
        <v>22.71</v>
      </c>
      <c r="D122" s="777">
        <v>12.73</v>
      </c>
      <c r="E122" s="777">
        <v>14.79</v>
      </c>
      <c r="F122" s="777">
        <v>15.16</v>
      </c>
      <c r="G122" s="777">
        <v>16.54</v>
      </c>
      <c r="H122" s="777">
        <v>17.690000000000001</v>
      </c>
      <c r="I122" s="777">
        <v>18.46</v>
      </c>
      <c r="J122" s="777">
        <v>19.04</v>
      </c>
      <c r="K122" s="777">
        <v>19.760000000000002</v>
      </c>
      <c r="L122" s="777">
        <v>20.41</v>
      </c>
      <c r="M122" s="777">
        <v>20.97</v>
      </c>
      <c r="N122" s="777">
        <v>21.35</v>
      </c>
      <c r="O122" s="777">
        <v>21.69</v>
      </c>
      <c r="P122" s="777">
        <v>21.85</v>
      </c>
      <c r="Q122" s="777">
        <v>22.09</v>
      </c>
      <c r="R122" s="777">
        <v>22.41</v>
      </c>
      <c r="S122" s="777">
        <v>22.61</v>
      </c>
      <c r="T122" s="777">
        <v>22.92</v>
      </c>
      <c r="U122" s="777">
        <v>23.19</v>
      </c>
      <c r="V122" s="777">
        <v>23.48</v>
      </c>
      <c r="W122" s="777">
        <v>23.9</v>
      </c>
      <c r="X122" s="777">
        <v>24.26</v>
      </c>
      <c r="Y122" s="777">
        <v>24.51</v>
      </c>
      <c r="Z122" s="777">
        <v>24.9</v>
      </c>
      <c r="AA122" s="777">
        <v>25.3</v>
      </c>
      <c r="AB122" s="777">
        <v>25.64</v>
      </c>
      <c r="AC122" s="777">
        <v>26.05</v>
      </c>
      <c r="AD122" s="777">
        <v>26.48</v>
      </c>
      <c r="AE122" s="813">
        <v>6.0000000000000001E-3</v>
      </c>
      <c r="AF122" s="777"/>
      <c r="AG122" s="777"/>
      <c r="AH122" s="777"/>
      <c r="AI122" s="777"/>
      <c r="AJ122" s="777"/>
      <c r="AK122" s="777"/>
      <c r="AL122" s="777"/>
      <c r="AM122" s="777"/>
      <c r="AN122" s="777"/>
      <c r="AO122" s="777"/>
      <c r="AP122" s="777"/>
      <c r="AQ122" s="777"/>
      <c r="AR122" s="777"/>
      <c r="AS122" s="777"/>
      <c r="AT122" s="777"/>
      <c r="AU122" s="777"/>
      <c r="AV122" s="777"/>
      <c r="AW122" s="777"/>
      <c r="AX122" s="777"/>
      <c r="AY122" s="777"/>
      <c r="AZ122" s="777"/>
      <c r="BA122" s="777"/>
      <c r="BB122" s="777"/>
      <c r="BC122" s="777"/>
      <c r="BD122" s="777"/>
      <c r="BE122" s="777"/>
      <c r="BF122" s="777"/>
      <c r="BG122" s="777"/>
      <c r="BH122" s="777"/>
      <c r="BI122" s="777"/>
      <c r="BJ122" s="777"/>
      <c r="BK122" s="777"/>
      <c r="BL122" s="777"/>
      <c r="BM122" s="777"/>
      <c r="BN122" s="777"/>
      <c r="BO122" s="777"/>
      <c r="BP122" s="777"/>
      <c r="BQ122" s="777"/>
      <c r="BR122" s="777"/>
      <c r="BS122" s="777"/>
      <c r="BT122" s="777"/>
    </row>
    <row r="123" spans="1:72" x14ac:dyDescent="0.25">
      <c r="A123" s="777" t="s">
        <v>599</v>
      </c>
      <c r="B123" s="777">
        <v>20.71</v>
      </c>
      <c r="C123" s="777">
        <v>26.27</v>
      </c>
      <c r="D123" s="777">
        <v>17.46</v>
      </c>
      <c r="E123" s="777">
        <v>17.73</v>
      </c>
      <c r="F123" s="777">
        <v>18.149999999999999</v>
      </c>
      <c r="G123" s="777">
        <v>19.45</v>
      </c>
      <c r="H123" s="777">
        <v>20.62</v>
      </c>
      <c r="I123" s="777">
        <v>21.35</v>
      </c>
      <c r="J123" s="777">
        <v>22.03</v>
      </c>
      <c r="K123" s="777">
        <v>22.8</v>
      </c>
      <c r="L123" s="777">
        <v>23.45</v>
      </c>
      <c r="M123" s="777">
        <v>24.07</v>
      </c>
      <c r="N123" s="777">
        <v>24.47</v>
      </c>
      <c r="O123" s="777">
        <v>24.79</v>
      </c>
      <c r="P123" s="777">
        <v>24.99</v>
      </c>
      <c r="Q123" s="777">
        <v>25.32</v>
      </c>
      <c r="R123" s="777">
        <v>25.5</v>
      </c>
      <c r="S123" s="777">
        <v>25.59</v>
      </c>
      <c r="T123" s="777">
        <v>25.89</v>
      </c>
      <c r="U123" s="777">
        <v>26.12</v>
      </c>
      <c r="V123" s="777">
        <v>26.38</v>
      </c>
      <c r="W123" s="777">
        <v>26.71</v>
      </c>
      <c r="X123" s="777">
        <v>27.11</v>
      </c>
      <c r="Y123" s="777">
        <v>27.29</v>
      </c>
      <c r="Z123" s="777">
        <v>27.73</v>
      </c>
      <c r="AA123" s="777">
        <v>28.13</v>
      </c>
      <c r="AB123" s="777">
        <v>28.46</v>
      </c>
      <c r="AC123" s="777">
        <v>28.87</v>
      </c>
      <c r="AD123" s="777">
        <v>29.34</v>
      </c>
      <c r="AE123" s="813">
        <v>4.0000000000000001E-3</v>
      </c>
      <c r="AF123" s="777"/>
      <c r="AG123" s="777"/>
      <c r="AH123" s="777"/>
      <c r="AI123" s="777"/>
      <c r="AJ123" s="777"/>
      <c r="AK123" s="777"/>
      <c r="AL123" s="777"/>
      <c r="AM123" s="777"/>
      <c r="AN123" s="777"/>
      <c r="AO123" s="777"/>
      <c r="AP123" s="777"/>
      <c r="AQ123" s="777"/>
      <c r="AR123" s="777"/>
      <c r="AS123" s="777"/>
      <c r="AT123" s="777"/>
      <c r="AU123" s="777"/>
      <c r="AV123" s="777"/>
      <c r="AW123" s="777"/>
      <c r="AX123" s="777"/>
      <c r="AY123" s="777"/>
      <c r="AZ123" s="777"/>
      <c r="BA123" s="777"/>
      <c r="BB123" s="777"/>
      <c r="BC123" s="777"/>
      <c r="BD123" s="777"/>
      <c r="BE123" s="777"/>
      <c r="BF123" s="777"/>
      <c r="BG123" s="777"/>
      <c r="BH123" s="777"/>
      <c r="BI123" s="777"/>
      <c r="BJ123" s="777"/>
      <c r="BK123" s="777"/>
      <c r="BL123" s="777"/>
      <c r="BM123" s="777"/>
      <c r="BN123" s="777"/>
      <c r="BO123" s="777"/>
      <c r="BP123" s="777"/>
      <c r="BQ123" s="777"/>
      <c r="BR123" s="777"/>
      <c r="BS123" s="777"/>
      <c r="BT123" s="777"/>
    </row>
    <row r="124" spans="1:72" x14ac:dyDescent="0.25">
      <c r="A124" s="777" t="s">
        <v>600</v>
      </c>
      <c r="B124" s="777">
        <v>9.07</v>
      </c>
      <c r="C124" s="777">
        <v>14.77</v>
      </c>
      <c r="D124" s="777">
        <v>8.9600000000000009</v>
      </c>
      <c r="E124" s="777">
        <v>10.9</v>
      </c>
      <c r="F124" s="777">
        <v>11.01</v>
      </c>
      <c r="G124" s="777">
        <v>12.17</v>
      </c>
      <c r="H124" s="777">
        <v>13.13</v>
      </c>
      <c r="I124" s="777">
        <v>13.86</v>
      </c>
      <c r="J124" s="777">
        <v>14.26</v>
      </c>
      <c r="K124" s="777">
        <v>14.63</v>
      </c>
      <c r="L124" s="777">
        <v>15.14</v>
      </c>
      <c r="M124" s="777">
        <v>15.55</v>
      </c>
      <c r="N124" s="777">
        <v>15.76</v>
      </c>
      <c r="O124" s="777">
        <v>15.81</v>
      </c>
      <c r="P124" s="777">
        <v>16.05</v>
      </c>
      <c r="Q124" s="777">
        <v>16.190000000000001</v>
      </c>
      <c r="R124" s="777">
        <v>16.399999999999999</v>
      </c>
      <c r="S124" s="777">
        <v>16.600000000000001</v>
      </c>
      <c r="T124" s="777">
        <v>16.8</v>
      </c>
      <c r="U124" s="777">
        <v>16.850000000000001</v>
      </c>
      <c r="V124" s="777">
        <v>17.13</v>
      </c>
      <c r="W124" s="777">
        <v>17.37</v>
      </c>
      <c r="X124" s="777">
        <v>17.66</v>
      </c>
      <c r="Y124" s="777">
        <v>17.96</v>
      </c>
      <c r="Z124" s="777">
        <v>18.3</v>
      </c>
      <c r="AA124" s="777">
        <v>18.559999999999999</v>
      </c>
      <c r="AB124" s="777">
        <v>18.79</v>
      </c>
      <c r="AC124" s="777">
        <v>19.12</v>
      </c>
      <c r="AD124" s="777">
        <v>19.46</v>
      </c>
      <c r="AE124" s="813">
        <v>0.01</v>
      </c>
      <c r="AF124" s="777"/>
      <c r="AG124" s="777"/>
      <c r="AH124" s="777"/>
      <c r="AI124" s="777"/>
      <c r="AJ124" s="777"/>
      <c r="AK124" s="777"/>
      <c r="AL124" s="777"/>
      <c r="AM124" s="777"/>
      <c r="AN124" s="777"/>
      <c r="AO124" s="777"/>
      <c r="AP124" s="777"/>
      <c r="AQ124" s="777"/>
      <c r="AR124" s="777"/>
      <c r="AS124" s="777"/>
      <c r="AT124" s="777"/>
      <c r="AU124" s="777"/>
      <c r="AV124" s="777"/>
      <c r="AW124" s="777"/>
      <c r="AX124" s="777"/>
      <c r="AY124" s="777"/>
      <c r="AZ124" s="777"/>
      <c r="BA124" s="777"/>
      <c r="BB124" s="777"/>
      <c r="BC124" s="777"/>
      <c r="BD124" s="777"/>
      <c r="BE124" s="777"/>
      <c r="BF124" s="777"/>
      <c r="BG124" s="777"/>
      <c r="BH124" s="777"/>
      <c r="BI124" s="777"/>
      <c r="BJ124" s="777"/>
      <c r="BK124" s="777"/>
      <c r="BL124" s="777"/>
      <c r="BM124" s="777"/>
      <c r="BN124" s="777"/>
      <c r="BO124" s="777"/>
      <c r="BP124" s="777"/>
      <c r="BQ124" s="777"/>
      <c r="BR124" s="777"/>
      <c r="BS124" s="777"/>
      <c r="BT124" s="777"/>
    </row>
    <row r="125" spans="1:72" x14ac:dyDescent="0.25">
      <c r="A125" s="777" t="s">
        <v>500</v>
      </c>
      <c r="B125" s="777">
        <v>9.19</v>
      </c>
      <c r="C125" s="777">
        <v>10.53</v>
      </c>
      <c r="D125" s="777">
        <v>6.57</v>
      </c>
      <c r="E125" s="777">
        <v>6.87</v>
      </c>
      <c r="F125" s="777">
        <v>7.87</v>
      </c>
      <c r="G125" s="777">
        <v>8.1999999999999993</v>
      </c>
      <c r="H125" s="777">
        <v>8.0500000000000007</v>
      </c>
      <c r="I125" s="777">
        <v>8.02</v>
      </c>
      <c r="J125" s="777">
        <v>8.14</v>
      </c>
      <c r="K125" s="777">
        <v>8.2200000000000006</v>
      </c>
      <c r="L125" s="777">
        <v>8.2200000000000006</v>
      </c>
      <c r="M125" s="777">
        <v>8.27</v>
      </c>
      <c r="N125" s="777">
        <v>8.33</v>
      </c>
      <c r="O125" s="777">
        <v>8.44</v>
      </c>
      <c r="P125" s="777">
        <v>8.5500000000000007</v>
      </c>
      <c r="Q125" s="777">
        <v>8.73</v>
      </c>
      <c r="R125" s="777">
        <v>8.77</v>
      </c>
      <c r="S125" s="777">
        <v>8.68</v>
      </c>
      <c r="T125" s="777">
        <v>8.75</v>
      </c>
      <c r="U125" s="777">
        <v>8.89</v>
      </c>
      <c r="V125" s="777">
        <v>9.0399999999999991</v>
      </c>
      <c r="W125" s="777">
        <v>9.26</v>
      </c>
      <c r="X125" s="777">
        <v>9.49</v>
      </c>
      <c r="Y125" s="777">
        <v>9.74</v>
      </c>
      <c r="Z125" s="777">
        <v>10.050000000000001</v>
      </c>
      <c r="AA125" s="777">
        <v>10.17</v>
      </c>
      <c r="AB125" s="777">
        <v>10.210000000000001</v>
      </c>
      <c r="AC125" s="777">
        <v>10.4</v>
      </c>
      <c r="AD125" s="777">
        <v>10.54</v>
      </c>
      <c r="AE125" s="813">
        <v>0</v>
      </c>
      <c r="AF125" s="777"/>
      <c r="AG125" s="777"/>
      <c r="AH125" s="777"/>
      <c r="AI125" s="777"/>
      <c r="AJ125" s="777"/>
      <c r="AK125" s="777"/>
      <c r="AL125" s="777"/>
      <c r="AM125" s="777"/>
      <c r="AN125" s="777"/>
      <c r="AO125" s="777"/>
      <c r="AP125" s="777"/>
      <c r="AQ125" s="777"/>
      <c r="AR125" s="777"/>
      <c r="AS125" s="777"/>
      <c r="AT125" s="777"/>
      <c r="AU125" s="777"/>
      <c r="AV125" s="777"/>
      <c r="AW125" s="777"/>
      <c r="AX125" s="777"/>
      <c r="AY125" s="777"/>
      <c r="AZ125" s="777"/>
      <c r="BA125" s="777"/>
      <c r="BB125" s="777"/>
      <c r="BC125" s="777"/>
      <c r="BD125" s="777"/>
      <c r="BE125" s="777"/>
      <c r="BF125" s="777"/>
      <c r="BG125" s="777"/>
      <c r="BH125" s="777"/>
      <c r="BI125" s="777"/>
      <c r="BJ125" s="777"/>
      <c r="BK125" s="777"/>
      <c r="BL125" s="777"/>
      <c r="BM125" s="777"/>
      <c r="BN125" s="777"/>
      <c r="BO125" s="777"/>
      <c r="BP125" s="777"/>
      <c r="BQ125" s="777"/>
      <c r="BR125" s="777"/>
      <c r="BS125" s="777"/>
      <c r="BT125" s="777"/>
    </row>
    <row r="126" spans="1:72" x14ac:dyDescent="0.25">
      <c r="A126" s="777" t="s">
        <v>603</v>
      </c>
      <c r="B126" s="777">
        <v>3.69</v>
      </c>
      <c r="C126" s="777">
        <v>4.49</v>
      </c>
      <c r="D126" s="777">
        <v>4.72</v>
      </c>
      <c r="E126" s="777">
        <v>4.8</v>
      </c>
      <c r="F126" s="777">
        <v>4.8600000000000003</v>
      </c>
      <c r="G126" s="777">
        <v>5.0199999999999996</v>
      </c>
      <c r="H126" s="777">
        <v>5.05</v>
      </c>
      <c r="I126" s="777">
        <v>5.08</v>
      </c>
      <c r="J126" s="777">
        <v>5.08</v>
      </c>
      <c r="K126" s="777">
        <v>5.09</v>
      </c>
      <c r="L126" s="777">
        <v>5.16</v>
      </c>
      <c r="M126" s="777">
        <v>5.22</v>
      </c>
      <c r="N126" s="777">
        <v>5.29</v>
      </c>
      <c r="O126" s="777">
        <v>5.32</v>
      </c>
      <c r="P126" s="777">
        <v>5.35</v>
      </c>
      <c r="Q126" s="777">
        <v>5.36</v>
      </c>
      <c r="R126" s="777">
        <v>5.35</v>
      </c>
      <c r="S126" s="777">
        <v>5.32</v>
      </c>
      <c r="T126" s="777">
        <v>5.24</v>
      </c>
      <c r="U126" s="777">
        <v>5.16</v>
      </c>
      <c r="V126" s="777">
        <v>5.14</v>
      </c>
      <c r="W126" s="777">
        <v>5.14</v>
      </c>
      <c r="X126" s="777">
        <v>5.1100000000000003</v>
      </c>
      <c r="Y126" s="777">
        <v>5.1100000000000003</v>
      </c>
      <c r="Z126" s="777">
        <v>5.09</v>
      </c>
      <c r="AA126" s="777">
        <v>5.08</v>
      </c>
      <c r="AB126" s="777">
        <v>5.08</v>
      </c>
      <c r="AC126" s="777">
        <v>5.0599999999999996</v>
      </c>
      <c r="AD126" s="777">
        <v>5.0599999999999996</v>
      </c>
      <c r="AE126" s="813">
        <v>4.0000000000000001E-3</v>
      </c>
      <c r="AF126" s="777"/>
      <c r="AG126" s="777"/>
      <c r="AH126" s="777"/>
      <c r="AI126" s="777"/>
      <c r="AJ126" s="777"/>
      <c r="AK126" s="777"/>
      <c r="AL126" s="777"/>
      <c r="AM126" s="777"/>
      <c r="AN126" s="777"/>
      <c r="AO126" s="777"/>
      <c r="AP126" s="777"/>
      <c r="AQ126" s="777"/>
      <c r="AR126" s="777"/>
      <c r="AS126" s="777"/>
      <c r="AT126" s="777"/>
      <c r="AU126" s="777"/>
      <c r="AV126" s="777"/>
      <c r="AW126" s="777"/>
      <c r="AX126" s="777"/>
      <c r="AY126" s="777"/>
      <c r="AZ126" s="777"/>
      <c r="BA126" s="777"/>
      <c r="BB126" s="777"/>
      <c r="BC126" s="777"/>
      <c r="BD126" s="777"/>
      <c r="BE126" s="777"/>
      <c r="BF126" s="777"/>
      <c r="BG126" s="777"/>
      <c r="BH126" s="777"/>
      <c r="BI126" s="777"/>
      <c r="BJ126" s="777"/>
      <c r="BK126" s="777"/>
      <c r="BL126" s="777"/>
      <c r="BM126" s="777"/>
      <c r="BN126" s="777"/>
      <c r="BO126" s="777"/>
      <c r="BP126" s="777"/>
      <c r="BQ126" s="777"/>
      <c r="BR126" s="777"/>
      <c r="BS126" s="777"/>
      <c r="BT126" s="777"/>
    </row>
    <row r="127" spans="1:72" x14ac:dyDescent="0.25">
      <c r="A127" s="777" t="s">
        <v>616</v>
      </c>
      <c r="B127" s="777">
        <v>1.84</v>
      </c>
      <c r="C127" s="777">
        <v>2.1</v>
      </c>
      <c r="D127" s="777">
        <v>2.19</v>
      </c>
      <c r="E127" s="777">
        <v>2.0299999999999998</v>
      </c>
      <c r="F127" s="777">
        <v>2.02</v>
      </c>
      <c r="G127" s="777">
        <v>2.0299999999999998</v>
      </c>
      <c r="H127" s="777">
        <v>2.0299999999999998</v>
      </c>
      <c r="I127" s="777">
        <v>2.0299999999999998</v>
      </c>
      <c r="J127" s="777">
        <v>2.0499999999999998</v>
      </c>
      <c r="K127" s="777">
        <v>2.0299999999999998</v>
      </c>
      <c r="L127" s="777">
        <v>2.04</v>
      </c>
      <c r="M127" s="777">
        <v>2.0299999999999998</v>
      </c>
      <c r="N127" s="777">
        <v>2.02</v>
      </c>
      <c r="O127" s="777">
        <v>2.02</v>
      </c>
      <c r="P127" s="777">
        <v>2.02</v>
      </c>
      <c r="Q127" s="777">
        <v>2.0299999999999998</v>
      </c>
      <c r="R127" s="777">
        <v>2.02</v>
      </c>
      <c r="S127" s="777">
        <v>2.02</v>
      </c>
      <c r="T127" s="777">
        <v>2.02</v>
      </c>
      <c r="U127" s="777">
        <v>2.0299999999999998</v>
      </c>
      <c r="V127" s="777">
        <v>2.0299999999999998</v>
      </c>
      <c r="W127" s="777">
        <v>2.04</v>
      </c>
      <c r="X127" s="777">
        <v>2.0499999999999998</v>
      </c>
      <c r="Y127" s="777">
        <v>2.06</v>
      </c>
      <c r="Z127" s="777">
        <v>2.0699999999999998</v>
      </c>
      <c r="AA127" s="777">
        <v>2.08</v>
      </c>
      <c r="AB127" s="777">
        <v>2.09</v>
      </c>
      <c r="AC127" s="777">
        <v>2.1</v>
      </c>
      <c r="AD127" s="777">
        <v>2.12</v>
      </c>
      <c r="AE127" s="813">
        <v>0</v>
      </c>
      <c r="AF127" s="777"/>
      <c r="AG127" s="777"/>
      <c r="AH127" s="777"/>
      <c r="AI127" s="777"/>
      <c r="AJ127" s="777"/>
      <c r="AK127" s="777"/>
      <c r="AL127" s="777"/>
      <c r="AM127" s="777"/>
      <c r="AN127" s="777"/>
      <c r="AO127" s="777"/>
      <c r="AP127" s="777"/>
      <c r="AQ127" s="777"/>
      <c r="AR127" s="777"/>
      <c r="AS127" s="777"/>
      <c r="AT127" s="777"/>
      <c r="AU127" s="777"/>
      <c r="AV127" s="777"/>
      <c r="AW127" s="777"/>
      <c r="AX127" s="777"/>
      <c r="AY127" s="777"/>
      <c r="AZ127" s="777"/>
      <c r="BA127" s="777"/>
      <c r="BB127" s="777"/>
      <c r="BC127" s="777"/>
      <c r="BD127" s="777"/>
      <c r="BE127" s="777"/>
      <c r="BF127" s="777"/>
      <c r="BG127" s="777"/>
      <c r="BH127" s="777"/>
      <c r="BI127" s="777"/>
      <c r="BJ127" s="777"/>
      <c r="BK127" s="777"/>
      <c r="BL127" s="777"/>
      <c r="BM127" s="777"/>
      <c r="BN127" s="777"/>
      <c r="BO127" s="777"/>
      <c r="BP127" s="777"/>
      <c r="BQ127" s="777"/>
      <c r="BR127" s="777"/>
      <c r="BS127" s="777"/>
      <c r="BT127" s="777"/>
    </row>
    <row r="128" spans="1:72" x14ac:dyDescent="0.25">
      <c r="A128" s="777" t="s">
        <v>605</v>
      </c>
      <c r="B128" s="777" t="s">
        <v>777</v>
      </c>
      <c r="C128" s="777" t="s">
        <v>777</v>
      </c>
      <c r="D128" s="777" t="s">
        <v>777</v>
      </c>
      <c r="E128" s="777" t="s">
        <v>777</v>
      </c>
      <c r="F128" s="777">
        <v>1.26</v>
      </c>
      <c r="G128" s="777">
        <v>1.04</v>
      </c>
      <c r="H128" s="777">
        <v>1.04</v>
      </c>
      <c r="I128" s="777">
        <v>1.41</v>
      </c>
      <c r="J128" s="777">
        <v>1.42</v>
      </c>
      <c r="K128" s="777">
        <v>1.46</v>
      </c>
      <c r="L128" s="777">
        <v>1.48</v>
      </c>
      <c r="M128" s="777">
        <v>1.48</v>
      </c>
      <c r="N128" s="777">
        <v>1.47</v>
      </c>
      <c r="O128" s="777">
        <v>1.46</v>
      </c>
      <c r="P128" s="777">
        <v>1.49</v>
      </c>
      <c r="Q128" s="777">
        <v>1.5</v>
      </c>
      <c r="R128" s="777">
        <v>1.52</v>
      </c>
      <c r="S128" s="777">
        <v>1.49</v>
      </c>
      <c r="T128" s="777">
        <v>1.49</v>
      </c>
      <c r="U128" s="777">
        <v>1.47</v>
      </c>
      <c r="V128" s="777">
        <v>1.46</v>
      </c>
      <c r="W128" s="777">
        <v>1.45</v>
      </c>
      <c r="X128" s="777">
        <v>1.44</v>
      </c>
      <c r="Y128" s="777">
        <v>1.44</v>
      </c>
      <c r="Z128" s="777">
        <v>1.44</v>
      </c>
      <c r="AA128" s="777">
        <v>1.44</v>
      </c>
      <c r="AB128" s="777">
        <v>1.46</v>
      </c>
      <c r="AC128" s="777">
        <v>1.48</v>
      </c>
      <c r="AD128" s="777">
        <v>1.51</v>
      </c>
      <c r="AE128" s="777" t="s">
        <v>777</v>
      </c>
      <c r="AF128" s="777"/>
      <c r="AG128" s="777"/>
      <c r="AH128" s="777"/>
      <c r="AI128" s="777"/>
      <c r="AJ128" s="777"/>
      <c r="AK128" s="777"/>
      <c r="AL128" s="777"/>
      <c r="AM128" s="777"/>
      <c r="AN128" s="777"/>
      <c r="AO128" s="777"/>
      <c r="AP128" s="777"/>
      <c r="AQ128" s="777"/>
      <c r="AR128" s="777"/>
      <c r="AS128" s="777"/>
      <c r="AT128" s="777"/>
      <c r="AU128" s="777"/>
      <c r="AV128" s="777"/>
      <c r="AW128" s="777"/>
      <c r="AX128" s="777"/>
      <c r="AY128" s="777"/>
      <c r="AZ128" s="777"/>
      <c r="BA128" s="777"/>
      <c r="BB128" s="777"/>
      <c r="BC128" s="777"/>
      <c r="BD128" s="777"/>
      <c r="BE128" s="777"/>
      <c r="BF128" s="777"/>
      <c r="BG128" s="777"/>
      <c r="BH128" s="777"/>
      <c r="BI128" s="777"/>
      <c r="BJ128" s="777"/>
      <c r="BK128" s="777"/>
      <c r="BL128" s="777"/>
      <c r="BM128" s="777"/>
      <c r="BN128" s="777"/>
      <c r="BO128" s="777"/>
      <c r="BP128" s="777"/>
      <c r="BQ128" s="777"/>
      <c r="BR128" s="777"/>
      <c r="BS128" s="777"/>
      <c r="BT128" s="777"/>
    </row>
    <row r="129" spans="1:72" x14ac:dyDescent="0.25">
      <c r="A129" s="777" t="s">
        <v>469</v>
      </c>
      <c r="B129" s="777">
        <v>27.25</v>
      </c>
      <c r="C129" s="777">
        <v>28.81</v>
      </c>
      <c r="D129" s="777">
        <v>28.07</v>
      </c>
      <c r="E129" s="777">
        <v>26.77</v>
      </c>
      <c r="F129" s="777">
        <v>25.2</v>
      </c>
      <c r="G129" s="777">
        <v>26.1</v>
      </c>
      <c r="H129" s="777">
        <v>26.17</v>
      </c>
      <c r="I129" s="777">
        <v>25.97</v>
      </c>
      <c r="J129" s="777">
        <v>25.95</v>
      </c>
      <c r="K129" s="777">
        <v>26.2</v>
      </c>
      <c r="L129" s="777">
        <v>26.36</v>
      </c>
      <c r="M129" s="777">
        <v>26.37</v>
      </c>
      <c r="N129" s="777">
        <v>26.31</v>
      </c>
      <c r="O129" s="777">
        <v>26.51</v>
      </c>
      <c r="P129" s="777">
        <v>26.7</v>
      </c>
      <c r="Q129" s="777">
        <v>26.84</v>
      </c>
      <c r="R129" s="777">
        <v>27.04</v>
      </c>
      <c r="S129" s="777">
        <v>27.19</v>
      </c>
      <c r="T129" s="777">
        <v>27.17</v>
      </c>
      <c r="U129" s="777">
        <v>27.33</v>
      </c>
      <c r="V129" s="777">
        <v>27.53</v>
      </c>
      <c r="W129" s="777">
        <v>27.74</v>
      </c>
      <c r="X129" s="777">
        <v>28.16</v>
      </c>
      <c r="Y129" s="777">
        <v>28.49</v>
      </c>
      <c r="Z129" s="777">
        <v>28.86</v>
      </c>
      <c r="AA129" s="777">
        <v>29.21</v>
      </c>
      <c r="AB129" s="777">
        <v>29.38</v>
      </c>
      <c r="AC129" s="777">
        <v>29.64</v>
      </c>
      <c r="AD129" s="777">
        <v>29.87</v>
      </c>
      <c r="AE129" s="813">
        <v>1E-3</v>
      </c>
      <c r="AF129" s="777"/>
      <c r="AG129" s="777"/>
      <c r="AH129" s="777"/>
      <c r="AI129" s="777"/>
      <c r="AJ129" s="777"/>
      <c r="AK129" s="777"/>
      <c r="AL129" s="777"/>
      <c r="AM129" s="777"/>
      <c r="AN129" s="777"/>
      <c r="AO129" s="777"/>
      <c r="AP129" s="777"/>
      <c r="AQ129" s="777"/>
      <c r="AR129" s="777"/>
      <c r="AS129" s="777"/>
      <c r="AT129" s="777"/>
      <c r="AU129" s="777"/>
      <c r="AV129" s="777"/>
      <c r="AW129" s="777"/>
      <c r="AX129" s="777"/>
      <c r="AY129" s="777"/>
      <c r="AZ129" s="777"/>
      <c r="BA129" s="777"/>
      <c r="BB129" s="777"/>
      <c r="BC129" s="777"/>
      <c r="BD129" s="777"/>
      <c r="BE129" s="777"/>
      <c r="BF129" s="777"/>
      <c r="BG129" s="777"/>
      <c r="BH129" s="777"/>
      <c r="BI129" s="777"/>
      <c r="BJ129" s="777"/>
      <c r="BK129" s="777"/>
      <c r="BL129" s="777"/>
      <c r="BM129" s="777"/>
      <c r="BN129" s="777"/>
      <c r="BO129" s="777"/>
      <c r="BP129" s="777"/>
      <c r="BQ129" s="777"/>
      <c r="BR129" s="777"/>
      <c r="BS129" s="777"/>
      <c r="BT129" s="777"/>
    </row>
    <row r="130" spans="1:72" x14ac:dyDescent="0.25">
      <c r="A130" s="777"/>
      <c r="B130" s="777"/>
      <c r="C130" s="777"/>
      <c r="D130" s="777"/>
      <c r="E130" s="777"/>
      <c r="F130" s="777"/>
      <c r="G130" s="777"/>
      <c r="H130" s="777"/>
      <c r="I130" s="777"/>
      <c r="J130" s="777"/>
      <c r="K130" s="777"/>
      <c r="L130" s="777"/>
      <c r="M130" s="777"/>
      <c r="N130" s="777"/>
      <c r="O130" s="777"/>
      <c r="P130" s="777"/>
      <c r="Q130" s="777"/>
      <c r="R130" s="777"/>
      <c r="S130" s="777"/>
      <c r="T130" s="777"/>
      <c r="U130" s="777"/>
      <c r="V130" s="777"/>
      <c r="W130" s="777"/>
      <c r="X130" s="777"/>
      <c r="Y130" s="777"/>
      <c r="Z130" s="777"/>
      <c r="AA130" s="777"/>
      <c r="AB130" s="777"/>
      <c r="AC130" s="777"/>
      <c r="AD130" s="777"/>
      <c r="AE130" s="777"/>
      <c r="AF130" s="777"/>
      <c r="AG130" s="777"/>
      <c r="AH130" s="777"/>
      <c r="AI130" s="777"/>
      <c r="AJ130" s="777"/>
      <c r="AK130" s="777"/>
      <c r="AL130" s="777"/>
      <c r="AM130" s="777"/>
      <c r="AN130" s="777"/>
      <c r="AO130" s="777"/>
      <c r="AP130" s="777"/>
      <c r="AQ130" s="777"/>
      <c r="AR130" s="777"/>
      <c r="AS130" s="777"/>
      <c r="AT130" s="777"/>
      <c r="AU130" s="777"/>
      <c r="AV130" s="777"/>
      <c r="AW130" s="777"/>
      <c r="AX130" s="777"/>
      <c r="AY130" s="777"/>
      <c r="AZ130" s="777"/>
      <c r="BA130" s="777"/>
      <c r="BB130" s="777"/>
      <c r="BC130" s="777"/>
      <c r="BD130" s="777"/>
      <c r="BE130" s="777"/>
      <c r="BF130" s="777"/>
      <c r="BG130" s="777"/>
      <c r="BH130" s="777"/>
      <c r="BI130" s="777"/>
      <c r="BJ130" s="777"/>
      <c r="BK130" s="777"/>
      <c r="BL130" s="777"/>
      <c r="BM130" s="777"/>
      <c r="BN130" s="777"/>
      <c r="BO130" s="777"/>
      <c r="BP130" s="777"/>
      <c r="BQ130" s="777"/>
      <c r="BR130" s="777"/>
      <c r="BS130" s="777"/>
      <c r="BT130" s="777"/>
    </row>
    <row r="131" spans="1:72" x14ac:dyDescent="0.25">
      <c r="A131" s="777" t="s">
        <v>503</v>
      </c>
      <c r="B131" s="777"/>
      <c r="C131" s="777"/>
      <c r="D131" s="777"/>
      <c r="E131" s="777"/>
      <c r="F131" s="777"/>
      <c r="G131" s="777"/>
      <c r="H131" s="777"/>
      <c r="I131" s="777"/>
      <c r="J131" s="777"/>
      <c r="K131" s="777"/>
      <c r="L131" s="777"/>
      <c r="M131" s="777"/>
      <c r="N131" s="777"/>
      <c r="O131" s="777"/>
      <c r="P131" s="777"/>
      <c r="Q131" s="777"/>
      <c r="R131" s="777"/>
      <c r="S131" s="777"/>
      <c r="T131" s="777"/>
      <c r="U131" s="777"/>
      <c r="V131" s="777"/>
      <c r="W131" s="777"/>
      <c r="X131" s="777"/>
      <c r="Y131" s="777"/>
      <c r="Z131" s="777"/>
      <c r="AA131" s="777"/>
      <c r="AB131" s="777"/>
      <c r="AC131" s="777"/>
      <c r="AD131" s="777"/>
      <c r="AE131" s="777"/>
      <c r="AF131" s="777"/>
      <c r="AG131" s="777"/>
      <c r="AH131" s="777"/>
      <c r="AI131" s="777"/>
      <c r="AJ131" s="777"/>
      <c r="AK131" s="777"/>
      <c r="AL131" s="777"/>
      <c r="AM131" s="777"/>
      <c r="AN131" s="777"/>
      <c r="AO131" s="777"/>
      <c r="AP131" s="777"/>
      <c r="AQ131" s="777"/>
      <c r="AR131" s="777"/>
      <c r="AS131" s="777"/>
      <c r="AT131" s="777"/>
      <c r="AU131" s="777"/>
      <c r="AV131" s="777"/>
      <c r="AW131" s="777"/>
      <c r="AX131" s="777"/>
      <c r="AY131" s="777"/>
      <c r="AZ131" s="777"/>
      <c r="BA131" s="777"/>
      <c r="BB131" s="777"/>
      <c r="BC131" s="777"/>
      <c r="BD131" s="777"/>
      <c r="BE131" s="777"/>
      <c r="BF131" s="777"/>
      <c r="BG131" s="777"/>
      <c r="BH131" s="777"/>
      <c r="BI131" s="777"/>
      <c r="BJ131" s="777"/>
      <c r="BK131" s="777"/>
      <c r="BL131" s="777"/>
      <c r="BM131" s="777"/>
      <c r="BN131" s="777"/>
      <c r="BO131" s="777"/>
      <c r="BP131" s="777"/>
      <c r="BQ131" s="777"/>
      <c r="BR131" s="777"/>
      <c r="BS131" s="777"/>
      <c r="BT131" s="777"/>
    </row>
    <row r="132" spans="1:72" x14ac:dyDescent="0.25">
      <c r="A132" s="777" t="s">
        <v>778</v>
      </c>
      <c r="B132" s="777"/>
      <c r="C132" s="777"/>
      <c r="D132" s="777"/>
      <c r="E132" s="777"/>
      <c r="F132" s="777"/>
      <c r="G132" s="777"/>
      <c r="H132" s="777"/>
      <c r="I132" s="777"/>
      <c r="J132" s="777"/>
      <c r="K132" s="777"/>
      <c r="L132" s="777"/>
      <c r="M132" s="777"/>
      <c r="N132" s="777"/>
      <c r="O132" s="777"/>
      <c r="P132" s="777"/>
      <c r="Q132" s="777"/>
      <c r="R132" s="777"/>
      <c r="S132" s="777"/>
      <c r="T132" s="777"/>
      <c r="U132" s="777"/>
      <c r="V132" s="777"/>
      <c r="W132" s="777"/>
      <c r="X132" s="777"/>
      <c r="Y132" s="777"/>
      <c r="Z132" s="777"/>
      <c r="AA132" s="777"/>
      <c r="AB132" s="777"/>
      <c r="AC132" s="777"/>
      <c r="AD132" s="777"/>
      <c r="AE132" s="777"/>
      <c r="AF132" s="777"/>
      <c r="AG132" s="777"/>
      <c r="AH132" s="777"/>
      <c r="AI132" s="777"/>
      <c r="AJ132" s="777"/>
      <c r="AK132" s="777"/>
      <c r="AL132" s="777"/>
      <c r="AM132" s="777"/>
      <c r="AN132" s="777"/>
      <c r="AO132" s="777"/>
      <c r="AP132" s="777"/>
      <c r="AQ132" s="777"/>
      <c r="AR132" s="777"/>
      <c r="AS132" s="777"/>
      <c r="AT132" s="777"/>
      <c r="AU132" s="777"/>
      <c r="AV132" s="777"/>
      <c r="AW132" s="777"/>
      <c r="AX132" s="777"/>
      <c r="AY132" s="777"/>
      <c r="AZ132" s="777"/>
      <c r="BA132" s="777"/>
      <c r="BB132" s="777"/>
      <c r="BC132" s="777"/>
      <c r="BD132" s="777"/>
      <c r="BE132" s="777"/>
      <c r="BF132" s="777"/>
      <c r="BG132" s="777"/>
      <c r="BH132" s="777"/>
      <c r="BI132" s="777"/>
      <c r="BJ132" s="777"/>
      <c r="BK132" s="777"/>
      <c r="BL132" s="777"/>
      <c r="BM132" s="777"/>
      <c r="BN132" s="777"/>
      <c r="BO132" s="777"/>
      <c r="BP132" s="777"/>
      <c r="BQ132" s="777"/>
      <c r="BR132" s="777"/>
      <c r="BS132" s="777"/>
      <c r="BT132" s="777"/>
    </row>
    <row r="133" spans="1:72" x14ac:dyDescent="0.25">
      <c r="A133" s="777" t="s">
        <v>463</v>
      </c>
      <c r="B133" s="777">
        <v>241.67</v>
      </c>
      <c r="C133" s="777">
        <v>254.66</v>
      </c>
      <c r="D133" s="777">
        <v>231.65</v>
      </c>
      <c r="E133" s="777">
        <v>223.76</v>
      </c>
      <c r="F133" s="777">
        <v>222.61</v>
      </c>
      <c r="G133" s="777">
        <v>230.62</v>
      </c>
      <c r="H133" s="777">
        <v>228.9</v>
      </c>
      <c r="I133" s="777">
        <v>229.4</v>
      </c>
      <c r="J133" s="777">
        <v>230.89</v>
      </c>
      <c r="K133" s="777">
        <v>234.53</v>
      </c>
      <c r="L133" s="777">
        <v>236.76</v>
      </c>
      <c r="M133" s="777">
        <v>239.14</v>
      </c>
      <c r="N133" s="777">
        <v>241.36</v>
      </c>
      <c r="O133" s="777">
        <v>245.14</v>
      </c>
      <c r="P133" s="777">
        <v>247.96</v>
      </c>
      <c r="Q133" s="777">
        <v>251.14</v>
      </c>
      <c r="R133" s="777">
        <v>253.92</v>
      </c>
      <c r="S133" s="777">
        <v>256.67</v>
      </c>
      <c r="T133" s="777">
        <v>258.7</v>
      </c>
      <c r="U133" s="777">
        <v>262.54000000000002</v>
      </c>
      <c r="V133" s="777">
        <v>266.58999999999997</v>
      </c>
      <c r="W133" s="777">
        <v>271.26</v>
      </c>
      <c r="X133" s="777">
        <v>275.8</v>
      </c>
      <c r="Y133" s="777">
        <v>280.39999999999998</v>
      </c>
      <c r="Z133" s="777">
        <v>285.83</v>
      </c>
      <c r="AA133" s="777">
        <v>290.58999999999997</v>
      </c>
      <c r="AB133" s="777">
        <v>292.89999999999998</v>
      </c>
      <c r="AC133" s="777">
        <v>297.16000000000003</v>
      </c>
      <c r="AD133" s="777">
        <v>301.11</v>
      </c>
      <c r="AE133" s="813">
        <v>6.0000000000000001E-3</v>
      </c>
      <c r="AF133" s="777"/>
      <c r="AG133" s="777"/>
      <c r="AH133" s="777"/>
      <c r="AI133" s="777"/>
      <c r="AJ133" s="777"/>
      <c r="AK133" s="777"/>
      <c r="AL133" s="777"/>
      <c r="AM133" s="777"/>
      <c r="AN133" s="777"/>
      <c r="AO133" s="777"/>
      <c r="AP133" s="777"/>
      <c r="AQ133" s="777"/>
      <c r="AR133" s="777"/>
      <c r="AS133" s="777"/>
      <c r="AT133" s="777"/>
      <c r="AU133" s="777"/>
      <c r="AV133" s="777"/>
      <c r="AW133" s="777"/>
      <c r="AX133" s="777"/>
      <c r="AY133" s="777"/>
      <c r="AZ133" s="777"/>
      <c r="BA133" s="777"/>
      <c r="BB133" s="777"/>
      <c r="BC133" s="777"/>
      <c r="BD133" s="777"/>
      <c r="BE133" s="777"/>
      <c r="BF133" s="777"/>
      <c r="BG133" s="777"/>
      <c r="BH133" s="777"/>
      <c r="BI133" s="777"/>
      <c r="BJ133" s="777"/>
      <c r="BK133" s="777"/>
      <c r="BL133" s="777"/>
      <c r="BM133" s="777"/>
      <c r="BN133" s="777"/>
      <c r="BO133" s="777"/>
      <c r="BP133" s="777"/>
      <c r="BQ133" s="777"/>
      <c r="BR133" s="777"/>
      <c r="BS133" s="777"/>
      <c r="BT133" s="777"/>
    </row>
    <row r="134" spans="1:72" x14ac:dyDescent="0.25">
      <c r="A134" s="777" t="s">
        <v>470</v>
      </c>
      <c r="B134" s="777">
        <v>176.61</v>
      </c>
      <c r="C134" s="777">
        <v>191.19</v>
      </c>
      <c r="D134" s="777">
        <v>168.7</v>
      </c>
      <c r="E134" s="777">
        <v>163.43</v>
      </c>
      <c r="F134" s="777">
        <v>163.69</v>
      </c>
      <c r="G134" s="777">
        <v>172.64</v>
      </c>
      <c r="H134" s="777">
        <v>173.85</v>
      </c>
      <c r="I134" s="777">
        <v>174.18</v>
      </c>
      <c r="J134" s="777">
        <v>176.9</v>
      </c>
      <c r="K134" s="777">
        <v>180.82</v>
      </c>
      <c r="L134" s="777">
        <v>184.11</v>
      </c>
      <c r="M134" s="777">
        <v>186.86</v>
      </c>
      <c r="N134" s="777">
        <v>189.36</v>
      </c>
      <c r="O134" s="777">
        <v>193.15</v>
      </c>
      <c r="P134" s="777">
        <v>196.83</v>
      </c>
      <c r="Q134" s="777">
        <v>200.4</v>
      </c>
      <c r="R134" s="777">
        <v>204.1</v>
      </c>
      <c r="S134" s="777">
        <v>207.27</v>
      </c>
      <c r="T134" s="777">
        <v>210.07</v>
      </c>
      <c r="U134" s="777">
        <v>214.23</v>
      </c>
      <c r="V134" s="777">
        <v>218.63</v>
      </c>
      <c r="W134" s="777">
        <v>223.34</v>
      </c>
      <c r="X134" s="777">
        <v>229.36</v>
      </c>
      <c r="Y134" s="777">
        <v>234.79</v>
      </c>
      <c r="Z134" s="777">
        <v>240.94</v>
      </c>
      <c r="AA134" s="777">
        <v>246.37</v>
      </c>
      <c r="AB134" s="777">
        <v>250.61</v>
      </c>
      <c r="AC134" s="777">
        <v>256.01</v>
      </c>
      <c r="AD134" s="777">
        <v>261.07</v>
      </c>
      <c r="AE134" s="813">
        <v>1.2E-2</v>
      </c>
      <c r="AF134" s="777"/>
      <c r="AG134" s="777"/>
      <c r="AH134" s="777"/>
      <c r="AI134" s="777"/>
      <c r="AJ134" s="777"/>
      <c r="AK134" s="777"/>
      <c r="AL134" s="777"/>
      <c r="AM134" s="777"/>
      <c r="AN134" s="777"/>
      <c r="AO134" s="777"/>
      <c r="AP134" s="777"/>
      <c r="AQ134" s="777"/>
      <c r="AR134" s="777"/>
      <c r="AS134" s="777"/>
      <c r="AT134" s="777"/>
      <c r="AU134" s="777"/>
      <c r="AV134" s="777"/>
      <c r="AW134" s="777"/>
      <c r="AX134" s="777"/>
      <c r="AY134" s="777"/>
      <c r="AZ134" s="777"/>
      <c r="BA134" s="777"/>
      <c r="BB134" s="777"/>
      <c r="BC134" s="777"/>
      <c r="BD134" s="777"/>
      <c r="BE134" s="777"/>
      <c r="BF134" s="777"/>
      <c r="BG134" s="777"/>
      <c r="BH134" s="777"/>
      <c r="BI134" s="777"/>
      <c r="BJ134" s="777"/>
      <c r="BK134" s="777"/>
      <c r="BL134" s="777"/>
      <c r="BM134" s="777"/>
      <c r="BN134" s="777"/>
      <c r="BO134" s="777"/>
      <c r="BP134" s="777"/>
      <c r="BQ134" s="777"/>
      <c r="BR134" s="777"/>
      <c r="BS134" s="777"/>
      <c r="BT134" s="777"/>
    </row>
    <row r="135" spans="1:72" x14ac:dyDescent="0.25">
      <c r="A135" s="777" t="s">
        <v>505</v>
      </c>
      <c r="B135" s="777">
        <v>219.69</v>
      </c>
      <c r="C135" s="777">
        <v>244.81</v>
      </c>
      <c r="D135" s="777">
        <v>175.42</v>
      </c>
      <c r="E135" s="777">
        <v>163.24</v>
      </c>
      <c r="F135" s="777">
        <v>173.51</v>
      </c>
      <c r="G135" s="777">
        <v>191.66</v>
      </c>
      <c r="H135" s="777">
        <v>201.52</v>
      </c>
      <c r="I135" s="777">
        <v>207.49</v>
      </c>
      <c r="J135" s="777">
        <v>213.14</v>
      </c>
      <c r="K135" s="777">
        <v>218.86</v>
      </c>
      <c r="L135" s="777">
        <v>223.15</v>
      </c>
      <c r="M135" s="777">
        <v>228.05</v>
      </c>
      <c r="N135" s="777">
        <v>231.33</v>
      </c>
      <c r="O135" s="777">
        <v>234.86</v>
      </c>
      <c r="P135" s="777">
        <v>236.42</v>
      </c>
      <c r="Q135" s="777">
        <v>237.67</v>
      </c>
      <c r="R135" s="777">
        <v>239.07</v>
      </c>
      <c r="S135" s="777">
        <v>240.3</v>
      </c>
      <c r="T135" s="777">
        <v>241.75</v>
      </c>
      <c r="U135" s="777">
        <v>242.96</v>
      </c>
      <c r="V135" s="777">
        <v>245.17</v>
      </c>
      <c r="W135" s="777">
        <v>247.67</v>
      </c>
      <c r="X135" s="777">
        <v>250.95</v>
      </c>
      <c r="Y135" s="777">
        <v>253.51</v>
      </c>
      <c r="Z135" s="777">
        <v>257.7</v>
      </c>
      <c r="AA135" s="777">
        <v>259.55</v>
      </c>
      <c r="AB135" s="777">
        <v>261.58</v>
      </c>
      <c r="AC135" s="777">
        <v>265.05</v>
      </c>
      <c r="AD135" s="777">
        <v>267.18</v>
      </c>
      <c r="AE135" s="813">
        <v>3.0000000000000001E-3</v>
      </c>
      <c r="AF135" s="777"/>
      <c r="AG135" s="777"/>
      <c r="AH135" s="777"/>
      <c r="AI135" s="777"/>
      <c r="AJ135" s="777"/>
      <c r="AK135" s="777"/>
      <c r="AL135" s="777"/>
      <c r="AM135" s="777"/>
      <c r="AN135" s="777"/>
      <c r="AO135" s="777"/>
      <c r="AP135" s="777"/>
      <c r="AQ135" s="777"/>
      <c r="AR135" s="777"/>
      <c r="AS135" s="777"/>
      <c r="AT135" s="777"/>
      <c r="AU135" s="777"/>
      <c r="AV135" s="777"/>
      <c r="AW135" s="777"/>
      <c r="AX135" s="777"/>
      <c r="AY135" s="777"/>
      <c r="AZ135" s="777"/>
      <c r="BA135" s="777"/>
      <c r="BB135" s="777"/>
      <c r="BC135" s="777"/>
      <c r="BD135" s="777"/>
      <c r="BE135" s="777"/>
      <c r="BF135" s="777"/>
      <c r="BG135" s="777"/>
      <c r="BH135" s="777"/>
      <c r="BI135" s="777"/>
      <c r="BJ135" s="777"/>
      <c r="BK135" s="777"/>
      <c r="BL135" s="777"/>
      <c r="BM135" s="777"/>
      <c r="BN135" s="777"/>
      <c r="BO135" s="777"/>
      <c r="BP135" s="777"/>
      <c r="BQ135" s="777"/>
      <c r="BR135" s="777"/>
      <c r="BS135" s="777"/>
      <c r="BT135" s="777"/>
    </row>
    <row r="136" spans="1:72" x14ac:dyDescent="0.25">
      <c r="A136" s="777" t="s">
        <v>477</v>
      </c>
      <c r="B136" s="777">
        <v>613.37</v>
      </c>
      <c r="C136" s="777">
        <v>705.86</v>
      </c>
      <c r="D136" s="777">
        <v>465.68</v>
      </c>
      <c r="E136" s="777">
        <v>508.22</v>
      </c>
      <c r="F136" s="777">
        <v>528.5</v>
      </c>
      <c r="G136" s="777">
        <v>567.33000000000004</v>
      </c>
      <c r="H136" s="777">
        <v>615.79</v>
      </c>
      <c r="I136" s="777">
        <v>640.91999999999996</v>
      </c>
      <c r="J136" s="777">
        <v>655.77</v>
      </c>
      <c r="K136" s="777">
        <v>671.91</v>
      </c>
      <c r="L136" s="777">
        <v>690.32</v>
      </c>
      <c r="M136" s="777">
        <v>704.34</v>
      </c>
      <c r="N136" s="777">
        <v>717.08</v>
      </c>
      <c r="O136" s="777">
        <v>729.77</v>
      </c>
      <c r="P136" s="777">
        <v>737.71</v>
      </c>
      <c r="Q136" s="777">
        <v>743.52</v>
      </c>
      <c r="R136" s="777">
        <v>757.24</v>
      </c>
      <c r="S136" s="777">
        <v>767.89</v>
      </c>
      <c r="T136" s="777">
        <v>782.71</v>
      </c>
      <c r="U136" s="777">
        <v>795.25</v>
      </c>
      <c r="V136" s="777">
        <v>808.06</v>
      </c>
      <c r="W136" s="777">
        <v>822.03</v>
      </c>
      <c r="X136" s="777">
        <v>834.45</v>
      </c>
      <c r="Y136" s="777">
        <v>846.64</v>
      </c>
      <c r="Z136" s="777">
        <v>856.24</v>
      </c>
      <c r="AA136" s="777">
        <v>869.12</v>
      </c>
      <c r="AB136" s="777">
        <v>883.55</v>
      </c>
      <c r="AC136" s="777">
        <v>894.05</v>
      </c>
      <c r="AD136" s="777">
        <v>908.01</v>
      </c>
      <c r="AE136" s="813">
        <v>8.9999999999999993E-3</v>
      </c>
      <c r="AF136" s="777"/>
      <c r="AG136" s="777"/>
      <c r="AH136" s="777"/>
      <c r="AI136" s="777"/>
      <c r="AJ136" s="777"/>
      <c r="AK136" s="777"/>
      <c r="AL136" s="777"/>
      <c r="AM136" s="777"/>
      <c r="AN136" s="777"/>
      <c r="AO136" s="777"/>
      <c r="AP136" s="777"/>
      <c r="AQ136" s="777"/>
      <c r="AR136" s="777"/>
      <c r="AS136" s="777"/>
      <c r="AT136" s="777"/>
      <c r="AU136" s="777"/>
      <c r="AV136" s="777"/>
      <c r="AW136" s="777"/>
      <c r="AX136" s="777"/>
      <c r="AY136" s="777"/>
      <c r="AZ136" s="777"/>
      <c r="BA136" s="777"/>
      <c r="BB136" s="777"/>
      <c r="BC136" s="777"/>
      <c r="BD136" s="777"/>
      <c r="BE136" s="777"/>
      <c r="BF136" s="777"/>
      <c r="BG136" s="777"/>
      <c r="BH136" s="777"/>
      <c r="BI136" s="777"/>
      <c r="BJ136" s="777"/>
      <c r="BK136" s="777"/>
      <c r="BL136" s="777"/>
      <c r="BM136" s="777"/>
      <c r="BN136" s="777"/>
      <c r="BO136" s="777"/>
      <c r="BP136" s="777"/>
      <c r="BQ136" s="777"/>
      <c r="BR136" s="777"/>
      <c r="BS136" s="777"/>
      <c r="BT136" s="777"/>
    </row>
    <row r="137" spans="1:72" x14ac:dyDescent="0.25">
      <c r="A137" s="777" t="s">
        <v>506</v>
      </c>
      <c r="B137" s="777">
        <v>1251.3499999999999</v>
      </c>
      <c r="C137" s="777">
        <v>1396.52</v>
      </c>
      <c r="D137" s="777">
        <v>1041.45</v>
      </c>
      <c r="E137" s="777">
        <v>1058.6500000000001</v>
      </c>
      <c r="F137" s="777">
        <v>1088.31</v>
      </c>
      <c r="G137" s="777">
        <v>1162.25</v>
      </c>
      <c r="H137" s="777">
        <v>1220.05</v>
      </c>
      <c r="I137" s="777">
        <v>1251.99</v>
      </c>
      <c r="J137" s="777">
        <v>1276.69</v>
      </c>
      <c r="K137" s="777">
        <v>1306.1199999999999</v>
      </c>
      <c r="L137" s="777">
        <v>1334.33</v>
      </c>
      <c r="M137" s="777">
        <v>1358.39</v>
      </c>
      <c r="N137" s="777">
        <v>1379.14</v>
      </c>
      <c r="O137" s="777">
        <v>1402.91</v>
      </c>
      <c r="P137" s="777">
        <v>1418.92</v>
      </c>
      <c r="Q137" s="777">
        <v>1432.73</v>
      </c>
      <c r="R137" s="777">
        <v>1454.32</v>
      </c>
      <c r="S137" s="777">
        <v>1472.13</v>
      </c>
      <c r="T137" s="777">
        <v>1493.23</v>
      </c>
      <c r="U137" s="777">
        <v>1514.98</v>
      </c>
      <c r="V137" s="777">
        <v>1538.45</v>
      </c>
      <c r="W137" s="777">
        <v>1564.3</v>
      </c>
      <c r="X137" s="777">
        <v>1590.55</v>
      </c>
      <c r="Y137" s="777">
        <v>1615.34</v>
      </c>
      <c r="Z137" s="777">
        <v>1640.71</v>
      </c>
      <c r="AA137" s="777">
        <v>1665.62</v>
      </c>
      <c r="AB137" s="777">
        <v>1688.65</v>
      </c>
      <c r="AC137" s="777">
        <v>1712.28</v>
      </c>
      <c r="AD137" s="777">
        <v>1737.37</v>
      </c>
      <c r="AE137" s="813">
        <v>8.0000000000000002E-3</v>
      </c>
      <c r="AF137" s="777"/>
      <c r="AG137" s="777"/>
      <c r="AH137" s="777"/>
      <c r="AI137" s="777"/>
      <c r="AJ137" s="777"/>
      <c r="AK137" s="777"/>
      <c r="AL137" s="777"/>
      <c r="AM137" s="777"/>
      <c r="AN137" s="777"/>
      <c r="AO137" s="777"/>
      <c r="AP137" s="777"/>
      <c r="AQ137" s="777"/>
      <c r="AR137" s="777"/>
      <c r="AS137" s="777"/>
      <c r="AT137" s="777"/>
      <c r="AU137" s="777"/>
      <c r="AV137" s="777"/>
      <c r="AW137" s="777"/>
      <c r="AX137" s="777"/>
      <c r="AY137" s="777"/>
      <c r="AZ137" s="777"/>
      <c r="BA137" s="777"/>
      <c r="BB137" s="777"/>
      <c r="BC137" s="777"/>
      <c r="BD137" s="777"/>
      <c r="BE137" s="777"/>
      <c r="BF137" s="777"/>
      <c r="BG137" s="777"/>
      <c r="BH137" s="777"/>
      <c r="BI137" s="777"/>
      <c r="BJ137" s="777"/>
      <c r="BK137" s="777"/>
      <c r="BL137" s="777"/>
      <c r="BM137" s="777"/>
      <c r="BN137" s="777"/>
      <c r="BO137" s="777"/>
      <c r="BP137" s="777"/>
      <c r="BQ137" s="777"/>
      <c r="BR137" s="777"/>
      <c r="BS137" s="777"/>
      <c r="BT137" s="777"/>
    </row>
    <row r="138" spans="1:72" x14ac:dyDescent="0.25">
      <c r="A138" s="777" t="s">
        <v>618</v>
      </c>
      <c r="B138" s="777">
        <v>0.05</v>
      </c>
      <c r="C138" s="777">
        <v>0.17</v>
      </c>
      <c r="D138" s="777">
        <v>0.04</v>
      </c>
      <c r="E138" s="777">
        <v>0.09</v>
      </c>
      <c r="F138" s="777">
        <v>0.11</v>
      </c>
      <c r="G138" s="777">
        <v>0.13</v>
      </c>
      <c r="H138" s="777">
        <v>0.15</v>
      </c>
      <c r="I138" s="777">
        <v>0.17</v>
      </c>
      <c r="J138" s="777">
        <v>0.21</v>
      </c>
      <c r="K138" s="777">
        <v>2.34</v>
      </c>
      <c r="L138" s="777">
        <v>3.15</v>
      </c>
      <c r="M138" s="777">
        <v>4</v>
      </c>
      <c r="N138" s="777">
        <v>5.31</v>
      </c>
      <c r="O138" s="777">
        <v>7.12</v>
      </c>
      <c r="P138" s="777">
        <v>9.59</v>
      </c>
      <c r="Q138" s="777">
        <v>17.39</v>
      </c>
      <c r="R138" s="777">
        <v>15.56</v>
      </c>
      <c r="S138" s="777">
        <v>14.53</v>
      </c>
      <c r="T138" s="777">
        <v>15.06</v>
      </c>
      <c r="U138" s="777">
        <v>16.98</v>
      </c>
      <c r="V138" s="777">
        <v>18.95</v>
      </c>
      <c r="W138" s="777">
        <v>20.57</v>
      </c>
      <c r="X138" s="777">
        <v>23.66</v>
      </c>
      <c r="Y138" s="777">
        <v>25.05</v>
      </c>
      <c r="Z138" s="777">
        <v>31.91</v>
      </c>
      <c r="AA138" s="777">
        <v>36.74</v>
      </c>
      <c r="AB138" s="777">
        <v>40.74</v>
      </c>
      <c r="AC138" s="777">
        <v>48.35</v>
      </c>
      <c r="AD138" s="777">
        <v>56.42</v>
      </c>
      <c r="AE138" s="813">
        <v>0.24099999999999999</v>
      </c>
      <c r="AF138" s="777"/>
      <c r="AG138" s="777"/>
      <c r="AH138" s="777"/>
      <c r="AI138" s="777"/>
      <c r="AJ138" s="777"/>
      <c r="AK138" s="777"/>
      <c r="AL138" s="777"/>
      <c r="AM138" s="777"/>
      <c r="AN138" s="777"/>
      <c r="AO138" s="777"/>
      <c r="AP138" s="777"/>
      <c r="AQ138" s="777"/>
      <c r="AR138" s="777"/>
      <c r="AS138" s="777"/>
      <c r="AT138" s="777"/>
      <c r="AU138" s="777"/>
      <c r="AV138" s="777"/>
      <c r="AW138" s="777"/>
      <c r="AX138" s="777"/>
      <c r="AY138" s="777"/>
      <c r="AZ138" s="777"/>
      <c r="BA138" s="777"/>
      <c r="BB138" s="777"/>
      <c r="BC138" s="777"/>
      <c r="BD138" s="777"/>
      <c r="BE138" s="777"/>
      <c r="BF138" s="777"/>
      <c r="BG138" s="777"/>
      <c r="BH138" s="777"/>
      <c r="BI138" s="777"/>
      <c r="BJ138" s="777"/>
      <c r="BK138" s="777"/>
      <c r="BL138" s="777"/>
      <c r="BM138" s="777"/>
      <c r="BN138" s="777"/>
      <c r="BO138" s="777"/>
      <c r="BP138" s="777"/>
      <c r="BQ138" s="777"/>
      <c r="BR138" s="777"/>
      <c r="BS138" s="777"/>
      <c r="BT138" s="777"/>
    </row>
    <row r="139" spans="1:72" x14ac:dyDescent="0.25">
      <c r="A139" s="777" t="s">
        <v>508</v>
      </c>
      <c r="B139" s="777">
        <v>1251.3900000000001</v>
      </c>
      <c r="C139" s="777">
        <v>1396.69</v>
      </c>
      <c r="D139" s="777">
        <v>1041.49</v>
      </c>
      <c r="E139" s="777">
        <v>1058.74</v>
      </c>
      <c r="F139" s="777">
        <v>1088.42</v>
      </c>
      <c r="G139" s="777">
        <v>1162.3699999999999</v>
      </c>
      <c r="H139" s="777">
        <v>1220.2</v>
      </c>
      <c r="I139" s="777">
        <v>1252.1600000000001</v>
      </c>
      <c r="J139" s="777">
        <v>1276.9000000000001</v>
      </c>
      <c r="K139" s="777">
        <v>1308.46</v>
      </c>
      <c r="L139" s="777">
        <v>1337.48</v>
      </c>
      <c r="M139" s="777">
        <v>1362.4</v>
      </c>
      <c r="N139" s="777">
        <v>1384.44</v>
      </c>
      <c r="O139" s="777">
        <v>1410.03</v>
      </c>
      <c r="P139" s="777">
        <v>1428.51</v>
      </c>
      <c r="Q139" s="777">
        <v>1450.12</v>
      </c>
      <c r="R139" s="777">
        <v>1469.88</v>
      </c>
      <c r="S139" s="777">
        <v>1486.66</v>
      </c>
      <c r="T139" s="777">
        <v>1508.29</v>
      </c>
      <c r="U139" s="777">
        <v>1531.96</v>
      </c>
      <c r="V139" s="777">
        <v>1557.41</v>
      </c>
      <c r="W139" s="777">
        <v>1584.86</v>
      </c>
      <c r="X139" s="777">
        <v>1614.21</v>
      </c>
      <c r="Y139" s="777">
        <v>1640.39</v>
      </c>
      <c r="Z139" s="777">
        <v>1672.62</v>
      </c>
      <c r="AA139" s="777">
        <v>1702.37</v>
      </c>
      <c r="AB139" s="777">
        <v>1729.39</v>
      </c>
      <c r="AC139" s="777">
        <v>1760.62</v>
      </c>
      <c r="AD139" s="777">
        <v>1793.79</v>
      </c>
      <c r="AE139" s="813">
        <v>8.9999999999999993E-3</v>
      </c>
      <c r="AF139" s="777"/>
      <c r="AG139" s="777"/>
      <c r="AH139" s="777"/>
      <c r="AI139" s="777"/>
      <c r="AJ139" s="777"/>
      <c r="AK139" s="777"/>
      <c r="AL139" s="777"/>
      <c r="AM139" s="777"/>
      <c r="AN139" s="777"/>
      <c r="AO139" s="777"/>
      <c r="AP139" s="777"/>
      <c r="AQ139" s="777"/>
      <c r="AR139" s="777"/>
      <c r="AS139" s="777"/>
      <c r="AT139" s="777"/>
      <c r="AU139" s="777"/>
      <c r="AV139" s="777"/>
      <c r="AW139" s="777"/>
      <c r="AX139" s="777"/>
      <c r="AY139" s="777"/>
      <c r="AZ139" s="777"/>
      <c r="BA139" s="777"/>
      <c r="BB139" s="777"/>
      <c r="BC139" s="777"/>
      <c r="BD139" s="777"/>
      <c r="BE139" s="777"/>
      <c r="BF139" s="777"/>
      <c r="BG139" s="777"/>
      <c r="BH139" s="777"/>
      <c r="BI139" s="777"/>
      <c r="BJ139" s="777"/>
      <c r="BK139" s="777"/>
      <c r="BL139" s="777"/>
      <c r="BM139" s="777"/>
      <c r="BN139" s="777"/>
      <c r="BO139" s="777"/>
      <c r="BP139" s="777"/>
      <c r="BQ139" s="777"/>
      <c r="BR139" s="777"/>
      <c r="BS139" s="777"/>
      <c r="BT139" s="777"/>
    </row>
    <row r="140" spans="1:72" x14ac:dyDescent="0.25">
      <c r="A140" s="777"/>
      <c r="B140" s="777"/>
      <c r="C140" s="777"/>
      <c r="D140" s="777"/>
      <c r="E140" s="777"/>
      <c r="F140" s="777"/>
      <c r="G140" s="777"/>
      <c r="H140" s="777"/>
      <c r="I140" s="777"/>
      <c r="J140" s="777"/>
      <c r="K140" s="777"/>
      <c r="L140" s="777"/>
      <c r="M140" s="777"/>
      <c r="N140" s="777"/>
      <c r="O140" s="777"/>
      <c r="P140" s="777"/>
      <c r="Q140" s="777"/>
      <c r="R140" s="777"/>
      <c r="S140" s="777"/>
      <c r="T140" s="777"/>
      <c r="U140" s="777"/>
      <c r="V140" s="777"/>
      <c r="W140" s="777"/>
      <c r="X140" s="777"/>
      <c r="Y140" s="777"/>
      <c r="Z140" s="777"/>
      <c r="AA140" s="777"/>
      <c r="AB140" s="777"/>
      <c r="AC140" s="777"/>
      <c r="AD140" s="777"/>
      <c r="AE140" s="777"/>
      <c r="AF140" s="777"/>
      <c r="AG140" s="777"/>
      <c r="AH140" s="777"/>
      <c r="AI140" s="777"/>
      <c r="AJ140" s="777"/>
      <c r="AK140" s="777"/>
      <c r="AL140" s="777"/>
      <c r="AM140" s="777"/>
      <c r="AN140" s="777"/>
      <c r="AO140" s="777"/>
      <c r="AP140" s="777"/>
      <c r="AQ140" s="777"/>
      <c r="AR140" s="777"/>
      <c r="AS140" s="777"/>
      <c r="AT140" s="777"/>
      <c r="AU140" s="777"/>
      <c r="AV140" s="777"/>
      <c r="AW140" s="777"/>
      <c r="AX140" s="777"/>
      <c r="AY140" s="777"/>
      <c r="AZ140" s="777"/>
      <c r="BA140" s="777"/>
      <c r="BB140" s="777"/>
      <c r="BC140" s="777"/>
      <c r="BD140" s="777"/>
      <c r="BE140" s="777"/>
      <c r="BF140" s="777"/>
      <c r="BG140" s="777"/>
      <c r="BH140" s="777"/>
      <c r="BI140" s="777"/>
      <c r="BJ140" s="777"/>
      <c r="BK140" s="777"/>
      <c r="BL140" s="777"/>
      <c r="BM140" s="777"/>
      <c r="BN140" s="777"/>
      <c r="BO140" s="777"/>
      <c r="BP140" s="777"/>
      <c r="BQ140" s="777"/>
      <c r="BR140" s="777"/>
      <c r="BS140" s="777"/>
      <c r="BT140" s="777"/>
    </row>
    <row r="141" spans="1:72" x14ac:dyDescent="0.25">
      <c r="A141" s="777"/>
      <c r="B141" s="777"/>
      <c r="C141" s="777"/>
      <c r="D141" s="777"/>
      <c r="E141" s="777"/>
      <c r="F141" s="777"/>
      <c r="G141" s="777"/>
      <c r="H141" s="777"/>
      <c r="I141" s="777"/>
      <c r="J141" s="777"/>
      <c r="K141" s="777"/>
      <c r="L141" s="777"/>
      <c r="M141" s="777"/>
      <c r="N141" s="777"/>
      <c r="O141" s="777"/>
      <c r="P141" s="777"/>
      <c r="Q141" s="777"/>
      <c r="R141" s="777"/>
      <c r="S141" s="777"/>
      <c r="T141" s="777"/>
      <c r="U141" s="777"/>
      <c r="V141" s="777"/>
      <c r="W141" s="777"/>
      <c r="X141" s="777"/>
      <c r="Y141" s="777"/>
      <c r="Z141" s="777"/>
      <c r="AA141" s="777"/>
      <c r="AB141" s="777"/>
      <c r="AC141" s="777"/>
      <c r="AD141" s="777"/>
      <c r="AE141" s="777"/>
      <c r="AF141" s="777"/>
      <c r="AG141" s="777"/>
      <c r="AH141" s="777"/>
      <c r="AI141" s="777"/>
      <c r="AJ141" s="777"/>
      <c r="AK141" s="777"/>
      <c r="AL141" s="777"/>
      <c r="AM141" s="777"/>
      <c r="AN141" s="777"/>
      <c r="AO141" s="777"/>
      <c r="AP141" s="777"/>
      <c r="AQ141" s="777"/>
      <c r="AR141" s="777"/>
      <c r="AS141" s="777"/>
      <c r="AT141" s="777"/>
      <c r="AU141" s="777"/>
      <c r="AV141" s="777"/>
      <c r="AW141" s="777"/>
      <c r="AX141" s="777"/>
      <c r="AY141" s="777"/>
      <c r="AZ141" s="777"/>
      <c r="BA141" s="777"/>
      <c r="BB141" s="777"/>
      <c r="BC141" s="777"/>
      <c r="BD141" s="777"/>
      <c r="BE141" s="777"/>
      <c r="BF141" s="777"/>
      <c r="BG141" s="777"/>
      <c r="BH141" s="777"/>
      <c r="BI141" s="777"/>
      <c r="BJ141" s="777"/>
      <c r="BK141" s="777"/>
      <c r="BL141" s="777"/>
      <c r="BM141" s="777"/>
      <c r="BN141" s="777"/>
      <c r="BO141" s="777"/>
      <c r="BP141" s="777"/>
      <c r="BQ141" s="777"/>
      <c r="BR141" s="777"/>
      <c r="BS141" s="777"/>
      <c r="BT141" s="777"/>
    </row>
    <row r="142" spans="1:72" x14ac:dyDescent="0.25">
      <c r="A142" s="777" t="s">
        <v>715</v>
      </c>
      <c r="B142" s="777"/>
      <c r="C142" s="777"/>
      <c r="D142" s="777"/>
      <c r="E142" s="777"/>
      <c r="F142" s="777"/>
      <c r="G142" s="777"/>
      <c r="H142" s="777"/>
      <c r="I142" s="777"/>
      <c r="J142" s="777"/>
      <c r="K142" s="777"/>
      <c r="L142" s="777"/>
      <c r="M142" s="777"/>
      <c r="N142" s="777"/>
      <c r="O142" s="777"/>
      <c r="P142" s="777"/>
      <c r="Q142" s="777"/>
      <c r="R142" s="777"/>
      <c r="S142" s="777"/>
      <c r="T142" s="777"/>
      <c r="U142" s="777"/>
      <c r="V142" s="777"/>
      <c r="W142" s="777"/>
      <c r="X142" s="777"/>
      <c r="Y142" s="777"/>
      <c r="Z142" s="777"/>
      <c r="AA142" s="777"/>
      <c r="AB142" s="777"/>
      <c r="AC142" s="777"/>
      <c r="AD142" s="777"/>
      <c r="AE142" s="777"/>
      <c r="AF142" s="777"/>
      <c r="AG142" s="777"/>
      <c r="AH142" s="777"/>
      <c r="AI142" s="777"/>
      <c r="AJ142" s="777"/>
      <c r="AK142" s="777"/>
      <c r="AL142" s="777"/>
      <c r="AM142" s="777"/>
      <c r="AN142" s="777"/>
      <c r="AO142" s="777"/>
      <c r="AP142" s="777"/>
      <c r="AQ142" s="777"/>
      <c r="AR142" s="777"/>
      <c r="AS142" s="777"/>
      <c r="AT142" s="777"/>
      <c r="AU142" s="777"/>
      <c r="AV142" s="777"/>
      <c r="AW142" s="777"/>
      <c r="AX142" s="777"/>
      <c r="AY142" s="777"/>
      <c r="AZ142" s="777"/>
      <c r="BA142" s="777"/>
      <c r="BB142" s="777"/>
      <c r="BC142" s="777"/>
      <c r="BD142" s="777"/>
      <c r="BE142" s="777"/>
      <c r="BF142" s="777"/>
      <c r="BG142" s="777"/>
      <c r="BH142" s="777"/>
      <c r="BI142" s="777"/>
      <c r="BJ142" s="777"/>
      <c r="BK142" s="777"/>
      <c r="BL142" s="777"/>
      <c r="BM142" s="777"/>
      <c r="BN142" s="777"/>
      <c r="BO142" s="777"/>
      <c r="BP142" s="777"/>
      <c r="BQ142" s="777"/>
      <c r="BR142" s="777"/>
      <c r="BS142" s="777"/>
      <c r="BT142" s="777"/>
    </row>
    <row r="143" spans="1:72" x14ac:dyDescent="0.25">
      <c r="A143" s="777" t="s">
        <v>463</v>
      </c>
      <c r="B143" s="777"/>
      <c r="C143" s="777"/>
      <c r="D143" s="777"/>
      <c r="E143" s="777"/>
      <c r="F143" s="777"/>
      <c r="G143" s="777"/>
      <c r="H143" s="777"/>
      <c r="I143" s="777"/>
      <c r="J143" s="777"/>
      <c r="K143" s="777"/>
      <c r="L143" s="777"/>
      <c r="M143" s="777"/>
      <c r="N143" s="777"/>
      <c r="O143" s="777"/>
      <c r="P143" s="777"/>
      <c r="Q143" s="777"/>
      <c r="R143" s="777"/>
      <c r="S143" s="777"/>
      <c r="T143" s="777"/>
      <c r="U143" s="777"/>
      <c r="V143" s="777"/>
      <c r="W143" s="777"/>
      <c r="X143" s="777"/>
      <c r="Y143" s="777"/>
      <c r="Z143" s="777"/>
      <c r="AA143" s="777"/>
      <c r="AB143" s="777"/>
      <c r="AC143" s="777"/>
      <c r="AD143" s="777"/>
      <c r="AE143" s="777"/>
      <c r="AF143" s="777"/>
      <c r="AG143" s="777"/>
      <c r="AH143" s="777"/>
      <c r="AI143" s="777"/>
      <c r="AJ143" s="777"/>
      <c r="AK143" s="777"/>
      <c r="AL143" s="777"/>
      <c r="AM143" s="777"/>
      <c r="AN143" s="777"/>
      <c r="AO143" s="777"/>
      <c r="AP143" s="777"/>
      <c r="AQ143" s="777"/>
      <c r="AR143" s="777"/>
      <c r="AS143" s="777"/>
      <c r="AT143" s="777"/>
      <c r="AU143" s="777"/>
      <c r="AV143" s="777"/>
      <c r="AW143" s="777"/>
      <c r="AX143" s="777"/>
      <c r="AY143" s="777"/>
      <c r="AZ143" s="777"/>
      <c r="BA143" s="777"/>
      <c r="BB143" s="777"/>
      <c r="BC143" s="777"/>
      <c r="BD143" s="777"/>
      <c r="BE143" s="777"/>
      <c r="BF143" s="777"/>
      <c r="BG143" s="777"/>
      <c r="BH143" s="777"/>
      <c r="BI143" s="777"/>
      <c r="BJ143" s="777"/>
      <c r="BK143" s="777"/>
      <c r="BL143" s="777"/>
      <c r="BM143" s="777"/>
      <c r="BN143" s="777"/>
      <c r="BO143" s="777"/>
      <c r="BP143" s="777"/>
      <c r="BQ143" s="777"/>
      <c r="BR143" s="777"/>
      <c r="BS143" s="777"/>
      <c r="BT143" s="777"/>
    </row>
    <row r="144" spans="1:72" x14ac:dyDescent="0.25">
      <c r="A144" s="777" t="s">
        <v>598</v>
      </c>
      <c r="B144" s="777">
        <v>25.67</v>
      </c>
      <c r="C144" s="777">
        <v>29.35</v>
      </c>
      <c r="D144" s="777">
        <v>25.28</v>
      </c>
      <c r="E144" s="777">
        <v>24.73</v>
      </c>
      <c r="F144" s="777">
        <v>25.15</v>
      </c>
      <c r="G144" s="777">
        <v>26.73</v>
      </c>
      <c r="H144" s="777">
        <v>28.51</v>
      </c>
      <c r="I144" s="777">
        <v>30.06</v>
      </c>
      <c r="J144" s="777">
        <v>31.23</v>
      </c>
      <c r="K144" s="777">
        <v>32.520000000000003</v>
      </c>
      <c r="L144" s="777">
        <v>33.75</v>
      </c>
      <c r="M144" s="777">
        <v>35.06</v>
      </c>
      <c r="N144" s="777">
        <v>36.020000000000003</v>
      </c>
      <c r="O144" s="777">
        <v>37.020000000000003</v>
      </c>
      <c r="P144" s="777">
        <v>38.1</v>
      </c>
      <c r="Q144" s="777">
        <v>39.200000000000003</v>
      </c>
      <c r="R144" s="777">
        <v>40.409999999999997</v>
      </c>
      <c r="S144" s="777">
        <v>41.61</v>
      </c>
      <c r="T144" s="777">
        <v>42.82</v>
      </c>
      <c r="U144" s="777">
        <v>43.92</v>
      </c>
      <c r="V144" s="777">
        <v>45.24</v>
      </c>
      <c r="W144" s="777">
        <v>46.58</v>
      </c>
      <c r="X144" s="777">
        <v>48.12</v>
      </c>
      <c r="Y144" s="777">
        <v>49.52</v>
      </c>
      <c r="Z144" s="777">
        <v>51.18</v>
      </c>
      <c r="AA144" s="777">
        <v>52.85</v>
      </c>
      <c r="AB144" s="777">
        <v>54.62</v>
      </c>
      <c r="AC144" s="777">
        <v>56.39</v>
      </c>
      <c r="AD144" s="777">
        <v>58.23</v>
      </c>
      <c r="AE144" s="813">
        <v>2.5999999999999999E-2</v>
      </c>
      <c r="AF144" s="777"/>
      <c r="AG144" s="777"/>
      <c r="AH144" s="777"/>
      <c r="AI144" s="777"/>
      <c r="AJ144" s="777"/>
      <c r="AK144" s="777"/>
      <c r="AL144" s="777"/>
      <c r="AM144" s="777"/>
      <c r="AN144" s="777"/>
      <c r="AO144" s="777"/>
      <c r="AP144" s="777"/>
      <c r="AQ144" s="777"/>
      <c r="AR144" s="777"/>
      <c r="AS144" s="777"/>
      <c r="AT144" s="777"/>
      <c r="AU144" s="777"/>
      <c r="AV144" s="777"/>
      <c r="AW144" s="777"/>
      <c r="AX144" s="777"/>
      <c r="AY144" s="777"/>
      <c r="AZ144" s="777"/>
      <c r="BA144" s="777"/>
      <c r="BB144" s="777"/>
      <c r="BC144" s="777"/>
      <c r="BD144" s="777"/>
      <c r="BE144" s="777"/>
      <c r="BF144" s="777"/>
      <c r="BG144" s="777"/>
      <c r="BH144" s="777"/>
      <c r="BI144" s="777"/>
      <c r="BJ144" s="777"/>
      <c r="BK144" s="777"/>
      <c r="BL144" s="777"/>
      <c r="BM144" s="777"/>
      <c r="BN144" s="777"/>
      <c r="BO144" s="777"/>
      <c r="BP144" s="777"/>
      <c r="BQ144" s="777"/>
      <c r="BR144" s="777"/>
      <c r="BS144" s="777"/>
      <c r="BT144" s="777"/>
    </row>
    <row r="145" spans="1:72" x14ac:dyDescent="0.25">
      <c r="A145" s="777" t="s">
        <v>599</v>
      </c>
      <c r="B145" s="777">
        <v>19.86</v>
      </c>
      <c r="C145" s="777">
        <v>24.47</v>
      </c>
      <c r="D145" s="777">
        <v>18.260000000000002</v>
      </c>
      <c r="E145" s="777">
        <v>18.100000000000001</v>
      </c>
      <c r="F145" s="777">
        <v>18.489999999999998</v>
      </c>
      <c r="G145" s="777">
        <v>19.940000000000001</v>
      </c>
      <c r="H145" s="777">
        <v>21.4</v>
      </c>
      <c r="I145" s="777">
        <v>22.55</v>
      </c>
      <c r="J145" s="777">
        <v>23.49</v>
      </c>
      <c r="K145" s="777">
        <v>24.96</v>
      </c>
      <c r="L145" s="777">
        <v>26.17</v>
      </c>
      <c r="M145" s="777">
        <v>27.44</v>
      </c>
      <c r="N145" s="777">
        <v>28.46</v>
      </c>
      <c r="O145" s="777">
        <v>29.45</v>
      </c>
      <c r="P145" s="777">
        <v>30.25</v>
      </c>
      <c r="Q145" s="777">
        <v>31.17</v>
      </c>
      <c r="R145" s="777">
        <v>32.25</v>
      </c>
      <c r="S145" s="777">
        <v>33.17</v>
      </c>
      <c r="T145" s="777">
        <v>34.24</v>
      </c>
      <c r="U145" s="777">
        <v>35.33</v>
      </c>
      <c r="V145" s="777">
        <v>36.380000000000003</v>
      </c>
      <c r="W145" s="777">
        <v>37.630000000000003</v>
      </c>
      <c r="X145" s="777">
        <v>39.049999999999997</v>
      </c>
      <c r="Y145" s="777">
        <v>40.159999999999997</v>
      </c>
      <c r="Z145" s="777">
        <v>41.73</v>
      </c>
      <c r="AA145" s="777">
        <v>43.3</v>
      </c>
      <c r="AB145" s="777">
        <v>44.82</v>
      </c>
      <c r="AC145" s="777">
        <v>46.47</v>
      </c>
      <c r="AD145" s="777">
        <v>48.16</v>
      </c>
      <c r="AE145" s="813">
        <v>2.5000000000000001E-2</v>
      </c>
      <c r="AF145" s="777"/>
      <c r="AG145" s="777"/>
      <c r="AH145" s="777"/>
      <c r="AI145" s="777"/>
      <c r="AJ145" s="777"/>
      <c r="AK145" s="777"/>
      <c r="AL145" s="777"/>
      <c r="AM145" s="777"/>
      <c r="AN145" s="777"/>
      <c r="AO145" s="777"/>
      <c r="AP145" s="777"/>
      <c r="AQ145" s="777"/>
      <c r="AR145" s="777"/>
      <c r="AS145" s="777"/>
      <c r="AT145" s="777"/>
      <c r="AU145" s="777"/>
      <c r="AV145" s="777"/>
      <c r="AW145" s="777"/>
      <c r="AX145" s="777"/>
      <c r="AY145" s="777"/>
      <c r="AZ145" s="777"/>
      <c r="BA145" s="777"/>
      <c r="BB145" s="777"/>
      <c r="BC145" s="777"/>
      <c r="BD145" s="777"/>
      <c r="BE145" s="777"/>
      <c r="BF145" s="777"/>
      <c r="BG145" s="777"/>
      <c r="BH145" s="777"/>
      <c r="BI145" s="777"/>
      <c r="BJ145" s="777"/>
      <c r="BK145" s="777"/>
      <c r="BL145" s="777"/>
      <c r="BM145" s="777"/>
      <c r="BN145" s="777"/>
      <c r="BO145" s="777"/>
      <c r="BP145" s="777"/>
      <c r="BQ145" s="777"/>
      <c r="BR145" s="777"/>
      <c r="BS145" s="777"/>
      <c r="BT145" s="777"/>
    </row>
    <row r="146" spans="1:72" x14ac:dyDescent="0.25">
      <c r="A146" s="777" t="s">
        <v>500</v>
      </c>
      <c r="B146" s="777">
        <v>12.66</v>
      </c>
      <c r="C146" s="777">
        <v>13.48</v>
      </c>
      <c r="D146" s="777">
        <v>11.57</v>
      </c>
      <c r="E146" s="777">
        <v>11.22</v>
      </c>
      <c r="F146" s="777">
        <v>12.29</v>
      </c>
      <c r="G146" s="777">
        <v>12.56</v>
      </c>
      <c r="H146" s="777">
        <v>12.36</v>
      </c>
      <c r="I146" s="777">
        <v>12.51</v>
      </c>
      <c r="J146" s="777">
        <v>12.88</v>
      </c>
      <c r="K146" s="777">
        <v>13.22</v>
      </c>
      <c r="L146" s="777">
        <v>13.5</v>
      </c>
      <c r="M146" s="777">
        <v>13.83</v>
      </c>
      <c r="N146" s="777">
        <v>14.18</v>
      </c>
      <c r="O146" s="777">
        <v>14.61</v>
      </c>
      <c r="P146" s="777">
        <v>15.06</v>
      </c>
      <c r="Q146" s="777">
        <v>15.64</v>
      </c>
      <c r="R146" s="777">
        <v>16.010000000000002</v>
      </c>
      <c r="S146" s="777">
        <v>16.22</v>
      </c>
      <c r="T146" s="777">
        <v>16.68</v>
      </c>
      <c r="U146" s="777">
        <v>17.260000000000002</v>
      </c>
      <c r="V146" s="777">
        <v>17.91</v>
      </c>
      <c r="W146" s="777">
        <v>18.649999999999999</v>
      </c>
      <c r="X146" s="777">
        <v>19.440000000000001</v>
      </c>
      <c r="Y146" s="777">
        <v>20.29</v>
      </c>
      <c r="Z146" s="777">
        <v>21.26</v>
      </c>
      <c r="AA146" s="777">
        <v>21.98</v>
      </c>
      <c r="AB146" s="777">
        <v>22.61</v>
      </c>
      <c r="AC146" s="777">
        <v>23.44</v>
      </c>
      <c r="AD146" s="777">
        <v>24.2</v>
      </c>
      <c r="AE146" s="813">
        <v>2.1999999999999999E-2</v>
      </c>
      <c r="AF146" s="777"/>
      <c r="AG146" s="777"/>
      <c r="AH146" s="777"/>
      <c r="AI146" s="777"/>
      <c r="AJ146" s="777"/>
      <c r="AK146" s="777"/>
      <c r="AL146" s="777"/>
      <c r="AM146" s="777"/>
      <c r="AN146" s="777"/>
      <c r="AO146" s="777"/>
      <c r="AP146" s="777"/>
      <c r="AQ146" s="777"/>
      <c r="AR146" s="777"/>
      <c r="AS146" s="777"/>
      <c r="AT146" s="777"/>
      <c r="AU146" s="777"/>
      <c r="AV146" s="777"/>
      <c r="AW146" s="777"/>
      <c r="AX146" s="777"/>
      <c r="AY146" s="777"/>
      <c r="AZ146" s="777"/>
      <c r="BA146" s="777"/>
      <c r="BB146" s="777"/>
      <c r="BC146" s="777"/>
      <c r="BD146" s="777"/>
      <c r="BE146" s="777"/>
      <c r="BF146" s="777"/>
      <c r="BG146" s="777"/>
      <c r="BH146" s="777"/>
      <c r="BI146" s="777"/>
      <c r="BJ146" s="777"/>
      <c r="BK146" s="777"/>
      <c r="BL146" s="777"/>
      <c r="BM146" s="777"/>
      <c r="BN146" s="777"/>
      <c r="BO146" s="777"/>
      <c r="BP146" s="777"/>
      <c r="BQ146" s="777"/>
      <c r="BR146" s="777"/>
      <c r="BS146" s="777"/>
      <c r="BT146" s="777"/>
    </row>
    <row r="147" spans="1:72" x14ac:dyDescent="0.25">
      <c r="A147" s="777" t="s">
        <v>469</v>
      </c>
      <c r="B147" s="777">
        <v>31.12</v>
      </c>
      <c r="C147" s="777">
        <v>33.29</v>
      </c>
      <c r="D147" s="777">
        <v>32.83</v>
      </c>
      <c r="E147" s="777">
        <v>31.88</v>
      </c>
      <c r="F147" s="777">
        <v>31.21</v>
      </c>
      <c r="G147" s="777">
        <v>32.9</v>
      </c>
      <c r="H147" s="777">
        <v>33.9</v>
      </c>
      <c r="I147" s="777">
        <v>34.5</v>
      </c>
      <c r="J147" s="777">
        <v>35.020000000000003</v>
      </c>
      <c r="K147" s="777">
        <v>35.89</v>
      </c>
      <c r="L147" s="777">
        <v>36.74</v>
      </c>
      <c r="M147" s="777">
        <v>37.39</v>
      </c>
      <c r="N147" s="777">
        <v>37.97</v>
      </c>
      <c r="O147" s="777">
        <v>38.92</v>
      </c>
      <c r="P147" s="777">
        <v>39.950000000000003</v>
      </c>
      <c r="Q147" s="777">
        <v>40.92</v>
      </c>
      <c r="R147" s="777">
        <v>41.95</v>
      </c>
      <c r="S147" s="777">
        <v>42.94</v>
      </c>
      <c r="T147" s="777">
        <v>43.78</v>
      </c>
      <c r="U147" s="777">
        <v>44.88</v>
      </c>
      <c r="V147" s="777">
        <v>46.07</v>
      </c>
      <c r="W147" s="777">
        <v>47.3</v>
      </c>
      <c r="X147" s="777">
        <v>48.93</v>
      </c>
      <c r="Y147" s="777">
        <v>50.5</v>
      </c>
      <c r="Z147" s="777">
        <v>52.16</v>
      </c>
      <c r="AA147" s="777">
        <v>53.81</v>
      </c>
      <c r="AB147" s="777">
        <v>55.2</v>
      </c>
      <c r="AC147" s="777">
        <v>56.77</v>
      </c>
      <c r="AD147" s="777">
        <v>58.33</v>
      </c>
      <c r="AE147" s="813">
        <v>2.1000000000000001E-2</v>
      </c>
      <c r="AF147" s="777"/>
      <c r="AG147" s="777"/>
      <c r="AH147" s="777"/>
      <c r="AI147" s="777"/>
      <c r="AJ147" s="777"/>
      <c r="AK147" s="777"/>
      <c r="AL147" s="777"/>
      <c r="AM147" s="777"/>
      <c r="AN147" s="777"/>
      <c r="AO147" s="777"/>
      <c r="AP147" s="777"/>
      <c r="AQ147" s="777"/>
      <c r="AR147" s="777"/>
      <c r="AS147" s="777"/>
      <c r="AT147" s="777"/>
      <c r="AU147" s="777"/>
      <c r="AV147" s="777"/>
      <c r="AW147" s="777"/>
      <c r="AX147" s="777"/>
      <c r="AY147" s="777"/>
      <c r="AZ147" s="777"/>
      <c r="BA147" s="777"/>
      <c r="BB147" s="777"/>
      <c r="BC147" s="777"/>
      <c r="BD147" s="777"/>
      <c r="BE147" s="777"/>
      <c r="BF147" s="777"/>
      <c r="BG147" s="777"/>
      <c r="BH147" s="777"/>
      <c r="BI147" s="777"/>
      <c r="BJ147" s="777"/>
      <c r="BK147" s="777"/>
      <c r="BL147" s="777"/>
      <c r="BM147" s="777"/>
      <c r="BN147" s="777"/>
      <c r="BO147" s="777"/>
      <c r="BP147" s="777"/>
      <c r="BQ147" s="777"/>
      <c r="BR147" s="777"/>
      <c r="BS147" s="777"/>
      <c r="BT147" s="777"/>
    </row>
    <row r="148" spans="1:72" x14ac:dyDescent="0.25">
      <c r="A148" s="777"/>
      <c r="B148" s="777"/>
      <c r="C148" s="777"/>
      <c r="D148" s="777"/>
      <c r="E148" s="777"/>
      <c r="F148" s="777"/>
      <c r="G148" s="777"/>
      <c r="H148" s="777"/>
      <c r="I148" s="777"/>
      <c r="J148" s="777"/>
      <c r="K148" s="777"/>
      <c r="L148" s="777"/>
      <c r="M148" s="777"/>
      <c r="N148" s="777"/>
      <c r="O148" s="777"/>
      <c r="P148" s="777"/>
      <c r="Q148" s="777"/>
      <c r="R148" s="777"/>
      <c r="S148" s="777"/>
      <c r="T148" s="777"/>
      <c r="U148" s="777"/>
      <c r="V148" s="777"/>
      <c r="W148" s="777"/>
      <c r="X148" s="777"/>
      <c r="Y148" s="777"/>
      <c r="Z148" s="777"/>
      <c r="AA148" s="777"/>
      <c r="AB148" s="777"/>
      <c r="AC148" s="777"/>
      <c r="AD148" s="777"/>
      <c r="AE148" s="777"/>
      <c r="AF148" s="777"/>
      <c r="AG148" s="777"/>
      <c r="AH148" s="777"/>
      <c r="AI148" s="777"/>
      <c r="AJ148" s="777"/>
      <c r="AK148" s="777"/>
      <c r="AL148" s="777"/>
      <c r="AM148" s="777"/>
      <c r="AN148" s="777"/>
      <c r="AO148" s="777"/>
      <c r="AP148" s="777"/>
      <c r="AQ148" s="777"/>
      <c r="AR148" s="777"/>
      <c r="AS148" s="777"/>
      <c r="AT148" s="777"/>
      <c r="AU148" s="777"/>
      <c r="AV148" s="777"/>
      <c r="AW148" s="777"/>
      <c r="AX148" s="777"/>
      <c r="AY148" s="777"/>
      <c r="AZ148" s="777"/>
      <c r="BA148" s="777"/>
      <c r="BB148" s="777"/>
      <c r="BC148" s="777"/>
      <c r="BD148" s="777"/>
      <c r="BE148" s="777"/>
      <c r="BF148" s="777"/>
      <c r="BG148" s="777"/>
      <c r="BH148" s="777"/>
      <c r="BI148" s="777"/>
      <c r="BJ148" s="777"/>
      <c r="BK148" s="777"/>
      <c r="BL148" s="777"/>
      <c r="BM148" s="777"/>
      <c r="BN148" s="777"/>
      <c r="BO148" s="777"/>
      <c r="BP148" s="777"/>
      <c r="BQ148" s="777"/>
      <c r="BR148" s="777"/>
      <c r="BS148" s="777"/>
      <c r="BT148" s="777"/>
    </row>
    <row r="149" spans="1:72" x14ac:dyDescent="0.25">
      <c r="A149" s="777" t="s">
        <v>470</v>
      </c>
      <c r="B149" s="777"/>
      <c r="C149" s="777"/>
      <c r="D149" s="777"/>
      <c r="E149" s="777"/>
      <c r="F149" s="777"/>
      <c r="G149" s="777"/>
      <c r="H149" s="777"/>
      <c r="I149" s="777"/>
      <c r="J149" s="777"/>
      <c r="K149" s="777"/>
      <c r="L149" s="777"/>
      <c r="M149" s="777"/>
      <c r="N149" s="777"/>
      <c r="O149" s="777"/>
      <c r="P149" s="777"/>
      <c r="Q149" s="777"/>
      <c r="R149" s="777"/>
      <c r="S149" s="777"/>
      <c r="T149" s="777"/>
      <c r="U149" s="777"/>
      <c r="V149" s="777"/>
      <c r="W149" s="777"/>
      <c r="X149" s="777"/>
      <c r="Y149" s="777"/>
      <c r="Z149" s="777"/>
      <c r="AA149" s="777"/>
      <c r="AB149" s="777"/>
      <c r="AC149" s="777"/>
      <c r="AD149" s="777"/>
      <c r="AE149" s="777"/>
      <c r="AF149" s="777"/>
      <c r="AG149" s="777"/>
      <c r="AH149" s="777"/>
      <c r="AI149" s="777"/>
      <c r="AJ149" s="777"/>
      <c r="AK149" s="777"/>
      <c r="AL149" s="777"/>
      <c r="AM149" s="777"/>
      <c r="AN149" s="777"/>
      <c r="AO149" s="777"/>
      <c r="AP149" s="777"/>
      <c r="AQ149" s="777"/>
      <c r="AR149" s="777"/>
      <c r="AS149" s="777"/>
      <c r="AT149" s="777"/>
      <c r="AU149" s="777"/>
      <c r="AV149" s="777"/>
      <c r="AW149" s="777"/>
      <c r="AX149" s="777"/>
      <c r="AY149" s="777"/>
      <c r="AZ149" s="777"/>
      <c r="BA149" s="777"/>
      <c r="BB149" s="777"/>
      <c r="BC149" s="777"/>
      <c r="BD149" s="777"/>
      <c r="BE149" s="777"/>
      <c r="BF149" s="777"/>
      <c r="BG149" s="777"/>
      <c r="BH149" s="777"/>
      <c r="BI149" s="777"/>
      <c r="BJ149" s="777"/>
      <c r="BK149" s="777"/>
      <c r="BL149" s="777"/>
      <c r="BM149" s="777"/>
      <c r="BN149" s="777"/>
      <c r="BO149" s="777"/>
      <c r="BP149" s="777"/>
      <c r="BQ149" s="777"/>
      <c r="BR149" s="777"/>
      <c r="BS149" s="777"/>
      <c r="BT149" s="777"/>
    </row>
    <row r="150" spans="1:72" x14ac:dyDescent="0.25">
      <c r="A150" s="777" t="s">
        <v>598</v>
      </c>
      <c r="B150" s="777">
        <v>20.2</v>
      </c>
      <c r="C150" s="777">
        <v>26.15</v>
      </c>
      <c r="D150" s="777">
        <v>20.12</v>
      </c>
      <c r="E150" s="777">
        <v>21.4</v>
      </c>
      <c r="F150" s="777">
        <v>21.77</v>
      </c>
      <c r="G150" s="777">
        <v>23.3</v>
      </c>
      <c r="H150" s="777">
        <v>25.02</v>
      </c>
      <c r="I150" s="777">
        <v>26.51</v>
      </c>
      <c r="J150" s="777">
        <v>27.61</v>
      </c>
      <c r="K150" s="777">
        <v>28.83</v>
      </c>
      <c r="L150" s="777">
        <v>29.98</v>
      </c>
      <c r="M150" s="777">
        <v>31.22</v>
      </c>
      <c r="N150" s="777">
        <v>32.11</v>
      </c>
      <c r="O150" s="777">
        <v>33.020000000000003</v>
      </c>
      <c r="P150" s="777">
        <v>34.01</v>
      </c>
      <c r="Q150" s="777">
        <v>35.020000000000003</v>
      </c>
      <c r="R150" s="777">
        <v>36.130000000000003</v>
      </c>
      <c r="S150" s="777">
        <v>37.24</v>
      </c>
      <c r="T150" s="777">
        <v>38.35</v>
      </c>
      <c r="U150" s="777">
        <v>39.36</v>
      </c>
      <c r="V150" s="777">
        <v>40.57</v>
      </c>
      <c r="W150" s="777">
        <v>41.81</v>
      </c>
      <c r="X150" s="777">
        <v>43.24</v>
      </c>
      <c r="Y150" s="777">
        <v>44.53</v>
      </c>
      <c r="Z150" s="777">
        <v>46.07</v>
      </c>
      <c r="AA150" s="777">
        <v>47.62</v>
      </c>
      <c r="AB150" s="777">
        <v>49.27</v>
      </c>
      <c r="AC150" s="777">
        <v>50.92</v>
      </c>
      <c r="AD150" s="777">
        <v>52.64</v>
      </c>
      <c r="AE150" s="813">
        <v>2.5999999999999999E-2</v>
      </c>
      <c r="AF150" s="777"/>
      <c r="AG150" s="777"/>
      <c r="AH150" s="777"/>
      <c r="AI150" s="777"/>
      <c r="AJ150" s="777"/>
      <c r="AK150" s="777"/>
      <c r="AL150" s="777"/>
      <c r="AM150" s="777"/>
      <c r="AN150" s="777"/>
      <c r="AO150" s="777"/>
      <c r="AP150" s="777"/>
      <c r="AQ150" s="777"/>
      <c r="AR150" s="777"/>
      <c r="AS150" s="777"/>
      <c r="AT150" s="777"/>
      <c r="AU150" s="777"/>
      <c r="AV150" s="777"/>
      <c r="AW150" s="777"/>
      <c r="AX150" s="777"/>
      <c r="AY150" s="777"/>
      <c r="AZ150" s="777"/>
      <c r="BA150" s="777"/>
      <c r="BB150" s="777"/>
      <c r="BC150" s="777"/>
      <c r="BD150" s="777"/>
      <c r="BE150" s="777"/>
      <c r="BF150" s="777"/>
      <c r="BG150" s="777"/>
      <c r="BH150" s="777"/>
      <c r="BI150" s="777"/>
      <c r="BJ150" s="777"/>
      <c r="BK150" s="777"/>
      <c r="BL150" s="777"/>
      <c r="BM150" s="777"/>
      <c r="BN150" s="777"/>
      <c r="BO150" s="777"/>
      <c r="BP150" s="777"/>
      <c r="BQ150" s="777"/>
      <c r="BR150" s="777"/>
      <c r="BS150" s="777"/>
      <c r="BT150" s="777"/>
    </row>
    <row r="151" spans="1:72" x14ac:dyDescent="0.25">
      <c r="A151" s="777" t="s">
        <v>599</v>
      </c>
      <c r="B151" s="777">
        <v>17.100000000000001</v>
      </c>
      <c r="C151" s="777">
        <v>21.5</v>
      </c>
      <c r="D151" s="777">
        <v>16.04</v>
      </c>
      <c r="E151" s="777">
        <v>15.27</v>
      </c>
      <c r="F151" s="777">
        <v>15.91</v>
      </c>
      <c r="G151" s="777">
        <v>17.34</v>
      </c>
      <c r="H151" s="777">
        <v>18.739999999999998</v>
      </c>
      <c r="I151" s="777">
        <v>19.850000000000001</v>
      </c>
      <c r="J151" s="777">
        <v>20.86</v>
      </c>
      <c r="K151" s="777">
        <v>22.18</v>
      </c>
      <c r="L151" s="777">
        <v>23.33</v>
      </c>
      <c r="M151" s="777">
        <v>24.52</v>
      </c>
      <c r="N151" s="777">
        <v>25.47</v>
      </c>
      <c r="O151" s="777">
        <v>26.39</v>
      </c>
      <c r="P151" s="777">
        <v>27.18</v>
      </c>
      <c r="Q151" s="777">
        <v>28.11</v>
      </c>
      <c r="R151" s="777">
        <v>29.04</v>
      </c>
      <c r="S151" s="777">
        <v>29.83</v>
      </c>
      <c r="T151" s="777">
        <v>30.83</v>
      </c>
      <c r="U151" s="777">
        <v>31.82</v>
      </c>
      <c r="V151" s="777">
        <v>32.83</v>
      </c>
      <c r="W151" s="777">
        <v>34.01</v>
      </c>
      <c r="X151" s="777">
        <v>35.340000000000003</v>
      </c>
      <c r="Y151" s="777">
        <v>36.380000000000003</v>
      </c>
      <c r="Z151" s="777">
        <v>37.86</v>
      </c>
      <c r="AA151" s="777">
        <v>39.340000000000003</v>
      </c>
      <c r="AB151" s="777">
        <v>40.74</v>
      </c>
      <c r="AC151" s="777">
        <v>42.29</v>
      </c>
      <c r="AD151" s="777">
        <v>43.92</v>
      </c>
      <c r="AE151" s="813">
        <v>2.7E-2</v>
      </c>
      <c r="AF151" s="777"/>
      <c r="AG151" s="777"/>
      <c r="AH151" s="777"/>
      <c r="AI151" s="777"/>
      <c r="AJ151" s="777"/>
      <c r="AK151" s="777"/>
      <c r="AL151" s="777"/>
      <c r="AM151" s="777"/>
      <c r="AN151" s="777"/>
      <c r="AO151" s="777"/>
      <c r="AP151" s="777"/>
      <c r="AQ151" s="777"/>
      <c r="AR151" s="777"/>
      <c r="AS151" s="777"/>
      <c r="AT151" s="777"/>
      <c r="AU151" s="777"/>
      <c r="AV151" s="777"/>
      <c r="AW151" s="777"/>
      <c r="AX151" s="777"/>
      <c r="AY151" s="777"/>
      <c r="AZ151" s="777"/>
      <c r="BA151" s="777"/>
      <c r="BB151" s="777"/>
      <c r="BC151" s="777"/>
      <c r="BD151" s="777"/>
      <c r="BE151" s="777"/>
      <c r="BF151" s="777"/>
      <c r="BG151" s="777"/>
      <c r="BH151" s="777"/>
      <c r="BI151" s="777"/>
      <c r="BJ151" s="777"/>
      <c r="BK151" s="777"/>
      <c r="BL151" s="777"/>
      <c r="BM151" s="777"/>
      <c r="BN151" s="777"/>
      <c r="BO151" s="777"/>
      <c r="BP151" s="777"/>
      <c r="BQ151" s="777"/>
      <c r="BR151" s="777"/>
      <c r="BS151" s="777"/>
      <c r="BT151" s="777"/>
    </row>
    <row r="152" spans="1:72" x14ac:dyDescent="0.25">
      <c r="A152" s="777" t="s">
        <v>712</v>
      </c>
      <c r="B152" s="777">
        <v>8.2100000000000009</v>
      </c>
      <c r="C152" s="777">
        <v>15.52</v>
      </c>
      <c r="D152" s="777">
        <v>9.41</v>
      </c>
      <c r="E152" s="777">
        <v>9.74</v>
      </c>
      <c r="F152" s="777">
        <v>10.050000000000001</v>
      </c>
      <c r="G152" s="777">
        <v>11.48</v>
      </c>
      <c r="H152" s="777">
        <v>12.9</v>
      </c>
      <c r="I152" s="777">
        <v>13.98</v>
      </c>
      <c r="J152" s="777">
        <v>14.63</v>
      </c>
      <c r="K152" s="777">
        <v>15.52</v>
      </c>
      <c r="L152" s="777">
        <v>16.37</v>
      </c>
      <c r="M152" s="777">
        <v>17.29</v>
      </c>
      <c r="N152" s="777">
        <v>18.29</v>
      </c>
      <c r="O152" s="777">
        <v>18.899999999999999</v>
      </c>
      <c r="P152" s="777">
        <v>19.57</v>
      </c>
      <c r="Q152" s="777">
        <v>20.27</v>
      </c>
      <c r="R152" s="777">
        <v>21.01</v>
      </c>
      <c r="S152" s="777">
        <v>21.73</v>
      </c>
      <c r="T152" s="777">
        <v>22.45</v>
      </c>
      <c r="U152" s="777">
        <v>23.04</v>
      </c>
      <c r="V152" s="777">
        <v>23.8</v>
      </c>
      <c r="W152" s="777">
        <v>24.66</v>
      </c>
      <c r="X152" s="777">
        <v>25.52</v>
      </c>
      <c r="Y152" s="777">
        <v>26.47</v>
      </c>
      <c r="Z152" s="777">
        <v>27.6</v>
      </c>
      <c r="AA152" s="777">
        <v>28.58</v>
      </c>
      <c r="AB152" s="777">
        <v>29.4</v>
      </c>
      <c r="AC152" s="777">
        <v>30.75</v>
      </c>
      <c r="AD152" s="777">
        <v>31.66</v>
      </c>
      <c r="AE152" s="813">
        <v>2.7E-2</v>
      </c>
      <c r="AF152" s="777"/>
      <c r="AG152" s="777"/>
      <c r="AH152" s="777"/>
      <c r="AI152" s="777"/>
      <c r="AJ152" s="777"/>
      <c r="AK152" s="777"/>
      <c r="AL152" s="777"/>
      <c r="AM152" s="777"/>
      <c r="AN152" s="777"/>
      <c r="AO152" s="777"/>
      <c r="AP152" s="777"/>
      <c r="AQ152" s="777"/>
      <c r="AR152" s="777"/>
      <c r="AS152" s="777"/>
      <c r="AT152" s="777"/>
      <c r="AU152" s="777"/>
      <c r="AV152" s="777"/>
      <c r="AW152" s="777"/>
      <c r="AX152" s="777"/>
      <c r="AY152" s="777"/>
      <c r="AZ152" s="777"/>
      <c r="BA152" s="777"/>
      <c r="BB152" s="777"/>
      <c r="BC152" s="777"/>
      <c r="BD152" s="777"/>
      <c r="BE152" s="777"/>
      <c r="BF152" s="777"/>
      <c r="BG152" s="777"/>
      <c r="BH152" s="777"/>
      <c r="BI152" s="777"/>
      <c r="BJ152" s="777"/>
      <c r="BK152" s="777"/>
      <c r="BL152" s="777"/>
      <c r="BM152" s="777"/>
      <c r="BN152" s="777"/>
      <c r="BO152" s="777"/>
      <c r="BP152" s="777"/>
      <c r="BQ152" s="777"/>
      <c r="BR152" s="777"/>
      <c r="BS152" s="777"/>
      <c r="BT152" s="777"/>
    </row>
    <row r="153" spans="1:72" x14ac:dyDescent="0.25">
      <c r="A153" s="777" t="s">
        <v>500</v>
      </c>
      <c r="B153" s="777">
        <v>10.96</v>
      </c>
      <c r="C153" s="777">
        <v>11.94</v>
      </c>
      <c r="D153" s="777">
        <v>9.18</v>
      </c>
      <c r="E153" s="777">
        <v>8.93</v>
      </c>
      <c r="F153" s="777">
        <v>10.15</v>
      </c>
      <c r="G153" s="777">
        <v>10.65</v>
      </c>
      <c r="H153" s="777">
        <v>10.68</v>
      </c>
      <c r="I153" s="777">
        <v>10.8</v>
      </c>
      <c r="J153" s="777">
        <v>11.14</v>
      </c>
      <c r="K153" s="777">
        <v>11.44</v>
      </c>
      <c r="L153" s="777">
        <v>11.67</v>
      </c>
      <c r="M153" s="777">
        <v>11.96</v>
      </c>
      <c r="N153" s="777">
        <v>12.27</v>
      </c>
      <c r="O153" s="777">
        <v>12.65</v>
      </c>
      <c r="P153" s="777">
        <v>13.05</v>
      </c>
      <c r="Q153" s="777">
        <v>13.58</v>
      </c>
      <c r="R153" s="777">
        <v>13.92</v>
      </c>
      <c r="S153" s="777">
        <v>14.13</v>
      </c>
      <c r="T153" s="777">
        <v>14.53</v>
      </c>
      <c r="U153" s="777">
        <v>15.05</v>
      </c>
      <c r="V153" s="777">
        <v>15.62</v>
      </c>
      <c r="W153" s="777">
        <v>16.3</v>
      </c>
      <c r="X153" s="777">
        <v>17.010000000000002</v>
      </c>
      <c r="Y153" s="777">
        <v>17.78</v>
      </c>
      <c r="Z153" s="777">
        <v>18.690000000000001</v>
      </c>
      <c r="AA153" s="777">
        <v>19.329999999999998</v>
      </c>
      <c r="AB153" s="777">
        <v>19.86</v>
      </c>
      <c r="AC153" s="777">
        <v>20.61</v>
      </c>
      <c r="AD153" s="777">
        <v>21.27</v>
      </c>
      <c r="AE153" s="813">
        <v>2.1999999999999999E-2</v>
      </c>
      <c r="AF153" s="777"/>
      <c r="AG153" s="777"/>
      <c r="AH153" s="777"/>
      <c r="AI153" s="777"/>
      <c r="AJ153" s="777"/>
      <c r="AK153" s="777"/>
      <c r="AL153" s="777"/>
      <c r="AM153" s="777"/>
      <c r="AN153" s="777"/>
      <c r="AO153" s="777"/>
      <c r="AP153" s="777"/>
      <c r="AQ153" s="777"/>
      <c r="AR153" s="777"/>
      <c r="AS153" s="777"/>
      <c r="AT153" s="777"/>
      <c r="AU153" s="777"/>
      <c r="AV153" s="777"/>
      <c r="AW153" s="777"/>
      <c r="AX153" s="777"/>
      <c r="AY153" s="777"/>
      <c r="AZ153" s="777"/>
      <c r="BA153" s="777"/>
      <c r="BB153" s="777"/>
      <c r="BC153" s="777"/>
      <c r="BD153" s="777"/>
      <c r="BE153" s="777"/>
      <c r="BF153" s="777"/>
      <c r="BG153" s="777"/>
      <c r="BH153" s="777"/>
      <c r="BI153" s="777"/>
      <c r="BJ153" s="777"/>
      <c r="BK153" s="777"/>
      <c r="BL153" s="777"/>
      <c r="BM153" s="777"/>
      <c r="BN153" s="777"/>
      <c r="BO153" s="777"/>
      <c r="BP153" s="777"/>
      <c r="BQ153" s="777"/>
      <c r="BR153" s="777"/>
      <c r="BS153" s="777"/>
      <c r="BT153" s="777"/>
    </row>
    <row r="154" spans="1:72" x14ac:dyDescent="0.25">
      <c r="A154" s="777" t="s">
        <v>469</v>
      </c>
      <c r="B154" s="777">
        <v>28.18</v>
      </c>
      <c r="C154" s="777">
        <v>30.47</v>
      </c>
      <c r="D154" s="777">
        <v>29.38</v>
      </c>
      <c r="E154" s="777">
        <v>28.19</v>
      </c>
      <c r="F154" s="777">
        <v>26.85</v>
      </c>
      <c r="G154" s="777">
        <v>28.28</v>
      </c>
      <c r="H154" s="777">
        <v>28.88</v>
      </c>
      <c r="I154" s="777">
        <v>29.09</v>
      </c>
      <c r="J154" s="777">
        <v>29.58</v>
      </c>
      <c r="K154" s="777">
        <v>30.41</v>
      </c>
      <c r="L154" s="777">
        <v>31.16</v>
      </c>
      <c r="M154" s="777">
        <v>31.75</v>
      </c>
      <c r="N154" s="777">
        <v>32.270000000000003</v>
      </c>
      <c r="O154" s="777">
        <v>33.15</v>
      </c>
      <c r="P154" s="777">
        <v>34.090000000000003</v>
      </c>
      <c r="Q154" s="777">
        <v>34.97</v>
      </c>
      <c r="R154" s="777">
        <v>35.99</v>
      </c>
      <c r="S154" s="777">
        <v>36.94</v>
      </c>
      <c r="T154" s="777">
        <v>37.619999999999997</v>
      </c>
      <c r="U154" s="777">
        <v>38.61</v>
      </c>
      <c r="V154" s="777">
        <v>39.68</v>
      </c>
      <c r="W154" s="777">
        <v>40.82</v>
      </c>
      <c r="X154" s="777">
        <v>42.33</v>
      </c>
      <c r="Y154" s="777">
        <v>43.75</v>
      </c>
      <c r="Z154" s="777">
        <v>45.32</v>
      </c>
      <c r="AA154" s="777">
        <v>46.89</v>
      </c>
      <c r="AB154" s="777">
        <v>48.18</v>
      </c>
      <c r="AC154" s="777">
        <v>49.63</v>
      </c>
      <c r="AD154" s="777">
        <v>51.04</v>
      </c>
      <c r="AE154" s="813">
        <v>1.9E-2</v>
      </c>
      <c r="AF154" s="777"/>
      <c r="AG154" s="777"/>
      <c r="AH154" s="777"/>
      <c r="AI154" s="777"/>
      <c r="AJ154" s="777"/>
      <c r="AK154" s="777"/>
      <c r="AL154" s="777"/>
      <c r="AM154" s="777"/>
      <c r="AN154" s="777"/>
      <c r="AO154" s="777"/>
      <c r="AP154" s="777"/>
      <c r="AQ154" s="777"/>
      <c r="AR154" s="777"/>
      <c r="AS154" s="777"/>
      <c r="AT154" s="777"/>
      <c r="AU154" s="777"/>
      <c r="AV154" s="777"/>
      <c r="AW154" s="777"/>
      <c r="AX154" s="777"/>
      <c r="AY154" s="777"/>
      <c r="AZ154" s="777"/>
      <c r="BA154" s="777"/>
      <c r="BB154" s="777"/>
      <c r="BC154" s="777"/>
      <c r="BD154" s="777"/>
      <c r="BE154" s="777"/>
      <c r="BF154" s="777"/>
      <c r="BG154" s="777"/>
      <c r="BH154" s="777"/>
      <c r="BI154" s="777"/>
      <c r="BJ154" s="777"/>
      <c r="BK154" s="777"/>
      <c r="BL154" s="777"/>
      <c r="BM154" s="777"/>
      <c r="BN154" s="777"/>
      <c r="BO154" s="777"/>
      <c r="BP154" s="777"/>
      <c r="BQ154" s="777"/>
      <c r="BR154" s="777"/>
      <c r="BS154" s="777"/>
      <c r="BT154" s="777"/>
    </row>
    <row r="155" spans="1:72" x14ac:dyDescent="0.25">
      <c r="A155" s="777"/>
      <c r="B155" s="777"/>
      <c r="C155" s="777"/>
      <c r="D155" s="777"/>
      <c r="E155" s="777"/>
      <c r="F155" s="777"/>
      <c r="G155" s="777"/>
      <c r="H155" s="777"/>
      <c r="I155" s="777"/>
      <c r="J155" s="777"/>
      <c r="K155" s="777"/>
      <c r="L155" s="777"/>
      <c r="M155" s="777"/>
      <c r="N155" s="777"/>
      <c r="O155" s="777"/>
      <c r="P155" s="777"/>
      <c r="Q155" s="777"/>
      <c r="R155" s="777"/>
      <c r="S155" s="777"/>
      <c r="T155" s="777"/>
      <c r="U155" s="777"/>
      <c r="V155" s="777"/>
      <c r="W155" s="777"/>
      <c r="X155" s="777"/>
      <c r="Y155" s="777"/>
      <c r="Z155" s="777"/>
      <c r="AA155" s="777"/>
      <c r="AB155" s="777"/>
      <c r="AC155" s="777"/>
      <c r="AD155" s="777"/>
      <c r="AE155" s="777"/>
      <c r="AF155" s="777"/>
      <c r="AG155" s="777"/>
      <c r="AH155" s="777"/>
      <c r="AI155" s="777"/>
      <c r="AJ155" s="777"/>
      <c r="AK155" s="777"/>
      <c r="AL155" s="777"/>
      <c r="AM155" s="777"/>
      <c r="AN155" s="777"/>
      <c r="AO155" s="777"/>
      <c r="AP155" s="777"/>
      <c r="AQ155" s="777"/>
      <c r="AR155" s="777"/>
      <c r="AS155" s="777"/>
      <c r="AT155" s="777"/>
      <c r="AU155" s="777"/>
      <c r="AV155" s="777"/>
      <c r="AW155" s="777"/>
      <c r="AX155" s="777"/>
      <c r="AY155" s="777"/>
      <c r="AZ155" s="777"/>
      <c r="BA155" s="777"/>
      <c r="BB155" s="777"/>
      <c r="BC155" s="777"/>
      <c r="BD155" s="777"/>
      <c r="BE155" s="777"/>
      <c r="BF155" s="777"/>
      <c r="BG155" s="777"/>
      <c r="BH155" s="777"/>
      <c r="BI155" s="777"/>
      <c r="BJ155" s="777"/>
      <c r="BK155" s="777"/>
      <c r="BL155" s="777"/>
      <c r="BM155" s="777"/>
      <c r="BN155" s="777"/>
      <c r="BO155" s="777"/>
      <c r="BP155" s="777"/>
      <c r="BQ155" s="777"/>
      <c r="BR155" s="777"/>
      <c r="BS155" s="777"/>
      <c r="BT155" s="777"/>
    </row>
    <row r="156" spans="1:72" x14ac:dyDescent="0.25">
      <c r="A156" s="777" t="s">
        <v>601</v>
      </c>
      <c r="B156" s="777"/>
      <c r="C156" s="777"/>
      <c r="D156" s="777"/>
      <c r="E156" s="777"/>
      <c r="F156" s="777"/>
      <c r="G156" s="777"/>
      <c r="H156" s="777"/>
      <c r="I156" s="777"/>
      <c r="J156" s="777"/>
      <c r="K156" s="777"/>
      <c r="L156" s="777"/>
      <c r="M156" s="777"/>
      <c r="N156" s="777"/>
      <c r="O156" s="777"/>
      <c r="P156" s="777"/>
      <c r="Q156" s="777"/>
      <c r="R156" s="777"/>
      <c r="S156" s="777"/>
      <c r="T156" s="777"/>
      <c r="U156" s="777"/>
      <c r="V156" s="777"/>
      <c r="W156" s="777"/>
      <c r="X156" s="777"/>
      <c r="Y156" s="777"/>
      <c r="Z156" s="777"/>
      <c r="AA156" s="777"/>
      <c r="AB156" s="777"/>
      <c r="AC156" s="777"/>
      <c r="AD156" s="777"/>
      <c r="AE156" s="777"/>
      <c r="AF156" s="777"/>
      <c r="AG156" s="777"/>
      <c r="AH156" s="777"/>
      <c r="AI156" s="777"/>
      <c r="AJ156" s="777"/>
      <c r="AK156" s="777"/>
      <c r="AL156" s="777"/>
      <c r="AM156" s="777"/>
      <c r="AN156" s="777"/>
      <c r="AO156" s="777"/>
      <c r="AP156" s="777"/>
      <c r="AQ156" s="777"/>
      <c r="AR156" s="777"/>
      <c r="AS156" s="777"/>
      <c r="AT156" s="777"/>
      <c r="AU156" s="777"/>
      <c r="AV156" s="777"/>
      <c r="AW156" s="777"/>
      <c r="AX156" s="777"/>
      <c r="AY156" s="777"/>
      <c r="AZ156" s="777"/>
      <c r="BA156" s="777"/>
      <c r="BB156" s="777"/>
      <c r="BC156" s="777"/>
      <c r="BD156" s="777"/>
      <c r="BE156" s="777"/>
      <c r="BF156" s="777"/>
      <c r="BG156" s="777"/>
      <c r="BH156" s="777"/>
      <c r="BI156" s="777"/>
      <c r="BJ156" s="777"/>
      <c r="BK156" s="777"/>
      <c r="BL156" s="777"/>
      <c r="BM156" s="777"/>
      <c r="BN156" s="777"/>
      <c r="BO156" s="777"/>
      <c r="BP156" s="777"/>
      <c r="BQ156" s="777"/>
      <c r="BR156" s="777"/>
      <c r="BS156" s="777"/>
      <c r="BT156" s="777"/>
    </row>
    <row r="157" spans="1:72" x14ac:dyDescent="0.25">
      <c r="A157" s="777" t="s">
        <v>598</v>
      </c>
      <c r="B157" s="777">
        <v>21.53</v>
      </c>
      <c r="C157" s="777">
        <v>24.2</v>
      </c>
      <c r="D157" s="777">
        <v>18.920000000000002</v>
      </c>
      <c r="E157" s="777">
        <v>18.920000000000002</v>
      </c>
      <c r="F157" s="777">
        <v>19.260000000000002</v>
      </c>
      <c r="G157" s="777">
        <v>20.76</v>
      </c>
      <c r="H157" s="777">
        <v>22.51</v>
      </c>
      <c r="I157" s="777">
        <v>24</v>
      </c>
      <c r="J157" s="777">
        <v>25.06</v>
      </c>
      <c r="K157" s="777">
        <v>26.38</v>
      </c>
      <c r="L157" s="777">
        <v>27.45</v>
      </c>
      <c r="M157" s="777">
        <v>28.6</v>
      </c>
      <c r="N157" s="777">
        <v>29.51</v>
      </c>
      <c r="O157" s="777">
        <v>30.38</v>
      </c>
      <c r="P157" s="777">
        <v>31.31</v>
      </c>
      <c r="Q157" s="777">
        <v>32.270000000000003</v>
      </c>
      <c r="R157" s="777">
        <v>33.340000000000003</v>
      </c>
      <c r="S157" s="777">
        <v>34.39</v>
      </c>
      <c r="T157" s="777">
        <v>35.450000000000003</v>
      </c>
      <c r="U157" s="777">
        <v>36.4</v>
      </c>
      <c r="V157" s="777">
        <v>37.549999999999997</v>
      </c>
      <c r="W157" s="777">
        <v>38.729999999999997</v>
      </c>
      <c r="X157" s="777">
        <v>40.1</v>
      </c>
      <c r="Y157" s="777">
        <v>41.33</v>
      </c>
      <c r="Z157" s="777">
        <v>42.81</v>
      </c>
      <c r="AA157" s="777">
        <v>44.29</v>
      </c>
      <c r="AB157" s="777">
        <v>45.9</v>
      </c>
      <c r="AC157" s="777">
        <v>47.5</v>
      </c>
      <c r="AD157" s="777">
        <v>49.15</v>
      </c>
      <c r="AE157" s="813">
        <v>2.7E-2</v>
      </c>
      <c r="AF157" s="777"/>
      <c r="AG157" s="777"/>
      <c r="AH157" s="777"/>
      <c r="AI157" s="777"/>
      <c r="AJ157" s="777"/>
      <c r="AK157" s="777"/>
      <c r="AL157" s="777"/>
      <c r="AM157" s="777"/>
      <c r="AN157" s="777"/>
      <c r="AO157" s="777"/>
      <c r="AP157" s="777"/>
      <c r="AQ157" s="777"/>
      <c r="AR157" s="777"/>
      <c r="AS157" s="777"/>
      <c r="AT157" s="777"/>
      <c r="AU157" s="777"/>
      <c r="AV157" s="777"/>
      <c r="AW157" s="777"/>
      <c r="AX157" s="777"/>
      <c r="AY157" s="777"/>
      <c r="AZ157" s="777"/>
      <c r="BA157" s="777"/>
      <c r="BB157" s="777"/>
      <c r="BC157" s="777"/>
      <c r="BD157" s="777"/>
      <c r="BE157" s="777"/>
      <c r="BF157" s="777"/>
      <c r="BG157" s="777"/>
      <c r="BH157" s="777"/>
      <c r="BI157" s="777"/>
      <c r="BJ157" s="777"/>
      <c r="BK157" s="777"/>
      <c r="BL157" s="777"/>
      <c r="BM157" s="777"/>
      <c r="BN157" s="777"/>
      <c r="BO157" s="777"/>
      <c r="BP157" s="777"/>
      <c r="BQ157" s="777"/>
      <c r="BR157" s="777"/>
      <c r="BS157" s="777"/>
      <c r="BT157" s="777"/>
    </row>
    <row r="158" spans="1:72" x14ac:dyDescent="0.25">
      <c r="A158" s="777" t="s">
        <v>599</v>
      </c>
      <c r="B158" s="777">
        <v>17.68</v>
      </c>
      <c r="C158" s="777">
        <v>22.31</v>
      </c>
      <c r="D158" s="777">
        <v>16.649999999999999</v>
      </c>
      <c r="E158" s="777">
        <v>14.82</v>
      </c>
      <c r="F158" s="777">
        <v>16.05</v>
      </c>
      <c r="G158" s="777">
        <v>17.52</v>
      </c>
      <c r="H158" s="777">
        <v>18.95</v>
      </c>
      <c r="I158" s="777">
        <v>20.07</v>
      </c>
      <c r="J158" s="777">
        <v>21.18</v>
      </c>
      <c r="K158" s="777">
        <v>22.46</v>
      </c>
      <c r="L158" s="777">
        <v>23.62</v>
      </c>
      <c r="M158" s="777">
        <v>24.81</v>
      </c>
      <c r="N158" s="777">
        <v>25.76</v>
      </c>
      <c r="O158" s="777">
        <v>26.68</v>
      </c>
      <c r="P158" s="777">
        <v>27.5</v>
      </c>
      <c r="Q158" s="777">
        <v>28.52</v>
      </c>
      <c r="R158" s="777">
        <v>29.39</v>
      </c>
      <c r="S158" s="777">
        <v>30.15</v>
      </c>
      <c r="T158" s="777">
        <v>31.18</v>
      </c>
      <c r="U158" s="777">
        <v>32.159999999999997</v>
      </c>
      <c r="V158" s="777">
        <v>33.21</v>
      </c>
      <c r="W158" s="777">
        <v>34.409999999999997</v>
      </c>
      <c r="X158" s="777">
        <v>35.770000000000003</v>
      </c>
      <c r="Y158" s="777">
        <v>36.83</v>
      </c>
      <c r="Z158" s="777">
        <v>38.33</v>
      </c>
      <c r="AA158" s="777">
        <v>39.83</v>
      </c>
      <c r="AB158" s="777">
        <v>41.25</v>
      </c>
      <c r="AC158" s="777">
        <v>42.82</v>
      </c>
      <c r="AD158" s="777">
        <v>44.51</v>
      </c>
      <c r="AE158" s="813">
        <v>2.5999999999999999E-2</v>
      </c>
      <c r="AF158" s="777"/>
      <c r="AG158" s="777"/>
      <c r="AH158" s="777"/>
      <c r="AI158" s="777"/>
      <c r="AJ158" s="777"/>
      <c r="AK158" s="777"/>
      <c r="AL158" s="777"/>
      <c r="AM158" s="777"/>
      <c r="AN158" s="777"/>
      <c r="AO158" s="777"/>
      <c r="AP158" s="777"/>
      <c r="AQ158" s="777"/>
      <c r="AR158" s="777"/>
      <c r="AS158" s="777"/>
      <c r="AT158" s="777"/>
      <c r="AU158" s="777"/>
      <c r="AV158" s="777"/>
      <c r="AW158" s="777"/>
      <c r="AX158" s="777"/>
      <c r="AY158" s="777"/>
      <c r="AZ158" s="777"/>
      <c r="BA158" s="777"/>
      <c r="BB158" s="777"/>
      <c r="BC158" s="777"/>
      <c r="BD158" s="777"/>
      <c r="BE158" s="777"/>
      <c r="BF158" s="777"/>
      <c r="BG158" s="777"/>
      <c r="BH158" s="777"/>
      <c r="BI158" s="777"/>
      <c r="BJ158" s="777"/>
      <c r="BK158" s="777"/>
      <c r="BL158" s="777"/>
      <c r="BM158" s="777"/>
      <c r="BN158" s="777"/>
      <c r="BO158" s="777"/>
      <c r="BP158" s="777"/>
      <c r="BQ158" s="777"/>
      <c r="BR158" s="777"/>
      <c r="BS158" s="777"/>
      <c r="BT158" s="777"/>
    </row>
    <row r="159" spans="1:72" x14ac:dyDescent="0.25">
      <c r="A159" s="777" t="s">
        <v>600</v>
      </c>
      <c r="B159" s="777">
        <v>8.65</v>
      </c>
      <c r="C159" s="777">
        <v>16.309999999999999</v>
      </c>
      <c r="D159" s="777">
        <v>9.89</v>
      </c>
      <c r="E159" s="777">
        <v>13.52</v>
      </c>
      <c r="F159" s="777">
        <v>13.82</v>
      </c>
      <c r="G159" s="777">
        <v>15.16</v>
      </c>
      <c r="H159" s="777">
        <v>16.489999999999998</v>
      </c>
      <c r="I159" s="777">
        <v>17.62</v>
      </c>
      <c r="J159" s="777">
        <v>18.350000000000001</v>
      </c>
      <c r="K159" s="777">
        <v>19.239999999999998</v>
      </c>
      <c r="L159" s="777">
        <v>20.059999999999999</v>
      </c>
      <c r="M159" s="777">
        <v>20.97</v>
      </c>
      <c r="N159" s="777">
        <v>21.68</v>
      </c>
      <c r="O159" s="777">
        <v>22.24</v>
      </c>
      <c r="P159" s="777">
        <v>23</v>
      </c>
      <c r="Q159" s="777">
        <v>23.74</v>
      </c>
      <c r="R159" s="777">
        <v>24.52</v>
      </c>
      <c r="S159" s="777">
        <v>25.31</v>
      </c>
      <c r="T159" s="777">
        <v>26.1</v>
      </c>
      <c r="U159" s="777">
        <v>26.74</v>
      </c>
      <c r="V159" s="777">
        <v>27.57</v>
      </c>
      <c r="W159" s="777">
        <v>28.51</v>
      </c>
      <c r="X159" s="777">
        <v>29.51</v>
      </c>
      <c r="Y159" s="777">
        <v>30.6</v>
      </c>
      <c r="Z159" s="777">
        <v>31.8</v>
      </c>
      <c r="AA159" s="777">
        <v>32.92</v>
      </c>
      <c r="AB159" s="777">
        <v>34.03</v>
      </c>
      <c r="AC159" s="777">
        <v>35.29</v>
      </c>
      <c r="AD159" s="777">
        <v>36.5</v>
      </c>
      <c r="AE159" s="813">
        <v>0.03</v>
      </c>
      <c r="AF159" s="777"/>
      <c r="AG159" s="777"/>
      <c r="AH159" s="777"/>
      <c r="AI159" s="777"/>
      <c r="AJ159" s="777"/>
      <c r="AK159" s="777"/>
      <c r="AL159" s="777"/>
      <c r="AM159" s="777"/>
      <c r="AN159" s="777"/>
      <c r="AO159" s="777"/>
      <c r="AP159" s="777"/>
      <c r="AQ159" s="777"/>
      <c r="AR159" s="777"/>
      <c r="AS159" s="777"/>
      <c r="AT159" s="777"/>
      <c r="AU159" s="777"/>
      <c r="AV159" s="777"/>
      <c r="AW159" s="777"/>
      <c r="AX159" s="777"/>
      <c r="AY159" s="777"/>
      <c r="AZ159" s="777"/>
      <c r="BA159" s="777"/>
      <c r="BB159" s="777"/>
      <c r="BC159" s="777"/>
      <c r="BD159" s="777"/>
      <c r="BE159" s="777"/>
      <c r="BF159" s="777"/>
      <c r="BG159" s="777"/>
      <c r="BH159" s="777"/>
      <c r="BI159" s="777"/>
      <c r="BJ159" s="777"/>
      <c r="BK159" s="777"/>
      <c r="BL159" s="777"/>
      <c r="BM159" s="777"/>
      <c r="BN159" s="777"/>
      <c r="BO159" s="777"/>
      <c r="BP159" s="777"/>
      <c r="BQ159" s="777"/>
      <c r="BR159" s="777"/>
      <c r="BS159" s="777"/>
      <c r="BT159" s="777"/>
    </row>
    <row r="160" spans="1:72" x14ac:dyDescent="0.25">
      <c r="A160" s="777" t="s">
        <v>602</v>
      </c>
      <c r="B160" s="777">
        <v>7.41</v>
      </c>
      <c r="C160" s="777">
        <v>9.11</v>
      </c>
      <c r="D160" s="777">
        <v>4.26</v>
      </c>
      <c r="E160" s="777">
        <v>5.0199999999999996</v>
      </c>
      <c r="F160" s="777">
        <v>6.23</v>
      </c>
      <c r="G160" s="777">
        <v>6.76</v>
      </c>
      <c r="H160" s="777">
        <v>6.82</v>
      </c>
      <c r="I160" s="777">
        <v>6.89</v>
      </c>
      <c r="J160" s="777">
        <v>7.18</v>
      </c>
      <c r="K160" s="777">
        <v>7.39</v>
      </c>
      <c r="L160" s="777">
        <v>7.52</v>
      </c>
      <c r="M160" s="777">
        <v>7.71</v>
      </c>
      <c r="N160" s="777">
        <v>7.91</v>
      </c>
      <c r="O160" s="777">
        <v>8.19</v>
      </c>
      <c r="P160" s="777">
        <v>8.4700000000000006</v>
      </c>
      <c r="Q160" s="777">
        <v>8.8800000000000008</v>
      </c>
      <c r="R160" s="777">
        <v>9.14</v>
      </c>
      <c r="S160" s="777">
        <v>9.26</v>
      </c>
      <c r="T160" s="777">
        <v>9.52</v>
      </c>
      <c r="U160" s="777">
        <v>9.9</v>
      </c>
      <c r="V160" s="777">
        <v>10.31</v>
      </c>
      <c r="W160" s="777">
        <v>10.85</v>
      </c>
      <c r="X160" s="777">
        <v>11.41</v>
      </c>
      <c r="Y160" s="777">
        <v>12.04</v>
      </c>
      <c r="Z160" s="777">
        <v>12.79</v>
      </c>
      <c r="AA160" s="777">
        <v>13.25</v>
      </c>
      <c r="AB160" s="777">
        <v>13.56</v>
      </c>
      <c r="AC160" s="777">
        <v>14.17</v>
      </c>
      <c r="AD160" s="777">
        <v>14.67</v>
      </c>
      <c r="AE160" s="813">
        <v>1.7999999999999999E-2</v>
      </c>
      <c r="AF160" s="777"/>
      <c r="AG160" s="777"/>
      <c r="AH160" s="777"/>
      <c r="AI160" s="777"/>
      <c r="AJ160" s="777"/>
      <c r="AK160" s="777"/>
      <c r="AL160" s="777"/>
      <c r="AM160" s="777"/>
      <c r="AN160" s="777"/>
      <c r="AO160" s="777"/>
      <c r="AP160" s="777"/>
      <c r="AQ160" s="777"/>
      <c r="AR160" s="777"/>
      <c r="AS160" s="777"/>
      <c r="AT160" s="777"/>
      <c r="AU160" s="777"/>
      <c r="AV160" s="777"/>
      <c r="AW160" s="777"/>
      <c r="AX160" s="777"/>
      <c r="AY160" s="777"/>
      <c r="AZ160" s="777"/>
      <c r="BA160" s="777"/>
      <c r="BB160" s="777"/>
      <c r="BC160" s="777"/>
      <c r="BD160" s="777"/>
      <c r="BE160" s="777"/>
      <c r="BF160" s="777"/>
      <c r="BG160" s="777"/>
      <c r="BH160" s="777"/>
      <c r="BI160" s="777"/>
      <c r="BJ160" s="777"/>
      <c r="BK160" s="777"/>
      <c r="BL160" s="777"/>
      <c r="BM160" s="777"/>
      <c r="BN160" s="777"/>
      <c r="BO160" s="777"/>
      <c r="BP160" s="777"/>
      <c r="BQ160" s="777"/>
      <c r="BR160" s="777"/>
      <c r="BS160" s="777"/>
      <c r="BT160" s="777"/>
    </row>
    <row r="161" spans="1:72" x14ac:dyDescent="0.25">
      <c r="A161" s="777" t="s">
        <v>603</v>
      </c>
      <c r="B161" s="777">
        <v>3.61</v>
      </c>
      <c r="C161" s="777">
        <v>4.49</v>
      </c>
      <c r="D161" s="777">
        <v>4.79</v>
      </c>
      <c r="E161" s="777">
        <v>4.9400000000000004</v>
      </c>
      <c r="F161" s="777">
        <v>5.07</v>
      </c>
      <c r="G161" s="777">
        <v>5.31</v>
      </c>
      <c r="H161" s="777">
        <v>5.44</v>
      </c>
      <c r="I161" s="777">
        <v>5.56</v>
      </c>
      <c r="J161" s="777">
        <v>5.66</v>
      </c>
      <c r="K161" s="777">
        <v>5.77</v>
      </c>
      <c r="L161" s="777">
        <v>5.97</v>
      </c>
      <c r="M161" s="777">
        <v>6.14</v>
      </c>
      <c r="N161" s="777">
        <v>6.34</v>
      </c>
      <c r="O161" s="777">
        <v>6.5</v>
      </c>
      <c r="P161" s="777">
        <v>6.68</v>
      </c>
      <c r="Q161" s="777">
        <v>6.84</v>
      </c>
      <c r="R161" s="777">
        <v>6.98</v>
      </c>
      <c r="S161" s="777">
        <v>7.07</v>
      </c>
      <c r="T161" s="777">
        <v>7.11</v>
      </c>
      <c r="U161" s="777">
        <v>7.15</v>
      </c>
      <c r="V161" s="777">
        <v>7.27</v>
      </c>
      <c r="W161" s="777">
        <v>7.43</v>
      </c>
      <c r="X161" s="777">
        <v>7.55</v>
      </c>
      <c r="Y161" s="777">
        <v>7.72</v>
      </c>
      <c r="Z161" s="777">
        <v>7.86</v>
      </c>
      <c r="AA161" s="777">
        <v>8.02</v>
      </c>
      <c r="AB161" s="777">
        <v>8.18</v>
      </c>
      <c r="AC161" s="777">
        <v>8.33</v>
      </c>
      <c r="AD161" s="777">
        <v>8.5</v>
      </c>
      <c r="AE161" s="813">
        <v>2.4E-2</v>
      </c>
      <c r="AF161" s="777"/>
      <c r="AG161" s="777"/>
      <c r="AH161" s="777"/>
      <c r="AI161" s="777"/>
      <c r="AJ161" s="777"/>
      <c r="AK161" s="777"/>
      <c r="AL161" s="777"/>
      <c r="AM161" s="777"/>
      <c r="AN161" s="777"/>
      <c r="AO161" s="777"/>
      <c r="AP161" s="777"/>
      <c r="AQ161" s="777"/>
      <c r="AR161" s="777"/>
      <c r="AS161" s="777"/>
      <c r="AT161" s="777"/>
      <c r="AU161" s="777"/>
      <c r="AV161" s="777"/>
      <c r="AW161" s="777"/>
      <c r="AX161" s="777"/>
      <c r="AY161" s="777"/>
      <c r="AZ161" s="777"/>
      <c r="BA161" s="777"/>
      <c r="BB161" s="777"/>
      <c r="BC161" s="777"/>
      <c r="BD161" s="777"/>
      <c r="BE161" s="777"/>
      <c r="BF161" s="777"/>
      <c r="BG161" s="777"/>
      <c r="BH161" s="777"/>
      <c r="BI161" s="777"/>
      <c r="BJ161" s="777"/>
      <c r="BK161" s="777"/>
      <c r="BL161" s="777"/>
      <c r="BM161" s="777"/>
      <c r="BN161" s="777"/>
      <c r="BO161" s="777"/>
      <c r="BP161" s="777"/>
      <c r="BQ161" s="777"/>
      <c r="BR161" s="777"/>
      <c r="BS161" s="777"/>
      <c r="BT161" s="777"/>
    </row>
    <row r="162" spans="1:72" x14ac:dyDescent="0.25">
      <c r="A162" s="777" t="s">
        <v>604</v>
      </c>
      <c r="B162" s="777">
        <v>2.4300000000000002</v>
      </c>
      <c r="C162" s="777">
        <v>2.84</v>
      </c>
      <c r="D162" s="777">
        <v>2.83</v>
      </c>
      <c r="E162" s="777">
        <v>2.77</v>
      </c>
      <c r="F162" s="777">
        <v>2.81</v>
      </c>
      <c r="G162" s="777">
        <v>2.85</v>
      </c>
      <c r="H162" s="777">
        <v>2.86</v>
      </c>
      <c r="I162" s="777">
        <v>2.93</v>
      </c>
      <c r="J162" s="777">
        <v>3</v>
      </c>
      <c r="K162" s="777">
        <v>3.04</v>
      </c>
      <c r="L162" s="777">
        <v>3.11</v>
      </c>
      <c r="M162" s="777">
        <v>3.16</v>
      </c>
      <c r="N162" s="777">
        <v>3.2</v>
      </c>
      <c r="O162" s="777">
        <v>3.26</v>
      </c>
      <c r="P162" s="777">
        <v>3.31</v>
      </c>
      <c r="Q162" s="777">
        <v>3.38</v>
      </c>
      <c r="R162" s="777">
        <v>3.43</v>
      </c>
      <c r="S162" s="777">
        <v>3.5</v>
      </c>
      <c r="T162" s="777">
        <v>3.56</v>
      </c>
      <c r="U162" s="777">
        <v>3.65</v>
      </c>
      <c r="V162" s="777">
        <v>3.72</v>
      </c>
      <c r="W162" s="777">
        <v>3.82</v>
      </c>
      <c r="X162" s="777">
        <v>3.91</v>
      </c>
      <c r="Y162" s="777">
        <v>4.01</v>
      </c>
      <c r="Z162" s="777">
        <v>4.12</v>
      </c>
      <c r="AA162" s="777">
        <v>4.21</v>
      </c>
      <c r="AB162" s="777">
        <v>4.33</v>
      </c>
      <c r="AC162" s="777">
        <v>4.4400000000000004</v>
      </c>
      <c r="AD162" s="777">
        <v>4.55</v>
      </c>
      <c r="AE162" s="813">
        <v>1.7999999999999999E-2</v>
      </c>
      <c r="AF162" s="777"/>
      <c r="AG162" s="777"/>
      <c r="AH162" s="777"/>
      <c r="AI162" s="777"/>
      <c r="AJ162" s="777"/>
      <c r="AK162" s="777"/>
      <c r="AL162" s="777"/>
      <c r="AM162" s="777"/>
      <c r="AN162" s="777"/>
      <c r="AO162" s="777"/>
      <c r="AP162" s="777"/>
      <c r="AQ162" s="777"/>
      <c r="AR162" s="777"/>
      <c r="AS162" s="777"/>
      <c r="AT162" s="777"/>
      <c r="AU162" s="777"/>
      <c r="AV162" s="777"/>
      <c r="AW162" s="777"/>
      <c r="AX162" s="777"/>
      <c r="AY162" s="777"/>
      <c r="AZ162" s="777"/>
      <c r="BA162" s="777"/>
      <c r="BB162" s="777"/>
      <c r="BC162" s="777"/>
      <c r="BD162" s="777"/>
      <c r="BE162" s="777"/>
      <c r="BF162" s="777"/>
      <c r="BG162" s="777"/>
      <c r="BH162" s="777"/>
      <c r="BI162" s="777"/>
      <c r="BJ162" s="777"/>
      <c r="BK162" s="777"/>
      <c r="BL162" s="777"/>
      <c r="BM162" s="777"/>
      <c r="BN162" s="777"/>
      <c r="BO162" s="777"/>
      <c r="BP162" s="777"/>
      <c r="BQ162" s="777"/>
      <c r="BR162" s="777"/>
      <c r="BS162" s="777"/>
      <c r="BT162" s="777"/>
    </row>
    <row r="163" spans="1:72" x14ac:dyDescent="0.25">
      <c r="A163" s="777" t="s">
        <v>605</v>
      </c>
      <c r="B163" s="777" t="s">
        <v>777</v>
      </c>
      <c r="C163" s="777" t="s">
        <v>777</v>
      </c>
      <c r="D163" s="777" t="s">
        <v>777</v>
      </c>
      <c r="E163" s="777" t="s">
        <v>777</v>
      </c>
      <c r="F163" s="777">
        <v>1.32</v>
      </c>
      <c r="G163" s="777">
        <v>1.1000000000000001</v>
      </c>
      <c r="H163" s="777">
        <v>1.1200000000000001</v>
      </c>
      <c r="I163" s="777">
        <v>1.55</v>
      </c>
      <c r="J163" s="777">
        <v>1.58</v>
      </c>
      <c r="K163" s="777">
        <v>1.65</v>
      </c>
      <c r="L163" s="777">
        <v>1.72</v>
      </c>
      <c r="M163" s="777">
        <v>1.74</v>
      </c>
      <c r="N163" s="777">
        <v>1.76</v>
      </c>
      <c r="O163" s="777">
        <v>1.79</v>
      </c>
      <c r="P163" s="777">
        <v>1.86</v>
      </c>
      <c r="Q163" s="777">
        <v>1.91</v>
      </c>
      <c r="R163" s="777">
        <v>1.98</v>
      </c>
      <c r="S163" s="777">
        <v>1.99</v>
      </c>
      <c r="T163" s="777">
        <v>2.02</v>
      </c>
      <c r="U163" s="777">
        <v>2.04</v>
      </c>
      <c r="V163" s="777">
        <v>2.0699999999999998</v>
      </c>
      <c r="W163" s="777">
        <v>2.1</v>
      </c>
      <c r="X163" s="777">
        <v>2.13</v>
      </c>
      <c r="Y163" s="777">
        <v>2.1800000000000002</v>
      </c>
      <c r="Z163" s="777">
        <v>2.2200000000000002</v>
      </c>
      <c r="AA163" s="777">
        <v>2.2799999999999998</v>
      </c>
      <c r="AB163" s="777">
        <v>2.35</v>
      </c>
      <c r="AC163" s="777">
        <v>2.44</v>
      </c>
      <c r="AD163" s="777">
        <v>2.5299999999999998</v>
      </c>
      <c r="AE163" s="777" t="s">
        <v>777</v>
      </c>
      <c r="AF163" s="777"/>
      <c r="AG163" s="777"/>
      <c r="AH163" s="777"/>
      <c r="AI163" s="777"/>
      <c r="AJ163" s="777"/>
      <c r="AK163" s="777"/>
      <c r="AL163" s="777"/>
      <c r="AM163" s="777"/>
      <c r="AN163" s="777"/>
      <c r="AO163" s="777"/>
      <c r="AP163" s="777"/>
      <c r="AQ163" s="777"/>
      <c r="AR163" s="777"/>
      <c r="AS163" s="777"/>
      <c r="AT163" s="777"/>
      <c r="AU163" s="777"/>
      <c r="AV163" s="777"/>
      <c r="AW163" s="777"/>
      <c r="AX163" s="777"/>
      <c r="AY163" s="777"/>
      <c r="AZ163" s="777"/>
      <c r="BA163" s="777"/>
      <c r="BB163" s="777"/>
      <c r="BC163" s="777"/>
      <c r="BD163" s="777"/>
      <c r="BE163" s="777"/>
      <c r="BF163" s="777"/>
      <c r="BG163" s="777"/>
      <c r="BH163" s="777"/>
      <c r="BI163" s="777"/>
      <c r="BJ163" s="777"/>
      <c r="BK163" s="777"/>
      <c r="BL163" s="777"/>
      <c r="BM163" s="777"/>
      <c r="BN163" s="777"/>
      <c r="BO163" s="777"/>
      <c r="BP163" s="777"/>
      <c r="BQ163" s="777"/>
      <c r="BR163" s="777"/>
      <c r="BS163" s="777"/>
      <c r="BT163" s="777"/>
    </row>
    <row r="164" spans="1:72" x14ac:dyDescent="0.25">
      <c r="A164" s="777" t="s">
        <v>469</v>
      </c>
      <c r="B164" s="777">
        <v>18.600000000000001</v>
      </c>
      <c r="C164" s="777">
        <v>20.21</v>
      </c>
      <c r="D164" s="777">
        <v>20.350000000000001</v>
      </c>
      <c r="E164" s="777">
        <v>19.73</v>
      </c>
      <c r="F164" s="777">
        <v>17.86</v>
      </c>
      <c r="G164" s="777">
        <v>18.77</v>
      </c>
      <c r="H164" s="777">
        <v>18.98</v>
      </c>
      <c r="I164" s="777">
        <v>19.010000000000002</v>
      </c>
      <c r="J164" s="777">
        <v>19.36</v>
      </c>
      <c r="K164" s="777">
        <v>19.989999999999998</v>
      </c>
      <c r="L164" s="777">
        <v>20.51</v>
      </c>
      <c r="M164" s="777">
        <v>20.91</v>
      </c>
      <c r="N164" s="777">
        <v>21.27</v>
      </c>
      <c r="O164" s="777">
        <v>21.9</v>
      </c>
      <c r="P164" s="777">
        <v>22.56</v>
      </c>
      <c r="Q164" s="777">
        <v>23.2</v>
      </c>
      <c r="R164" s="777">
        <v>23.95</v>
      </c>
      <c r="S164" s="777">
        <v>24.64</v>
      </c>
      <c r="T164" s="777">
        <v>25.11</v>
      </c>
      <c r="U164" s="777">
        <v>25.79</v>
      </c>
      <c r="V164" s="777">
        <v>26.57</v>
      </c>
      <c r="W164" s="777">
        <v>27.41</v>
      </c>
      <c r="X164" s="777">
        <v>28.5</v>
      </c>
      <c r="Y164" s="777">
        <v>29.55</v>
      </c>
      <c r="Z164" s="777">
        <v>30.67</v>
      </c>
      <c r="AA164" s="777">
        <v>31.8</v>
      </c>
      <c r="AB164" s="777">
        <v>32.71</v>
      </c>
      <c r="AC164" s="777">
        <v>33.76</v>
      </c>
      <c r="AD164" s="777">
        <v>34.799999999999997</v>
      </c>
      <c r="AE164" s="813">
        <v>0.02</v>
      </c>
      <c r="AF164" s="777"/>
      <c r="AG164" s="777"/>
      <c r="AH164" s="777"/>
      <c r="AI164" s="777"/>
      <c r="AJ164" s="777"/>
      <c r="AK164" s="777"/>
      <c r="AL164" s="777"/>
      <c r="AM164" s="777"/>
      <c r="AN164" s="777"/>
      <c r="AO164" s="777"/>
      <c r="AP164" s="777"/>
      <c r="AQ164" s="777"/>
      <c r="AR164" s="777"/>
      <c r="AS164" s="777"/>
      <c r="AT164" s="777"/>
      <c r="AU164" s="777"/>
      <c r="AV164" s="777"/>
      <c r="AW164" s="777"/>
      <c r="AX164" s="777"/>
      <c r="AY164" s="777"/>
      <c r="AZ164" s="777"/>
      <c r="BA164" s="777"/>
      <c r="BB164" s="777"/>
      <c r="BC164" s="777"/>
      <c r="BD164" s="777"/>
      <c r="BE164" s="777"/>
      <c r="BF164" s="777"/>
      <c r="BG164" s="777"/>
      <c r="BH164" s="777"/>
      <c r="BI164" s="777"/>
      <c r="BJ164" s="777"/>
      <c r="BK164" s="777"/>
      <c r="BL164" s="777"/>
      <c r="BM164" s="777"/>
      <c r="BN164" s="777"/>
      <c r="BO164" s="777"/>
      <c r="BP164" s="777"/>
      <c r="BQ164" s="777"/>
      <c r="BR164" s="777"/>
      <c r="BS164" s="777"/>
      <c r="BT164" s="777"/>
    </row>
    <row r="165" spans="1:72" x14ac:dyDescent="0.25">
      <c r="A165" s="777"/>
      <c r="B165" s="777"/>
      <c r="C165" s="777"/>
      <c r="D165" s="777"/>
      <c r="E165" s="777"/>
      <c r="F165" s="777"/>
      <c r="G165" s="777"/>
      <c r="H165" s="777"/>
      <c r="I165" s="777"/>
      <c r="J165" s="777"/>
      <c r="K165" s="777"/>
      <c r="L165" s="777"/>
      <c r="M165" s="777"/>
      <c r="N165" s="777"/>
      <c r="O165" s="777"/>
      <c r="P165" s="777"/>
      <c r="Q165" s="777"/>
      <c r="R165" s="777"/>
      <c r="S165" s="777"/>
      <c r="T165" s="777"/>
      <c r="U165" s="777"/>
      <c r="V165" s="777"/>
      <c r="W165" s="777"/>
      <c r="X165" s="777"/>
      <c r="Y165" s="777"/>
      <c r="Z165" s="777"/>
      <c r="AA165" s="777"/>
      <c r="AB165" s="777"/>
      <c r="AC165" s="777"/>
      <c r="AD165" s="777"/>
      <c r="AE165" s="777"/>
      <c r="AF165" s="777"/>
      <c r="AG165" s="777"/>
      <c r="AH165" s="777"/>
      <c r="AI165" s="777"/>
      <c r="AJ165" s="777"/>
      <c r="AK165" s="777"/>
      <c r="AL165" s="777"/>
      <c r="AM165" s="777"/>
      <c r="AN165" s="777"/>
      <c r="AO165" s="777"/>
      <c r="AP165" s="777"/>
      <c r="AQ165" s="777"/>
      <c r="AR165" s="777"/>
      <c r="AS165" s="777"/>
      <c r="AT165" s="777"/>
      <c r="AU165" s="777"/>
      <c r="AV165" s="777"/>
      <c r="AW165" s="777"/>
      <c r="AX165" s="777"/>
      <c r="AY165" s="777"/>
      <c r="AZ165" s="777"/>
      <c r="BA165" s="777"/>
      <c r="BB165" s="777"/>
      <c r="BC165" s="777"/>
      <c r="BD165" s="777"/>
      <c r="BE165" s="777"/>
      <c r="BF165" s="777"/>
      <c r="BG165" s="777"/>
      <c r="BH165" s="777"/>
      <c r="BI165" s="777"/>
      <c r="BJ165" s="777"/>
      <c r="BK165" s="777"/>
      <c r="BL165" s="777"/>
      <c r="BM165" s="777"/>
      <c r="BN165" s="777"/>
      <c r="BO165" s="777"/>
      <c r="BP165" s="777"/>
      <c r="BQ165" s="777"/>
      <c r="BR165" s="777"/>
      <c r="BS165" s="777"/>
      <c r="BT165" s="777"/>
    </row>
    <row r="166" spans="1:72" x14ac:dyDescent="0.25">
      <c r="A166" s="777" t="s">
        <v>477</v>
      </c>
      <c r="B166" s="777"/>
      <c r="C166" s="777"/>
      <c r="D166" s="777"/>
      <c r="E166" s="777"/>
      <c r="F166" s="777"/>
      <c r="G166" s="777"/>
      <c r="H166" s="777"/>
      <c r="I166" s="777"/>
      <c r="J166" s="777"/>
      <c r="K166" s="777"/>
      <c r="L166" s="777"/>
      <c r="M166" s="777"/>
      <c r="N166" s="777"/>
      <c r="O166" s="777"/>
      <c r="P166" s="777"/>
      <c r="Q166" s="777"/>
      <c r="R166" s="777"/>
      <c r="S166" s="777"/>
      <c r="T166" s="777"/>
      <c r="U166" s="777"/>
      <c r="V166" s="777"/>
      <c r="W166" s="777"/>
      <c r="X166" s="777"/>
      <c r="Y166" s="777"/>
      <c r="Z166" s="777"/>
      <c r="AA166" s="777"/>
      <c r="AB166" s="777"/>
      <c r="AC166" s="777"/>
      <c r="AD166" s="777"/>
      <c r="AE166" s="777"/>
      <c r="AF166" s="777"/>
      <c r="AG166" s="777"/>
      <c r="AH166" s="777"/>
      <c r="AI166" s="777"/>
      <c r="AJ166" s="777"/>
      <c r="AK166" s="777"/>
      <c r="AL166" s="777"/>
      <c r="AM166" s="777"/>
      <c r="AN166" s="777"/>
      <c r="AO166" s="777"/>
      <c r="AP166" s="777"/>
      <c r="AQ166" s="777"/>
      <c r="AR166" s="777"/>
      <c r="AS166" s="777"/>
      <c r="AT166" s="777"/>
      <c r="AU166" s="777"/>
      <c r="AV166" s="777"/>
      <c r="AW166" s="777"/>
      <c r="AX166" s="777"/>
      <c r="AY166" s="777"/>
      <c r="AZ166" s="777"/>
      <c r="BA166" s="777"/>
      <c r="BB166" s="777"/>
      <c r="BC166" s="777"/>
      <c r="BD166" s="777"/>
      <c r="BE166" s="777"/>
      <c r="BF166" s="777"/>
      <c r="BG166" s="777"/>
      <c r="BH166" s="777"/>
      <c r="BI166" s="777"/>
      <c r="BJ166" s="777"/>
      <c r="BK166" s="777"/>
      <c r="BL166" s="777"/>
      <c r="BM166" s="777"/>
      <c r="BN166" s="777"/>
      <c r="BO166" s="777"/>
      <c r="BP166" s="777"/>
      <c r="BQ166" s="777"/>
      <c r="BR166" s="777"/>
      <c r="BS166" s="777"/>
      <c r="BT166" s="777"/>
    </row>
    <row r="167" spans="1:72" x14ac:dyDescent="0.25">
      <c r="A167" s="777" t="s">
        <v>606</v>
      </c>
      <c r="B167" s="777">
        <v>23.31</v>
      </c>
      <c r="C167" s="777">
        <v>29.93</v>
      </c>
      <c r="D167" s="777">
        <v>25.58</v>
      </c>
      <c r="E167" s="777">
        <v>24.61</v>
      </c>
      <c r="F167" s="777">
        <v>25.02</v>
      </c>
      <c r="G167" s="777">
        <v>26.61</v>
      </c>
      <c r="H167" s="777">
        <v>28.36</v>
      </c>
      <c r="I167" s="777">
        <v>29.9</v>
      </c>
      <c r="J167" s="777">
        <v>31.07</v>
      </c>
      <c r="K167" s="777">
        <v>32.36</v>
      </c>
      <c r="L167" s="777">
        <v>33.58</v>
      </c>
      <c r="M167" s="777">
        <v>34.89</v>
      </c>
      <c r="N167" s="777">
        <v>35.840000000000003</v>
      </c>
      <c r="O167" s="777">
        <v>36.82</v>
      </c>
      <c r="P167" s="777">
        <v>37.89</v>
      </c>
      <c r="Q167" s="777">
        <v>38.979999999999997</v>
      </c>
      <c r="R167" s="777">
        <v>40.17</v>
      </c>
      <c r="S167" s="777">
        <v>41.36</v>
      </c>
      <c r="T167" s="777">
        <v>42.56</v>
      </c>
      <c r="U167" s="777">
        <v>43.64</v>
      </c>
      <c r="V167" s="777">
        <v>44.94</v>
      </c>
      <c r="W167" s="777">
        <v>46.27</v>
      </c>
      <c r="X167" s="777">
        <v>47.79</v>
      </c>
      <c r="Y167" s="777">
        <v>49.17</v>
      </c>
      <c r="Z167" s="777">
        <v>50.81</v>
      </c>
      <c r="AA167" s="777">
        <v>52.46</v>
      </c>
      <c r="AB167" s="777">
        <v>54.21</v>
      </c>
      <c r="AC167" s="777">
        <v>55.95</v>
      </c>
      <c r="AD167" s="777">
        <v>57.77</v>
      </c>
      <c r="AE167" s="813">
        <v>2.5000000000000001E-2</v>
      </c>
      <c r="AF167" s="777"/>
      <c r="AG167" s="777"/>
      <c r="AH167" s="777"/>
      <c r="AI167" s="777"/>
      <c r="AJ167" s="777"/>
      <c r="AK167" s="777"/>
      <c r="AL167" s="777"/>
      <c r="AM167" s="777"/>
      <c r="AN167" s="777"/>
      <c r="AO167" s="777"/>
      <c r="AP167" s="777"/>
      <c r="AQ167" s="777"/>
      <c r="AR167" s="777"/>
      <c r="AS167" s="777"/>
      <c r="AT167" s="777"/>
      <c r="AU167" s="777"/>
      <c r="AV167" s="777"/>
      <c r="AW167" s="777"/>
      <c r="AX167" s="777"/>
      <c r="AY167" s="777"/>
      <c r="AZ167" s="777"/>
      <c r="BA167" s="777"/>
      <c r="BB167" s="777"/>
      <c r="BC167" s="777"/>
      <c r="BD167" s="777"/>
      <c r="BE167" s="777"/>
      <c r="BF167" s="777"/>
      <c r="BG167" s="777"/>
      <c r="BH167" s="777"/>
      <c r="BI167" s="777"/>
      <c r="BJ167" s="777"/>
      <c r="BK167" s="777"/>
      <c r="BL167" s="777"/>
      <c r="BM167" s="777"/>
      <c r="BN167" s="777"/>
      <c r="BO167" s="777"/>
      <c r="BP167" s="777"/>
      <c r="BQ167" s="777"/>
      <c r="BR167" s="777"/>
      <c r="BS167" s="777"/>
      <c r="BT167" s="777"/>
    </row>
    <row r="168" spans="1:72" x14ac:dyDescent="0.25">
      <c r="A168" s="777" t="s">
        <v>607</v>
      </c>
      <c r="B168" s="777">
        <v>26.83</v>
      </c>
      <c r="C168" s="777">
        <v>26.93</v>
      </c>
      <c r="D168" s="777">
        <v>23.64</v>
      </c>
      <c r="E168" s="777">
        <v>21.26</v>
      </c>
      <c r="F168" s="777">
        <v>21.89</v>
      </c>
      <c r="G168" s="777">
        <v>23.43</v>
      </c>
      <c r="H168" s="777">
        <v>26.07</v>
      </c>
      <c r="I168" s="777">
        <v>27.64</v>
      </c>
      <c r="J168" s="777">
        <v>28.47</v>
      </c>
      <c r="K168" s="777">
        <v>28.45</v>
      </c>
      <c r="L168" s="777">
        <v>29.92</v>
      </c>
      <c r="M168" s="777">
        <v>31.23</v>
      </c>
      <c r="N168" s="777">
        <v>31.97</v>
      </c>
      <c r="O168" s="777">
        <v>32.94</v>
      </c>
      <c r="P168" s="777">
        <v>34.090000000000003</v>
      </c>
      <c r="Q168" s="777">
        <v>35.479999999999997</v>
      </c>
      <c r="R168" s="777">
        <v>36.880000000000003</v>
      </c>
      <c r="S168" s="777">
        <v>37.979999999999997</v>
      </c>
      <c r="T168" s="777">
        <v>39.17</v>
      </c>
      <c r="U168" s="777">
        <v>40.479999999999997</v>
      </c>
      <c r="V168" s="777">
        <v>41.72</v>
      </c>
      <c r="W168" s="777">
        <v>43.4</v>
      </c>
      <c r="X168" s="777">
        <v>44.96</v>
      </c>
      <c r="Y168" s="777">
        <v>46.25</v>
      </c>
      <c r="Z168" s="777">
        <v>47.62</v>
      </c>
      <c r="AA168" s="777">
        <v>49.36</v>
      </c>
      <c r="AB168" s="777">
        <v>50.75</v>
      </c>
      <c r="AC168" s="777">
        <v>52.29</v>
      </c>
      <c r="AD168" s="777">
        <v>54.17</v>
      </c>
      <c r="AE168" s="813">
        <v>2.5999999999999999E-2</v>
      </c>
      <c r="AF168" s="777"/>
      <c r="AG168" s="777"/>
      <c r="AH168" s="777"/>
      <c r="AI168" s="777"/>
      <c r="AJ168" s="777"/>
      <c r="AK168" s="777"/>
      <c r="AL168" s="777"/>
      <c r="AM168" s="777"/>
      <c r="AN168" s="777"/>
      <c r="AO168" s="777"/>
      <c r="AP168" s="777"/>
      <c r="AQ168" s="777"/>
      <c r="AR168" s="777"/>
      <c r="AS168" s="777"/>
      <c r="AT168" s="777"/>
      <c r="AU168" s="777"/>
      <c r="AV168" s="777"/>
      <c r="AW168" s="777"/>
      <c r="AX168" s="777"/>
      <c r="AY168" s="777"/>
      <c r="AZ168" s="777"/>
      <c r="BA168" s="777"/>
      <c r="BB168" s="777"/>
      <c r="BC168" s="777"/>
      <c r="BD168" s="777"/>
      <c r="BE168" s="777"/>
      <c r="BF168" s="777"/>
      <c r="BG168" s="777"/>
      <c r="BH168" s="777"/>
      <c r="BI168" s="777"/>
      <c r="BJ168" s="777"/>
      <c r="BK168" s="777"/>
      <c r="BL168" s="777"/>
      <c r="BM168" s="777"/>
      <c r="BN168" s="777"/>
      <c r="BO168" s="777"/>
      <c r="BP168" s="777"/>
      <c r="BQ168" s="777"/>
      <c r="BR168" s="777"/>
      <c r="BS168" s="777"/>
      <c r="BT168" s="777"/>
    </row>
    <row r="169" spans="1:72" x14ac:dyDescent="0.25">
      <c r="A169" s="777" t="s">
        <v>608</v>
      </c>
      <c r="B169" s="777">
        <v>23.15</v>
      </c>
      <c r="C169" s="777">
        <v>26.76</v>
      </c>
      <c r="D169" s="777">
        <v>19.43</v>
      </c>
      <c r="E169" s="777">
        <v>21.17</v>
      </c>
      <c r="F169" s="777">
        <v>21.79</v>
      </c>
      <c r="G169" s="777">
        <v>23.32</v>
      </c>
      <c r="H169" s="777">
        <v>25.87</v>
      </c>
      <c r="I169" s="777">
        <v>27.33</v>
      </c>
      <c r="J169" s="777">
        <v>28.27</v>
      </c>
      <c r="K169" s="777">
        <v>29.42</v>
      </c>
      <c r="L169" s="777">
        <v>30.58</v>
      </c>
      <c r="M169" s="777">
        <v>31.65</v>
      </c>
      <c r="N169" s="777">
        <v>32.6</v>
      </c>
      <c r="O169" s="777">
        <v>33.72</v>
      </c>
      <c r="P169" s="777">
        <v>34.72</v>
      </c>
      <c r="Q169" s="777">
        <v>35.94</v>
      </c>
      <c r="R169" s="777">
        <v>37.020000000000003</v>
      </c>
      <c r="S169" s="777">
        <v>37.96</v>
      </c>
      <c r="T169" s="777">
        <v>39.18</v>
      </c>
      <c r="U169" s="777">
        <v>40.44</v>
      </c>
      <c r="V169" s="777">
        <v>41.69</v>
      </c>
      <c r="W169" s="777">
        <v>43.21</v>
      </c>
      <c r="X169" s="777">
        <v>44.7</v>
      </c>
      <c r="Y169" s="777">
        <v>45.91</v>
      </c>
      <c r="Z169" s="777">
        <v>47.47</v>
      </c>
      <c r="AA169" s="777">
        <v>49.16</v>
      </c>
      <c r="AB169" s="777">
        <v>50.66</v>
      </c>
      <c r="AC169" s="777">
        <v>52.36</v>
      </c>
      <c r="AD169" s="777">
        <v>54.33</v>
      </c>
      <c r="AE169" s="813">
        <v>2.7E-2</v>
      </c>
      <c r="AF169" s="777"/>
      <c r="AG169" s="777"/>
      <c r="AH169" s="777"/>
      <c r="AI169" s="777"/>
      <c r="AJ169" s="777"/>
      <c r="AK169" s="777"/>
      <c r="AL169" s="777"/>
      <c r="AM169" s="777"/>
      <c r="AN169" s="777"/>
      <c r="AO169" s="777"/>
      <c r="AP169" s="777"/>
      <c r="AQ169" s="777"/>
      <c r="AR169" s="777"/>
      <c r="AS169" s="777"/>
      <c r="AT169" s="777"/>
      <c r="AU169" s="777"/>
      <c r="AV169" s="777"/>
      <c r="AW169" s="777"/>
      <c r="AX169" s="777"/>
      <c r="AY169" s="777"/>
      <c r="AZ169" s="777"/>
      <c r="BA169" s="777"/>
      <c r="BB169" s="777"/>
      <c r="BC169" s="777"/>
      <c r="BD169" s="777"/>
      <c r="BE169" s="777"/>
      <c r="BF169" s="777"/>
      <c r="BG169" s="777"/>
      <c r="BH169" s="777"/>
      <c r="BI169" s="777"/>
      <c r="BJ169" s="777"/>
      <c r="BK169" s="777"/>
      <c r="BL169" s="777"/>
      <c r="BM169" s="777"/>
      <c r="BN169" s="777"/>
      <c r="BO169" s="777"/>
      <c r="BP169" s="777"/>
      <c r="BQ169" s="777"/>
      <c r="BR169" s="777"/>
      <c r="BS169" s="777"/>
      <c r="BT169" s="777"/>
    </row>
    <row r="170" spans="1:72" x14ac:dyDescent="0.25">
      <c r="A170" s="777" t="s">
        <v>609</v>
      </c>
      <c r="B170" s="777">
        <v>15.42</v>
      </c>
      <c r="C170" s="777">
        <v>22.71</v>
      </c>
      <c r="D170" s="777">
        <v>12.92</v>
      </c>
      <c r="E170" s="777">
        <v>15.23</v>
      </c>
      <c r="F170" s="777">
        <v>15.82</v>
      </c>
      <c r="G170" s="777">
        <v>17.510000000000002</v>
      </c>
      <c r="H170" s="777">
        <v>19.05</v>
      </c>
      <c r="I170" s="777">
        <v>20.23</v>
      </c>
      <c r="J170" s="777">
        <v>21.21</v>
      </c>
      <c r="K170" s="777">
        <v>22.42</v>
      </c>
      <c r="L170" s="777">
        <v>23.58</v>
      </c>
      <c r="M170" s="777">
        <v>24.67</v>
      </c>
      <c r="N170" s="777">
        <v>25.58</v>
      </c>
      <c r="O170" s="777">
        <v>26.51</v>
      </c>
      <c r="P170" s="777">
        <v>27.27</v>
      </c>
      <c r="Q170" s="777">
        <v>28.18</v>
      </c>
      <c r="R170" s="777">
        <v>29.2</v>
      </c>
      <c r="S170" s="777">
        <v>30.07</v>
      </c>
      <c r="T170" s="777">
        <v>31.1</v>
      </c>
      <c r="U170" s="777">
        <v>32.130000000000003</v>
      </c>
      <c r="V170" s="777">
        <v>33.21</v>
      </c>
      <c r="W170" s="777">
        <v>34.54</v>
      </c>
      <c r="X170" s="777">
        <v>35.83</v>
      </c>
      <c r="Y170" s="777">
        <v>36.99</v>
      </c>
      <c r="Z170" s="777">
        <v>38.42</v>
      </c>
      <c r="AA170" s="777">
        <v>39.92</v>
      </c>
      <c r="AB170" s="777">
        <v>41.32</v>
      </c>
      <c r="AC170" s="777">
        <v>42.87</v>
      </c>
      <c r="AD170" s="777">
        <v>44.51</v>
      </c>
      <c r="AE170" s="813">
        <v>2.5000000000000001E-2</v>
      </c>
      <c r="AF170" s="777"/>
      <c r="AG170" s="777"/>
      <c r="AH170" s="777"/>
      <c r="AI170" s="777"/>
      <c r="AJ170" s="777"/>
      <c r="AK170" s="777"/>
      <c r="AL170" s="777"/>
      <c r="AM170" s="777"/>
      <c r="AN170" s="777"/>
      <c r="AO170" s="777"/>
      <c r="AP170" s="777"/>
      <c r="AQ170" s="777"/>
      <c r="AR170" s="777"/>
      <c r="AS170" s="777"/>
      <c r="AT170" s="777"/>
      <c r="AU170" s="777"/>
      <c r="AV170" s="777"/>
      <c r="AW170" s="777"/>
      <c r="AX170" s="777"/>
      <c r="AY170" s="777"/>
      <c r="AZ170" s="777"/>
      <c r="BA170" s="777"/>
      <c r="BB170" s="777"/>
      <c r="BC170" s="777"/>
      <c r="BD170" s="777"/>
      <c r="BE170" s="777"/>
      <c r="BF170" s="777"/>
      <c r="BG170" s="777"/>
      <c r="BH170" s="777"/>
      <c r="BI170" s="777"/>
      <c r="BJ170" s="777"/>
      <c r="BK170" s="777"/>
      <c r="BL170" s="777"/>
      <c r="BM170" s="777"/>
      <c r="BN170" s="777"/>
      <c r="BO170" s="777"/>
      <c r="BP170" s="777"/>
      <c r="BQ170" s="777"/>
      <c r="BR170" s="777"/>
      <c r="BS170" s="777"/>
      <c r="BT170" s="777"/>
    </row>
    <row r="171" spans="1:72" x14ac:dyDescent="0.25">
      <c r="A171" s="777" t="s">
        <v>713</v>
      </c>
      <c r="B171" s="777">
        <v>21.08</v>
      </c>
      <c r="C171" s="777">
        <v>27.65</v>
      </c>
      <c r="D171" s="777">
        <v>18.04</v>
      </c>
      <c r="E171" s="777">
        <v>19.7</v>
      </c>
      <c r="F171" s="777">
        <v>20.149999999999999</v>
      </c>
      <c r="G171" s="777">
        <v>21.71</v>
      </c>
      <c r="H171" s="777">
        <v>23.2</v>
      </c>
      <c r="I171" s="777">
        <v>24.38</v>
      </c>
      <c r="J171" s="777">
        <v>25.56</v>
      </c>
      <c r="K171" s="777">
        <v>26.86</v>
      </c>
      <c r="L171" s="777">
        <v>28.03</v>
      </c>
      <c r="M171" s="777">
        <v>29.31</v>
      </c>
      <c r="N171" s="777">
        <v>30.31</v>
      </c>
      <c r="O171" s="777">
        <v>31.28</v>
      </c>
      <c r="P171" s="777">
        <v>32.19</v>
      </c>
      <c r="Q171" s="777">
        <v>33.32</v>
      </c>
      <c r="R171" s="777">
        <v>34.22</v>
      </c>
      <c r="S171" s="777">
        <v>35.03</v>
      </c>
      <c r="T171" s="777">
        <v>36.130000000000003</v>
      </c>
      <c r="U171" s="777">
        <v>37.17</v>
      </c>
      <c r="V171" s="777">
        <v>38.32</v>
      </c>
      <c r="W171" s="777">
        <v>39.61</v>
      </c>
      <c r="X171" s="777">
        <v>41.05</v>
      </c>
      <c r="Y171" s="777">
        <v>42.2</v>
      </c>
      <c r="Z171" s="777">
        <v>43.79</v>
      </c>
      <c r="AA171" s="777">
        <v>45.41</v>
      </c>
      <c r="AB171" s="777">
        <v>46.88</v>
      </c>
      <c r="AC171" s="777">
        <v>48.53</v>
      </c>
      <c r="AD171" s="777">
        <v>50.35</v>
      </c>
      <c r="AE171" s="813">
        <v>2.1999999999999999E-2</v>
      </c>
      <c r="AF171" s="777"/>
      <c r="AG171" s="777"/>
      <c r="AH171" s="777"/>
      <c r="AI171" s="777"/>
      <c r="AJ171" s="777"/>
      <c r="AK171" s="777"/>
      <c r="AL171" s="777"/>
      <c r="AM171" s="777"/>
      <c r="AN171" s="777"/>
      <c r="AO171" s="777"/>
      <c r="AP171" s="777"/>
      <c r="AQ171" s="777"/>
      <c r="AR171" s="777"/>
      <c r="AS171" s="777"/>
      <c r="AT171" s="777"/>
      <c r="AU171" s="777"/>
      <c r="AV171" s="777"/>
      <c r="AW171" s="777"/>
      <c r="AX171" s="777"/>
      <c r="AY171" s="777"/>
      <c r="AZ171" s="777"/>
      <c r="BA171" s="777"/>
      <c r="BB171" s="777"/>
      <c r="BC171" s="777"/>
      <c r="BD171" s="777"/>
      <c r="BE171" s="777"/>
      <c r="BF171" s="777"/>
      <c r="BG171" s="777"/>
      <c r="BH171" s="777"/>
      <c r="BI171" s="777"/>
      <c r="BJ171" s="777"/>
      <c r="BK171" s="777"/>
      <c r="BL171" s="777"/>
      <c r="BM171" s="777"/>
      <c r="BN171" s="777"/>
      <c r="BO171" s="777"/>
      <c r="BP171" s="777"/>
      <c r="BQ171" s="777"/>
      <c r="BR171" s="777"/>
      <c r="BS171" s="777"/>
      <c r="BT171" s="777"/>
    </row>
    <row r="172" spans="1:72" x14ac:dyDescent="0.25">
      <c r="A172" s="777" t="s">
        <v>600</v>
      </c>
      <c r="B172" s="777">
        <v>8.99</v>
      </c>
      <c r="C172" s="777">
        <v>14.49</v>
      </c>
      <c r="D172" s="777">
        <v>9</v>
      </c>
      <c r="E172" s="777">
        <v>10.51</v>
      </c>
      <c r="F172" s="777">
        <v>10.77</v>
      </c>
      <c r="G172" s="777">
        <v>12.17</v>
      </c>
      <c r="H172" s="777">
        <v>13.4</v>
      </c>
      <c r="I172" s="777">
        <v>14.45</v>
      </c>
      <c r="J172" s="777">
        <v>15.13</v>
      </c>
      <c r="K172" s="777">
        <v>15.77</v>
      </c>
      <c r="L172" s="777">
        <v>16.670000000000002</v>
      </c>
      <c r="M172" s="777">
        <v>17.43</v>
      </c>
      <c r="N172" s="777">
        <v>17.940000000000001</v>
      </c>
      <c r="O172" s="777">
        <v>18.32</v>
      </c>
      <c r="P172" s="777">
        <v>19</v>
      </c>
      <c r="Q172" s="777">
        <v>19.57</v>
      </c>
      <c r="R172" s="777">
        <v>20.260000000000002</v>
      </c>
      <c r="S172" s="777">
        <v>20.94</v>
      </c>
      <c r="T172" s="777">
        <v>21.63</v>
      </c>
      <c r="U172" s="777">
        <v>22.13</v>
      </c>
      <c r="V172" s="777">
        <v>23.02</v>
      </c>
      <c r="W172" s="777">
        <v>23.85</v>
      </c>
      <c r="X172" s="777">
        <v>24.8</v>
      </c>
      <c r="Y172" s="777">
        <v>25.81</v>
      </c>
      <c r="Z172" s="777">
        <v>26.88</v>
      </c>
      <c r="AA172" s="777">
        <v>27.91</v>
      </c>
      <c r="AB172" s="777">
        <v>28.9</v>
      </c>
      <c r="AC172" s="777">
        <v>30.02</v>
      </c>
      <c r="AD172" s="777">
        <v>31.26</v>
      </c>
      <c r="AE172" s="813">
        <v>2.9000000000000001E-2</v>
      </c>
      <c r="AF172" s="777"/>
      <c r="AG172" s="777"/>
      <c r="AH172" s="777"/>
      <c r="AI172" s="777"/>
      <c r="AJ172" s="777"/>
      <c r="AK172" s="777"/>
      <c r="AL172" s="777"/>
      <c r="AM172" s="777"/>
      <c r="AN172" s="777"/>
      <c r="AO172" s="777"/>
      <c r="AP172" s="777"/>
      <c r="AQ172" s="777"/>
      <c r="AR172" s="777"/>
      <c r="AS172" s="777"/>
      <c r="AT172" s="777"/>
      <c r="AU172" s="777"/>
      <c r="AV172" s="777"/>
      <c r="AW172" s="777"/>
      <c r="AX172" s="777"/>
      <c r="AY172" s="777"/>
      <c r="AZ172" s="777"/>
      <c r="BA172" s="777"/>
      <c r="BB172" s="777"/>
      <c r="BC172" s="777"/>
      <c r="BD172" s="777"/>
      <c r="BE172" s="777"/>
      <c r="BF172" s="777"/>
      <c r="BG172" s="777"/>
      <c r="BH172" s="777"/>
      <c r="BI172" s="777"/>
      <c r="BJ172" s="777"/>
      <c r="BK172" s="777"/>
      <c r="BL172" s="777"/>
      <c r="BM172" s="777"/>
      <c r="BN172" s="777"/>
      <c r="BO172" s="777"/>
      <c r="BP172" s="777"/>
      <c r="BQ172" s="777"/>
      <c r="BR172" s="777"/>
      <c r="BS172" s="777"/>
      <c r="BT172" s="777"/>
    </row>
    <row r="173" spans="1:72" x14ac:dyDescent="0.25">
      <c r="A173" s="777" t="s">
        <v>611</v>
      </c>
      <c r="B173" s="777">
        <v>13.54</v>
      </c>
      <c r="C173" s="777">
        <v>15.96</v>
      </c>
      <c r="D173" s="777">
        <v>11.54</v>
      </c>
      <c r="E173" s="777">
        <v>12.36</v>
      </c>
      <c r="F173" s="777">
        <v>13.66</v>
      </c>
      <c r="G173" s="777">
        <v>14.28</v>
      </c>
      <c r="H173" s="777">
        <v>14.39</v>
      </c>
      <c r="I173" s="777">
        <v>14.52</v>
      </c>
      <c r="J173" s="777">
        <v>14.9</v>
      </c>
      <c r="K173" s="777">
        <v>15.21</v>
      </c>
      <c r="L173" s="777">
        <v>15.46</v>
      </c>
      <c r="M173" s="777">
        <v>15.74</v>
      </c>
      <c r="N173" s="777">
        <v>16.04</v>
      </c>
      <c r="O173" s="777">
        <v>16.43</v>
      </c>
      <c r="P173" s="777">
        <v>16.8</v>
      </c>
      <c r="Q173" s="777">
        <v>17.32</v>
      </c>
      <c r="R173" s="777">
        <v>17.64</v>
      </c>
      <c r="S173" s="777">
        <v>17.829999999999998</v>
      </c>
      <c r="T173" s="777">
        <v>18.23</v>
      </c>
      <c r="U173" s="777">
        <v>18.760000000000002</v>
      </c>
      <c r="V173" s="777">
        <v>19.309999999999999</v>
      </c>
      <c r="W173" s="777">
        <v>19.98</v>
      </c>
      <c r="X173" s="777">
        <v>20.67</v>
      </c>
      <c r="Y173" s="777">
        <v>21.42</v>
      </c>
      <c r="Z173" s="777">
        <v>22.31</v>
      </c>
      <c r="AA173" s="777">
        <v>22.94</v>
      </c>
      <c r="AB173" s="777">
        <v>23.44</v>
      </c>
      <c r="AC173" s="777">
        <v>24.19</v>
      </c>
      <c r="AD173" s="777">
        <v>24.84</v>
      </c>
      <c r="AE173" s="813">
        <v>1.7000000000000001E-2</v>
      </c>
      <c r="AF173" s="777"/>
      <c r="AG173" s="777"/>
      <c r="AH173" s="777"/>
      <c r="AI173" s="777"/>
      <c r="AJ173" s="777"/>
      <c r="AK173" s="777"/>
      <c r="AL173" s="777"/>
      <c r="AM173" s="777"/>
      <c r="AN173" s="777"/>
      <c r="AO173" s="777"/>
      <c r="AP173" s="777"/>
      <c r="AQ173" s="777"/>
      <c r="AR173" s="777"/>
      <c r="AS173" s="777"/>
      <c r="AT173" s="777"/>
      <c r="AU173" s="777"/>
      <c r="AV173" s="777"/>
      <c r="AW173" s="777"/>
      <c r="AX173" s="777"/>
      <c r="AY173" s="777"/>
      <c r="AZ173" s="777"/>
      <c r="BA173" s="777"/>
      <c r="BB173" s="777"/>
      <c r="BC173" s="777"/>
      <c r="BD173" s="777"/>
      <c r="BE173" s="777"/>
      <c r="BF173" s="777"/>
      <c r="BG173" s="777"/>
      <c r="BH173" s="777"/>
      <c r="BI173" s="777"/>
      <c r="BJ173" s="777"/>
      <c r="BK173" s="777"/>
      <c r="BL173" s="777"/>
      <c r="BM173" s="777"/>
      <c r="BN173" s="777"/>
      <c r="BO173" s="777"/>
      <c r="BP173" s="777"/>
      <c r="BQ173" s="777"/>
      <c r="BR173" s="777"/>
      <c r="BS173" s="777"/>
      <c r="BT173" s="777"/>
    </row>
    <row r="174" spans="1:72" x14ac:dyDescent="0.25">
      <c r="A174" s="777" t="s">
        <v>469</v>
      </c>
      <c r="B174" s="777">
        <v>31.32</v>
      </c>
      <c r="C174" s="777">
        <v>33.729999999999997</v>
      </c>
      <c r="D174" s="777">
        <v>32.79</v>
      </c>
      <c r="E174" s="777">
        <v>31.2</v>
      </c>
      <c r="F174" s="777">
        <v>28.83</v>
      </c>
      <c r="G174" s="777">
        <v>31.39</v>
      </c>
      <c r="H174" s="777">
        <v>32.01</v>
      </c>
      <c r="I174" s="777">
        <v>31.85</v>
      </c>
      <c r="J174" s="777">
        <v>32.08</v>
      </c>
      <c r="K174" s="777">
        <v>32.909999999999997</v>
      </c>
      <c r="L174" s="777">
        <v>33.549999999999997</v>
      </c>
      <c r="M174" s="777">
        <v>33.97</v>
      </c>
      <c r="N174" s="777">
        <v>34.26</v>
      </c>
      <c r="O174" s="777">
        <v>34.89</v>
      </c>
      <c r="P174" s="777">
        <v>35.61</v>
      </c>
      <c r="Q174" s="777">
        <v>36.26</v>
      </c>
      <c r="R174" s="777">
        <v>37.11</v>
      </c>
      <c r="S174" s="777">
        <v>38.1</v>
      </c>
      <c r="T174" s="777">
        <v>38.86</v>
      </c>
      <c r="U174" s="777">
        <v>40</v>
      </c>
      <c r="V174" s="777">
        <v>41.47</v>
      </c>
      <c r="W174" s="777">
        <v>43.05</v>
      </c>
      <c r="X174" s="777">
        <v>45.05</v>
      </c>
      <c r="Y174" s="777">
        <v>46.8</v>
      </c>
      <c r="Z174" s="777">
        <v>48.78</v>
      </c>
      <c r="AA174" s="777">
        <v>50.72</v>
      </c>
      <c r="AB174" s="777">
        <v>52.33</v>
      </c>
      <c r="AC174" s="777">
        <v>54.13</v>
      </c>
      <c r="AD174" s="777">
        <v>55.89</v>
      </c>
      <c r="AE174" s="813">
        <v>1.9E-2</v>
      </c>
      <c r="AF174" s="777"/>
      <c r="AG174" s="777"/>
      <c r="AH174" s="777"/>
      <c r="AI174" s="777"/>
      <c r="AJ174" s="777"/>
      <c r="AK174" s="777"/>
      <c r="AL174" s="777"/>
      <c r="AM174" s="777"/>
      <c r="AN174" s="777"/>
      <c r="AO174" s="777"/>
      <c r="AP174" s="777"/>
      <c r="AQ174" s="777"/>
      <c r="AR174" s="777"/>
      <c r="AS174" s="777"/>
      <c r="AT174" s="777"/>
      <c r="AU174" s="777"/>
      <c r="AV174" s="777"/>
      <c r="AW174" s="777"/>
      <c r="AX174" s="777"/>
      <c r="AY174" s="777"/>
      <c r="AZ174" s="777"/>
      <c r="BA174" s="777"/>
      <c r="BB174" s="777"/>
      <c r="BC174" s="777"/>
      <c r="BD174" s="777"/>
      <c r="BE174" s="777"/>
      <c r="BF174" s="777"/>
      <c r="BG174" s="777"/>
      <c r="BH174" s="777"/>
      <c r="BI174" s="777"/>
      <c r="BJ174" s="777"/>
      <c r="BK174" s="777"/>
      <c r="BL174" s="777"/>
      <c r="BM174" s="777"/>
      <c r="BN174" s="777"/>
      <c r="BO174" s="777"/>
      <c r="BP174" s="777"/>
      <c r="BQ174" s="777"/>
      <c r="BR174" s="777"/>
      <c r="BS174" s="777"/>
      <c r="BT174" s="777"/>
    </row>
    <row r="175" spans="1:72" x14ac:dyDescent="0.25">
      <c r="A175" s="777"/>
      <c r="B175" s="777"/>
      <c r="C175" s="777"/>
      <c r="D175" s="777"/>
      <c r="E175" s="777"/>
      <c r="F175" s="777"/>
      <c r="G175" s="777"/>
      <c r="H175" s="777"/>
      <c r="I175" s="777"/>
      <c r="J175" s="777"/>
      <c r="K175" s="777"/>
      <c r="L175" s="777"/>
      <c r="M175" s="777"/>
      <c r="N175" s="777"/>
      <c r="O175" s="777"/>
      <c r="P175" s="777"/>
      <c r="Q175" s="777"/>
      <c r="R175" s="777"/>
      <c r="S175" s="777"/>
      <c r="T175" s="777"/>
      <c r="U175" s="777"/>
      <c r="V175" s="777"/>
      <c r="W175" s="777"/>
      <c r="X175" s="777"/>
      <c r="Y175" s="777"/>
      <c r="Z175" s="777"/>
      <c r="AA175" s="777"/>
      <c r="AB175" s="777"/>
      <c r="AC175" s="777"/>
      <c r="AD175" s="777"/>
      <c r="AE175" s="777"/>
      <c r="AF175" s="777"/>
      <c r="AG175" s="777"/>
      <c r="AH175" s="777"/>
      <c r="AI175" s="777"/>
      <c r="AJ175" s="777"/>
      <c r="AK175" s="777"/>
      <c r="AL175" s="777"/>
      <c r="AM175" s="777"/>
      <c r="AN175" s="777"/>
      <c r="AO175" s="777"/>
      <c r="AP175" s="777"/>
      <c r="AQ175" s="777"/>
      <c r="AR175" s="777"/>
      <c r="AS175" s="777"/>
      <c r="AT175" s="777"/>
      <c r="AU175" s="777"/>
      <c r="AV175" s="777"/>
      <c r="AW175" s="777"/>
      <c r="AX175" s="777"/>
      <c r="AY175" s="777"/>
      <c r="AZ175" s="777"/>
      <c r="BA175" s="777"/>
      <c r="BB175" s="777"/>
      <c r="BC175" s="777"/>
      <c r="BD175" s="777"/>
      <c r="BE175" s="777"/>
      <c r="BF175" s="777"/>
      <c r="BG175" s="777"/>
      <c r="BH175" s="777"/>
      <c r="BI175" s="777"/>
      <c r="BJ175" s="777"/>
      <c r="BK175" s="777"/>
      <c r="BL175" s="777"/>
      <c r="BM175" s="777"/>
      <c r="BN175" s="777"/>
      <c r="BO175" s="777"/>
      <c r="BP175" s="777"/>
      <c r="BQ175" s="777"/>
      <c r="BR175" s="777"/>
      <c r="BS175" s="777"/>
      <c r="BT175" s="777"/>
    </row>
    <row r="176" spans="1:72" x14ac:dyDescent="0.25">
      <c r="A176" s="777" t="s">
        <v>612</v>
      </c>
      <c r="B176" s="777"/>
      <c r="C176" s="777"/>
      <c r="D176" s="777"/>
      <c r="E176" s="777"/>
      <c r="F176" s="777"/>
      <c r="G176" s="777"/>
      <c r="H176" s="777"/>
      <c r="I176" s="777"/>
      <c r="J176" s="777"/>
      <c r="K176" s="777"/>
      <c r="L176" s="777"/>
      <c r="M176" s="777"/>
      <c r="N176" s="777"/>
      <c r="O176" s="777"/>
      <c r="P176" s="777"/>
      <c r="Q176" s="777"/>
      <c r="R176" s="777"/>
      <c r="S176" s="777"/>
      <c r="T176" s="777"/>
      <c r="U176" s="777"/>
      <c r="V176" s="777"/>
      <c r="W176" s="777"/>
      <c r="X176" s="777"/>
      <c r="Y176" s="777"/>
      <c r="Z176" s="777"/>
      <c r="AA176" s="777"/>
      <c r="AB176" s="777"/>
      <c r="AC176" s="777"/>
      <c r="AD176" s="777"/>
      <c r="AE176" s="777"/>
      <c r="AF176" s="777"/>
      <c r="AG176" s="777"/>
      <c r="AH176" s="777"/>
      <c r="AI176" s="777"/>
      <c r="AJ176" s="777"/>
      <c r="AK176" s="777"/>
      <c r="AL176" s="777"/>
      <c r="AM176" s="777"/>
      <c r="AN176" s="777"/>
      <c r="AO176" s="777"/>
      <c r="AP176" s="777"/>
      <c r="AQ176" s="777"/>
      <c r="AR176" s="777"/>
      <c r="AS176" s="777"/>
      <c r="AT176" s="777"/>
      <c r="AU176" s="777"/>
      <c r="AV176" s="777"/>
      <c r="AW176" s="777"/>
      <c r="AX176" s="777"/>
      <c r="AY176" s="777"/>
      <c r="AZ176" s="777"/>
      <c r="BA176" s="777"/>
      <c r="BB176" s="777"/>
      <c r="BC176" s="777"/>
      <c r="BD176" s="777"/>
      <c r="BE176" s="777"/>
      <c r="BF176" s="777"/>
      <c r="BG176" s="777"/>
      <c r="BH176" s="777"/>
      <c r="BI176" s="777"/>
      <c r="BJ176" s="777"/>
      <c r="BK176" s="777"/>
      <c r="BL176" s="777"/>
      <c r="BM176" s="777"/>
      <c r="BN176" s="777"/>
      <c r="BO176" s="777"/>
      <c r="BP176" s="777"/>
      <c r="BQ176" s="777"/>
      <c r="BR176" s="777"/>
      <c r="BS176" s="777"/>
      <c r="BT176" s="777"/>
    </row>
    <row r="177" spans="1:72" x14ac:dyDescent="0.25">
      <c r="A177" s="777" t="s">
        <v>599</v>
      </c>
      <c r="B177" s="777">
        <v>15.41</v>
      </c>
      <c r="C177" s="777">
        <v>19.37</v>
      </c>
      <c r="D177" s="777">
        <v>14.46</v>
      </c>
      <c r="E177" s="777">
        <v>14.33</v>
      </c>
      <c r="F177" s="777">
        <v>14.68</v>
      </c>
      <c r="G177" s="777">
        <v>16.09</v>
      </c>
      <c r="H177" s="777">
        <v>17.46</v>
      </c>
      <c r="I177" s="777">
        <v>18.510000000000002</v>
      </c>
      <c r="J177" s="777">
        <v>19.350000000000001</v>
      </c>
      <c r="K177" s="777">
        <v>20.67</v>
      </c>
      <c r="L177" s="777">
        <v>21.81</v>
      </c>
      <c r="M177" s="777">
        <v>22.96</v>
      </c>
      <c r="N177" s="777">
        <v>23.88</v>
      </c>
      <c r="O177" s="777">
        <v>24.75</v>
      </c>
      <c r="P177" s="777">
        <v>25.46</v>
      </c>
      <c r="Q177" s="777">
        <v>26.24</v>
      </c>
      <c r="R177" s="777">
        <v>27.22</v>
      </c>
      <c r="S177" s="777">
        <v>28.03</v>
      </c>
      <c r="T177" s="777">
        <v>28.98</v>
      </c>
      <c r="U177" s="777">
        <v>29.93</v>
      </c>
      <c r="V177" s="777">
        <v>30.88</v>
      </c>
      <c r="W177" s="777">
        <v>32</v>
      </c>
      <c r="X177" s="777">
        <v>33.28</v>
      </c>
      <c r="Y177" s="777">
        <v>34.28</v>
      </c>
      <c r="Z177" s="777">
        <v>35.71</v>
      </c>
      <c r="AA177" s="777">
        <v>37.130000000000003</v>
      </c>
      <c r="AB177" s="777">
        <v>38.46</v>
      </c>
      <c r="AC177" s="777">
        <v>39.950000000000003</v>
      </c>
      <c r="AD177" s="777">
        <v>41.52</v>
      </c>
      <c r="AE177" s="813">
        <v>2.9000000000000001E-2</v>
      </c>
      <c r="AF177" s="777"/>
      <c r="AG177" s="777"/>
      <c r="AH177" s="777"/>
      <c r="AI177" s="777"/>
      <c r="AJ177" s="777"/>
      <c r="AK177" s="777"/>
      <c r="AL177" s="777"/>
      <c r="AM177" s="777"/>
      <c r="AN177" s="777"/>
      <c r="AO177" s="777"/>
      <c r="AP177" s="777"/>
      <c r="AQ177" s="777"/>
      <c r="AR177" s="777"/>
      <c r="AS177" s="777"/>
      <c r="AT177" s="777"/>
      <c r="AU177" s="777"/>
      <c r="AV177" s="777"/>
      <c r="AW177" s="777"/>
      <c r="AX177" s="777"/>
      <c r="AY177" s="777"/>
      <c r="AZ177" s="777"/>
      <c r="BA177" s="777"/>
      <c r="BB177" s="777"/>
      <c r="BC177" s="777"/>
      <c r="BD177" s="777"/>
      <c r="BE177" s="777"/>
      <c r="BF177" s="777"/>
      <c r="BG177" s="777"/>
      <c r="BH177" s="777"/>
      <c r="BI177" s="777"/>
      <c r="BJ177" s="777"/>
      <c r="BK177" s="777"/>
      <c r="BL177" s="777"/>
      <c r="BM177" s="777"/>
      <c r="BN177" s="777"/>
      <c r="BO177" s="777"/>
      <c r="BP177" s="777"/>
      <c r="BQ177" s="777"/>
      <c r="BR177" s="777"/>
      <c r="BS177" s="777"/>
      <c r="BT177" s="777"/>
    </row>
    <row r="178" spans="1:72" x14ac:dyDescent="0.25">
      <c r="A178" s="777" t="s">
        <v>600</v>
      </c>
      <c r="B178" s="777">
        <v>8.84</v>
      </c>
      <c r="C178" s="777">
        <v>14.56</v>
      </c>
      <c r="D178" s="777">
        <v>8.92</v>
      </c>
      <c r="E178" s="777">
        <v>12.37</v>
      </c>
      <c r="F178" s="777">
        <v>12.7</v>
      </c>
      <c r="G178" s="777">
        <v>14.13</v>
      </c>
      <c r="H178" s="777">
        <v>15.48</v>
      </c>
      <c r="I178" s="777">
        <v>16.55</v>
      </c>
      <c r="J178" s="777">
        <v>17.3</v>
      </c>
      <c r="K178" s="777">
        <v>18.07</v>
      </c>
      <c r="L178" s="777">
        <v>19.010000000000002</v>
      </c>
      <c r="M178" s="777">
        <v>19.88</v>
      </c>
      <c r="N178" s="777">
        <v>20.54</v>
      </c>
      <c r="O178" s="777">
        <v>21.05</v>
      </c>
      <c r="P178" s="777">
        <v>21.8</v>
      </c>
      <c r="Q178" s="777">
        <v>22.48</v>
      </c>
      <c r="R178" s="777">
        <v>23.26</v>
      </c>
      <c r="S178" s="777">
        <v>24.05</v>
      </c>
      <c r="T178" s="777">
        <v>24.83</v>
      </c>
      <c r="U178" s="777">
        <v>25.46</v>
      </c>
      <c r="V178" s="777">
        <v>26.42</v>
      </c>
      <c r="W178" s="777">
        <v>27.37</v>
      </c>
      <c r="X178" s="777">
        <v>28.4</v>
      </c>
      <c r="Y178" s="777">
        <v>29.5</v>
      </c>
      <c r="Z178" s="777">
        <v>30.7</v>
      </c>
      <c r="AA178" s="777">
        <v>31.85</v>
      </c>
      <c r="AB178" s="777">
        <v>32.92</v>
      </c>
      <c r="AC178" s="777">
        <v>34.19</v>
      </c>
      <c r="AD178" s="777">
        <v>35.49</v>
      </c>
      <c r="AE178" s="813">
        <v>3.4000000000000002E-2</v>
      </c>
      <c r="AF178" s="777"/>
      <c r="AG178" s="777"/>
      <c r="AH178" s="777"/>
      <c r="AI178" s="777"/>
      <c r="AJ178" s="777"/>
      <c r="AK178" s="777"/>
      <c r="AL178" s="777"/>
      <c r="AM178" s="777"/>
      <c r="AN178" s="777"/>
      <c r="AO178" s="777"/>
      <c r="AP178" s="777"/>
      <c r="AQ178" s="777"/>
      <c r="AR178" s="777"/>
      <c r="AS178" s="777"/>
      <c r="AT178" s="777"/>
      <c r="AU178" s="777"/>
      <c r="AV178" s="777"/>
      <c r="AW178" s="777"/>
      <c r="AX178" s="777"/>
      <c r="AY178" s="777"/>
      <c r="AZ178" s="777"/>
      <c r="BA178" s="777"/>
      <c r="BB178" s="777"/>
      <c r="BC178" s="777"/>
      <c r="BD178" s="777"/>
      <c r="BE178" s="777"/>
      <c r="BF178" s="777"/>
      <c r="BG178" s="777"/>
      <c r="BH178" s="777"/>
      <c r="BI178" s="777"/>
      <c r="BJ178" s="777"/>
      <c r="BK178" s="777"/>
      <c r="BL178" s="777"/>
      <c r="BM178" s="777"/>
      <c r="BN178" s="777"/>
      <c r="BO178" s="777"/>
      <c r="BP178" s="777"/>
      <c r="BQ178" s="777"/>
      <c r="BR178" s="777"/>
      <c r="BS178" s="777"/>
      <c r="BT178" s="777"/>
    </row>
    <row r="179" spans="1:72" x14ac:dyDescent="0.25">
      <c r="A179" s="777" t="s">
        <v>500</v>
      </c>
      <c r="B179" s="777">
        <v>7.1</v>
      </c>
      <c r="C179" s="777">
        <v>9.09</v>
      </c>
      <c r="D179" s="777">
        <v>4.2</v>
      </c>
      <c r="E179" s="777">
        <v>4.99</v>
      </c>
      <c r="F179" s="777">
        <v>6.07</v>
      </c>
      <c r="G179" s="777">
        <v>6.53</v>
      </c>
      <c r="H179" s="777">
        <v>6.4</v>
      </c>
      <c r="I179" s="777">
        <v>6.47</v>
      </c>
      <c r="J179" s="777">
        <v>6.77</v>
      </c>
      <c r="K179" s="777">
        <v>6.99</v>
      </c>
      <c r="L179" s="777">
        <v>7.13</v>
      </c>
      <c r="M179" s="777">
        <v>7.32</v>
      </c>
      <c r="N179" s="777">
        <v>7.53</v>
      </c>
      <c r="O179" s="777">
        <v>7.85</v>
      </c>
      <c r="P179" s="777">
        <v>8.1300000000000008</v>
      </c>
      <c r="Q179" s="777">
        <v>8.5399999999999991</v>
      </c>
      <c r="R179" s="777">
        <v>8.7799999999999994</v>
      </c>
      <c r="S179" s="777">
        <v>8.91</v>
      </c>
      <c r="T179" s="777">
        <v>9.17</v>
      </c>
      <c r="U179" s="777">
        <v>9.57</v>
      </c>
      <c r="V179" s="777">
        <v>9.9700000000000006</v>
      </c>
      <c r="W179" s="777">
        <v>10.51</v>
      </c>
      <c r="X179" s="777">
        <v>11.09</v>
      </c>
      <c r="Y179" s="777">
        <v>11.66</v>
      </c>
      <c r="Z179" s="777">
        <v>12.38</v>
      </c>
      <c r="AA179" s="777">
        <v>12.84</v>
      </c>
      <c r="AB179" s="777">
        <v>13.16</v>
      </c>
      <c r="AC179" s="777">
        <v>13.75</v>
      </c>
      <c r="AD179" s="777">
        <v>14.22</v>
      </c>
      <c r="AE179" s="813">
        <v>1.7000000000000001E-2</v>
      </c>
      <c r="AF179" s="777"/>
      <c r="AG179" s="777"/>
      <c r="AH179" s="777"/>
      <c r="AI179" s="777"/>
      <c r="AJ179" s="777"/>
      <c r="AK179" s="777"/>
      <c r="AL179" s="777"/>
      <c r="AM179" s="777"/>
      <c r="AN179" s="777"/>
      <c r="AO179" s="777"/>
      <c r="AP179" s="777"/>
      <c r="AQ179" s="777"/>
      <c r="AR179" s="777"/>
      <c r="AS179" s="777"/>
      <c r="AT179" s="777"/>
      <c r="AU179" s="777"/>
      <c r="AV179" s="777"/>
      <c r="AW179" s="777"/>
      <c r="AX179" s="777"/>
      <c r="AY179" s="777"/>
      <c r="AZ179" s="777"/>
      <c r="BA179" s="777"/>
      <c r="BB179" s="777"/>
      <c r="BC179" s="777"/>
      <c r="BD179" s="777"/>
      <c r="BE179" s="777"/>
      <c r="BF179" s="777"/>
      <c r="BG179" s="777"/>
      <c r="BH179" s="777"/>
      <c r="BI179" s="777"/>
      <c r="BJ179" s="777"/>
      <c r="BK179" s="777"/>
      <c r="BL179" s="777"/>
      <c r="BM179" s="777"/>
      <c r="BN179" s="777"/>
      <c r="BO179" s="777"/>
      <c r="BP179" s="777"/>
      <c r="BQ179" s="777"/>
      <c r="BR179" s="777"/>
      <c r="BS179" s="777"/>
      <c r="BT179" s="777"/>
    </row>
    <row r="180" spans="1:72" x14ac:dyDescent="0.25">
      <c r="A180" s="777" t="s">
        <v>613</v>
      </c>
      <c r="B180" s="777">
        <v>1.76</v>
      </c>
      <c r="C180" s="777">
        <v>2.0499999999999998</v>
      </c>
      <c r="D180" s="777">
        <v>2.1800000000000002</v>
      </c>
      <c r="E180" s="777">
        <v>2.0499999999999998</v>
      </c>
      <c r="F180" s="777">
        <v>2.0699999999999998</v>
      </c>
      <c r="G180" s="777">
        <v>2.1</v>
      </c>
      <c r="H180" s="777">
        <v>2.15</v>
      </c>
      <c r="I180" s="777">
        <v>2.19</v>
      </c>
      <c r="J180" s="777">
        <v>2.2400000000000002</v>
      </c>
      <c r="K180" s="777">
        <v>2.2599999999999998</v>
      </c>
      <c r="L180" s="777">
        <v>2.31</v>
      </c>
      <c r="M180" s="777">
        <v>2.34</v>
      </c>
      <c r="N180" s="777">
        <v>2.38</v>
      </c>
      <c r="O180" s="777">
        <v>2.42</v>
      </c>
      <c r="P180" s="777">
        <v>2.4700000000000002</v>
      </c>
      <c r="Q180" s="777">
        <v>2.54</v>
      </c>
      <c r="R180" s="777">
        <v>2.59</v>
      </c>
      <c r="S180" s="777">
        <v>2.65</v>
      </c>
      <c r="T180" s="777">
        <v>2.69</v>
      </c>
      <c r="U180" s="777">
        <v>2.77</v>
      </c>
      <c r="V180" s="777">
        <v>2.82</v>
      </c>
      <c r="W180" s="777">
        <v>2.9</v>
      </c>
      <c r="X180" s="777">
        <v>2.98</v>
      </c>
      <c r="Y180" s="777">
        <v>3.06</v>
      </c>
      <c r="Z180" s="777">
        <v>3.15</v>
      </c>
      <c r="AA180" s="777">
        <v>3.23</v>
      </c>
      <c r="AB180" s="777">
        <v>3.32</v>
      </c>
      <c r="AC180" s="777">
        <v>3.41</v>
      </c>
      <c r="AD180" s="777">
        <v>3.51</v>
      </c>
      <c r="AE180" s="813">
        <v>0.02</v>
      </c>
      <c r="AF180" s="777"/>
      <c r="AG180" s="777"/>
      <c r="AH180" s="777"/>
      <c r="AI180" s="777"/>
      <c r="AJ180" s="777"/>
      <c r="AK180" s="777"/>
      <c r="AL180" s="777"/>
      <c r="AM180" s="777"/>
      <c r="AN180" s="777"/>
      <c r="AO180" s="777"/>
      <c r="AP180" s="777"/>
      <c r="AQ180" s="777"/>
      <c r="AR180" s="777"/>
      <c r="AS180" s="777"/>
      <c r="AT180" s="777"/>
      <c r="AU180" s="777"/>
      <c r="AV180" s="777"/>
      <c r="AW180" s="777"/>
      <c r="AX180" s="777"/>
      <c r="AY180" s="777"/>
      <c r="AZ180" s="777"/>
      <c r="BA180" s="777"/>
      <c r="BB180" s="777"/>
      <c r="BC180" s="777"/>
      <c r="BD180" s="777"/>
      <c r="BE180" s="777"/>
      <c r="BF180" s="777"/>
      <c r="BG180" s="777"/>
      <c r="BH180" s="777"/>
      <c r="BI180" s="777"/>
      <c r="BJ180" s="777"/>
      <c r="BK180" s="777"/>
      <c r="BL180" s="777"/>
      <c r="BM180" s="777"/>
      <c r="BN180" s="777"/>
      <c r="BO180" s="777"/>
      <c r="BP180" s="777"/>
      <c r="BQ180" s="777"/>
      <c r="BR180" s="777"/>
      <c r="BS180" s="777"/>
      <c r="BT180" s="777"/>
    </row>
    <row r="181" spans="1:72" x14ac:dyDescent="0.25">
      <c r="A181" s="777"/>
      <c r="B181" s="777"/>
      <c r="C181" s="777"/>
      <c r="D181" s="777"/>
      <c r="E181" s="777"/>
      <c r="F181" s="777"/>
      <c r="G181" s="777"/>
      <c r="H181" s="777"/>
      <c r="I181" s="777"/>
      <c r="J181" s="777"/>
      <c r="K181" s="777"/>
      <c r="L181" s="777"/>
      <c r="M181" s="777"/>
      <c r="N181" s="777"/>
      <c r="O181" s="777"/>
      <c r="P181" s="777"/>
      <c r="Q181" s="777"/>
      <c r="R181" s="777"/>
      <c r="S181" s="777"/>
      <c r="T181" s="777"/>
      <c r="U181" s="777"/>
      <c r="V181" s="777"/>
      <c r="W181" s="777"/>
      <c r="X181" s="777"/>
      <c r="Y181" s="777"/>
      <c r="Z181" s="777"/>
      <c r="AA181" s="777"/>
      <c r="AB181" s="777"/>
      <c r="AC181" s="777"/>
      <c r="AD181" s="777"/>
      <c r="AE181" s="777"/>
      <c r="AF181" s="777"/>
      <c r="AG181" s="777"/>
      <c r="AH181" s="777"/>
      <c r="AI181" s="777"/>
      <c r="AJ181" s="777"/>
      <c r="AK181" s="777"/>
      <c r="AL181" s="777"/>
      <c r="AM181" s="777"/>
      <c r="AN181" s="777"/>
      <c r="AO181" s="777"/>
      <c r="AP181" s="777"/>
      <c r="AQ181" s="777"/>
      <c r="AR181" s="777"/>
      <c r="AS181" s="777"/>
      <c r="AT181" s="777"/>
      <c r="AU181" s="777"/>
      <c r="AV181" s="777"/>
      <c r="AW181" s="777"/>
      <c r="AX181" s="777"/>
      <c r="AY181" s="777"/>
      <c r="AZ181" s="777"/>
      <c r="BA181" s="777"/>
      <c r="BB181" s="777"/>
      <c r="BC181" s="777"/>
      <c r="BD181" s="777"/>
      <c r="BE181" s="777"/>
      <c r="BF181" s="777"/>
      <c r="BG181" s="777"/>
      <c r="BH181" s="777"/>
      <c r="BI181" s="777"/>
      <c r="BJ181" s="777"/>
      <c r="BK181" s="777"/>
      <c r="BL181" s="777"/>
      <c r="BM181" s="777"/>
      <c r="BN181" s="777"/>
      <c r="BO181" s="777"/>
      <c r="BP181" s="777"/>
      <c r="BQ181" s="777"/>
      <c r="BR181" s="777"/>
      <c r="BS181" s="777"/>
      <c r="BT181" s="777"/>
    </row>
    <row r="182" spans="1:72" x14ac:dyDescent="0.25">
      <c r="A182" s="777" t="s">
        <v>614</v>
      </c>
      <c r="B182" s="777"/>
      <c r="C182" s="777"/>
      <c r="D182" s="777"/>
      <c r="E182" s="777"/>
      <c r="F182" s="777"/>
      <c r="G182" s="777"/>
      <c r="H182" s="777"/>
      <c r="I182" s="777"/>
      <c r="J182" s="777"/>
      <c r="K182" s="777"/>
      <c r="L182" s="777"/>
      <c r="M182" s="777"/>
      <c r="N182" s="777"/>
      <c r="O182" s="777"/>
      <c r="P182" s="777"/>
      <c r="Q182" s="777"/>
      <c r="R182" s="777"/>
      <c r="S182" s="777"/>
      <c r="T182" s="777"/>
      <c r="U182" s="777"/>
      <c r="V182" s="777"/>
      <c r="W182" s="777"/>
      <c r="X182" s="777"/>
      <c r="Y182" s="777"/>
      <c r="Z182" s="777"/>
      <c r="AA182" s="777"/>
      <c r="AB182" s="777"/>
      <c r="AC182" s="777"/>
      <c r="AD182" s="777"/>
      <c r="AE182" s="777"/>
      <c r="AF182" s="777"/>
      <c r="AG182" s="777"/>
      <c r="AH182" s="777"/>
      <c r="AI182" s="777"/>
      <c r="AJ182" s="777"/>
      <c r="AK182" s="777"/>
      <c r="AL182" s="777"/>
      <c r="AM182" s="777"/>
      <c r="AN182" s="777"/>
      <c r="AO182" s="777"/>
      <c r="AP182" s="777"/>
      <c r="AQ182" s="777"/>
      <c r="AR182" s="777"/>
      <c r="AS182" s="777"/>
      <c r="AT182" s="777"/>
      <c r="AU182" s="777"/>
      <c r="AV182" s="777"/>
      <c r="AW182" s="777"/>
      <c r="AX182" s="777"/>
      <c r="AY182" s="777"/>
      <c r="AZ182" s="777"/>
      <c r="BA182" s="777"/>
      <c r="BB182" s="777"/>
      <c r="BC182" s="777"/>
      <c r="BD182" s="777"/>
      <c r="BE182" s="777"/>
      <c r="BF182" s="777"/>
      <c r="BG182" s="777"/>
      <c r="BH182" s="777"/>
      <c r="BI182" s="777"/>
      <c r="BJ182" s="777"/>
      <c r="BK182" s="777"/>
      <c r="BL182" s="777"/>
      <c r="BM182" s="777"/>
      <c r="BN182" s="777"/>
      <c r="BO182" s="777"/>
      <c r="BP182" s="777"/>
      <c r="BQ182" s="777"/>
      <c r="BR182" s="777"/>
      <c r="BS182" s="777"/>
      <c r="BT182" s="777"/>
    </row>
    <row r="183" spans="1:72" x14ac:dyDescent="0.25">
      <c r="A183" s="777" t="s">
        <v>598</v>
      </c>
      <c r="B183" s="777">
        <v>18.53</v>
      </c>
      <c r="C183" s="777">
        <v>20.190000000000001</v>
      </c>
      <c r="D183" s="777">
        <v>18.64</v>
      </c>
      <c r="E183" s="777">
        <v>17.36</v>
      </c>
      <c r="F183" s="777">
        <v>17.61</v>
      </c>
      <c r="G183" s="777">
        <v>18.920000000000002</v>
      </c>
      <c r="H183" s="777">
        <v>20.43</v>
      </c>
      <c r="I183" s="777">
        <v>21.72</v>
      </c>
      <c r="J183" s="777">
        <v>22.62</v>
      </c>
      <c r="K183" s="777">
        <v>23.64</v>
      </c>
      <c r="L183" s="777">
        <v>24.56</v>
      </c>
      <c r="M183" s="777">
        <v>25.55</v>
      </c>
      <c r="N183" s="777">
        <v>26.28</v>
      </c>
      <c r="O183" s="777">
        <v>27.06</v>
      </c>
      <c r="P183" s="777">
        <v>27.91</v>
      </c>
      <c r="Q183" s="777">
        <v>28.78</v>
      </c>
      <c r="R183" s="777">
        <v>29.75</v>
      </c>
      <c r="S183" s="777">
        <v>30.7</v>
      </c>
      <c r="T183" s="777">
        <v>31.68</v>
      </c>
      <c r="U183" s="777">
        <v>32.54</v>
      </c>
      <c r="V183" s="777">
        <v>33.6</v>
      </c>
      <c r="W183" s="777">
        <v>34.69</v>
      </c>
      <c r="X183" s="777">
        <v>35.950000000000003</v>
      </c>
      <c r="Y183" s="777">
        <v>37.049999999999997</v>
      </c>
      <c r="Z183" s="777">
        <v>38.44</v>
      </c>
      <c r="AA183" s="777">
        <v>39.83</v>
      </c>
      <c r="AB183" s="777">
        <v>41.29</v>
      </c>
      <c r="AC183" s="777">
        <v>42.77</v>
      </c>
      <c r="AD183" s="777">
        <v>44.32</v>
      </c>
      <c r="AE183" s="813">
        <v>0.03</v>
      </c>
      <c r="AF183" s="777"/>
      <c r="AG183" s="777"/>
      <c r="AH183" s="777"/>
      <c r="AI183" s="777"/>
      <c r="AJ183" s="777"/>
      <c r="AK183" s="777"/>
      <c r="AL183" s="777"/>
      <c r="AM183" s="777"/>
      <c r="AN183" s="777"/>
      <c r="AO183" s="777"/>
      <c r="AP183" s="777"/>
      <c r="AQ183" s="777"/>
      <c r="AR183" s="777"/>
      <c r="AS183" s="777"/>
      <c r="AT183" s="777"/>
      <c r="AU183" s="777"/>
      <c r="AV183" s="777"/>
      <c r="AW183" s="777"/>
      <c r="AX183" s="777"/>
      <c r="AY183" s="777"/>
      <c r="AZ183" s="777"/>
      <c r="BA183" s="777"/>
      <c r="BB183" s="777"/>
      <c r="BC183" s="777"/>
      <c r="BD183" s="777"/>
      <c r="BE183" s="777"/>
      <c r="BF183" s="777"/>
      <c r="BG183" s="777"/>
      <c r="BH183" s="777"/>
      <c r="BI183" s="777"/>
      <c r="BJ183" s="777"/>
      <c r="BK183" s="777"/>
      <c r="BL183" s="777"/>
      <c r="BM183" s="777"/>
      <c r="BN183" s="777"/>
      <c r="BO183" s="777"/>
      <c r="BP183" s="777"/>
      <c r="BQ183" s="777"/>
      <c r="BR183" s="777"/>
      <c r="BS183" s="777"/>
      <c r="BT183" s="777"/>
    </row>
    <row r="184" spans="1:72" x14ac:dyDescent="0.25">
      <c r="A184" s="777" t="s">
        <v>607</v>
      </c>
      <c r="B184" s="777">
        <v>26.83</v>
      </c>
      <c r="C184" s="777">
        <v>26.93</v>
      </c>
      <c r="D184" s="777">
        <v>23.64</v>
      </c>
      <c r="E184" s="777">
        <v>21.26</v>
      </c>
      <c r="F184" s="777">
        <v>21.89</v>
      </c>
      <c r="G184" s="777">
        <v>23.43</v>
      </c>
      <c r="H184" s="777">
        <v>26.07</v>
      </c>
      <c r="I184" s="777">
        <v>27.64</v>
      </c>
      <c r="J184" s="777">
        <v>28.47</v>
      </c>
      <c r="K184" s="777">
        <v>28.45</v>
      </c>
      <c r="L184" s="777">
        <v>29.92</v>
      </c>
      <c r="M184" s="777">
        <v>31.23</v>
      </c>
      <c r="N184" s="777">
        <v>31.97</v>
      </c>
      <c r="O184" s="777">
        <v>32.94</v>
      </c>
      <c r="P184" s="777">
        <v>34.090000000000003</v>
      </c>
      <c r="Q184" s="777">
        <v>35.479999999999997</v>
      </c>
      <c r="R184" s="777">
        <v>36.880000000000003</v>
      </c>
      <c r="S184" s="777">
        <v>37.979999999999997</v>
      </c>
      <c r="T184" s="777">
        <v>39.17</v>
      </c>
      <c r="U184" s="777">
        <v>40.479999999999997</v>
      </c>
      <c r="V184" s="777">
        <v>41.72</v>
      </c>
      <c r="W184" s="777">
        <v>43.4</v>
      </c>
      <c r="X184" s="777">
        <v>44.96</v>
      </c>
      <c r="Y184" s="777">
        <v>46.25</v>
      </c>
      <c r="Z184" s="777">
        <v>47.62</v>
      </c>
      <c r="AA184" s="777">
        <v>49.36</v>
      </c>
      <c r="AB184" s="777">
        <v>50.75</v>
      </c>
      <c r="AC184" s="777">
        <v>52.29</v>
      </c>
      <c r="AD184" s="777">
        <v>54.17</v>
      </c>
      <c r="AE184" s="813">
        <v>2.5999999999999999E-2</v>
      </c>
      <c r="AF184" s="777"/>
      <c r="AG184" s="777"/>
      <c r="AH184" s="777"/>
      <c r="AI184" s="777"/>
      <c r="AJ184" s="777"/>
      <c r="AK184" s="777"/>
      <c r="AL184" s="777"/>
      <c r="AM184" s="777"/>
      <c r="AN184" s="777"/>
      <c r="AO184" s="777"/>
      <c r="AP184" s="777"/>
      <c r="AQ184" s="777"/>
      <c r="AR184" s="777"/>
      <c r="AS184" s="777"/>
      <c r="AT184" s="777"/>
      <c r="AU184" s="777"/>
      <c r="AV184" s="777"/>
      <c r="AW184" s="777"/>
      <c r="AX184" s="777"/>
      <c r="AY184" s="777"/>
      <c r="AZ184" s="777"/>
      <c r="BA184" s="777"/>
      <c r="BB184" s="777"/>
      <c r="BC184" s="777"/>
      <c r="BD184" s="777"/>
      <c r="BE184" s="777"/>
      <c r="BF184" s="777"/>
      <c r="BG184" s="777"/>
      <c r="BH184" s="777"/>
      <c r="BI184" s="777"/>
      <c r="BJ184" s="777"/>
      <c r="BK184" s="777"/>
      <c r="BL184" s="777"/>
      <c r="BM184" s="777"/>
      <c r="BN184" s="777"/>
      <c r="BO184" s="777"/>
      <c r="BP184" s="777"/>
      <c r="BQ184" s="777"/>
      <c r="BR184" s="777"/>
      <c r="BS184" s="777"/>
      <c r="BT184" s="777"/>
    </row>
    <row r="185" spans="1:72" x14ac:dyDescent="0.25">
      <c r="A185" s="777" t="s">
        <v>608</v>
      </c>
      <c r="B185" s="777">
        <v>23.03</v>
      </c>
      <c r="C185" s="777">
        <v>26.54</v>
      </c>
      <c r="D185" s="777">
        <v>19.440000000000001</v>
      </c>
      <c r="E185" s="777">
        <v>21.17</v>
      </c>
      <c r="F185" s="777">
        <v>21.79</v>
      </c>
      <c r="G185" s="777">
        <v>23.32</v>
      </c>
      <c r="H185" s="777">
        <v>25.87</v>
      </c>
      <c r="I185" s="777">
        <v>27.33</v>
      </c>
      <c r="J185" s="777">
        <v>28.27</v>
      </c>
      <c r="K185" s="777">
        <v>29.42</v>
      </c>
      <c r="L185" s="777">
        <v>30.58</v>
      </c>
      <c r="M185" s="777">
        <v>31.64</v>
      </c>
      <c r="N185" s="777">
        <v>32.6</v>
      </c>
      <c r="O185" s="777">
        <v>33.71</v>
      </c>
      <c r="P185" s="777">
        <v>34.71</v>
      </c>
      <c r="Q185" s="777">
        <v>35.93</v>
      </c>
      <c r="R185" s="777">
        <v>37.020000000000003</v>
      </c>
      <c r="S185" s="777">
        <v>37.950000000000003</v>
      </c>
      <c r="T185" s="777">
        <v>39.17</v>
      </c>
      <c r="U185" s="777">
        <v>40.43</v>
      </c>
      <c r="V185" s="777">
        <v>41.68</v>
      </c>
      <c r="W185" s="777">
        <v>43.21</v>
      </c>
      <c r="X185" s="777">
        <v>44.69</v>
      </c>
      <c r="Y185" s="777">
        <v>45.9</v>
      </c>
      <c r="Z185" s="777">
        <v>47.46</v>
      </c>
      <c r="AA185" s="777">
        <v>49.15</v>
      </c>
      <c r="AB185" s="777">
        <v>50.65</v>
      </c>
      <c r="AC185" s="777">
        <v>52.35</v>
      </c>
      <c r="AD185" s="777">
        <v>54.32</v>
      </c>
      <c r="AE185" s="813">
        <v>2.7E-2</v>
      </c>
      <c r="AF185" s="777"/>
      <c r="AG185" s="777"/>
      <c r="AH185" s="777"/>
      <c r="AI185" s="777"/>
      <c r="AJ185" s="777"/>
      <c r="AK185" s="777"/>
      <c r="AL185" s="777"/>
      <c r="AM185" s="777"/>
      <c r="AN185" s="777"/>
      <c r="AO185" s="777"/>
      <c r="AP185" s="777"/>
      <c r="AQ185" s="777"/>
      <c r="AR185" s="777"/>
      <c r="AS185" s="777"/>
      <c r="AT185" s="777"/>
      <c r="AU185" s="777"/>
      <c r="AV185" s="777"/>
      <c r="AW185" s="777"/>
      <c r="AX185" s="777"/>
      <c r="AY185" s="777"/>
      <c r="AZ185" s="777"/>
      <c r="BA185" s="777"/>
      <c r="BB185" s="777"/>
      <c r="BC185" s="777"/>
      <c r="BD185" s="777"/>
      <c r="BE185" s="777"/>
      <c r="BF185" s="777"/>
      <c r="BG185" s="777"/>
      <c r="BH185" s="777"/>
      <c r="BI185" s="777"/>
      <c r="BJ185" s="777"/>
      <c r="BK185" s="777"/>
      <c r="BL185" s="777"/>
      <c r="BM185" s="777"/>
      <c r="BN185" s="777"/>
      <c r="BO185" s="777"/>
      <c r="BP185" s="777"/>
      <c r="BQ185" s="777"/>
      <c r="BR185" s="777"/>
      <c r="BS185" s="777"/>
      <c r="BT185" s="777"/>
    </row>
    <row r="186" spans="1:72" x14ac:dyDescent="0.25">
      <c r="A186" s="777" t="s">
        <v>615</v>
      </c>
      <c r="B186" s="777">
        <v>15.42</v>
      </c>
      <c r="C186" s="777">
        <v>22.71</v>
      </c>
      <c r="D186" s="777">
        <v>12.92</v>
      </c>
      <c r="E186" s="777">
        <v>15.23</v>
      </c>
      <c r="F186" s="777">
        <v>15.82</v>
      </c>
      <c r="G186" s="777">
        <v>17.510000000000002</v>
      </c>
      <c r="H186" s="777">
        <v>19.05</v>
      </c>
      <c r="I186" s="777">
        <v>20.23</v>
      </c>
      <c r="J186" s="777">
        <v>21.21</v>
      </c>
      <c r="K186" s="777">
        <v>22.42</v>
      </c>
      <c r="L186" s="777">
        <v>23.58</v>
      </c>
      <c r="M186" s="777">
        <v>24.67</v>
      </c>
      <c r="N186" s="777">
        <v>25.58</v>
      </c>
      <c r="O186" s="777">
        <v>26.51</v>
      </c>
      <c r="P186" s="777">
        <v>27.27</v>
      </c>
      <c r="Q186" s="777">
        <v>28.18</v>
      </c>
      <c r="R186" s="777">
        <v>29.2</v>
      </c>
      <c r="S186" s="777">
        <v>30.07</v>
      </c>
      <c r="T186" s="777">
        <v>31.1</v>
      </c>
      <c r="U186" s="777">
        <v>32.130000000000003</v>
      </c>
      <c r="V186" s="777">
        <v>33.21</v>
      </c>
      <c r="W186" s="777">
        <v>34.54</v>
      </c>
      <c r="X186" s="777">
        <v>35.83</v>
      </c>
      <c r="Y186" s="777">
        <v>36.99</v>
      </c>
      <c r="Z186" s="777">
        <v>38.42</v>
      </c>
      <c r="AA186" s="777">
        <v>39.92</v>
      </c>
      <c r="AB186" s="777">
        <v>41.32</v>
      </c>
      <c r="AC186" s="777">
        <v>42.87</v>
      </c>
      <c r="AD186" s="777">
        <v>44.51</v>
      </c>
      <c r="AE186" s="813">
        <v>2.5000000000000001E-2</v>
      </c>
      <c r="AF186" s="777"/>
      <c r="AG186" s="777"/>
      <c r="AH186" s="777"/>
      <c r="AI186" s="777"/>
      <c r="AJ186" s="777"/>
      <c r="AK186" s="777"/>
      <c r="AL186" s="777"/>
      <c r="AM186" s="777"/>
      <c r="AN186" s="777"/>
      <c r="AO186" s="777"/>
      <c r="AP186" s="777"/>
      <c r="AQ186" s="777"/>
      <c r="AR186" s="777"/>
      <c r="AS186" s="777"/>
      <c r="AT186" s="777"/>
      <c r="AU186" s="777"/>
      <c r="AV186" s="777"/>
      <c r="AW186" s="777"/>
      <c r="AX186" s="777"/>
      <c r="AY186" s="777"/>
      <c r="AZ186" s="777"/>
      <c r="BA186" s="777"/>
      <c r="BB186" s="777"/>
      <c r="BC186" s="777"/>
      <c r="BD186" s="777"/>
      <c r="BE186" s="777"/>
      <c r="BF186" s="777"/>
      <c r="BG186" s="777"/>
      <c r="BH186" s="777"/>
      <c r="BI186" s="777"/>
      <c r="BJ186" s="777"/>
      <c r="BK186" s="777"/>
      <c r="BL186" s="777"/>
      <c r="BM186" s="777"/>
      <c r="BN186" s="777"/>
      <c r="BO186" s="777"/>
      <c r="BP186" s="777"/>
      <c r="BQ186" s="777"/>
      <c r="BR186" s="777"/>
      <c r="BS186" s="777"/>
      <c r="BT186" s="777"/>
    </row>
    <row r="187" spans="1:72" x14ac:dyDescent="0.25">
      <c r="A187" s="777" t="s">
        <v>599</v>
      </c>
      <c r="B187" s="777">
        <v>20.260000000000002</v>
      </c>
      <c r="C187" s="777">
        <v>26.27</v>
      </c>
      <c r="D187" s="777">
        <v>17.73</v>
      </c>
      <c r="E187" s="777">
        <v>18.260000000000002</v>
      </c>
      <c r="F187" s="777">
        <v>18.940000000000001</v>
      </c>
      <c r="G187" s="777">
        <v>20.58</v>
      </c>
      <c r="H187" s="777">
        <v>22.21</v>
      </c>
      <c r="I187" s="777">
        <v>23.39</v>
      </c>
      <c r="J187" s="777">
        <v>24.55</v>
      </c>
      <c r="K187" s="777">
        <v>25.86</v>
      </c>
      <c r="L187" s="777">
        <v>27.09</v>
      </c>
      <c r="M187" s="777">
        <v>28.33</v>
      </c>
      <c r="N187" s="777">
        <v>29.33</v>
      </c>
      <c r="O187" s="777">
        <v>30.3</v>
      </c>
      <c r="P187" s="777">
        <v>31.19</v>
      </c>
      <c r="Q187" s="777">
        <v>32.29</v>
      </c>
      <c r="R187" s="777">
        <v>33.22</v>
      </c>
      <c r="S187" s="777">
        <v>34.04</v>
      </c>
      <c r="T187" s="777">
        <v>35.14</v>
      </c>
      <c r="U187" s="777">
        <v>36.19</v>
      </c>
      <c r="V187" s="777">
        <v>37.31</v>
      </c>
      <c r="W187" s="777">
        <v>38.6</v>
      </c>
      <c r="X187" s="777">
        <v>40.04</v>
      </c>
      <c r="Y187" s="777">
        <v>41.2</v>
      </c>
      <c r="Z187" s="777">
        <v>42.78</v>
      </c>
      <c r="AA187" s="777">
        <v>44.38</v>
      </c>
      <c r="AB187" s="777">
        <v>45.87</v>
      </c>
      <c r="AC187" s="777">
        <v>47.52</v>
      </c>
      <c r="AD187" s="777">
        <v>49.31</v>
      </c>
      <c r="AE187" s="813">
        <v>2.4E-2</v>
      </c>
      <c r="AF187" s="777"/>
      <c r="AG187" s="777"/>
      <c r="AH187" s="777"/>
      <c r="AI187" s="777"/>
      <c r="AJ187" s="777"/>
      <c r="AK187" s="777"/>
      <c r="AL187" s="777"/>
      <c r="AM187" s="777"/>
      <c r="AN187" s="777"/>
      <c r="AO187" s="777"/>
      <c r="AP187" s="777"/>
      <c r="AQ187" s="777"/>
      <c r="AR187" s="777"/>
      <c r="AS187" s="777"/>
      <c r="AT187" s="777"/>
      <c r="AU187" s="777"/>
      <c r="AV187" s="777"/>
      <c r="AW187" s="777"/>
      <c r="AX187" s="777"/>
      <c r="AY187" s="777"/>
      <c r="AZ187" s="777"/>
      <c r="BA187" s="777"/>
      <c r="BB187" s="777"/>
      <c r="BC187" s="777"/>
      <c r="BD187" s="777"/>
      <c r="BE187" s="777"/>
      <c r="BF187" s="777"/>
      <c r="BG187" s="777"/>
      <c r="BH187" s="777"/>
      <c r="BI187" s="777"/>
      <c r="BJ187" s="777"/>
      <c r="BK187" s="777"/>
      <c r="BL187" s="777"/>
      <c r="BM187" s="777"/>
      <c r="BN187" s="777"/>
      <c r="BO187" s="777"/>
      <c r="BP187" s="777"/>
      <c r="BQ187" s="777"/>
      <c r="BR187" s="777"/>
      <c r="BS187" s="777"/>
      <c r="BT187" s="777"/>
    </row>
    <row r="188" spans="1:72" x14ac:dyDescent="0.25">
      <c r="A188" s="777" t="s">
        <v>600</v>
      </c>
      <c r="B188" s="777">
        <v>8.8699999999999992</v>
      </c>
      <c r="C188" s="777">
        <v>14.77</v>
      </c>
      <c r="D188" s="777">
        <v>9.1</v>
      </c>
      <c r="E188" s="777">
        <v>11.22</v>
      </c>
      <c r="F188" s="777">
        <v>11.49</v>
      </c>
      <c r="G188" s="777">
        <v>12.89</v>
      </c>
      <c r="H188" s="777">
        <v>14.14</v>
      </c>
      <c r="I188" s="777">
        <v>15.19</v>
      </c>
      <c r="J188" s="777">
        <v>15.89</v>
      </c>
      <c r="K188" s="777">
        <v>16.600000000000001</v>
      </c>
      <c r="L188" s="777">
        <v>17.5</v>
      </c>
      <c r="M188" s="777">
        <v>18.3</v>
      </c>
      <c r="N188" s="777">
        <v>18.89</v>
      </c>
      <c r="O188" s="777">
        <v>19.329999999999998</v>
      </c>
      <c r="P188" s="777">
        <v>20.03</v>
      </c>
      <c r="Q188" s="777">
        <v>20.64</v>
      </c>
      <c r="R188" s="777">
        <v>21.36</v>
      </c>
      <c r="S188" s="777">
        <v>22.08</v>
      </c>
      <c r="T188" s="777">
        <v>22.8</v>
      </c>
      <c r="U188" s="777">
        <v>23.35</v>
      </c>
      <c r="V188" s="777">
        <v>24.24</v>
      </c>
      <c r="W188" s="777">
        <v>25.11</v>
      </c>
      <c r="X188" s="777">
        <v>26.08</v>
      </c>
      <c r="Y188" s="777">
        <v>27.11</v>
      </c>
      <c r="Z188" s="777">
        <v>28.23</v>
      </c>
      <c r="AA188" s="777">
        <v>29.29</v>
      </c>
      <c r="AB188" s="777">
        <v>30.29</v>
      </c>
      <c r="AC188" s="777">
        <v>31.46</v>
      </c>
      <c r="AD188" s="777">
        <v>32.700000000000003</v>
      </c>
      <c r="AE188" s="813">
        <v>0.03</v>
      </c>
      <c r="AF188" s="777"/>
      <c r="AG188" s="777"/>
      <c r="AH188" s="777"/>
      <c r="AI188" s="777"/>
      <c r="AJ188" s="777"/>
      <c r="AK188" s="777"/>
      <c r="AL188" s="777"/>
      <c r="AM188" s="777"/>
      <c r="AN188" s="777"/>
      <c r="AO188" s="777"/>
      <c r="AP188" s="777"/>
      <c r="AQ188" s="777"/>
      <c r="AR188" s="777"/>
      <c r="AS188" s="777"/>
      <c r="AT188" s="777"/>
      <c r="AU188" s="777"/>
      <c r="AV188" s="777"/>
      <c r="AW188" s="777"/>
      <c r="AX188" s="777"/>
      <c r="AY188" s="777"/>
      <c r="AZ188" s="777"/>
      <c r="BA188" s="777"/>
      <c r="BB188" s="777"/>
      <c r="BC188" s="777"/>
      <c r="BD188" s="777"/>
      <c r="BE188" s="777"/>
      <c r="BF188" s="777"/>
      <c r="BG188" s="777"/>
      <c r="BH188" s="777"/>
      <c r="BI188" s="777"/>
      <c r="BJ188" s="777"/>
      <c r="BK188" s="777"/>
      <c r="BL188" s="777"/>
      <c r="BM188" s="777"/>
      <c r="BN188" s="777"/>
      <c r="BO188" s="777"/>
      <c r="BP188" s="777"/>
      <c r="BQ188" s="777"/>
      <c r="BR188" s="777"/>
      <c r="BS188" s="777"/>
      <c r="BT188" s="777"/>
    </row>
    <row r="189" spans="1:72" x14ac:dyDescent="0.25">
      <c r="A189" s="777" t="s">
        <v>500</v>
      </c>
      <c r="B189" s="777">
        <v>8.99</v>
      </c>
      <c r="C189" s="777">
        <v>10.53</v>
      </c>
      <c r="D189" s="777">
        <v>6.67</v>
      </c>
      <c r="E189" s="777">
        <v>7.08</v>
      </c>
      <c r="F189" s="777">
        <v>8.2100000000000009</v>
      </c>
      <c r="G189" s="777">
        <v>8.68</v>
      </c>
      <c r="H189" s="777">
        <v>8.67</v>
      </c>
      <c r="I189" s="777">
        <v>8.7799999999999994</v>
      </c>
      <c r="J189" s="777">
        <v>9.07</v>
      </c>
      <c r="K189" s="777">
        <v>9.33</v>
      </c>
      <c r="L189" s="777">
        <v>9.5</v>
      </c>
      <c r="M189" s="777">
        <v>9.73</v>
      </c>
      <c r="N189" s="777">
        <v>9.98</v>
      </c>
      <c r="O189" s="777">
        <v>10.32</v>
      </c>
      <c r="P189" s="777">
        <v>10.67</v>
      </c>
      <c r="Q189" s="777">
        <v>11.14</v>
      </c>
      <c r="R189" s="777">
        <v>11.42</v>
      </c>
      <c r="S189" s="777">
        <v>11.55</v>
      </c>
      <c r="T189" s="777">
        <v>11.88</v>
      </c>
      <c r="U189" s="777">
        <v>12.31</v>
      </c>
      <c r="V189" s="777">
        <v>12.79</v>
      </c>
      <c r="W189" s="777">
        <v>13.39</v>
      </c>
      <c r="X189" s="777">
        <v>14.02</v>
      </c>
      <c r="Y189" s="777">
        <v>14.7</v>
      </c>
      <c r="Z189" s="777">
        <v>15.51</v>
      </c>
      <c r="AA189" s="777">
        <v>16.05</v>
      </c>
      <c r="AB189" s="777">
        <v>16.46</v>
      </c>
      <c r="AC189" s="777">
        <v>17.12</v>
      </c>
      <c r="AD189" s="777">
        <v>17.71</v>
      </c>
      <c r="AE189" s="813">
        <v>1.9E-2</v>
      </c>
      <c r="AF189" s="777"/>
      <c r="AG189" s="777"/>
      <c r="AH189" s="777"/>
      <c r="AI189" s="777"/>
      <c r="AJ189" s="777"/>
      <c r="AK189" s="777"/>
      <c r="AL189" s="777"/>
      <c r="AM189" s="777"/>
      <c r="AN189" s="777"/>
      <c r="AO189" s="777"/>
      <c r="AP189" s="777"/>
      <c r="AQ189" s="777"/>
      <c r="AR189" s="777"/>
      <c r="AS189" s="777"/>
      <c r="AT189" s="777"/>
      <c r="AU189" s="777"/>
      <c r="AV189" s="777"/>
      <c r="AW189" s="777"/>
      <c r="AX189" s="777"/>
      <c r="AY189" s="777"/>
      <c r="AZ189" s="777"/>
      <c r="BA189" s="777"/>
      <c r="BB189" s="777"/>
      <c r="BC189" s="777"/>
      <c r="BD189" s="777"/>
      <c r="BE189" s="777"/>
      <c r="BF189" s="777"/>
      <c r="BG189" s="777"/>
      <c r="BH189" s="777"/>
      <c r="BI189" s="777"/>
      <c r="BJ189" s="777"/>
      <c r="BK189" s="777"/>
      <c r="BL189" s="777"/>
      <c r="BM189" s="777"/>
      <c r="BN189" s="777"/>
      <c r="BO189" s="777"/>
      <c r="BP189" s="777"/>
      <c r="BQ189" s="777"/>
      <c r="BR189" s="777"/>
      <c r="BS189" s="777"/>
      <c r="BT189" s="777"/>
    </row>
    <row r="190" spans="1:72" x14ac:dyDescent="0.25">
      <c r="A190" s="777" t="s">
        <v>603</v>
      </c>
      <c r="B190" s="777">
        <v>3.61</v>
      </c>
      <c r="C190" s="777">
        <v>4.49</v>
      </c>
      <c r="D190" s="777">
        <v>4.79</v>
      </c>
      <c r="E190" s="777">
        <v>4.9400000000000004</v>
      </c>
      <c r="F190" s="777">
        <v>5.07</v>
      </c>
      <c r="G190" s="777">
        <v>5.31</v>
      </c>
      <c r="H190" s="777">
        <v>5.44</v>
      </c>
      <c r="I190" s="777">
        <v>5.56</v>
      </c>
      <c r="J190" s="777">
        <v>5.66</v>
      </c>
      <c r="K190" s="777">
        <v>5.77</v>
      </c>
      <c r="L190" s="777">
        <v>5.97</v>
      </c>
      <c r="M190" s="777">
        <v>6.14</v>
      </c>
      <c r="N190" s="777">
        <v>6.34</v>
      </c>
      <c r="O190" s="777">
        <v>6.5</v>
      </c>
      <c r="P190" s="777">
        <v>6.68</v>
      </c>
      <c r="Q190" s="777">
        <v>6.84</v>
      </c>
      <c r="R190" s="777">
        <v>6.98</v>
      </c>
      <c r="S190" s="777">
        <v>7.07</v>
      </c>
      <c r="T190" s="777">
        <v>7.11</v>
      </c>
      <c r="U190" s="777">
        <v>7.15</v>
      </c>
      <c r="V190" s="777">
        <v>7.27</v>
      </c>
      <c r="W190" s="777">
        <v>7.43</v>
      </c>
      <c r="X190" s="777">
        <v>7.55</v>
      </c>
      <c r="Y190" s="777">
        <v>7.72</v>
      </c>
      <c r="Z190" s="777">
        <v>7.86</v>
      </c>
      <c r="AA190" s="777">
        <v>8.02</v>
      </c>
      <c r="AB190" s="777">
        <v>8.18</v>
      </c>
      <c r="AC190" s="777">
        <v>8.33</v>
      </c>
      <c r="AD190" s="777">
        <v>8.5</v>
      </c>
      <c r="AE190" s="813">
        <v>2.4E-2</v>
      </c>
      <c r="AF190" s="777"/>
      <c r="AG190" s="777"/>
      <c r="AH190" s="777"/>
      <c r="AI190" s="777"/>
      <c r="AJ190" s="777"/>
      <c r="AK190" s="777"/>
      <c r="AL190" s="777"/>
      <c r="AM190" s="777"/>
      <c r="AN190" s="777"/>
      <c r="AO190" s="777"/>
      <c r="AP190" s="777"/>
      <c r="AQ190" s="777"/>
      <c r="AR190" s="777"/>
      <c r="AS190" s="777"/>
      <c r="AT190" s="777"/>
      <c r="AU190" s="777"/>
      <c r="AV190" s="777"/>
      <c r="AW190" s="777"/>
      <c r="AX190" s="777"/>
      <c r="AY190" s="777"/>
      <c r="AZ190" s="777"/>
      <c r="BA190" s="777"/>
      <c r="BB190" s="777"/>
      <c r="BC190" s="777"/>
      <c r="BD190" s="777"/>
      <c r="BE190" s="777"/>
      <c r="BF190" s="777"/>
      <c r="BG190" s="777"/>
      <c r="BH190" s="777"/>
      <c r="BI190" s="777"/>
      <c r="BJ190" s="777"/>
      <c r="BK190" s="777"/>
      <c r="BL190" s="777"/>
      <c r="BM190" s="777"/>
      <c r="BN190" s="777"/>
      <c r="BO190" s="777"/>
      <c r="BP190" s="777"/>
      <c r="BQ190" s="777"/>
      <c r="BR190" s="777"/>
      <c r="BS190" s="777"/>
      <c r="BT190" s="777"/>
    </row>
    <row r="191" spans="1:72" x14ac:dyDescent="0.25">
      <c r="A191" s="777" t="s">
        <v>616</v>
      </c>
      <c r="B191" s="777">
        <v>1.8</v>
      </c>
      <c r="C191" s="777">
        <v>2.1</v>
      </c>
      <c r="D191" s="777">
        <v>2.2200000000000002</v>
      </c>
      <c r="E191" s="777">
        <v>2.09</v>
      </c>
      <c r="F191" s="777">
        <v>2.11</v>
      </c>
      <c r="G191" s="777">
        <v>2.14</v>
      </c>
      <c r="H191" s="777">
        <v>2.19</v>
      </c>
      <c r="I191" s="777">
        <v>2.23</v>
      </c>
      <c r="J191" s="777">
        <v>2.2799999999999998</v>
      </c>
      <c r="K191" s="777">
        <v>2.2999999999999998</v>
      </c>
      <c r="L191" s="777">
        <v>2.35</v>
      </c>
      <c r="M191" s="777">
        <v>2.39</v>
      </c>
      <c r="N191" s="777">
        <v>2.4300000000000002</v>
      </c>
      <c r="O191" s="777">
        <v>2.4700000000000002</v>
      </c>
      <c r="P191" s="777">
        <v>2.52</v>
      </c>
      <c r="Q191" s="777">
        <v>2.58</v>
      </c>
      <c r="R191" s="777">
        <v>2.64</v>
      </c>
      <c r="S191" s="777">
        <v>2.69</v>
      </c>
      <c r="T191" s="777">
        <v>2.74</v>
      </c>
      <c r="U191" s="777">
        <v>2.81</v>
      </c>
      <c r="V191" s="777">
        <v>2.87</v>
      </c>
      <c r="W191" s="777">
        <v>2.95</v>
      </c>
      <c r="X191" s="777">
        <v>3.03</v>
      </c>
      <c r="Y191" s="777">
        <v>3.11</v>
      </c>
      <c r="Z191" s="777">
        <v>3.2</v>
      </c>
      <c r="AA191" s="777">
        <v>3.28</v>
      </c>
      <c r="AB191" s="777">
        <v>3.37</v>
      </c>
      <c r="AC191" s="777">
        <v>3.46</v>
      </c>
      <c r="AD191" s="777">
        <v>3.56</v>
      </c>
      <c r="AE191" s="813">
        <v>0.02</v>
      </c>
      <c r="AF191" s="777"/>
      <c r="AG191" s="777"/>
      <c r="AH191" s="777"/>
      <c r="AI191" s="777"/>
      <c r="AJ191" s="777"/>
      <c r="AK191" s="777"/>
      <c r="AL191" s="777"/>
      <c r="AM191" s="777"/>
      <c r="AN191" s="777"/>
      <c r="AO191" s="777"/>
      <c r="AP191" s="777"/>
      <c r="AQ191" s="777"/>
      <c r="AR191" s="777"/>
      <c r="AS191" s="777"/>
      <c r="AT191" s="777"/>
      <c r="AU191" s="777"/>
      <c r="AV191" s="777"/>
      <c r="AW191" s="777"/>
      <c r="AX191" s="777"/>
      <c r="AY191" s="777"/>
      <c r="AZ191" s="777"/>
      <c r="BA191" s="777"/>
      <c r="BB191" s="777"/>
      <c r="BC191" s="777"/>
      <c r="BD191" s="777"/>
      <c r="BE191" s="777"/>
      <c r="BF191" s="777"/>
      <c r="BG191" s="777"/>
      <c r="BH191" s="777"/>
      <c r="BI191" s="777"/>
      <c r="BJ191" s="777"/>
      <c r="BK191" s="777"/>
      <c r="BL191" s="777"/>
      <c r="BM191" s="777"/>
      <c r="BN191" s="777"/>
      <c r="BO191" s="777"/>
      <c r="BP191" s="777"/>
      <c r="BQ191" s="777"/>
      <c r="BR191" s="777"/>
      <c r="BS191" s="777"/>
      <c r="BT191" s="777"/>
    </row>
    <row r="192" spans="1:72" x14ac:dyDescent="0.25">
      <c r="A192" s="777" t="s">
        <v>605</v>
      </c>
      <c r="B192" s="777" t="s">
        <v>777</v>
      </c>
      <c r="C192" s="777" t="s">
        <v>777</v>
      </c>
      <c r="D192" s="777" t="s">
        <v>777</v>
      </c>
      <c r="E192" s="777" t="s">
        <v>777</v>
      </c>
      <c r="F192" s="777">
        <v>1.32</v>
      </c>
      <c r="G192" s="777">
        <v>1.1000000000000001</v>
      </c>
      <c r="H192" s="777">
        <v>1.1200000000000001</v>
      </c>
      <c r="I192" s="777">
        <v>1.55</v>
      </c>
      <c r="J192" s="777">
        <v>1.58</v>
      </c>
      <c r="K192" s="777">
        <v>1.65</v>
      </c>
      <c r="L192" s="777">
        <v>1.72</v>
      </c>
      <c r="M192" s="777">
        <v>1.74</v>
      </c>
      <c r="N192" s="777">
        <v>1.76</v>
      </c>
      <c r="O192" s="777">
        <v>1.79</v>
      </c>
      <c r="P192" s="777">
        <v>1.86</v>
      </c>
      <c r="Q192" s="777">
        <v>1.91</v>
      </c>
      <c r="R192" s="777">
        <v>1.98</v>
      </c>
      <c r="S192" s="777">
        <v>1.99</v>
      </c>
      <c r="T192" s="777">
        <v>2.02</v>
      </c>
      <c r="U192" s="777">
        <v>2.04</v>
      </c>
      <c r="V192" s="777">
        <v>2.0699999999999998</v>
      </c>
      <c r="W192" s="777">
        <v>2.1</v>
      </c>
      <c r="X192" s="777">
        <v>2.13</v>
      </c>
      <c r="Y192" s="777">
        <v>2.1800000000000002</v>
      </c>
      <c r="Z192" s="777">
        <v>2.2200000000000002</v>
      </c>
      <c r="AA192" s="777">
        <v>2.2799999999999998</v>
      </c>
      <c r="AB192" s="777">
        <v>2.35</v>
      </c>
      <c r="AC192" s="777">
        <v>2.44</v>
      </c>
      <c r="AD192" s="777">
        <v>2.5299999999999998</v>
      </c>
      <c r="AE192" s="777" t="s">
        <v>777</v>
      </c>
      <c r="AF192" s="777"/>
      <c r="AG192" s="777"/>
      <c r="AH192" s="777"/>
      <c r="AI192" s="777"/>
      <c r="AJ192" s="777"/>
      <c r="AK192" s="777"/>
      <c r="AL192" s="777"/>
      <c r="AM192" s="777"/>
      <c r="AN192" s="777"/>
      <c r="AO192" s="777"/>
      <c r="AP192" s="777"/>
      <c r="AQ192" s="777"/>
      <c r="AR192" s="777"/>
      <c r="AS192" s="777"/>
      <c r="AT192" s="777"/>
      <c r="AU192" s="777"/>
      <c r="AV192" s="777"/>
      <c r="AW192" s="777"/>
      <c r="AX192" s="777"/>
      <c r="AY192" s="777"/>
      <c r="AZ192" s="777"/>
      <c r="BA192" s="777"/>
      <c r="BB192" s="777"/>
      <c r="BC192" s="777"/>
      <c r="BD192" s="777"/>
      <c r="BE192" s="777"/>
      <c r="BF192" s="777"/>
      <c r="BG192" s="777"/>
      <c r="BH192" s="777"/>
      <c r="BI192" s="777"/>
      <c r="BJ192" s="777"/>
      <c r="BK192" s="777"/>
      <c r="BL192" s="777"/>
      <c r="BM192" s="777"/>
      <c r="BN192" s="777"/>
      <c r="BO192" s="777"/>
      <c r="BP192" s="777"/>
      <c r="BQ192" s="777"/>
      <c r="BR192" s="777"/>
      <c r="BS192" s="777"/>
      <c r="BT192" s="777"/>
    </row>
    <row r="193" spans="1:72" x14ac:dyDescent="0.25">
      <c r="A193" s="777" t="s">
        <v>469</v>
      </c>
      <c r="B193" s="777">
        <v>26.66</v>
      </c>
      <c r="C193" s="777">
        <v>28.81</v>
      </c>
      <c r="D193" s="777">
        <v>28.5</v>
      </c>
      <c r="E193" s="777">
        <v>27.58</v>
      </c>
      <c r="F193" s="777">
        <v>26.29</v>
      </c>
      <c r="G193" s="777">
        <v>27.63</v>
      </c>
      <c r="H193" s="777">
        <v>28.19</v>
      </c>
      <c r="I193" s="777">
        <v>28.46</v>
      </c>
      <c r="J193" s="777">
        <v>28.92</v>
      </c>
      <c r="K193" s="777">
        <v>29.72</v>
      </c>
      <c r="L193" s="777">
        <v>30.45</v>
      </c>
      <c r="M193" s="777">
        <v>31.03</v>
      </c>
      <c r="N193" s="777">
        <v>31.53</v>
      </c>
      <c r="O193" s="777">
        <v>32.4</v>
      </c>
      <c r="P193" s="777">
        <v>33.33</v>
      </c>
      <c r="Q193" s="777">
        <v>34.229999999999997</v>
      </c>
      <c r="R193" s="777">
        <v>35.22</v>
      </c>
      <c r="S193" s="777">
        <v>36.159999999999997</v>
      </c>
      <c r="T193" s="777">
        <v>36.869999999999997</v>
      </c>
      <c r="U193" s="777">
        <v>37.86</v>
      </c>
      <c r="V193" s="777">
        <v>38.94</v>
      </c>
      <c r="W193" s="777">
        <v>40.090000000000003</v>
      </c>
      <c r="X193" s="777">
        <v>41.58</v>
      </c>
      <c r="Y193" s="777">
        <v>43</v>
      </c>
      <c r="Z193" s="777">
        <v>44.53</v>
      </c>
      <c r="AA193" s="777">
        <v>46.07</v>
      </c>
      <c r="AB193" s="777">
        <v>47.34</v>
      </c>
      <c r="AC193" s="777">
        <v>48.78</v>
      </c>
      <c r="AD193" s="777">
        <v>50.19</v>
      </c>
      <c r="AE193" s="813">
        <v>2.1000000000000001E-2</v>
      </c>
      <c r="AF193" s="777"/>
      <c r="AG193" s="777"/>
      <c r="AH193" s="777"/>
      <c r="AI193" s="777"/>
      <c r="AJ193" s="777"/>
      <c r="AK193" s="777"/>
      <c r="AL193" s="777"/>
      <c r="AM193" s="777"/>
      <c r="AN193" s="777"/>
      <c r="AO193" s="777"/>
      <c r="AP193" s="777"/>
      <c r="AQ193" s="777"/>
      <c r="AR193" s="777"/>
      <c r="AS193" s="777"/>
      <c r="AT193" s="777"/>
      <c r="AU193" s="777"/>
      <c r="AV193" s="777"/>
      <c r="AW193" s="777"/>
      <c r="AX193" s="777"/>
      <c r="AY193" s="777"/>
      <c r="AZ193" s="777"/>
      <c r="BA193" s="777"/>
      <c r="BB193" s="777"/>
      <c r="BC193" s="777"/>
      <c r="BD193" s="777"/>
      <c r="BE193" s="777"/>
      <c r="BF193" s="777"/>
      <c r="BG193" s="777"/>
      <c r="BH193" s="777"/>
      <c r="BI193" s="777"/>
      <c r="BJ193" s="777"/>
      <c r="BK193" s="777"/>
      <c r="BL193" s="777"/>
      <c r="BM193" s="777"/>
      <c r="BN193" s="777"/>
      <c r="BO193" s="777"/>
      <c r="BP193" s="777"/>
      <c r="BQ193" s="777"/>
      <c r="BR193" s="777"/>
      <c r="BS193" s="777"/>
      <c r="BT193" s="777"/>
    </row>
    <row r="194" spans="1:72" x14ac:dyDescent="0.25">
      <c r="A194" s="777"/>
      <c r="B194" s="777"/>
      <c r="C194" s="777"/>
      <c r="D194" s="777"/>
      <c r="E194" s="777"/>
      <c r="F194" s="777"/>
      <c r="G194" s="777"/>
      <c r="H194" s="777"/>
      <c r="I194" s="777"/>
      <c r="J194" s="777"/>
      <c r="K194" s="777"/>
      <c r="L194" s="777"/>
      <c r="M194" s="777"/>
      <c r="N194" s="777"/>
      <c r="O194" s="777"/>
      <c r="P194" s="777"/>
      <c r="Q194" s="777"/>
      <c r="R194" s="777"/>
      <c r="S194" s="777"/>
      <c r="T194" s="777"/>
      <c r="U194" s="777"/>
      <c r="V194" s="777"/>
      <c r="W194" s="777"/>
      <c r="X194" s="777"/>
      <c r="Y194" s="777"/>
      <c r="Z194" s="777"/>
      <c r="AA194" s="777"/>
      <c r="AB194" s="777"/>
      <c r="AC194" s="777"/>
      <c r="AD194" s="777"/>
      <c r="AE194" s="777"/>
      <c r="AF194" s="777"/>
      <c r="AG194" s="777"/>
      <c r="AH194" s="777"/>
      <c r="AI194" s="777"/>
      <c r="AJ194" s="777"/>
      <c r="AK194" s="777"/>
      <c r="AL194" s="777"/>
      <c r="AM194" s="777"/>
      <c r="AN194" s="777"/>
      <c r="AO194" s="777"/>
      <c r="AP194" s="777"/>
      <c r="AQ194" s="777"/>
      <c r="AR194" s="777"/>
      <c r="AS194" s="777"/>
      <c r="AT194" s="777"/>
      <c r="AU194" s="777"/>
      <c r="AV194" s="777"/>
      <c r="AW194" s="777"/>
      <c r="AX194" s="777"/>
      <c r="AY194" s="777"/>
      <c r="AZ194" s="777"/>
      <c r="BA194" s="777"/>
      <c r="BB194" s="777"/>
      <c r="BC194" s="777"/>
      <c r="BD194" s="777"/>
      <c r="BE194" s="777"/>
      <c r="BF194" s="777"/>
      <c r="BG194" s="777"/>
      <c r="BH194" s="777"/>
      <c r="BI194" s="777"/>
      <c r="BJ194" s="777"/>
      <c r="BK194" s="777"/>
      <c r="BL194" s="777"/>
      <c r="BM194" s="777"/>
      <c r="BN194" s="777"/>
      <c r="BO194" s="777"/>
      <c r="BP194" s="777"/>
      <c r="BQ194" s="777"/>
      <c r="BR194" s="777"/>
      <c r="BS194" s="777"/>
      <c r="BT194" s="777"/>
    </row>
    <row r="195" spans="1:72" x14ac:dyDescent="0.25">
      <c r="A195" s="777" t="s">
        <v>503</v>
      </c>
      <c r="B195" s="777"/>
      <c r="C195" s="777"/>
      <c r="D195" s="777"/>
      <c r="E195" s="777"/>
      <c r="F195" s="777"/>
      <c r="G195" s="777"/>
      <c r="H195" s="777"/>
      <c r="I195" s="777"/>
      <c r="J195" s="777"/>
      <c r="K195" s="777"/>
      <c r="L195" s="777"/>
      <c r="M195" s="777"/>
      <c r="N195" s="777"/>
      <c r="O195" s="777"/>
      <c r="P195" s="777"/>
      <c r="Q195" s="777"/>
      <c r="R195" s="777"/>
      <c r="S195" s="777"/>
      <c r="T195" s="777"/>
      <c r="U195" s="777"/>
      <c r="V195" s="777"/>
      <c r="W195" s="777"/>
      <c r="X195" s="777"/>
      <c r="Y195" s="777"/>
      <c r="Z195" s="777"/>
      <c r="AA195" s="777"/>
      <c r="AB195" s="777"/>
      <c r="AC195" s="777"/>
      <c r="AD195" s="777"/>
      <c r="AE195" s="777"/>
      <c r="AF195" s="777"/>
      <c r="AG195" s="777"/>
      <c r="AH195" s="777"/>
      <c r="AI195" s="777"/>
      <c r="AJ195" s="777"/>
      <c r="AK195" s="777"/>
      <c r="AL195" s="777"/>
      <c r="AM195" s="777"/>
      <c r="AN195" s="777"/>
      <c r="AO195" s="777"/>
      <c r="AP195" s="777"/>
      <c r="AQ195" s="777"/>
      <c r="AR195" s="777"/>
      <c r="AS195" s="777"/>
      <c r="AT195" s="777"/>
      <c r="AU195" s="777"/>
      <c r="AV195" s="777"/>
      <c r="AW195" s="777"/>
      <c r="AX195" s="777"/>
      <c r="AY195" s="777"/>
      <c r="AZ195" s="777"/>
      <c r="BA195" s="777"/>
      <c r="BB195" s="777"/>
      <c r="BC195" s="777"/>
      <c r="BD195" s="777"/>
      <c r="BE195" s="777"/>
      <c r="BF195" s="777"/>
      <c r="BG195" s="777"/>
      <c r="BH195" s="777"/>
      <c r="BI195" s="777"/>
      <c r="BJ195" s="777"/>
      <c r="BK195" s="777"/>
      <c r="BL195" s="777"/>
      <c r="BM195" s="777"/>
      <c r="BN195" s="777"/>
      <c r="BO195" s="777"/>
      <c r="BP195" s="777"/>
      <c r="BQ195" s="777"/>
      <c r="BR195" s="777"/>
      <c r="BS195" s="777"/>
      <c r="BT195" s="777"/>
    </row>
    <row r="196" spans="1:72" x14ac:dyDescent="0.25">
      <c r="A196" s="777" t="s">
        <v>716</v>
      </c>
      <c r="B196" s="777"/>
      <c r="C196" s="777"/>
      <c r="D196" s="777"/>
      <c r="E196" s="777"/>
      <c r="F196" s="777"/>
      <c r="G196" s="777"/>
      <c r="H196" s="777"/>
      <c r="I196" s="777"/>
      <c r="J196" s="777"/>
      <c r="K196" s="777"/>
      <c r="L196" s="777"/>
      <c r="M196" s="777"/>
      <c r="N196" s="777"/>
      <c r="O196" s="777"/>
      <c r="P196" s="777"/>
      <c r="Q196" s="777"/>
      <c r="R196" s="777"/>
      <c r="S196" s="777"/>
      <c r="T196" s="777"/>
      <c r="U196" s="777"/>
      <c r="V196" s="777"/>
      <c r="W196" s="777"/>
      <c r="X196" s="777"/>
      <c r="Y196" s="777"/>
      <c r="Z196" s="777"/>
      <c r="AA196" s="777"/>
      <c r="AB196" s="777"/>
      <c r="AC196" s="777"/>
      <c r="AD196" s="777"/>
      <c r="AE196" s="777"/>
      <c r="AF196" s="777"/>
      <c r="AG196" s="777"/>
      <c r="AH196" s="777"/>
      <c r="AI196" s="777"/>
      <c r="AJ196" s="777"/>
      <c r="AK196" s="777"/>
      <c r="AL196" s="777"/>
      <c r="AM196" s="777"/>
      <c r="AN196" s="777"/>
      <c r="AO196" s="777"/>
      <c r="AP196" s="777"/>
      <c r="AQ196" s="777"/>
      <c r="AR196" s="777"/>
      <c r="AS196" s="777"/>
      <c r="AT196" s="777"/>
      <c r="AU196" s="777"/>
      <c r="AV196" s="777"/>
      <c r="AW196" s="777"/>
      <c r="AX196" s="777"/>
      <c r="AY196" s="777"/>
      <c r="AZ196" s="777"/>
      <c r="BA196" s="777"/>
      <c r="BB196" s="777"/>
      <c r="BC196" s="777"/>
      <c r="BD196" s="777"/>
      <c r="BE196" s="777"/>
      <c r="BF196" s="777"/>
      <c r="BG196" s="777"/>
      <c r="BH196" s="777"/>
      <c r="BI196" s="777"/>
      <c r="BJ196" s="777"/>
      <c r="BK196" s="777"/>
      <c r="BL196" s="777"/>
      <c r="BM196" s="777"/>
      <c r="BN196" s="777"/>
      <c r="BO196" s="777"/>
      <c r="BP196" s="777"/>
      <c r="BQ196" s="777"/>
      <c r="BR196" s="777"/>
      <c r="BS196" s="777"/>
      <c r="BT196" s="777"/>
    </row>
    <row r="197" spans="1:72" x14ac:dyDescent="0.25">
      <c r="A197" s="777" t="s">
        <v>463</v>
      </c>
      <c r="B197" s="777">
        <v>236.38</v>
      </c>
      <c r="C197" s="777">
        <v>254.66</v>
      </c>
      <c r="D197" s="777">
        <v>235.17</v>
      </c>
      <c r="E197" s="777">
        <v>230.51</v>
      </c>
      <c r="F197" s="777">
        <v>232.31</v>
      </c>
      <c r="G197" s="777">
        <v>244.12</v>
      </c>
      <c r="H197" s="777">
        <v>246.57</v>
      </c>
      <c r="I197" s="777">
        <v>251.37</v>
      </c>
      <c r="J197" s="777">
        <v>257.29000000000002</v>
      </c>
      <c r="K197" s="777">
        <v>266.02999999999997</v>
      </c>
      <c r="L197" s="777">
        <v>273.52999999999997</v>
      </c>
      <c r="M197" s="777">
        <v>281.39999999999998</v>
      </c>
      <c r="N197" s="777">
        <v>289.27</v>
      </c>
      <c r="O197" s="777">
        <v>299.58999999999997</v>
      </c>
      <c r="P197" s="777">
        <v>309.45</v>
      </c>
      <c r="Q197" s="777">
        <v>320.3</v>
      </c>
      <c r="R197" s="777">
        <v>330.83</v>
      </c>
      <c r="S197" s="777">
        <v>341.36</v>
      </c>
      <c r="T197" s="777">
        <v>351.09</v>
      </c>
      <c r="U197" s="777">
        <v>363.72</v>
      </c>
      <c r="V197" s="777">
        <v>377.1</v>
      </c>
      <c r="W197" s="777">
        <v>392.03</v>
      </c>
      <c r="X197" s="777">
        <v>407.27</v>
      </c>
      <c r="Y197" s="777">
        <v>423.22</v>
      </c>
      <c r="Z197" s="777">
        <v>441.01</v>
      </c>
      <c r="AA197" s="777">
        <v>458.4</v>
      </c>
      <c r="AB197" s="777">
        <v>471.99</v>
      </c>
      <c r="AC197" s="777">
        <v>489.06</v>
      </c>
      <c r="AD197" s="777">
        <v>506.03</v>
      </c>
      <c r="AE197" s="813">
        <v>2.5999999999999999E-2</v>
      </c>
      <c r="AF197" s="777"/>
      <c r="AG197" s="777"/>
      <c r="AH197" s="777"/>
      <c r="AI197" s="777"/>
      <c r="AJ197" s="777"/>
      <c r="AK197" s="777"/>
      <c r="AL197" s="777"/>
      <c r="AM197" s="777"/>
      <c r="AN197" s="777"/>
      <c r="AO197" s="777"/>
      <c r="AP197" s="777"/>
      <c r="AQ197" s="777"/>
      <c r="AR197" s="777"/>
      <c r="AS197" s="777"/>
      <c r="AT197" s="777"/>
      <c r="AU197" s="777"/>
      <c r="AV197" s="777"/>
      <c r="AW197" s="777"/>
      <c r="AX197" s="777"/>
      <c r="AY197" s="777"/>
      <c r="AZ197" s="777"/>
      <c r="BA197" s="777"/>
      <c r="BB197" s="777"/>
      <c r="BC197" s="777"/>
      <c r="BD197" s="777"/>
      <c r="BE197" s="777"/>
      <c r="BF197" s="777"/>
      <c r="BG197" s="777"/>
      <c r="BH197" s="777"/>
      <c r="BI197" s="777"/>
      <c r="BJ197" s="777"/>
      <c r="BK197" s="777"/>
      <c r="BL197" s="777"/>
      <c r="BM197" s="777"/>
      <c r="BN197" s="777"/>
      <c r="BO197" s="777"/>
      <c r="BP197" s="777"/>
      <c r="BQ197" s="777"/>
      <c r="BR197" s="777"/>
      <c r="BS197" s="777"/>
      <c r="BT197" s="777"/>
    </row>
    <row r="198" spans="1:72" x14ac:dyDescent="0.25">
      <c r="A198" s="777" t="s">
        <v>470</v>
      </c>
      <c r="B198" s="777">
        <v>172.75</v>
      </c>
      <c r="C198" s="777">
        <v>191.19</v>
      </c>
      <c r="D198" s="777">
        <v>171.27</v>
      </c>
      <c r="E198" s="777">
        <v>168.36</v>
      </c>
      <c r="F198" s="777">
        <v>170.83</v>
      </c>
      <c r="G198" s="777">
        <v>182.74</v>
      </c>
      <c r="H198" s="777">
        <v>187.26</v>
      </c>
      <c r="I198" s="777">
        <v>190.86</v>
      </c>
      <c r="J198" s="777">
        <v>197.13</v>
      </c>
      <c r="K198" s="777">
        <v>205.11</v>
      </c>
      <c r="L198" s="777">
        <v>212.7</v>
      </c>
      <c r="M198" s="777">
        <v>219.88</v>
      </c>
      <c r="N198" s="777">
        <v>226.94</v>
      </c>
      <c r="O198" s="777">
        <v>236.05</v>
      </c>
      <c r="P198" s="777">
        <v>245.65</v>
      </c>
      <c r="Q198" s="777">
        <v>255.58</v>
      </c>
      <c r="R198" s="777">
        <v>265.91000000000003</v>
      </c>
      <c r="S198" s="777">
        <v>275.66000000000003</v>
      </c>
      <c r="T198" s="777">
        <v>285.08999999999997</v>
      </c>
      <c r="U198" s="777">
        <v>296.79000000000002</v>
      </c>
      <c r="V198" s="777">
        <v>309.27</v>
      </c>
      <c r="W198" s="777">
        <v>322.77</v>
      </c>
      <c r="X198" s="777">
        <v>338.69</v>
      </c>
      <c r="Y198" s="777">
        <v>354.37</v>
      </c>
      <c r="Z198" s="777">
        <v>371.75</v>
      </c>
      <c r="AA198" s="777">
        <v>388.64</v>
      </c>
      <c r="AB198" s="777">
        <v>403.84</v>
      </c>
      <c r="AC198" s="777">
        <v>421.34</v>
      </c>
      <c r="AD198" s="777">
        <v>438.74</v>
      </c>
      <c r="AE198" s="813">
        <v>3.1E-2</v>
      </c>
      <c r="AF198" s="777"/>
      <c r="AG198" s="777"/>
      <c r="AH198" s="777"/>
      <c r="AI198" s="777"/>
      <c r="AJ198" s="777"/>
      <c r="AK198" s="777"/>
      <c r="AL198" s="777"/>
      <c r="AM198" s="777"/>
      <c r="AN198" s="777"/>
      <c r="AO198" s="777"/>
      <c r="AP198" s="777"/>
      <c r="AQ198" s="777"/>
      <c r="AR198" s="777"/>
      <c r="AS198" s="777"/>
      <c r="AT198" s="777"/>
      <c r="AU198" s="777"/>
      <c r="AV198" s="777"/>
      <c r="AW198" s="777"/>
      <c r="AX198" s="777"/>
      <c r="AY198" s="777"/>
      <c r="AZ198" s="777"/>
      <c r="BA198" s="777"/>
      <c r="BB198" s="777"/>
      <c r="BC198" s="777"/>
      <c r="BD198" s="777"/>
      <c r="BE198" s="777"/>
      <c r="BF198" s="777"/>
      <c r="BG198" s="777"/>
      <c r="BH198" s="777"/>
      <c r="BI198" s="777"/>
      <c r="BJ198" s="777"/>
      <c r="BK198" s="777"/>
      <c r="BL198" s="777"/>
      <c r="BM198" s="777"/>
      <c r="BN198" s="777"/>
      <c r="BO198" s="777"/>
      <c r="BP198" s="777"/>
      <c r="BQ198" s="777"/>
      <c r="BR198" s="777"/>
      <c r="BS198" s="777"/>
      <c r="BT198" s="777"/>
    </row>
    <row r="199" spans="1:72" x14ac:dyDescent="0.25">
      <c r="A199" s="777" t="s">
        <v>505</v>
      </c>
      <c r="B199" s="777">
        <v>214.89</v>
      </c>
      <c r="C199" s="777">
        <v>244.81</v>
      </c>
      <c r="D199" s="777">
        <v>178.09</v>
      </c>
      <c r="E199" s="777">
        <v>168.16</v>
      </c>
      <c r="F199" s="777">
        <v>181.07</v>
      </c>
      <c r="G199" s="777">
        <v>202.87</v>
      </c>
      <c r="H199" s="777">
        <v>217.07</v>
      </c>
      <c r="I199" s="777">
        <v>227.35</v>
      </c>
      <c r="J199" s="777">
        <v>237.51</v>
      </c>
      <c r="K199" s="777">
        <v>248.26</v>
      </c>
      <c r="L199" s="777">
        <v>257.8</v>
      </c>
      <c r="M199" s="777">
        <v>268.36</v>
      </c>
      <c r="N199" s="777">
        <v>277.25</v>
      </c>
      <c r="O199" s="777">
        <v>287.02999999999997</v>
      </c>
      <c r="P199" s="777">
        <v>295.06</v>
      </c>
      <c r="Q199" s="777">
        <v>303.12</v>
      </c>
      <c r="R199" s="777">
        <v>311.48</v>
      </c>
      <c r="S199" s="777">
        <v>319.60000000000002</v>
      </c>
      <c r="T199" s="777">
        <v>328.09</v>
      </c>
      <c r="U199" s="777">
        <v>336.58</v>
      </c>
      <c r="V199" s="777">
        <v>346.81</v>
      </c>
      <c r="W199" s="777">
        <v>357.93</v>
      </c>
      <c r="X199" s="777">
        <v>370.58</v>
      </c>
      <c r="Y199" s="777">
        <v>382.62</v>
      </c>
      <c r="Z199" s="777">
        <v>397.61</v>
      </c>
      <c r="AA199" s="777">
        <v>409.44</v>
      </c>
      <c r="AB199" s="777">
        <v>421.52</v>
      </c>
      <c r="AC199" s="777">
        <v>436.23</v>
      </c>
      <c r="AD199" s="777">
        <v>449</v>
      </c>
      <c r="AE199" s="813">
        <v>2.3E-2</v>
      </c>
      <c r="AF199" s="777"/>
      <c r="AG199" s="777"/>
      <c r="AH199" s="777"/>
      <c r="AI199" s="777"/>
      <c r="AJ199" s="777"/>
      <c r="AK199" s="777"/>
      <c r="AL199" s="777"/>
      <c r="AM199" s="777"/>
      <c r="AN199" s="777"/>
      <c r="AO199" s="777"/>
      <c r="AP199" s="777"/>
      <c r="AQ199" s="777"/>
      <c r="AR199" s="777"/>
      <c r="AS199" s="777"/>
      <c r="AT199" s="777"/>
      <c r="AU199" s="777"/>
      <c r="AV199" s="777"/>
      <c r="AW199" s="777"/>
      <c r="AX199" s="777"/>
      <c r="AY199" s="777"/>
      <c r="AZ199" s="777"/>
      <c r="BA199" s="777"/>
      <c r="BB199" s="777"/>
      <c r="BC199" s="777"/>
      <c r="BD199" s="777"/>
      <c r="BE199" s="777"/>
      <c r="BF199" s="777"/>
      <c r="BG199" s="777"/>
      <c r="BH199" s="777"/>
      <c r="BI199" s="777"/>
      <c r="BJ199" s="777"/>
      <c r="BK199" s="777"/>
      <c r="BL199" s="777"/>
      <c r="BM199" s="777"/>
      <c r="BN199" s="777"/>
      <c r="BO199" s="777"/>
      <c r="BP199" s="777"/>
      <c r="BQ199" s="777"/>
      <c r="BR199" s="777"/>
      <c r="BS199" s="777"/>
      <c r="BT199" s="777"/>
    </row>
    <row r="200" spans="1:72" x14ac:dyDescent="0.25">
      <c r="A200" s="777" t="s">
        <v>477</v>
      </c>
      <c r="B200" s="777">
        <v>599.94000000000005</v>
      </c>
      <c r="C200" s="777">
        <v>705.86</v>
      </c>
      <c r="D200" s="777">
        <v>472.76</v>
      </c>
      <c r="E200" s="777">
        <v>523.54</v>
      </c>
      <c r="F200" s="777">
        <v>551.54</v>
      </c>
      <c r="G200" s="777">
        <v>600.52</v>
      </c>
      <c r="H200" s="777">
        <v>663.3</v>
      </c>
      <c r="I200" s="777">
        <v>702.29</v>
      </c>
      <c r="J200" s="777">
        <v>730.78</v>
      </c>
      <c r="K200" s="777">
        <v>762.17</v>
      </c>
      <c r="L200" s="777">
        <v>797.53</v>
      </c>
      <c r="M200" s="777">
        <v>828.81</v>
      </c>
      <c r="N200" s="777">
        <v>859.4</v>
      </c>
      <c r="O200" s="777">
        <v>891.87</v>
      </c>
      <c r="P200" s="777">
        <v>920.68</v>
      </c>
      <c r="Q200" s="777">
        <v>948.26</v>
      </c>
      <c r="R200" s="777">
        <v>986.59</v>
      </c>
      <c r="S200" s="777">
        <v>1021.27</v>
      </c>
      <c r="T200" s="777">
        <v>1062.24</v>
      </c>
      <c r="U200" s="777">
        <v>1101.69</v>
      </c>
      <c r="V200" s="777">
        <v>1143.03</v>
      </c>
      <c r="W200" s="777">
        <v>1188</v>
      </c>
      <c r="X200" s="777">
        <v>1232.23</v>
      </c>
      <c r="Y200" s="777">
        <v>1277.8499999999999</v>
      </c>
      <c r="Z200" s="777">
        <v>1321.12</v>
      </c>
      <c r="AA200" s="777">
        <v>1371.03</v>
      </c>
      <c r="AB200" s="777">
        <v>1423.78</v>
      </c>
      <c r="AC200" s="777">
        <v>1471.43</v>
      </c>
      <c r="AD200" s="777">
        <v>1525.95</v>
      </c>
      <c r="AE200" s="813">
        <v>2.9000000000000001E-2</v>
      </c>
      <c r="AF200" s="777"/>
      <c r="AG200" s="777"/>
      <c r="AH200" s="777"/>
      <c r="AI200" s="777"/>
      <c r="AJ200" s="777"/>
      <c r="AK200" s="777"/>
      <c r="AL200" s="777"/>
      <c r="AM200" s="777"/>
      <c r="AN200" s="777"/>
      <c r="AO200" s="777"/>
      <c r="AP200" s="777"/>
      <c r="AQ200" s="777"/>
      <c r="AR200" s="777"/>
      <c r="AS200" s="777"/>
      <c r="AT200" s="777"/>
      <c r="AU200" s="777"/>
      <c r="AV200" s="777"/>
      <c r="AW200" s="777"/>
      <c r="AX200" s="777"/>
      <c r="AY200" s="777"/>
      <c r="AZ200" s="777"/>
      <c r="BA200" s="777"/>
      <c r="BB200" s="777"/>
      <c r="BC200" s="777"/>
      <c r="BD200" s="777"/>
      <c r="BE200" s="777"/>
      <c r="BF200" s="777"/>
      <c r="BG200" s="777"/>
      <c r="BH200" s="777"/>
      <c r="BI200" s="777"/>
      <c r="BJ200" s="777"/>
      <c r="BK200" s="777"/>
      <c r="BL200" s="777"/>
      <c r="BM200" s="777"/>
      <c r="BN200" s="777"/>
      <c r="BO200" s="777"/>
      <c r="BP200" s="777"/>
      <c r="BQ200" s="777"/>
      <c r="BR200" s="777"/>
      <c r="BS200" s="777"/>
      <c r="BT200" s="777"/>
    </row>
    <row r="201" spans="1:72" x14ac:dyDescent="0.25">
      <c r="A201" s="777" t="s">
        <v>506</v>
      </c>
      <c r="B201" s="777">
        <v>1223.96</v>
      </c>
      <c r="C201" s="777">
        <v>1396.52</v>
      </c>
      <c r="D201" s="777">
        <v>1057.29</v>
      </c>
      <c r="E201" s="777">
        <v>1090.58</v>
      </c>
      <c r="F201" s="777">
        <v>1135.76</v>
      </c>
      <c r="G201" s="777">
        <v>1230.25</v>
      </c>
      <c r="H201" s="777">
        <v>1314.19</v>
      </c>
      <c r="I201" s="777">
        <v>1371.86</v>
      </c>
      <c r="J201" s="777">
        <v>1422.72</v>
      </c>
      <c r="K201" s="777">
        <v>1481.57</v>
      </c>
      <c r="L201" s="777">
        <v>1541.56</v>
      </c>
      <c r="M201" s="777">
        <v>1598.45</v>
      </c>
      <c r="N201" s="777">
        <v>1652.86</v>
      </c>
      <c r="O201" s="777">
        <v>1714.54</v>
      </c>
      <c r="P201" s="777">
        <v>1770.84</v>
      </c>
      <c r="Q201" s="777">
        <v>1827.25</v>
      </c>
      <c r="R201" s="777">
        <v>1894.81</v>
      </c>
      <c r="S201" s="777">
        <v>1957.89</v>
      </c>
      <c r="T201" s="777">
        <v>2026.51</v>
      </c>
      <c r="U201" s="777">
        <v>2098.7800000000002</v>
      </c>
      <c r="V201" s="777">
        <v>2176.1999999999998</v>
      </c>
      <c r="W201" s="777">
        <v>2260.73</v>
      </c>
      <c r="X201" s="777">
        <v>2348.7600000000002</v>
      </c>
      <c r="Y201" s="777">
        <v>2438.06</v>
      </c>
      <c r="Z201" s="777">
        <v>2531.5</v>
      </c>
      <c r="AA201" s="777">
        <v>2627.51</v>
      </c>
      <c r="AB201" s="777">
        <v>2721.14</v>
      </c>
      <c r="AC201" s="777">
        <v>2818.06</v>
      </c>
      <c r="AD201" s="777">
        <v>2919.72</v>
      </c>
      <c r="AE201" s="813">
        <v>2.8000000000000001E-2</v>
      </c>
      <c r="AF201" s="777"/>
      <c r="AG201" s="777"/>
      <c r="AH201" s="777"/>
      <c r="AI201" s="777"/>
      <c r="AJ201" s="777"/>
      <c r="AK201" s="777"/>
      <c r="AL201" s="777"/>
      <c r="AM201" s="777"/>
      <c r="AN201" s="777"/>
      <c r="AO201" s="777"/>
      <c r="AP201" s="777"/>
      <c r="AQ201" s="777"/>
      <c r="AR201" s="777"/>
      <c r="AS201" s="777"/>
      <c r="AT201" s="777"/>
      <c r="AU201" s="777"/>
      <c r="AV201" s="777"/>
      <c r="AW201" s="777"/>
      <c r="AX201" s="777"/>
      <c r="AY201" s="777"/>
      <c r="AZ201" s="777"/>
      <c r="BA201" s="777"/>
      <c r="BB201" s="777"/>
      <c r="BC201" s="777"/>
      <c r="BD201" s="777"/>
      <c r="BE201" s="777"/>
      <c r="BF201" s="777"/>
      <c r="BG201" s="777"/>
      <c r="BH201" s="777"/>
      <c r="BI201" s="777"/>
      <c r="BJ201" s="777"/>
      <c r="BK201" s="777"/>
      <c r="BL201" s="777"/>
      <c r="BM201" s="777"/>
      <c r="BN201" s="777"/>
      <c r="BO201" s="777"/>
      <c r="BP201" s="777"/>
      <c r="BQ201" s="777"/>
      <c r="BR201" s="777"/>
      <c r="BS201" s="777"/>
      <c r="BT201" s="777"/>
    </row>
    <row r="202" spans="1:72" x14ac:dyDescent="0.25">
      <c r="A202" s="777" t="s">
        <v>618</v>
      </c>
      <c r="B202" s="777">
        <v>0.04</v>
      </c>
      <c r="C202" s="777">
        <v>0.17</v>
      </c>
      <c r="D202" s="777">
        <v>0.04</v>
      </c>
      <c r="E202" s="777">
        <v>0.09</v>
      </c>
      <c r="F202" s="777">
        <v>0.11</v>
      </c>
      <c r="G202" s="777">
        <v>0.13</v>
      </c>
      <c r="H202" s="777">
        <v>0.16</v>
      </c>
      <c r="I202" s="777">
        <v>0.18</v>
      </c>
      <c r="J202" s="777">
        <v>0.24</v>
      </c>
      <c r="K202" s="777">
        <v>2.65</v>
      </c>
      <c r="L202" s="777">
        <v>3.64</v>
      </c>
      <c r="M202" s="777">
        <v>4.71</v>
      </c>
      <c r="N202" s="777">
        <v>6.36</v>
      </c>
      <c r="O202" s="777">
        <v>8.6999999999999993</v>
      </c>
      <c r="P202" s="777">
        <v>11.96</v>
      </c>
      <c r="Q202" s="777">
        <v>22.18</v>
      </c>
      <c r="R202" s="777">
        <v>20.28</v>
      </c>
      <c r="S202" s="777">
        <v>19.329999999999998</v>
      </c>
      <c r="T202" s="777">
        <v>20.440000000000001</v>
      </c>
      <c r="U202" s="777">
        <v>23.52</v>
      </c>
      <c r="V202" s="777">
        <v>26.81</v>
      </c>
      <c r="W202" s="777">
        <v>29.72</v>
      </c>
      <c r="X202" s="777">
        <v>34.94</v>
      </c>
      <c r="Y202" s="777">
        <v>37.81</v>
      </c>
      <c r="Z202" s="777">
        <v>49.23</v>
      </c>
      <c r="AA202" s="777">
        <v>57.96</v>
      </c>
      <c r="AB202" s="777">
        <v>65.66</v>
      </c>
      <c r="AC202" s="777">
        <v>79.569999999999993</v>
      </c>
      <c r="AD202" s="777">
        <v>94.81</v>
      </c>
      <c r="AE202" s="813">
        <v>0.26500000000000001</v>
      </c>
      <c r="AF202" s="777"/>
      <c r="AG202" s="777"/>
      <c r="AH202" s="777"/>
      <c r="AI202" s="777"/>
      <c r="AJ202" s="777"/>
      <c r="AK202" s="777"/>
      <c r="AL202" s="777"/>
      <c r="AM202" s="777"/>
      <c r="AN202" s="777"/>
      <c r="AO202" s="777"/>
      <c r="AP202" s="777"/>
      <c r="AQ202" s="777"/>
      <c r="AR202" s="777"/>
      <c r="AS202" s="777"/>
      <c r="AT202" s="777"/>
      <c r="AU202" s="777"/>
      <c r="AV202" s="777"/>
      <c r="AW202" s="777"/>
      <c r="AX202" s="777"/>
      <c r="AY202" s="777"/>
      <c r="AZ202" s="777"/>
      <c r="BA202" s="777"/>
      <c r="BB202" s="777"/>
      <c r="BC202" s="777"/>
      <c r="BD202" s="777"/>
      <c r="BE202" s="777"/>
      <c r="BF202" s="777"/>
      <c r="BG202" s="777"/>
      <c r="BH202" s="777"/>
      <c r="BI202" s="777"/>
      <c r="BJ202" s="777"/>
      <c r="BK202" s="777"/>
      <c r="BL202" s="777"/>
      <c r="BM202" s="777"/>
      <c r="BN202" s="777"/>
      <c r="BO202" s="777"/>
      <c r="BP202" s="777"/>
      <c r="BQ202" s="777"/>
      <c r="BR202" s="777"/>
      <c r="BS202" s="777"/>
      <c r="BT202" s="777"/>
    </row>
    <row r="203" spans="1:72" x14ac:dyDescent="0.25">
      <c r="A203" s="777" t="s">
        <v>508</v>
      </c>
      <c r="B203" s="777">
        <v>1224</v>
      </c>
      <c r="C203" s="777">
        <v>1396.69</v>
      </c>
      <c r="D203" s="777">
        <v>1057.33</v>
      </c>
      <c r="E203" s="777">
        <v>1090.67</v>
      </c>
      <c r="F203" s="777">
        <v>1135.8699999999999</v>
      </c>
      <c r="G203" s="777">
        <v>1230.3800000000001</v>
      </c>
      <c r="H203" s="777">
        <v>1314.36</v>
      </c>
      <c r="I203" s="777">
        <v>1372.05</v>
      </c>
      <c r="J203" s="777">
        <v>1422.95</v>
      </c>
      <c r="K203" s="777">
        <v>1484.22</v>
      </c>
      <c r="L203" s="777">
        <v>1545.2</v>
      </c>
      <c r="M203" s="777">
        <v>1603.16</v>
      </c>
      <c r="N203" s="777">
        <v>1659.22</v>
      </c>
      <c r="O203" s="777">
        <v>1723.24</v>
      </c>
      <c r="P203" s="777">
        <v>1782.8</v>
      </c>
      <c r="Q203" s="777">
        <v>1849.44</v>
      </c>
      <c r="R203" s="777">
        <v>1915.09</v>
      </c>
      <c r="S203" s="777">
        <v>1977.22</v>
      </c>
      <c r="T203" s="777">
        <v>2046.94</v>
      </c>
      <c r="U203" s="777">
        <v>2122.3000000000002</v>
      </c>
      <c r="V203" s="777">
        <v>2203.0100000000002</v>
      </c>
      <c r="W203" s="777">
        <v>2290.46</v>
      </c>
      <c r="X203" s="777">
        <v>2383.6999999999998</v>
      </c>
      <c r="Y203" s="777">
        <v>2475.87</v>
      </c>
      <c r="Z203" s="777">
        <v>2580.73</v>
      </c>
      <c r="AA203" s="777">
        <v>2685.47</v>
      </c>
      <c r="AB203" s="777">
        <v>2786.79</v>
      </c>
      <c r="AC203" s="777">
        <v>2897.63</v>
      </c>
      <c r="AD203" s="777">
        <v>3014.53</v>
      </c>
      <c r="AE203" s="813">
        <v>2.9000000000000001E-2</v>
      </c>
      <c r="AF203" s="777"/>
      <c r="AG203" s="777"/>
      <c r="AH203" s="777"/>
      <c r="AI203" s="777"/>
      <c r="AJ203" s="777"/>
      <c r="AK203" s="777"/>
      <c r="AL203" s="777"/>
      <c r="AM203" s="777"/>
      <c r="AN203" s="777"/>
      <c r="AO203" s="777"/>
      <c r="AP203" s="777"/>
      <c r="AQ203" s="777"/>
      <c r="AR203" s="777"/>
      <c r="AS203" s="777"/>
      <c r="AT203" s="777"/>
      <c r="AU203" s="777"/>
      <c r="AV203" s="777"/>
      <c r="AW203" s="777"/>
      <c r="AX203" s="777"/>
      <c r="AY203" s="777"/>
      <c r="AZ203" s="777"/>
      <c r="BA203" s="777"/>
      <c r="BB203" s="777"/>
      <c r="BC203" s="777"/>
      <c r="BD203" s="777"/>
      <c r="BE203" s="777"/>
      <c r="BF203" s="777"/>
      <c r="BG203" s="777"/>
      <c r="BH203" s="777"/>
      <c r="BI203" s="777"/>
      <c r="BJ203" s="777"/>
      <c r="BK203" s="777"/>
      <c r="BL203" s="777"/>
      <c r="BM203" s="777"/>
      <c r="BN203" s="777"/>
      <c r="BO203" s="777"/>
      <c r="BP203" s="777"/>
      <c r="BQ203" s="777"/>
      <c r="BR203" s="777"/>
      <c r="BS203" s="777"/>
      <c r="BT203" s="777"/>
    </row>
    <row r="204" spans="1:72" x14ac:dyDescent="0.25">
      <c r="A204" s="777"/>
      <c r="B204" s="777"/>
      <c r="C204" s="777"/>
      <c r="D204" s="777"/>
      <c r="E204" s="777"/>
      <c r="F204" s="777"/>
      <c r="G204" s="777"/>
      <c r="H204" s="777"/>
      <c r="I204" s="777"/>
      <c r="J204" s="777"/>
      <c r="K204" s="777"/>
      <c r="L204" s="777"/>
      <c r="M204" s="777"/>
      <c r="N204" s="777"/>
      <c r="O204" s="777"/>
      <c r="P204" s="777"/>
      <c r="Q204" s="777"/>
      <c r="R204" s="777"/>
      <c r="S204" s="777"/>
      <c r="T204" s="777"/>
      <c r="U204" s="777"/>
      <c r="V204" s="777"/>
      <c r="W204" s="777"/>
      <c r="X204" s="777"/>
      <c r="Y204" s="777"/>
      <c r="Z204" s="777"/>
      <c r="AA204" s="777"/>
      <c r="AB204" s="777"/>
      <c r="AC204" s="777"/>
      <c r="AD204" s="777"/>
      <c r="AE204" s="777"/>
      <c r="AF204" s="777"/>
      <c r="AG204" s="777"/>
      <c r="AH204" s="777"/>
      <c r="AI204" s="777"/>
      <c r="AJ204" s="777"/>
      <c r="AK204" s="777"/>
      <c r="AL204" s="777"/>
      <c r="AM204" s="777"/>
      <c r="AN204" s="777"/>
      <c r="AO204" s="777"/>
      <c r="AP204" s="777"/>
      <c r="AQ204" s="777"/>
      <c r="AR204" s="777"/>
      <c r="AS204" s="777"/>
      <c r="AT204" s="777"/>
      <c r="AU204" s="777"/>
      <c r="AV204" s="777"/>
      <c r="AW204" s="777"/>
      <c r="AX204" s="777"/>
      <c r="AY204" s="777"/>
      <c r="AZ204" s="777"/>
      <c r="BA204" s="777"/>
      <c r="BB204" s="777"/>
      <c r="BC204" s="777"/>
      <c r="BD204" s="777"/>
      <c r="BE204" s="777"/>
      <c r="BF204" s="777"/>
      <c r="BG204" s="777"/>
      <c r="BH204" s="777"/>
      <c r="BI204" s="777"/>
      <c r="BJ204" s="777"/>
      <c r="BK204" s="777"/>
      <c r="BL204" s="777"/>
      <c r="BM204" s="777"/>
      <c r="BN204" s="777"/>
      <c r="BO204" s="777"/>
      <c r="BP204" s="777"/>
      <c r="BQ204" s="777"/>
      <c r="BR204" s="777"/>
      <c r="BS204" s="777"/>
      <c r="BT204" s="777"/>
    </row>
    <row r="205" spans="1:72" x14ac:dyDescent="0.25">
      <c r="A205" s="777"/>
      <c r="B205" s="777"/>
      <c r="C205" s="777"/>
      <c r="D205" s="777"/>
      <c r="E205" s="777"/>
      <c r="F205" s="777"/>
      <c r="G205" s="777"/>
      <c r="H205" s="777"/>
      <c r="I205" s="777"/>
      <c r="J205" s="777"/>
      <c r="K205" s="777"/>
      <c r="L205" s="777"/>
      <c r="M205" s="777"/>
      <c r="N205" s="777"/>
      <c r="O205" s="777"/>
      <c r="P205" s="777"/>
      <c r="Q205" s="777"/>
      <c r="R205" s="777"/>
      <c r="S205" s="777"/>
      <c r="T205" s="777"/>
      <c r="U205" s="777"/>
      <c r="V205" s="777"/>
      <c r="W205" s="777"/>
      <c r="X205" s="777"/>
      <c r="Y205" s="777"/>
      <c r="Z205" s="777"/>
      <c r="AA205" s="777"/>
      <c r="AB205" s="777"/>
      <c r="AC205" s="777"/>
      <c r="AD205" s="777"/>
      <c r="AE205" s="777"/>
      <c r="AF205" s="777"/>
      <c r="AG205" s="777"/>
      <c r="AH205" s="777"/>
      <c r="AI205" s="777"/>
      <c r="AJ205" s="777"/>
      <c r="AK205" s="777"/>
      <c r="AL205" s="777"/>
      <c r="AM205" s="777"/>
      <c r="AN205" s="777"/>
      <c r="AO205" s="777"/>
      <c r="AP205" s="777"/>
      <c r="AQ205" s="777"/>
      <c r="AR205" s="777"/>
      <c r="AS205" s="777"/>
      <c r="AT205" s="777"/>
      <c r="AU205" s="777"/>
      <c r="AV205" s="777"/>
      <c r="AW205" s="777"/>
      <c r="AX205" s="777"/>
      <c r="AY205" s="777"/>
      <c r="AZ205" s="777"/>
      <c r="BA205" s="777"/>
      <c r="BB205" s="777"/>
      <c r="BC205" s="777"/>
      <c r="BD205" s="777"/>
      <c r="BE205" s="777"/>
      <c r="BF205" s="777"/>
      <c r="BG205" s="777"/>
      <c r="BH205" s="777"/>
      <c r="BI205" s="777"/>
      <c r="BJ205" s="777"/>
      <c r="BK205" s="777"/>
      <c r="BL205" s="777"/>
      <c r="BM205" s="777"/>
      <c r="BN205" s="777"/>
      <c r="BO205" s="777"/>
      <c r="BP205" s="777"/>
      <c r="BQ205" s="777"/>
      <c r="BR205" s="777"/>
      <c r="BS205" s="777"/>
      <c r="BT205" s="777"/>
    </row>
    <row r="206" spans="1:72" x14ac:dyDescent="0.25">
      <c r="A206" s="777"/>
      <c r="B206" s="777"/>
      <c r="C206" s="777"/>
      <c r="D206" s="777"/>
      <c r="E206" s="777"/>
      <c r="F206" s="777"/>
      <c r="G206" s="777"/>
      <c r="H206" s="777"/>
      <c r="I206" s="777"/>
      <c r="J206" s="777"/>
      <c r="K206" s="777"/>
      <c r="L206" s="777"/>
      <c r="M206" s="777"/>
      <c r="N206" s="777"/>
      <c r="O206" s="777"/>
      <c r="P206" s="777"/>
      <c r="Q206" s="777"/>
      <c r="R206" s="777"/>
      <c r="S206" s="777"/>
      <c r="T206" s="777"/>
      <c r="U206" s="777"/>
      <c r="V206" s="777"/>
      <c r="W206" s="777"/>
      <c r="X206" s="777"/>
      <c r="Y206" s="777"/>
      <c r="Z206" s="777"/>
      <c r="AA206" s="777"/>
      <c r="AB206" s="777"/>
      <c r="AC206" s="777"/>
      <c r="AD206" s="777"/>
      <c r="AE206" s="777"/>
      <c r="AF206" s="777"/>
      <c r="AG206" s="777"/>
      <c r="AH206" s="777"/>
      <c r="AI206" s="777"/>
      <c r="AJ206" s="777"/>
      <c r="AK206" s="777"/>
      <c r="AL206" s="777"/>
      <c r="AM206" s="777"/>
      <c r="AN206" s="777"/>
      <c r="AO206" s="777"/>
      <c r="AP206" s="777"/>
      <c r="AQ206" s="777"/>
      <c r="AR206" s="777"/>
      <c r="AS206" s="777"/>
      <c r="AT206" s="777"/>
      <c r="AU206" s="777"/>
      <c r="AV206" s="777"/>
      <c r="AW206" s="777"/>
      <c r="AX206" s="777"/>
      <c r="AY206" s="777"/>
      <c r="AZ206" s="777"/>
      <c r="BA206" s="777"/>
      <c r="BB206" s="777"/>
      <c r="BC206" s="777"/>
      <c r="BD206" s="777"/>
      <c r="BE206" s="777"/>
      <c r="BF206" s="777"/>
      <c r="BG206" s="777"/>
      <c r="BH206" s="777"/>
      <c r="BI206" s="777"/>
      <c r="BJ206" s="777"/>
      <c r="BK206" s="777"/>
      <c r="BL206" s="777"/>
      <c r="BM206" s="777"/>
      <c r="BN206" s="777"/>
      <c r="BO206" s="777"/>
      <c r="BP206" s="777"/>
      <c r="BQ206" s="777"/>
      <c r="BR206" s="777"/>
      <c r="BS206" s="777"/>
      <c r="BT206" s="777"/>
    </row>
    <row r="207" spans="1:72" x14ac:dyDescent="0.25">
      <c r="A207" s="777" t="s">
        <v>619</v>
      </c>
      <c r="B207" s="777"/>
      <c r="C207" s="777"/>
      <c r="D207" s="777"/>
      <c r="E207" s="777"/>
      <c r="F207" s="777"/>
      <c r="G207" s="777"/>
      <c r="H207" s="777"/>
      <c r="I207" s="777"/>
      <c r="J207" s="777"/>
      <c r="K207" s="777"/>
      <c r="L207" s="777"/>
      <c r="M207" s="777"/>
      <c r="N207" s="777"/>
      <c r="O207" s="777"/>
      <c r="P207" s="777"/>
      <c r="Q207" s="777"/>
      <c r="R207" s="777"/>
      <c r="S207" s="777"/>
      <c r="T207" s="777"/>
      <c r="U207" s="777"/>
      <c r="V207" s="777"/>
      <c r="W207" s="777"/>
      <c r="X207" s="777"/>
      <c r="Y207" s="777"/>
      <c r="Z207" s="777"/>
      <c r="AA207" s="777"/>
      <c r="AB207" s="777"/>
      <c r="AC207" s="777"/>
      <c r="AD207" s="777"/>
      <c r="AE207" s="777"/>
      <c r="AF207" s="777"/>
      <c r="AG207" s="777"/>
      <c r="AH207" s="777"/>
      <c r="AI207" s="777"/>
      <c r="AJ207" s="777"/>
      <c r="AK207" s="777"/>
      <c r="AL207" s="777"/>
      <c r="AM207" s="777"/>
      <c r="AN207" s="777"/>
      <c r="AO207" s="777"/>
      <c r="AP207" s="777"/>
      <c r="AQ207" s="777"/>
      <c r="AR207" s="777"/>
      <c r="AS207" s="777"/>
      <c r="AT207" s="777"/>
      <c r="AU207" s="777"/>
      <c r="AV207" s="777"/>
      <c r="AW207" s="777"/>
      <c r="AX207" s="777"/>
      <c r="AY207" s="777"/>
      <c r="AZ207" s="777"/>
      <c r="BA207" s="777"/>
      <c r="BB207" s="777"/>
      <c r="BC207" s="777"/>
      <c r="BD207" s="777"/>
      <c r="BE207" s="777"/>
      <c r="BF207" s="777"/>
      <c r="BG207" s="777"/>
      <c r="BH207" s="777"/>
      <c r="BI207" s="777"/>
      <c r="BJ207" s="777"/>
      <c r="BK207" s="777"/>
      <c r="BL207" s="777"/>
      <c r="BM207" s="777"/>
      <c r="BN207" s="777"/>
      <c r="BO207" s="777"/>
      <c r="BP207" s="777"/>
      <c r="BQ207" s="777"/>
      <c r="BR207" s="777"/>
      <c r="BS207" s="777"/>
      <c r="BT207" s="777"/>
    </row>
    <row r="208" spans="1:72" x14ac:dyDescent="0.25">
      <c r="A208" s="777" t="s">
        <v>620</v>
      </c>
      <c r="B208" s="777"/>
      <c r="C208" s="777"/>
      <c r="D208" s="777"/>
      <c r="E208" s="777"/>
      <c r="F208" s="777"/>
      <c r="G208" s="777"/>
      <c r="H208" s="777"/>
      <c r="I208" s="777"/>
      <c r="J208" s="777"/>
      <c r="K208" s="777"/>
      <c r="L208" s="777"/>
      <c r="M208" s="777"/>
      <c r="N208" s="777"/>
      <c r="O208" s="777"/>
      <c r="P208" s="777"/>
      <c r="Q208" s="777"/>
      <c r="R208" s="777"/>
      <c r="S208" s="777"/>
      <c r="T208" s="777"/>
      <c r="U208" s="777"/>
      <c r="V208" s="777"/>
      <c r="W208" s="777"/>
      <c r="X208" s="777"/>
      <c r="Y208" s="777"/>
      <c r="Z208" s="777"/>
      <c r="AA208" s="777"/>
      <c r="AB208" s="777"/>
      <c r="AC208" s="777"/>
      <c r="AD208" s="777"/>
      <c r="AE208" s="777"/>
      <c r="AF208" s="777"/>
      <c r="AG208" s="777"/>
      <c r="AH208" s="777"/>
      <c r="AI208" s="777"/>
      <c r="AJ208" s="777"/>
      <c r="AK208" s="777"/>
      <c r="AL208" s="777"/>
      <c r="AM208" s="777"/>
      <c r="AN208" s="777"/>
      <c r="AO208" s="777"/>
      <c r="AP208" s="777"/>
      <c r="AQ208" s="777"/>
      <c r="AR208" s="777"/>
      <c r="AS208" s="777"/>
      <c r="AT208" s="777"/>
      <c r="AU208" s="777"/>
      <c r="AV208" s="777"/>
      <c r="AW208" s="777"/>
      <c r="AX208" s="777"/>
      <c r="AY208" s="777"/>
      <c r="AZ208" s="777"/>
      <c r="BA208" s="777"/>
      <c r="BB208" s="777"/>
      <c r="BC208" s="777"/>
      <c r="BD208" s="777"/>
      <c r="BE208" s="777"/>
      <c r="BF208" s="777"/>
      <c r="BG208" s="777"/>
      <c r="BH208" s="777"/>
      <c r="BI208" s="777"/>
      <c r="BJ208" s="777"/>
      <c r="BK208" s="777"/>
      <c r="BL208" s="777"/>
      <c r="BM208" s="777"/>
      <c r="BN208" s="777"/>
      <c r="BO208" s="777"/>
      <c r="BP208" s="777"/>
      <c r="BQ208" s="777"/>
      <c r="BR208" s="777"/>
      <c r="BS208" s="777"/>
      <c r="BT208" s="777"/>
    </row>
    <row r="209" spans="1:72" x14ac:dyDescent="0.25">
      <c r="A209" s="777" t="s">
        <v>621</v>
      </c>
      <c r="B209" s="777"/>
      <c r="C209" s="777"/>
      <c r="D209" s="777"/>
      <c r="E209" s="777"/>
      <c r="F209" s="777"/>
      <c r="G209" s="777"/>
      <c r="H209" s="777"/>
      <c r="I209" s="777"/>
      <c r="J209" s="777"/>
      <c r="K209" s="777"/>
      <c r="L209" s="777"/>
      <c r="M209" s="777"/>
      <c r="N209" s="777"/>
      <c r="O209" s="777"/>
      <c r="P209" s="777"/>
      <c r="Q209" s="777"/>
      <c r="R209" s="777"/>
      <c r="S209" s="777"/>
      <c r="T209" s="777"/>
      <c r="U209" s="777"/>
      <c r="V209" s="777"/>
      <c r="W209" s="777"/>
      <c r="X209" s="777"/>
      <c r="Y209" s="777"/>
      <c r="Z209" s="777"/>
      <c r="AA209" s="777"/>
      <c r="AB209" s="777"/>
      <c r="AC209" s="777"/>
      <c r="AD209" s="777"/>
      <c r="AE209" s="777"/>
      <c r="AF209" s="777"/>
      <c r="AG209" s="777"/>
      <c r="AH209" s="777"/>
      <c r="AI209" s="777"/>
      <c r="AJ209" s="777"/>
      <c r="AK209" s="777"/>
      <c r="AL209" s="777"/>
      <c r="AM209" s="777"/>
      <c r="AN209" s="777"/>
      <c r="AO209" s="777"/>
      <c r="AP209" s="777"/>
      <c r="AQ209" s="777"/>
      <c r="AR209" s="777"/>
      <c r="AS209" s="777"/>
      <c r="AT209" s="777"/>
      <c r="AU209" s="777"/>
      <c r="AV209" s="777"/>
      <c r="AW209" s="777"/>
      <c r="AX209" s="777"/>
      <c r="AY209" s="777"/>
      <c r="AZ209" s="777"/>
      <c r="BA209" s="777"/>
      <c r="BB209" s="777"/>
      <c r="BC209" s="777"/>
      <c r="BD209" s="777"/>
      <c r="BE209" s="777"/>
      <c r="BF209" s="777"/>
      <c r="BG209" s="777"/>
      <c r="BH209" s="777"/>
      <c r="BI209" s="777"/>
      <c r="BJ209" s="777"/>
      <c r="BK209" s="777"/>
      <c r="BL209" s="777"/>
      <c r="BM209" s="777"/>
      <c r="BN209" s="777"/>
      <c r="BO209" s="777"/>
      <c r="BP209" s="777"/>
      <c r="BQ209" s="777"/>
      <c r="BR209" s="777"/>
      <c r="BS209" s="777"/>
      <c r="BT209" s="777"/>
    </row>
    <row r="210" spans="1:72" x14ac:dyDescent="0.25">
      <c r="A210" s="777" t="s">
        <v>779</v>
      </c>
      <c r="B210" s="777"/>
      <c r="C210" s="777"/>
      <c r="D210" s="777"/>
      <c r="E210" s="777"/>
      <c r="F210" s="777"/>
      <c r="G210" s="777"/>
      <c r="H210" s="777"/>
      <c r="I210" s="777"/>
      <c r="J210" s="777"/>
      <c r="K210" s="777"/>
      <c r="L210" s="777"/>
      <c r="M210" s="777"/>
      <c r="N210" s="777"/>
      <c r="O210" s="777"/>
      <c r="P210" s="777"/>
      <c r="Q210" s="777"/>
      <c r="R210" s="777"/>
      <c r="S210" s="777"/>
      <c r="T210" s="777"/>
      <c r="U210" s="777"/>
      <c r="V210" s="777"/>
      <c r="W210" s="777"/>
      <c r="X210" s="777"/>
      <c r="Y210" s="777"/>
      <c r="Z210" s="777"/>
      <c r="AA210" s="777"/>
      <c r="AB210" s="777"/>
      <c r="AC210" s="777"/>
      <c r="AD210" s="777"/>
      <c r="AE210" s="777"/>
      <c r="AF210" s="777"/>
      <c r="AG210" s="777"/>
      <c r="AH210" s="777"/>
      <c r="AI210" s="777"/>
      <c r="AJ210" s="777"/>
      <c r="AK210" s="777"/>
      <c r="AL210" s="777"/>
      <c r="AM210" s="777"/>
      <c r="AN210" s="777"/>
      <c r="AO210" s="777"/>
      <c r="AP210" s="777"/>
      <c r="AQ210" s="777"/>
      <c r="AR210" s="777"/>
      <c r="AS210" s="777"/>
      <c r="AT210" s="777"/>
      <c r="AU210" s="777"/>
      <c r="AV210" s="777"/>
      <c r="AW210" s="777"/>
      <c r="AX210" s="777"/>
      <c r="AY210" s="777"/>
      <c r="AZ210" s="777"/>
      <c r="BA210" s="777"/>
      <c r="BB210" s="777"/>
      <c r="BC210" s="777"/>
      <c r="BD210" s="777"/>
      <c r="BE210" s="777"/>
      <c r="BF210" s="777"/>
      <c r="BG210" s="777"/>
      <c r="BH210" s="777"/>
      <c r="BI210" s="777"/>
      <c r="BJ210" s="777"/>
      <c r="BK210" s="777"/>
      <c r="BL210" s="777"/>
      <c r="BM210" s="777"/>
      <c r="BN210" s="777"/>
      <c r="BO210" s="777"/>
      <c r="BP210" s="777"/>
      <c r="BQ210" s="777"/>
      <c r="BR210" s="777"/>
      <c r="BS210" s="777"/>
      <c r="BT210" s="777"/>
    </row>
    <row r="211" spans="1:72" x14ac:dyDescent="0.25">
      <c r="A211" s="777" t="s">
        <v>780</v>
      </c>
      <c r="B211" s="777"/>
      <c r="C211" s="777"/>
      <c r="D211" s="777"/>
      <c r="E211" s="777"/>
      <c r="F211" s="777"/>
      <c r="G211" s="777"/>
      <c r="H211" s="777"/>
      <c r="I211" s="777"/>
      <c r="J211" s="777"/>
      <c r="K211" s="777"/>
      <c r="L211" s="777"/>
      <c r="M211" s="777"/>
      <c r="N211" s="777"/>
      <c r="O211" s="777"/>
      <c r="P211" s="777"/>
      <c r="Q211" s="777"/>
      <c r="R211" s="777"/>
      <c r="S211" s="777"/>
      <c r="T211" s="777"/>
      <c r="U211" s="777"/>
      <c r="V211" s="777"/>
      <c r="W211" s="777"/>
      <c r="X211" s="777"/>
      <c r="Y211" s="777"/>
      <c r="Z211" s="777"/>
      <c r="AA211" s="777"/>
      <c r="AB211" s="777"/>
      <c r="AC211" s="777"/>
      <c r="AD211" s="777"/>
      <c r="AE211" s="777"/>
      <c r="AF211" s="777"/>
      <c r="AG211" s="777"/>
      <c r="AH211" s="777"/>
      <c r="AI211" s="777"/>
      <c r="AJ211" s="777"/>
      <c r="AK211" s="777"/>
      <c r="AL211" s="777"/>
      <c r="AM211" s="777"/>
      <c r="AN211" s="777"/>
      <c r="AO211" s="777"/>
      <c r="AP211" s="777"/>
      <c r="AQ211" s="777"/>
      <c r="AR211" s="777"/>
      <c r="AS211" s="777"/>
      <c r="AT211" s="777"/>
      <c r="AU211" s="777"/>
      <c r="AV211" s="777"/>
      <c r="AW211" s="777"/>
      <c r="AX211" s="777"/>
      <c r="AY211" s="777"/>
      <c r="AZ211" s="777"/>
      <c r="BA211" s="777"/>
      <c r="BB211" s="777"/>
      <c r="BC211" s="777"/>
      <c r="BD211" s="777"/>
      <c r="BE211" s="777"/>
      <c r="BF211" s="777"/>
      <c r="BG211" s="777"/>
      <c r="BH211" s="777"/>
      <c r="BI211" s="777"/>
      <c r="BJ211" s="777"/>
      <c r="BK211" s="777"/>
      <c r="BL211" s="777"/>
      <c r="BM211" s="777"/>
      <c r="BN211" s="777"/>
      <c r="BO211" s="777"/>
      <c r="BP211" s="777"/>
      <c r="BQ211" s="777"/>
      <c r="BR211" s="777"/>
      <c r="BS211" s="777"/>
      <c r="BT211" s="777"/>
    </row>
    <row r="212" spans="1:72" x14ac:dyDescent="0.25">
      <c r="A212" s="777" t="s">
        <v>638</v>
      </c>
      <c r="B212" s="777"/>
      <c r="C212" s="777"/>
      <c r="D212" s="777"/>
      <c r="E212" s="777"/>
      <c r="F212" s="777"/>
      <c r="G212" s="777"/>
      <c r="H212" s="777"/>
      <c r="I212" s="777"/>
      <c r="J212" s="777"/>
      <c r="K212" s="777"/>
      <c r="L212" s="777"/>
      <c r="M212" s="777"/>
      <c r="N212" s="777"/>
      <c r="O212" s="777"/>
      <c r="P212" s="777"/>
      <c r="Q212" s="777"/>
      <c r="R212" s="777"/>
      <c r="S212" s="777"/>
      <c r="T212" s="777"/>
      <c r="U212" s="777"/>
      <c r="V212" s="777"/>
      <c r="W212" s="777"/>
      <c r="X212" s="777"/>
      <c r="Y212" s="777"/>
      <c r="Z212" s="777"/>
      <c r="AA212" s="777"/>
      <c r="AB212" s="777"/>
      <c r="AC212" s="777"/>
      <c r="AD212" s="777"/>
      <c r="AE212" s="777"/>
      <c r="AF212" s="777"/>
      <c r="AG212" s="777"/>
      <c r="AH212" s="777"/>
      <c r="AI212" s="777"/>
      <c r="AJ212" s="777"/>
      <c r="AK212" s="777"/>
      <c r="AL212" s="777"/>
      <c r="AM212" s="777"/>
      <c r="AN212" s="777"/>
      <c r="AO212" s="777"/>
      <c r="AP212" s="777"/>
      <c r="AQ212" s="777"/>
      <c r="AR212" s="777"/>
      <c r="AS212" s="777"/>
      <c r="AT212" s="777"/>
      <c r="AU212" s="777"/>
      <c r="AV212" s="777"/>
      <c r="AW212" s="777"/>
      <c r="AX212" s="777"/>
      <c r="AY212" s="777"/>
      <c r="AZ212" s="777"/>
      <c r="BA212" s="777"/>
      <c r="BB212" s="777"/>
      <c r="BC212" s="777"/>
      <c r="BD212" s="777"/>
      <c r="BE212" s="777"/>
      <c r="BF212" s="777"/>
      <c r="BG212" s="777"/>
      <c r="BH212" s="777"/>
      <c r="BI212" s="777"/>
      <c r="BJ212" s="777"/>
      <c r="BK212" s="777"/>
      <c r="BL212" s="777"/>
      <c r="BM212" s="777"/>
      <c r="BN212" s="777"/>
      <c r="BO212" s="777"/>
      <c r="BP212" s="777"/>
      <c r="BQ212" s="777"/>
      <c r="BR212" s="777"/>
      <c r="BS212" s="777"/>
      <c r="BT212" s="777"/>
    </row>
    <row r="213" spans="1:72" x14ac:dyDescent="0.25">
      <c r="A213" s="777" t="s">
        <v>639</v>
      </c>
      <c r="B213" s="777"/>
      <c r="C213" s="777"/>
      <c r="D213" s="777"/>
      <c r="E213" s="777"/>
      <c r="F213" s="777"/>
      <c r="G213" s="777"/>
      <c r="H213" s="777"/>
      <c r="I213" s="777"/>
      <c r="J213" s="777"/>
      <c r="K213" s="777"/>
      <c r="L213" s="777"/>
      <c r="M213" s="777"/>
      <c r="N213" s="777"/>
      <c r="O213" s="777"/>
      <c r="P213" s="777"/>
      <c r="Q213" s="777"/>
      <c r="R213" s="777"/>
      <c r="S213" s="777"/>
      <c r="T213" s="777"/>
      <c r="U213" s="777"/>
      <c r="V213" s="777"/>
      <c r="W213" s="777"/>
      <c r="X213" s="777"/>
      <c r="Y213" s="777"/>
      <c r="Z213" s="777"/>
      <c r="AA213" s="777"/>
      <c r="AB213" s="777"/>
      <c r="AC213" s="777"/>
      <c r="AD213" s="777"/>
      <c r="AE213" s="777"/>
      <c r="AF213" s="777"/>
      <c r="AG213" s="777"/>
      <c r="AH213" s="777"/>
      <c r="AI213" s="777"/>
      <c r="AJ213" s="777"/>
      <c r="AK213" s="777"/>
      <c r="AL213" s="777"/>
      <c r="AM213" s="777"/>
      <c r="AN213" s="777"/>
      <c r="AO213" s="777"/>
      <c r="AP213" s="777"/>
      <c r="AQ213" s="777"/>
      <c r="AR213" s="777"/>
      <c r="AS213" s="777"/>
      <c r="AT213" s="777"/>
      <c r="AU213" s="777"/>
      <c r="AV213" s="777"/>
      <c r="AW213" s="777"/>
      <c r="AX213" s="777"/>
      <c r="AY213" s="777"/>
      <c r="AZ213" s="777"/>
      <c r="BA213" s="777"/>
      <c r="BB213" s="777"/>
      <c r="BC213" s="777"/>
      <c r="BD213" s="777"/>
      <c r="BE213" s="777"/>
      <c r="BF213" s="777"/>
      <c r="BG213" s="777"/>
      <c r="BH213" s="777"/>
      <c r="BI213" s="777"/>
      <c r="BJ213" s="777"/>
      <c r="BK213" s="777"/>
      <c r="BL213" s="777"/>
      <c r="BM213" s="777"/>
      <c r="BN213" s="777"/>
      <c r="BO213" s="777"/>
      <c r="BP213" s="777"/>
      <c r="BQ213" s="777"/>
      <c r="BR213" s="777"/>
      <c r="BS213" s="777"/>
      <c r="BT213" s="777"/>
    </row>
    <row r="214" spans="1:72" x14ac:dyDescent="0.25">
      <c r="A214" s="777" t="s">
        <v>640</v>
      </c>
      <c r="B214" s="777"/>
      <c r="C214" s="777"/>
      <c r="D214" s="777"/>
      <c r="E214" s="777"/>
      <c r="F214" s="777"/>
      <c r="G214" s="777"/>
      <c r="H214" s="777"/>
      <c r="I214" s="777"/>
      <c r="J214" s="777"/>
      <c r="K214" s="777"/>
      <c r="L214" s="777"/>
      <c r="M214" s="777"/>
      <c r="N214" s="777"/>
      <c r="O214" s="777"/>
      <c r="P214" s="777"/>
      <c r="Q214" s="777"/>
      <c r="R214" s="777"/>
      <c r="S214" s="777"/>
      <c r="T214" s="777"/>
      <c r="U214" s="777"/>
      <c r="V214" s="777"/>
      <c r="W214" s="777"/>
      <c r="X214" s="777"/>
      <c r="Y214" s="777"/>
      <c r="Z214" s="777"/>
      <c r="AA214" s="777"/>
      <c r="AB214" s="777"/>
      <c r="AC214" s="777"/>
      <c r="AD214" s="777"/>
      <c r="AE214" s="777"/>
      <c r="AF214" s="777"/>
      <c r="AG214" s="777"/>
      <c r="AH214" s="777"/>
      <c r="AI214" s="777"/>
      <c r="AJ214" s="777"/>
      <c r="AK214" s="777"/>
      <c r="AL214" s="777"/>
      <c r="AM214" s="777"/>
      <c r="AN214" s="777"/>
      <c r="AO214" s="777"/>
      <c r="AP214" s="777"/>
      <c r="AQ214" s="777"/>
      <c r="AR214" s="777"/>
      <c r="AS214" s="777"/>
      <c r="AT214" s="777"/>
      <c r="AU214" s="777"/>
      <c r="AV214" s="777"/>
      <c r="AW214" s="777"/>
      <c r="AX214" s="777"/>
      <c r="AY214" s="777"/>
      <c r="AZ214" s="777"/>
      <c r="BA214" s="777"/>
      <c r="BB214" s="777"/>
      <c r="BC214" s="777"/>
      <c r="BD214" s="777"/>
      <c r="BE214" s="777"/>
      <c r="BF214" s="777"/>
      <c r="BG214" s="777"/>
      <c r="BH214" s="777"/>
      <c r="BI214" s="777"/>
      <c r="BJ214" s="777"/>
      <c r="BK214" s="777"/>
      <c r="BL214" s="777"/>
      <c r="BM214" s="777"/>
      <c r="BN214" s="777"/>
      <c r="BO214" s="777"/>
      <c r="BP214" s="777"/>
      <c r="BQ214" s="777"/>
      <c r="BR214" s="777"/>
      <c r="BS214" s="777"/>
      <c r="BT214" s="777"/>
    </row>
    <row r="215" spans="1:72" x14ac:dyDescent="0.25">
      <c r="A215" s="777" t="s">
        <v>641</v>
      </c>
      <c r="B215" s="777"/>
      <c r="C215" s="777"/>
      <c r="D215" s="777"/>
      <c r="E215" s="777"/>
      <c r="F215" s="777"/>
      <c r="G215" s="777"/>
      <c r="H215" s="777"/>
      <c r="I215" s="777"/>
      <c r="J215" s="777"/>
      <c r="K215" s="777"/>
      <c r="L215" s="777"/>
      <c r="M215" s="777"/>
      <c r="N215" s="777"/>
      <c r="O215" s="777"/>
      <c r="P215" s="777"/>
      <c r="Q215" s="777"/>
      <c r="R215" s="777"/>
      <c r="S215" s="777"/>
      <c r="T215" s="777"/>
      <c r="U215" s="777"/>
      <c r="V215" s="777"/>
      <c r="W215" s="777"/>
      <c r="X215" s="777"/>
      <c r="Y215" s="777"/>
      <c r="Z215" s="777"/>
      <c r="AA215" s="777"/>
      <c r="AB215" s="777"/>
      <c r="AC215" s="777"/>
      <c r="AD215" s="777"/>
      <c r="AE215" s="777"/>
      <c r="AF215" s="777"/>
      <c r="AG215" s="777"/>
      <c r="AH215" s="777"/>
      <c r="AI215" s="777"/>
      <c r="AJ215" s="777"/>
      <c r="AK215" s="777"/>
      <c r="AL215" s="777"/>
      <c r="AM215" s="777"/>
      <c r="AN215" s="777"/>
      <c r="AO215" s="777"/>
      <c r="AP215" s="777"/>
      <c r="AQ215" s="777"/>
      <c r="AR215" s="777"/>
      <c r="AS215" s="777"/>
      <c r="AT215" s="777"/>
      <c r="AU215" s="777"/>
      <c r="AV215" s="777"/>
      <c r="AW215" s="777"/>
      <c r="AX215" s="777"/>
      <c r="AY215" s="777"/>
      <c r="AZ215" s="777"/>
      <c r="BA215" s="777"/>
      <c r="BB215" s="777"/>
      <c r="BC215" s="777"/>
      <c r="BD215" s="777"/>
      <c r="BE215" s="777"/>
      <c r="BF215" s="777"/>
      <c r="BG215" s="777"/>
      <c r="BH215" s="777"/>
      <c r="BI215" s="777"/>
      <c r="BJ215" s="777"/>
      <c r="BK215" s="777"/>
      <c r="BL215" s="777"/>
      <c r="BM215" s="777"/>
      <c r="BN215" s="777"/>
      <c r="BO215" s="777"/>
      <c r="BP215" s="777"/>
      <c r="BQ215" s="777"/>
      <c r="BR215" s="777"/>
      <c r="BS215" s="777"/>
      <c r="BT215" s="777"/>
    </row>
    <row r="216" spans="1:72" x14ac:dyDescent="0.25">
      <c r="A216" s="777" t="s">
        <v>642</v>
      </c>
      <c r="B216" s="777"/>
      <c r="C216" s="777"/>
      <c r="D216" s="777"/>
      <c r="E216" s="777"/>
      <c r="F216" s="777"/>
      <c r="G216" s="777"/>
      <c r="H216" s="777"/>
      <c r="I216" s="777"/>
      <c r="J216" s="777"/>
      <c r="K216" s="777"/>
      <c r="L216" s="777"/>
      <c r="M216" s="777"/>
      <c r="N216" s="777"/>
      <c r="O216" s="777"/>
      <c r="P216" s="777"/>
      <c r="Q216" s="777"/>
      <c r="R216" s="777"/>
      <c r="S216" s="777"/>
      <c r="T216" s="777"/>
      <c r="U216" s="777"/>
      <c r="V216" s="777"/>
      <c r="W216" s="777"/>
      <c r="X216" s="777"/>
      <c r="Y216" s="777"/>
      <c r="Z216" s="777"/>
      <c r="AA216" s="777"/>
      <c r="AB216" s="777"/>
      <c r="AC216" s="777"/>
      <c r="AD216" s="777"/>
      <c r="AE216" s="777"/>
      <c r="AF216" s="777"/>
      <c r="AG216" s="777"/>
      <c r="AH216" s="777"/>
      <c r="AI216" s="777"/>
      <c r="AJ216" s="777"/>
      <c r="AK216" s="777"/>
      <c r="AL216" s="777"/>
      <c r="AM216" s="777"/>
      <c r="AN216" s="777"/>
      <c r="AO216" s="777"/>
      <c r="AP216" s="777"/>
      <c r="AQ216" s="777"/>
      <c r="AR216" s="777"/>
      <c r="AS216" s="777"/>
      <c r="AT216" s="777"/>
      <c r="AU216" s="777"/>
      <c r="AV216" s="777"/>
      <c r="AW216" s="777"/>
      <c r="AX216" s="777"/>
      <c r="AY216" s="777"/>
      <c r="AZ216" s="777"/>
      <c r="BA216" s="777"/>
      <c r="BB216" s="777"/>
      <c r="BC216" s="777"/>
      <c r="BD216" s="777"/>
      <c r="BE216" s="777"/>
      <c r="BF216" s="777"/>
      <c r="BG216" s="777"/>
      <c r="BH216" s="777"/>
      <c r="BI216" s="777"/>
      <c r="BJ216" s="777"/>
      <c r="BK216" s="777"/>
      <c r="BL216" s="777"/>
      <c r="BM216" s="777"/>
      <c r="BN216" s="777"/>
      <c r="BO216" s="777"/>
      <c r="BP216" s="777"/>
      <c r="BQ216" s="777"/>
      <c r="BR216" s="777"/>
      <c r="BS216" s="777"/>
      <c r="BT216" s="777"/>
    </row>
    <row r="217" spans="1:72" x14ac:dyDescent="0.25">
      <c r="A217" s="777" t="s">
        <v>643</v>
      </c>
      <c r="B217" s="777"/>
      <c r="C217" s="777"/>
      <c r="D217" s="777"/>
      <c r="E217" s="777"/>
      <c r="F217" s="777"/>
      <c r="G217" s="777"/>
      <c r="H217" s="777"/>
      <c r="I217" s="777"/>
      <c r="J217" s="777"/>
      <c r="K217" s="777"/>
      <c r="L217" s="777"/>
      <c r="M217" s="777"/>
      <c r="N217" s="777"/>
      <c r="O217" s="777"/>
      <c r="P217" s="777"/>
      <c r="Q217" s="777"/>
      <c r="R217" s="777"/>
      <c r="S217" s="777"/>
      <c r="T217" s="777"/>
      <c r="U217" s="777"/>
      <c r="V217" s="777"/>
      <c r="W217" s="777"/>
      <c r="X217" s="777"/>
      <c r="Y217" s="777"/>
      <c r="Z217" s="777"/>
      <c r="AA217" s="777"/>
      <c r="AB217" s="777"/>
      <c r="AC217" s="777"/>
      <c r="AD217" s="777"/>
      <c r="AE217" s="777"/>
      <c r="AF217" s="777"/>
      <c r="AG217" s="777"/>
      <c r="AH217" s="777"/>
      <c r="AI217" s="777"/>
      <c r="AJ217" s="777"/>
      <c r="AK217" s="777"/>
      <c r="AL217" s="777"/>
      <c r="AM217" s="777"/>
      <c r="AN217" s="777"/>
      <c r="AO217" s="777"/>
      <c r="AP217" s="777"/>
      <c r="AQ217" s="777"/>
      <c r="AR217" s="777"/>
      <c r="AS217" s="777"/>
      <c r="AT217" s="777"/>
      <c r="AU217" s="777"/>
      <c r="AV217" s="777"/>
      <c r="AW217" s="777"/>
      <c r="AX217" s="777"/>
      <c r="AY217" s="777"/>
      <c r="AZ217" s="777"/>
      <c r="BA217" s="777"/>
      <c r="BB217" s="777"/>
      <c r="BC217" s="777"/>
      <c r="BD217" s="777"/>
      <c r="BE217" s="777"/>
      <c r="BF217" s="777"/>
      <c r="BG217" s="777"/>
      <c r="BH217" s="777"/>
      <c r="BI217" s="777"/>
      <c r="BJ217" s="777"/>
      <c r="BK217" s="777"/>
      <c r="BL217" s="777"/>
      <c r="BM217" s="777"/>
      <c r="BN217" s="777"/>
      <c r="BO217" s="777"/>
      <c r="BP217" s="777"/>
      <c r="BQ217" s="777"/>
      <c r="BR217" s="777"/>
      <c r="BS217" s="777"/>
      <c r="BT217" s="777"/>
    </row>
    <row r="218" spans="1:72" x14ac:dyDescent="0.25">
      <c r="A218" s="777" t="s">
        <v>535</v>
      </c>
      <c r="B218" s="777"/>
      <c r="C218" s="777"/>
      <c r="D218" s="777"/>
      <c r="E218" s="777"/>
      <c r="F218" s="777"/>
      <c r="G218" s="777"/>
      <c r="H218" s="777"/>
      <c r="I218" s="777"/>
      <c r="J218" s="777"/>
      <c r="K218" s="777"/>
      <c r="L218" s="777"/>
      <c r="M218" s="777"/>
      <c r="N218" s="777"/>
      <c r="O218" s="777"/>
      <c r="P218" s="777"/>
      <c r="Q218" s="777"/>
      <c r="R218" s="777"/>
      <c r="S218" s="777"/>
      <c r="T218" s="777"/>
      <c r="U218" s="777"/>
      <c r="V218" s="777"/>
      <c r="W218" s="777"/>
      <c r="X218" s="777"/>
      <c r="Y218" s="777"/>
      <c r="Z218" s="777"/>
      <c r="AA218" s="777"/>
      <c r="AB218" s="777"/>
      <c r="AC218" s="777"/>
      <c r="AD218" s="777"/>
      <c r="AE218" s="777"/>
      <c r="AF218" s="777"/>
      <c r="AG218" s="777"/>
      <c r="AH218" s="777"/>
      <c r="AI218" s="777"/>
      <c r="AJ218" s="777"/>
      <c r="AK218" s="777"/>
      <c r="AL218" s="777"/>
      <c r="AM218" s="777"/>
      <c r="AN218" s="777"/>
      <c r="AO218" s="777"/>
      <c r="AP218" s="777"/>
      <c r="AQ218" s="777"/>
      <c r="AR218" s="777"/>
      <c r="AS218" s="777"/>
      <c r="AT218" s="777"/>
      <c r="AU218" s="777"/>
      <c r="AV218" s="777"/>
      <c r="AW218" s="777"/>
      <c r="AX218" s="777"/>
      <c r="AY218" s="777"/>
      <c r="AZ218" s="777"/>
      <c r="BA218" s="777"/>
      <c r="BB218" s="777"/>
      <c r="BC218" s="777"/>
      <c r="BD218" s="777"/>
      <c r="BE218" s="777"/>
      <c r="BF218" s="777"/>
      <c r="BG218" s="777"/>
      <c r="BH218" s="777"/>
      <c r="BI218" s="777"/>
      <c r="BJ218" s="777"/>
      <c r="BK218" s="777"/>
      <c r="BL218" s="777"/>
      <c r="BM218" s="777"/>
      <c r="BN218" s="777"/>
      <c r="BO218" s="777"/>
      <c r="BP218" s="777"/>
      <c r="BQ218" s="777"/>
      <c r="BR218" s="777"/>
      <c r="BS218" s="777"/>
      <c r="BT218" s="777"/>
    </row>
    <row r="219" spans="1:72" x14ac:dyDescent="0.25">
      <c r="A219" s="777" t="s">
        <v>719</v>
      </c>
      <c r="B219" s="777"/>
      <c r="C219" s="777"/>
      <c r="D219" s="777"/>
      <c r="E219" s="777"/>
      <c r="F219" s="777"/>
      <c r="G219" s="777"/>
      <c r="H219" s="777"/>
      <c r="I219" s="777"/>
      <c r="J219" s="777"/>
      <c r="K219" s="777"/>
      <c r="L219" s="777"/>
      <c r="M219" s="777"/>
      <c r="N219" s="777"/>
      <c r="O219" s="777"/>
      <c r="P219" s="777"/>
      <c r="Q219" s="777"/>
      <c r="R219" s="777"/>
      <c r="S219" s="777"/>
      <c r="T219" s="777"/>
      <c r="U219" s="777"/>
      <c r="V219" s="777"/>
      <c r="W219" s="777"/>
      <c r="X219" s="777"/>
      <c r="Y219" s="777"/>
      <c r="Z219" s="777"/>
      <c r="AA219" s="777"/>
      <c r="AB219" s="777"/>
      <c r="AC219" s="777"/>
      <c r="AD219" s="777"/>
      <c r="AE219" s="777"/>
      <c r="AF219" s="777"/>
      <c r="AG219" s="777"/>
      <c r="AH219" s="777"/>
      <c r="AI219" s="777"/>
      <c r="AJ219" s="777"/>
      <c r="AK219" s="777"/>
      <c r="AL219" s="777"/>
      <c r="AM219" s="777"/>
      <c r="AN219" s="777"/>
      <c r="AO219" s="777"/>
      <c r="AP219" s="777"/>
      <c r="AQ219" s="777"/>
      <c r="AR219" s="777"/>
      <c r="AS219" s="777"/>
      <c r="AT219" s="777"/>
      <c r="AU219" s="777"/>
      <c r="AV219" s="777"/>
      <c r="AW219" s="777"/>
      <c r="AX219" s="777"/>
      <c r="AY219" s="777"/>
      <c r="AZ219" s="777"/>
      <c r="BA219" s="777"/>
      <c r="BB219" s="777"/>
      <c r="BC219" s="777"/>
      <c r="BD219" s="777"/>
      <c r="BE219" s="777"/>
      <c r="BF219" s="777"/>
      <c r="BG219" s="777"/>
      <c r="BH219" s="777"/>
      <c r="BI219" s="777"/>
      <c r="BJ219" s="777"/>
      <c r="BK219" s="777"/>
      <c r="BL219" s="777"/>
      <c r="BM219" s="777"/>
      <c r="BN219" s="777"/>
      <c r="BO219" s="777"/>
      <c r="BP219" s="777"/>
      <c r="BQ219" s="777"/>
      <c r="BR219" s="777"/>
      <c r="BS219" s="777"/>
      <c r="BT219" s="777"/>
    </row>
    <row r="220" spans="1:72" x14ac:dyDescent="0.25">
      <c r="A220" s="777" t="s">
        <v>781</v>
      </c>
      <c r="B220" s="777"/>
      <c r="C220" s="777"/>
      <c r="D220" s="777"/>
      <c r="E220" s="777"/>
      <c r="F220" s="777"/>
      <c r="G220" s="777"/>
      <c r="H220" s="777"/>
      <c r="I220" s="777"/>
      <c r="J220" s="777"/>
      <c r="K220" s="777"/>
      <c r="L220" s="777"/>
      <c r="M220" s="777"/>
      <c r="N220" s="777"/>
      <c r="O220" s="777"/>
      <c r="P220" s="777"/>
      <c r="Q220" s="777"/>
      <c r="R220" s="777"/>
      <c r="S220" s="777"/>
      <c r="T220" s="777"/>
      <c r="U220" s="777"/>
      <c r="V220" s="777"/>
      <c r="W220" s="777"/>
      <c r="X220" s="777"/>
      <c r="Y220" s="777"/>
      <c r="Z220" s="777"/>
      <c r="AA220" s="777"/>
      <c r="AB220" s="777"/>
      <c r="AC220" s="777"/>
      <c r="AD220" s="777"/>
      <c r="AE220" s="777"/>
      <c r="AF220" s="777"/>
      <c r="AG220" s="777"/>
      <c r="AH220" s="777"/>
      <c r="AI220" s="777"/>
      <c r="AJ220" s="777"/>
      <c r="AK220" s="777"/>
      <c r="AL220" s="777"/>
      <c r="AM220" s="777"/>
      <c r="AN220" s="777"/>
      <c r="AO220" s="777"/>
      <c r="AP220" s="777"/>
      <c r="AQ220" s="777"/>
      <c r="AR220" s="777"/>
      <c r="AS220" s="777"/>
      <c r="AT220" s="777"/>
      <c r="AU220" s="777"/>
      <c r="AV220" s="777"/>
      <c r="AW220" s="777"/>
      <c r="AX220" s="777"/>
      <c r="AY220" s="777"/>
      <c r="AZ220" s="777"/>
      <c r="BA220" s="777"/>
      <c r="BB220" s="777"/>
      <c r="BC220" s="777"/>
      <c r="BD220" s="777"/>
      <c r="BE220" s="777"/>
      <c r="BF220" s="777"/>
      <c r="BG220" s="777"/>
      <c r="BH220" s="777"/>
      <c r="BI220" s="777"/>
      <c r="BJ220" s="777"/>
      <c r="BK220" s="777"/>
      <c r="BL220" s="777"/>
      <c r="BM220" s="777"/>
      <c r="BN220" s="777"/>
      <c r="BO220" s="777"/>
      <c r="BP220" s="777"/>
      <c r="BQ220" s="777"/>
      <c r="BR220" s="777"/>
      <c r="BS220" s="777"/>
      <c r="BT220" s="777"/>
    </row>
    <row r="221" spans="1:72" x14ac:dyDescent="0.25">
      <c r="A221" s="777" t="s">
        <v>782</v>
      </c>
      <c r="B221" s="777"/>
      <c r="C221" s="777"/>
      <c r="D221" s="777"/>
      <c r="E221" s="777"/>
      <c r="F221" s="777"/>
      <c r="G221" s="777"/>
      <c r="H221" s="777"/>
      <c r="I221" s="777"/>
      <c r="J221" s="777"/>
      <c r="K221" s="777"/>
      <c r="L221" s="777"/>
      <c r="M221" s="777"/>
      <c r="N221" s="777"/>
      <c r="O221" s="777"/>
      <c r="P221" s="777"/>
      <c r="Q221" s="777"/>
      <c r="R221" s="777"/>
      <c r="S221" s="777"/>
      <c r="T221" s="777"/>
      <c r="U221" s="777"/>
      <c r="V221" s="777"/>
      <c r="W221" s="777"/>
      <c r="X221" s="777"/>
      <c r="Y221" s="777"/>
      <c r="Z221" s="777"/>
      <c r="AA221" s="777"/>
      <c r="AB221" s="777"/>
      <c r="AC221" s="777"/>
      <c r="AD221" s="777"/>
      <c r="AE221" s="777"/>
      <c r="AF221" s="777"/>
      <c r="AG221" s="777"/>
      <c r="AH221" s="777"/>
      <c r="AI221" s="777"/>
      <c r="AJ221" s="777"/>
      <c r="AK221" s="777"/>
      <c r="AL221" s="777"/>
      <c r="AM221" s="777"/>
      <c r="AN221" s="777"/>
      <c r="AO221" s="777"/>
      <c r="AP221" s="777"/>
      <c r="AQ221" s="777"/>
      <c r="AR221" s="777"/>
      <c r="AS221" s="777"/>
      <c r="AT221" s="777"/>
      <c r="AU221" s="777"/>
      <c r="AV221" s="777"/>
      <c r="AW221" s="777"/>
      <c r="AX221" s="777"/>
      <c r="AY221" s="777"/>
      <c r="AZ221" s="777"/>
      <c r="BA221" s="777"/>
      <c r="BB221" s="777"/>
      <c r="BC221" s="777"/>
      <c r="BD221" s="777"/>
      <c r="BE221" s="777"/>
      <c r="BF221" s="777"/>
      <c r="BG221" s="777"/>
      <c r="BH221" s="777"/>
      <c r="BI221" s="777"/>
      <c r="BJ221" s="777"/>
      <c r="BK221" s="777"/>
      <c r="BL221" s="777"/>
      <c r="BM221" s="777"/>
      <c r="BN221" s="777"/>
      <c r="BO221" s="777"/>
      <c r="BP221" s="777"/>
      <c r="BQ221" s="777"/>
      <c r="BR221" s="777"/>
      <c r="BS221" s="777"/>
      <c r="BT221" s="777"/>
    </row>
    <row r="222" spans="1:72" x14ac:dyDescent="0.25">
      <c r="A222" s="777" t="s">
        <v>783</v>
      </c>
      <c r="B222" s="777"/>
      <c r="C222" s="777"/>
      <c r="D222" s="777"/>
      <c r="E222" s="777"/>
      <c r="F222" s="777"/>
      <c r="G222" s="777"/>
      <c r="H222" s="777"/>
      <c r="I222" s="777"/>
      <c r="J222" s="777"/>
      <c r="K222" s="777"/>
      <c r="L222" s="777"/>
      <c r="M222" s="777"/>
      <c r="N222" s="777"/>
      <c r="O222" s="777"/>
      <c r="P222" s="777"/>
      <c r="Q222" s="777"/>
      <c r="R222" s="777"/>
      <c r="S222" s="777"/>
      <c r="T222" s="777"/>
      <c r="U222" s="777"/>
      <c r="V222" s="777"/>
      <c r="W222" s="777"/>
      <c r="X222" s="777"/>
      <c r="Y222" s="777"/>
      <c r="Z222" s="777"/>
      <c r="AA222" s="777"/>
      <c r="AB222" s="777"/>
      <c r="AC222" s="777"/>
      <c r="AD222" s="777"/>
      <c r="AE222" s="777"/>
      <c r="AF222" s="777"/>
      <c r="AG222" s="777"/>
      <c r="AH222" s="777"/>
      <c r="AI222" s="777"/>
      <c r="AJ222" s="777"/>
      <c r="AK222" s="777"/>
      <c r="AL222" s="777"/>
      <c r="AM222" s="777"/>
      <c r="AN222" s="777"/>
      <c r="AO222" s="777"/>
      <c r="AP222" s="777"/>
      <c r="AQ222" s="777"/>
      <c r="AR222" s="777"/>
      <c r="AS222" s="777"/>
      <c r="AT222" s="777"/>
      <c r="AU222" s="777"/>
      <c r="AV222" s="777"/>
      <c r="AW222" s="777"/>
      <c r="AX222" s="777"/>
      <c r="AY222" s="777"/>
      <c r="AZ222" s="777"/>
      <c r="BA222" s="777"/>
      <c r="BB222" s="777"/>
      <c r="BC222" s="777"/>
      <c r="BD222" s="777"/>
      <c r="BE222" s="777"/>
      <c r="BF222" s="777"/>
      <c r="BG222" s="777"/>
      <c r="BH222" s="777"/>
      <c r="BI222" s="777"/>
      <c r="BJ222" s="777"/>
      <c r="BK222" s="777"/>
      <c r="BL222" s="777"/>
      <c r="BM222" s="777"/>
      <c r="BN222" s="777"/>
      <c r="BO222" s="777"/>
      <c r="BP222" s="777"/>
      <c r="BQ222" s="777"/>
      <c r="BR222" s="777"/>
      <c r="BS222" s="777"/>
      <c r="BT222" s="777"/>
    </row>
    <row r="223" spans="1:72" x14ac:dyDescent="0.25">
      <c r="A223" s="777" t="s">
        <v>784</v>
      </c>
      <c r="B223" s="777"/>
      <c r="C223" s="777"/>
      <c r="D223" s="777"/>
      <c r="E223" s="777"/>
      <c r="F223" s="777"/>
      <c r="G223" s="777"/>
      <c r="H223" s="777"/>
      <c r="I223" s="777"/>
      <c r="J223" s="777"/>
      <c r="K223" s="777"/>
      <c r="L223" s="777"/>
      <c r="M223" s="777"/>
      <c r="N223" s="777"/>
      <c r="O223" s="777"/>
      <c r="P223" s="777"/>
      <c r="Q223" s="777"/>
      <c r="R223" s="777"/>
      <c r="S223" s="777"/>
      <c r="T223" s="777"/>
      <c r="U223" s="777"/>
      <c r="V223" s="777"/>
      <c r="W223" s="777"/>
      <c r="X223" s="777"/>
      <c r="Y223" s="777"/>
      <c r="Z223" s="777"/>
      <c r="AA223" s="777"/>
      <c r="AB223" s="777"/>
      <c r="AC223" s="777"/>
      <c r="AD223" s="777"/>
      <c r="AE223" s="777"/>
      <c r="AF223" s="777"/>
      <c r="AG223" s="777"/>
      <c r="AH223" s="777"/>
      <c r="AI223" s="777"/>
      <c r="AJ223" s="777"/>
      <c r="AK223" s="777"/>
      <c r="AL223" s="777"/>
      <c r="AM223" s="777"/>
      <c r="AN223" s="777"/>
      <c r="AO223" s="777"/>
      <c r="AP223" s="777"/>
      <c r="AQ223" s="777"/>
      <c r="AR223" s="777"/>
      <c r="AS223" s="777"/>
      <c r="AT223" s="777"/>
      <c r="AU223" s="777"/>
      <c r="AV223" s="777"/>
      <c r="AW223" s="777"/>
      <c r="AX223" s="777"/>
      <c r="AY223" s="777"/>
      <c r="AZ223" s="777"/>
      <c r="BA223" s="777"/>
      <c r="BB223" s="777"/>
      <c r="BC223" s="777"/>
      <c r="BD223" s="777"/>
      <c r="BE223" s="777"/>
      <c r="BF223" s="777"/>
      <c r="BG223" s="777"/>
      <c r="BH223" s="777"/>
      <c r="BI223" s="777"/>
      <c r="BJ223" s="777"/>
      <c r="BK223" s="777"/>
      <c r="BL223" s="777"/>
      <c r="BM223" s="777"/>
      <c r="BN223" s="777"/>
      <c r="BO223" s="777"/>
      <c r="BP223" s="777"/>
      <c r="BQ223" s="777"/>
      <c r="BR223" s="777"/>
      <c r="BS223" s="777"/>
      <c r="BT223" s="777"/>
    </row>
    <row r="224" spans="1:72" x14ac:dyDescent="0.25">
      <c r="A224" s="777" t="s">
        <v>785</v>
      </c>
      <c r="B224" s="777"/>
      <c r="C224" s="777"/>
      <c r="D224" s="777"/>
      <c r="E224" s="777"/>
      <c r="F224" s="777"/>
      <c r="G224" s="777"/>
      <c r="H224" s="777"/>
      <c r="I224" s="777"/>
      <c r="J224" s="777"/>
      <c r="K224" s="777"/>
      <c r="L224" s="777"/>
      <c r="M224" s="777"/>
      <c r="N224" s="777"/>
      <c r="O224" s="777"/>
      <c r="P224" s="777"/>
      <c r="Q224" s="777"/>
      <c r="R224" s="777"/>
      <c r="S224" s="777"/>
      <c r="T224" s="777"/>
      <c r="U224" s="777"/>
      <c r="V224" s="777"/>
      <c r="W224" s="777"/>
      <c r="X224" s="777"/>
      <c r="Y224" s="777"/>
      <c r="Z224" s="777"/>
      <c r="AA224" s="777"/>
      <c r="AB224" s="777"/>
      <c r="AC224" s="777"/>
      <c r="AD224" s="777"/>
      <c r="AE224" s="777"/>
      <c r="AF224" s="777"/>
      <c r="AG224" s="777"/>
      <c r="AH224" s="777"/>
      <c r="AI224" s="777"/>
      <c r="AJ224" s="777"/>
      <c r="AK224" s="777"/>
      <c r="AL224" s="777"/>
      <c r="AM224" s="777"/>
      <c r="AN224" s="777"/>
      <c r="AO224" s="777"/>
      <c r="AP224" s="777"/>
      <c r="AQ224" s="777"/>
      <c r="AR224" s="777"/>
      <c r="AS224" s="777"/>
      <c r="AT224" s="777"/>
      <c r="AU224" s="777"/>
      <c r="AV224" s="777"/>
      <c r="AW224" s="777"/>
      <c r="AX224" s="777"/>
      <c r="AY224" s="777"/>
      <c r="AZ224" s="777"/>
      <c r="BA224" s="777"/>
      <c r="BB224" s="777"/>
      <c r="BC224" s="777"/>
      <c r="BD224" s="777"/>
      <c r="BE224" s="777"/>
      <c r="BF224" s="777"/>
      <c r="BG224" s="777"/>
      <c r="BH224" s="777"/>
      <c r="BI224" s="777"/>
      <c r="BJ224" s="777"/>
      <c r="BK224" s="777"/>
      <c r="BL224" s="777"/>
      <c r="BM224" s="777"/>
      <c r="BN224" s="777"/>
      <c r="BO224" s="777"/>
      <c r="BP224" s="777"/>
      <c r="BQ224" s="777"/>
      <c r="BR224" s="777"/>
      <c r="BS224" s="777"/>
      <c r="BT224" s="777"/>
    </row>
    <row r="225" spans="1:72" x14ac:dyDescent="0.25">
      <c r="A225" s="777" t="s">
        <v>786</v>
      </c>
      <c r="B225" s="777"/>
      <c r="C225" s="777"/>
      <c r="D225" s="777"/>
      <c r="E225" s="777"/>
      <c r="F225" s="777"/>
      <c r="G225" s="777"/>
      <c r="H225" s="777"/>
      <c r="I225" s="777"/>
      <c r="J225" s="777"/>
      <c r="K225" s="777"/>
      <c r="L225" s="777"/>
      <c r="M225" s="777"/>
      <c r="N225" s="777"/>
      <c r="O225" s="777"/>
      <c r="P225" s="777"/>
      <c r="Q225" s="777"/>
      <c r="R225" s="777"/>
      <c r="S225" s="777"/>
      <c r="T225" s="777"/>
      <c r="U225" s="777"/>
      <c r="V225" s="777"/>
      <c r="W225" s="777"/>
      <c r="X225" s="777"/>
      <c r="Y225" s="777"/>
      <c r="Z225" s="777"/>
      <c r="AA225" s="777"/>
      <c r="AB225" s="777"/>
      <c r="AC225" s="777"/>
      <c r="AD225" s="777"/>
      <c r="AE225" s="777"/>
      <c r="AF225" s="777"/>
      <c r="AG225" s="777"/>
      <c r="AH225" s="777"/>
      <c r="AI225" s="777"/>
      <c r="AJ225" s="777"/>
      <c r="AK225" s="777"/>
      <c r="AL225" s="777"/>
      <c r="AM225" s="777"/>
      <c r="AN225" s="777"/>
      <c r="AO225" s="777"/>
      <c r="AP225" s="777"/>
      <c r="AQ225" s="777"/>
      <c r="AR225" s="777"/>
      <c r="AS225" s="777"/>
      <c r="AT225" s="777"/>
      <c r="AU225" s="777"/>
      <c r="AV225" s="777"/>
      <c r="AW225" s="777"/>
      <c r="AX225" s="777"/>
      <c r="AY225" s="777"/>
      <c r="AZ225" s="777"/>
      <c r="BA225" s="777"/>
      <c r="BB225" s="777"/>
      <c r="BC225" s="777"/>
      <c r="BD225" s="777"/>
      <c r="BE225" s="777"/>
      <c r="BF225" s="777"/>
      <c r="BG225" s="777"/>
      <c r="BH225" s="777"/>
      <c r="BI225" s="777"/>
      <c r="BJ225" s="777"/>
      <c r="BK225" s="777"/>
      <c r="BL225" s="777"/>
      <c r="BM225" s="777"/>
      <c r="BN225" s="777"/>
      <c r="BO225" s="777"/>
      <c r="BP225" s="777"/>
      <c r="BQ225" s="777"/>
      <c r="BR225" s="777"/>
      <c r="BS225" s="777"/>
      <c r="BT225" s="777"/>
    </row>
    <row r="226" spans="1:72" x14ac:dyDescent="0.25">
      <c r="A226" s="777" t="s">
        <v>787</v>
      </c>
      <c r="B226" s="777"/>
      <c r="C226" s="777"/>
      <c r="D226" s="777"/>
      <c r="E226" s="777"/>
      <c r="F226" s="777"/>
      <c r="G226" s="777"/>
      <c r="H226" s="777"/>
      <c r="I226" s="777"/>
      <c r="J226" s="777"/>
      <c r="K226" s="777"/>
      <c r="L226" s="777"/>
      <c r="M226" s="777"/>
      <c r="N226" s="777"/>
      <c r="O226" s="777"/>
      <c r="P226" s="777"/>
      <c r="Q226" s="777"/>
      <c r="R226" s="777"/>
      <c r="S226" s="777"/>
      <c r="T226" s="777"/>
      <c r="U226" s="777"/>
      <c r="V226" s="777"/>
      <c r="W226" s="777"/>
      <c r="X226" s="777"/>
      <c r="Y226" s="777"/>
      <c r="Z226" s="777"/>
      <c r="AA226" s="777"/>
      <c r="AB226" s="777"/>
      <c r="AC226" s="777"/>
      <c r="AD226" s="777"/>
      <c r="AE226" s="777"/>
      <c r="AF226" s="777"/>
      <c r="AG226" s="777"/>
      <c r="AH226" s="777"/>
      <c r="AI226" s="777"/>
      <c r="AJ226" s="777"/>
      <c r="AK226" s="777"/>
      <c r="AL226" s="777"/>
      <c r="AM226" s="777"/>
      <c r="AN226" s="777"/>
      <c r="AO226" s="777"/>
      <c r="AP226" s="777"/>
      <c r="AQ226" s="777"/>
      <c r="AR226" s="777"/>
      <c r="AS226" s="777"/>
      <c r="AT226" s="777"/>
      <c r="AU226" s="777"/>
      <c r="AV226" s="777"/>
      <c r="AW226" s="777"/>
      <c r="AX226" s="777"/>
      <c r="AY226" s="777"/>
      <c r="AZ226" s="777"/>
      <c r="BA226" s="777"/>
      <c r="BB226" s="777"/>
      <c r="BC226" s="777"/>
      <c r="BD226" s="777"/>
      <c r="BE226" s="777"/>
      <c r="BF226" s="777"/>
      <c r="BG226" s="777"/>
      <c r="BH226" s="777"/>
      <c r="BI226" s="777"/>
      <c r="BJ226" s="777"/>
      <c r="BK226" s="777"/>
      <c r="BL226" s="777"/>
      <c r="BM226" s="777"/>
      <c r="BN226" s="777"/>
      <c r="BO226" s="777"/>
      <c r="BP226" s="777"/>
      <c r="BQ226" s="777"/>
      <c r="BR226" s="777"/>
      <c r="BS226" s="777"/>
      <c r="BT226" s="777"/>
    </row>
    <row r="227" spans="1:72" x14ac:dyDescent="0.25">
      <c r="A227" s="777" t="s">
        <v>788</v>
      </c>
      <c r="B227" s="777"/>
      <c r="C227" s="777"/>
      <c r="D227" s="777"/>
      <c r="E227" s="777"/>
      <c r="F227" s="777"/>
      <c r="G227" s="777"/>
      <c r="H227" s="777"/>
      <c r="I227" s="777"/>
      <c r="J227" s="777"/>
      <c r="K227" s="777"/>
      <c r="L227" s="777"/>
      <c r="M227" s="777"/>
      <c r="N227" s="777"/>
      <c r="O227" s="777"/>
      <c r="P227" s="777"/>
      <c r="Q227" s="777"/>
      <c r="R227" s="777"/>
      <c r="S227" s="777"/>
      <c r="T227" s="777"/>
      <c r="U227" s="777"/>
      <c r="V227" s="777"/>
      <c r="W227" s="777"/>
      <c r="X227" s="777"/>
      <c r="Y227" s="777"/>
      <c r="Z227" s="777"/>
      <c r="AA227" s="777"/>
      <c r="AB227" s="777"/>
      <c r="AC227" s="777"/>
      <c r="AD227" s="777"/>
      <c r="AE227" s="777"/>
      <c r="AF227" s="777"/>
      <c r="AG227" s="777"/>
      <c r="AH227" s="777"/>
      <c r="AI227" s="777"/>
      <c r="AJ227" s="777"/>
      <c r="AK227" s="777"/>
      <c r="AL227" s="777"/>
      <c r="AM227" s="777"/>
      <c r="AN227" s="777"/>
      <c r="AO227" s="777"/>
      <c r="AP227" s="777"/>
      <c r="AQ227" s="777"/>
      <c r="AR227" s="777"/>
      <c r="AS227" s="777"/>
      <c r="AT227" s="777"/>
      <c r="AU227" s="777"/>
      <c r="AV227" s="777"/>
      <c r="AW227" s="777"/>
      <c r="AX227" s="777"/>
      <c r="AY227" s="777"/>
      <c r="AZ227" s="777"/>
      <c r="BA227" s="777"/>
      <c r="BB227" s="777"/>
      <c r="BC227" s="777"/>
      <c r="BD227" s="777"/>
      <c r="BE227" s="777"/>
      <c r="BF227" s="777"/>
      <c r="BG227" s="777"/>
      <c r="BH227" s="777"/>
      <c r="BI227" s="777"/>
      <c r="BJ227" s="777"/>
      <c r="BK227" s="777"/>
      <c r="BL227" s="777"/>
      <c r="BM227" s="777"/>
      <c r="BN227" s="777"/>
      <c r="BO227" s="777"/>
      <c r="BP227" s="777"/>
      <c r="BQ227" s="777"/>
      <c r="BR227" s="777"/>
      <c r="BS227" s="777"/>
      <c r="BT227" s="777"/>
    </row>
    <row r="228" spans="1:72" x14ac:dyDescent="0.25">
      <c r="A228" s="777" t="s">
        <v>789</v>
      </c>
      <c r="B228" s="777"/>
      <c r="C228" s="777"/>
      <c r="D228" s="777"/>
      <c r="E228" s="777"/>
      <c r="F228" s="777"/>
      <c r="G228" s="777"/>
      <c r="H228" s="777"/>
      <c r="I228" s="777"/>
      <c r="J228" s="777"/>
      <c r="K228" s="777"/>
      <c r="L228" s="777"/>
      <c r="M228" s="777"/>
      <c r="N228" s="777"/>
      <c r="O228" s="777"/>
      <c r="P228" s="777"/>
      <c r="Q228" s="777"/>
      <c r="R228" s="777"/>
      <c r="S228" s="777"/>
      <c r="T228" s="777"/>
      <c r="U228" s="777"/>
      <c r="V228" s="777"/>
      <c r="W228" s="777"/>
      <c r="X228" s="777"/>
      <c r="Y228" s="777"/>
      <c r="Z228" s="777"/>
      <c r="AA228" s="777"/>
      <c r="AB228" s="777"/>
      <c r="AC228" s="777"/>
      <c r="AD228" s="777"/>
      <c r="AE228" s="777"/>
      <c r="AF228" s="777"/>
      <c r="AG228" s="777"/>
      <c r="AH228" s="777"/>
      <c r="AI228" s="777"/>
      <c r="AJ228" s="777"/>
      <c r="AK228" s="777"/>
      <c r="AL228" s="777"/>
      <c r="AM228" s="777"/>
      <c r="AN228" s="777"/>
      <c r="AO228" s="777"/>
      <c r="AP228" s="777"/>
      <c r="AQ228" s="777"/>
      <c r="AR228" s="777"/>
      <c r="AS228" s="777"/>
      <c r="AT228" s="777"/>
      <c r="AU228" s="777"/>
      <c r="AV228" s="777"/>
      <c r="AW228" s="777"/>
      <c r="AX228" s="777"/>
      <c r="AY228" s="777"/>
      <c r="AZ228" s="777"/>
      <c r="BA228" s="777"/>
      <c r="BB228" s="777"/>
      <c r="BC228" s="777"/>
      <c r="BD228" s="777"/>
      <c r="BE228" s="777"/>
      <c r="BF228" s="777"/>
      <c r="BG228" s="777"/>
      <c r="BH228" s="777"/>
      <c r="BI228" s="777"/>
      <c r="BJ228" s="777"/>
      <c r="BK228" s="777"/>
      <c r="BL228" s="777"/>
      <c r="BM228" s="777"/>
      <c r="BN228" s="777"/>
      <c r="BO228" s="777"/>
      <c r="BP228" s="777"/>
      <c r="BQ228" s="777"/>
      <c r="BR228" s="777"/>
      <c r="BS228" s="777"/>
      <c r="BT228" s="777"/>
    </row>
    <row r="229" spans="1:72" x14ac:dyDescent="0.25">
      <c r="A229" s="777" t="s">
        <v>790</v>
      </c>
      <c r="B229" s="777"/>
      <c r="C229" s="777"/>
      <c r="D229" s="777"/>
      <c r="E229" s="777"/>
      <c r="F229" s="777"/>
      <c r="G229" s="777"/>
      <c r="H229" s="777"/>
      <c r="I229" s="777"/>
      <c r="J229" s="777"/>
      <c r="K229" s="777"/>
      <c r="L229" s="777"/>
      <c r="M229" s="777"/>
      <c r="N229" s="777"/>
      <c r="O229" s="777"/>
      <c r="P229" s="777"/>
      <c r="Q229" s="777"/>
      <c r="R229" s="777"/>
      <c r="S229" s="777"/>
      <c r="T229" s="777"/>
      <c r="U229" s="777"/>
      <c r="V229" s="777"/>
      <c r="W229" s="777"/>
      <c r="X229" s="777"/>
      <c r="Y229" s="777"/>
      <c r="Z229" s="777"/>
      <c r="AA229" s="777"/>
      <c r="AB229" s="777"/>
      <c r="AC229" s="777"/>
      <c r="AD229" s="777"/>
      <c r="AE229" s="777"/>
      <c r="AF229" s="777"/>
      <c r="AG229" s="777"/>
      <c r="AH229" s="777"/>
      <c r="AI229" s="777"/>
      <c r="AJ229" s="777"/>
      <c r="AK229" s="777"/>
      <c r="AL229" s="777"/>
      <c r="AM229" s="777"/>
      <c r="AN229" s="777"/>
      <c r="AO229" s="777"/>
      <c r="AP229" s="777"/>
      <c r="AQ229" s="777"/>
      <c r="AR229" s="777"/>
      <c r="AS229" s="777"/>
      <c r="AT229" s="777"/>
      <c r="AU229" s="777"/>
      <c r="AV229" s="777"/>
      <c r="AW229" s="777"/>
      <c r="AX229" s="777"/>
      <c r="AY229" s="777"/>
      <c r="AZ229" s="777"/>
      <c r="BA229" s="777"/>
      <c r="BB229" s="777"/>
      <c r="BC229" s="777"/>
      <c r="BD229" s="777"/>
      <c r="BE229" s="777"/>
      <c r="BF229" s="777"/>
      <c r="BG229" s="777"/>
      <c r="BH229" s="777"/>
      <c r="BI229" s="777"/>
      <c r="BJ229" s="777"/>
      <c r="BK229" s="777"/>
      <c r="BL229" s="777"/>
      <c r="BM229" s="777"/>
      <c r="BN229" s="777"/>
      <c r="BO229" s="777"/>
      <c r="BP229" s="777"/>
      <c r="BQ229" s="777"/>
      <c r="BR229" s="777"/>
      <c r="BS229" s="777"/>
      <c r="BT229" s="777"/>
    </row>
    <row r="230" spans="1:72" x14ac:dyDescent="0.25">
      <c r="A230" s="777" t="s">
        <v>791</v>
      </c>
      <c r="B230" s="777"/>
      <c r="C230" s="777"/>
      <c r="D230" s="777"/>
      <c r="E230" s="777"/>
      <c r="F230" s="777"/>
      <c r="G230" s="777"/>
      <c r="H230" s="777"/>
      <c r="I230" s="777"/>
      <c r="J230" s="777"/>
      <c r="K230" s="777"/>
      <c r="L230" s="777"/>
      <c r="M230" s="777"/>
      <c r="N230" s="777"/>
      <c r="O230" s="777"/>
      <c r="P230" s="777"/>
      <c r="Q230" s="777"/>
      <c r="R230" s="777"/>
      <c r="S230" s="777"/>
      <c r="T230" s="777"/>
      <c r="U230" s="777"/>
      <c r="V230" s="777"/>
      <c r="W230" s="777"/>
      <c r="X230" s="777"/>
      <c r="Y230" s="777"/>
      <c r="Z230" s="777"/>
      <c r="AA230" s="777"/>
      <c r="AB230" s="777"/>
      <c r="AC230" s="777"/>
      <c r="AD230" s="777"/>
      <c r="AE230" s="777"/>
      <c r="AF230" s="777"/>
      <c r="AG230" s="777"/>
      <c r="AH230" s="777"/>
      <c r="AI230" s="777"/>
      <c r="AJ230" s="777"/>
      <c r="AK230" s="777"/>
      <c r="AL230" s="777"/>
      <c r="AM230" s="777"/>
      <c r="AN230" s="777"/>
      <c r="AO230" s="777"/>
      <c r="AP230" s="777"/>
      <c r="AQ230" s="777"/>
      <c r="AR230" s="777"/>
      <c r="AS230" s="777"/>
      <c r="AT230" s="777"/>
      <c r="AU230" s="777"/>
      <c r="AV230" s="777"/>
      <c r="AW230" s="777"/>
      <c r="AX230" s="777"/>
      <c r="AY230" s="777"/>
      <c r="AZ230" s="777"/>
      <c r="BA230" s="777"/>
      <c r="BB230" s="777"/>
      <c r="BC230" s="777"/>
      <c r="BD230" s="777"/>
      <c r="BE230" s="777"/>
      <c r="BF230" s="777"/>
      <c r="BG230" s="777"/>
      <c r="BH230" s="777"/>
      <c r="BI230" s="777"/>
      <c r="BJ230" s="777"/>
      <c r="BK230" s="777"/>
      <c r="BL230" s="777"/>
      <c r="BM230" s="777"/>
      <c r="BN230" s="777"/>
      <c r="BO230" s="777"/>
      <c r="BP230" s="777"/>
      <c r="BQ230" s="777"/>
      <c r="BR230" s="777"/>
      <c r="BS230" s="777"/>
      <c r="BT230" s="777"/>
    </row>
    <row r="231" spans="1:72" x14ac:dyDescent="0.25">
      <c r="A231" s="777" t="s">
        <v>792</v>
      </c>
      <c r="B231" s="777"/>
      <c r="C231" s="777"/>
      <c r="D231" s="777"/>
      <c r="E231" s="777"/>
      <c r="F231" s="777"/>
      <c r="G231" s="777"/>
      <c r="H231" s="777"/>
      <c r="I231" s="777"/>
      <c r="J231" s="777"/>
      <c r="K231" s="777"/>
      <c r="L231" s="777"/>
      <c r="M231" s="777"/>
      <c r="N231" s="777"/>
      <c r="O231" s="777"/>
      <c r="P231" s="777"/>
      <c r="Q231" s="777"/>
      <c r="R231" s="777"/>
      <c r="S231" s="777"/>
      <c r="T231" s="777"/>
      <c r="U231" s="777"/>
      <c r="V231" s="777"/>
      <c r="W231" s="777"/>
      <c r="X231" s="777"/>
      <c r="Y231" s="777"/>
      <c r="Z231" s="777"/>
      <c r="AA231" s="777"/>
      <c r="AB231" s="777"/>
      <c r="AC231" s="777"/>
      <c r="AD231" s="777"/>
      <c r="AE231" s="777"/>
      <c r="AF231" s="777"/>
      <c r="AG231" s="777"/>
      <c r="AH231" s="777"/>
      <c r="AI231" s="777"/>
      <c r="AJ231" s="777"/>
      <c r="AK231" s="777"/>
      <c r="AL231" s="777"/>
      <c r="AM231" s="777"/>
      <c r="AN231" s="777"/>
      <c r="AO231" s="777"/>
      <c r="AP231" s="777"/>
      <c r="AQ231" s="777"/>
      <c r="AR231" s="777"/>
      <c r="AS231" s="777"/>
      <c r="AT231" s="777"/>
      <c r="AU231" s="777"/>
      <c r="AV231" s="777"/>
      <c r="AW231" s="777"/>
      <c r="AX231" s="777"/>
      <c r="AY231" s="777"/>
      <c r="AZ231" s="777"/>
      <c r="BA231" s="777"/>
      <c r="BB231" s="777"/>
      <c r="BC231" s="777"/>
      <c r="BD231" s="777"/>
      <c r="BE231" s="777"/>
      <c r="BF231" s="777"/>
      <c r="BG231" s="777"/>
      <c r="BH231" s="777"/>
      <c r="BI231" s="777"/>
      <c r="BJ231" s="777"/>
      <c r="BK231" s="777"/>
      <c r="BL231" s="777"/>
      <c r="BM231" s="777"/>
      <c r="BN231" s="777"/>
      <c r="BO231" s="777"/>
      <c r="BP231" s="777"/>
      <c r="BQ231" s="777"/>
      <c r="BR231" s="777"/>
      <c r="BS231" s="777"/>
      <c r="BT231" s="777"/>
    </row>
    <row r="232" spans="1:72" x14ac:dyDescent="0.25">
      <c r="A232" s="777" t="s">
        <v>793</v>
      </c>
      <c r="B232" s="777"/>
      <c r="C232" s="777"/>
      <c r="D232" s="777"/>
      <c r="E232" s="777"/>
      <c r="F232" s="777"/>
      <c r="G232" s="777"/>
      <c r="H232" s="777"/>
      <c r="I232" s="777"/>
      <c r="J232" s="777"/>
      <c r="K232" s="777"/>
      <c r="L232" s="777"/>
      <c r="M232" s="777"/>
      <c r="N232" s="777"/>
      <c r="O232" s="777"/>
      <c r="P232" s="777"/>
      <c r="Q232" s="777"/>
      <c r="R232" s="777"/>
      <c r="S232" s="777"/>
      <c r="T232" s="777"/>
      <c r="U232" s="777"/>
      <c r="V232" s="777"/>
      <c r="W232" s="777"/>
      <c r="X232" s="777"/>
      <c r="Y232" s="777"/>
      <c r="Z232" s="777"/>
      <c r="AA232" s="777"/>
      <c r="AB232" s="777"/>
      <c r="AC232" s="777"/>
      <c r="AD232" s="777"/>
      <c r="AE232" s="777"/>
      <c r="AF232" s="777"/>
      <c r="AG232" s="777"/>
      <c r="AH232" s="777"/>
      <c r="AI232" s="777"/>
      <c r="AJ232" s="777"/>
      <c r="AK232" s="777"/>
      <c r="AL232" s="777"/>
      <c r="AM232" s="777"/>
      <c r="AN232" s="777"/>
      <c r="AO232" s="777"/>
      <c r="AP232" s="777"/>
      <c r="AQ232" s="777"/>
      <c r="AR232" s="777"/>
      <c r="AS232" s="777"/>
      <c r="AT232" s="777"/>
      <c r="AU232" s="777"/>
      <c r="AV232" s="777"/>
      <c r="AW232" s="777"/>
      <c r="AX232" s="777"/>
      <c r="AY232" s="777"/>
      <c r="AZ232" s="777"/>
      <c r="BA232" s="777"/>
      <c r="BB232" s="777"/>
      <c r="BC232" s="777"/>
      <c r="BD232" s="777"/>
      <c r="BE232" s="777"/>
      <c r="BF232" s="777"/>
      <c r="BG232" s="777"/>
      <c r="BH232" s="777"/>
      <c r="BI232" s="777"/>
      <c r="BJ232" s="777"/>
      <c r="BK232" s="777"/>
      <c r="BL232" s="777"/>
      <c r="BM232" s="777"/>
      <c r="BN232" s="777"/>
      <c r="BO232" s="777"/>
      <c r="BP232" s="777"/>
      <c r="BQ232" s="777"/>
      <c r="BR232" s="777"/>
      <c r="BS232" s="777"/>
      <c r="BT232" s="777"/>
    </row>
    <row r="233" spans="1:72" x14ac:dyDescent="0.25">
      <c r="A233" s="754" t="s">
        <v>794</v>
      </c>
      <c r="AA233" s="300"/>
      <c r="AB233" s="300"/>
      <c r="AC233" s="300"/>
      <c r="AD233" s="300"/>
    </row>
    <row r="234" spans="1:72" x14ac:dyDescent="0.25">
      <c r="A234" s="754" t="s">
        <v>795</v>
      </c>
      <c r="AA234" s="300"/>
      <c r="AB234" s="300"/>
      <c r="AC234" s="300"/>
      <c r="AD234" s="300"/>
    </row>
    <row r="235" spans="1:72" x14ac:dyDescent="0.25">
      <c r="A235" s="754" t="s">
        <v>707</v>
      </c>
      <c r="B235" t="s">
        <v>708</v>
      </c>
      <c r="C235" t="s">
        <v>709</v>
      </c>
      <c r="E235" t="s">
        <v>710</v>
      </c>
      <c r="AA235" s="300"/>
      <c r="AB235" s="300"/>
      <c r="AC235" s="300"/>
      <c r="AD235" s="300"/>
    </row>
    <row r="236" spans="1:72" x14ac:dyDescent="0.25">
      <c r="AA236" s="300"/>
      <c r="AB236" s="300"/>
      <c r="AC236" s="300"/>
      <c r="AD236" s="300"/>
    </row>
    <row r="237" spans="1:72" x14ac:dyDescent="0.25">
      <c r="A237" s="754" t="s">
        <v>437</v>
      </c>
      <c r="AA237" s="300"/>
      <c r="AB237" s="300"/>
      <c r="AC237" s="300"/>
      <c r="AD237" s="300"/>
    </row>
    <row r="238" spans="1:72" x14ac:dyDescent="0.25">
      <c r="A238" s="754" t="s">
        <v>711</v>
      </c>
      <c r="AA238" s="300"/>
      <c r="AB238" s="300"/>
      <c r="AC238" s="300"/>
      <c r="AD238" s="300"/>
    </row>
    <row r="239" spans="1:72" x14ac:dyDescent="0.25">
      <c r="AA239" s="300"/>
      <c r="AB239" s="300"/>
      <c r="AC239" s="300"/>
      <c r="AD239" s="300"/>
    </row>
    <row r="240" spans="1:72" x14ac:dyDescent="0.25">
      <c r="AA240" s="300"/>
      <c r="AB240" s="300"/>
      <c r="AC240" s="300"/>
      <c r="AD240" s="300"/>
    </row>
    <row r="241" spans="1:70" x14ac:dyDescent="0.25">
      <c r="AA241" s="300"/>
      <c r="AB241" s="300"/>
      <c r="AC241" s="300"/>
      <c r="AD241" s="300"/>
    </row>
    <row r="242" spans="1:70" x14ac:dyDescent="0.25">
      <c r="B242" s="755" t="s">
        <v>443</v>
      </c>
      <c r="C242" s="755" t="s">
        <v>444</v>
      </c>
      <c r="D242" s="755" t="s">
        <v>445</v>
      </c>
      <c r="E242" s="755" t="s">
        <v>446</v>
      </c>
      <c r="F242" s="755" t="s">
        <v>447</v>
      </c>
      <c r="G242" s="755" t="s">
        <v>448</v>
      </c>
      <c r="H242" s="755" t="s">
        <v>449</v>
      </c>
      <c r="I242" s="755" t="s">
        <v>450</v>
      </c>
      <c r="J242" s="755" t="s">
        <v>451</v>
      </c>
      <c r="K242" s="755" t="s">
        <v>452</v>
      </c>
      <c r="L242" s="755" t="s">
        <v>453</v>
      </c>
      <c r="M242" s="755" t="s">
        <v>454</v>
      </c>
      <c r="N242" s="755" t="s">
        <v>455</v>
      </c>
      <c r="O242" s="755" t="s">
        <v>456</v>
      </c>
      <c r="P242" s="755" t="s">
        <v>457</v>
      </c>
      <c r="Q242" s="755" t="s">
        <v>458</v>
      </c>
      <c r="R242" s="755" t="s">
        <v>459</v>
      </c>
      <c r="S242" s="755" t="s">
        <v>460</v>
      </c>
      <c r="T242" s="755" t="s">
        <v>461</v>
      </c>
      <c r="U242" s="755" t="s">
        <v>462</v>
      </c>
      <c r="V242" s="755" t="s">
        <v>593</v>
      </c>
      <c r="W242" s="755" t="s">
        <v>594</v>
      </c>
      <c r="X242" s="755" t="s">
        <v>595</v>
      </c>
      <c r="Y242" s="755" t="s">
        <v>596</v>
      </c>
      <c r="Z242" s="755" t="s">
        <v>597</v>
      </c>
      <c r="AA242" s="300" t="s">
        <v>594</v>
      </c>
      <c r="AB242" s="300" t="s">
        <v>595</v>
      </c>
      <c r="AC242" s="300" t="s">
        <v>596</v>
      </c>
      <c r="AD242" s="300" t="s">
        <v>597</v>
      </c>
      <c r="AE242">
        <v>2031</v>
      </c>
      <c r="AF242">
        <v>2032</v>
      </c>
      <c r="AG242">
        <v>2033</v>
      </c>
      <c r="AH242">
        <v>2034</v>
      </c>
      <c r="AI242">
        <v>2035</v>
      </c>
      <c r="AJ242">
        <v>2036</v>
      </c>
      <c r="AK242">
        <v>2037</v>
      </c>
      <c r="AL242">
        <v>2038</v>
      </c>
      <c r="AM242">
        <v>2039</v>
      </c>
      <c r="AN242">
        <v>2040</v>
      </c>
      <c r="AO242">
        <v>2041</v>
      </c>
      <c r="AP242">
        <v>2042</v>
      </c>
      <c r="AQ242">
        <v>2043</v>
      </c>
      <c r="AR242">
        <v>2044</v>
      </c>
      <c r="AS242">
        <v>2045</v>
      </c>
      <c r="AT242">
        <v>2046</v>
      </c>
      <c r="AU242">
        <v>2047</v>
      </c>
      <c r="AV242">
        <v>2048</v>
      </c>
      <c r="AW242">
        <v>2049</v>
      </c>
      <c r="AX242">
        <v>2050</v>
      </c>
      <c r="AY242">
        <v>2051</v>
      </c>
      <c r="AZ242">
        <v>2052</v>
      </c>
      <c r="BA242">
        <v>2053</v>
      </c>
      <c r="BB242">
        <v>2054</v>
      </c>
      <c r="BC242">
        <v>2055</v>
      </c>
      <c r="BD242">
        <v>2056</v>
      </c>
      <c r="BE242">
        <v>2057</v>
      </c>
      <c r="BF242">
        <v>2058</v>
      </c>
      <c r="BG242">
        <v>2059</v>
      </c>
      <c r="BH242">
        <v>2060</v>
      </c>
      <c r="BI242">
        <v>2061</v>
      </c>
      <c r="BJ242">
        <v>2062</v>
      </c>
      <c r="BK242">
        <v>2063</v>
      </c>
      <c r="BL242">
        <v>2064</v>
      </c>
      <c r="BM242">
        <v>2065</v>
      </c>
      <c r="BN242">
        <v>2066</v>
      </c>
      <c r="BO242">
        <v>2067</v>
      </c>
      <c r="BP242">
        <v>2068</v>
      </c>
      <c r="BQ242">
        <v>2069</v>
      </c>
      <c r="BR242">
        <v>2070</v>
      </c>
    </row>
    <row r="243" spans="1:70" x14ac:dyDescent="0.25">
      <c r="AA243" s="300"/>
      <c r="AB243" s="300"/>
      <c r="AC243" s="300"/>
      <c r="AD243" s="300"/>
    </row>
    <row r="244" spans="1:70" x14ac:dyDescent="0.25">
      <c r="AA244" s="300"/>
      <c r="AB244" s="300"/>
      <c r="AC244" s="300"/>
      <c r="AD244" s="300"/>
    </row>
    <row r="245" spans="1:70" x14ac:dyDescent="0.25">
      <c r="A245" s="754" t="s">
        <v>463</v>
      </c>
      <c r="AA245" s="300"/>
      <c r="AB245" s="300"/>
      <c r="AC245" s="300"/>
      <c r="AD245" s="300"/>
    </row>
    <row r="246" spans="1:70" x14ac:dyDescent="0.25">
      <c r="A246" s="754" t="s">
        <v>598</v>
      </c>
      <c r="B246" s="756">
        <v>23.882804870605501</v>
      </c>
      <c r="C246" s="756">
        <v>24.973464965820298</v>
      </c>
      <c r="D246" s="756">
        <v>28.470840454101602</v>
      </c>
      <c r="E246" s="756">
        <v>21.505495071411101</v>
      </c>
      <c r="F246" s="756">
        <v>20.697200775146499</v>
      </c>
      <c r="G246" s="756">
        <v>23.0020751953125</v>
      </c>
      <c r="H246" s="756">
        <v>24.980747222900401</v>
      </c>
      <c r="I246" s="756">
        <v>26.7403888702393</v>
      </c>
      <c r="J246" s="756">
        <v>28.254840850830099</v>
      </c>
      <c r="K246" s="756">
        <v>29.8807067871094</v>
      </c>
      <c r="L246" s="756">
        <v>30.930690765380898</v>
      </c>
      <c r="M246" s="756">
        <v>31.804765701293899</v>
      </c>
      <c r="N246" s="756">
        <v>32.682899475097699</v>
      </c>
      <c r="O246" s="756">
        <v>33.084945678710902</v>
      </c>
      <c r="P246" s="756">
        <v>33.339298248291001</v>
      </c>
      <c r="Q246" s="756">
        <v>33.569530487060497</v>
      </c>
      <c r="R246" s="756">
        <v>33.692008972167997</v>
      </c>
      <c r="S246" s="756">
        <v>34.029460906982401</v>
      </c>
      <c r="T246" s="756">
        <v>34.165733337402301</v>
      </c>
      <c r="U246" s="756">
        <v>33.722698211669901</v>
      </c>
      <c r="V246" s="756">
        <v>33.999015808105497</v>
      </c>
      <c r="W246" s="756">
        <v>34.276668548583999</v>
      </c>
      <c r="X246" s="756">
        <v>34.616855621337898</v>
      </c>
      <c r="Y246" s="756">
        <v>34.804977416992202</v>
      </c>
      <c r="Z246" s="756">
        <v>35.163482666015597</v>
      </c>
      <c r="AA246" s="300">
        <v>23.653226852416999</v>
      </c>
      <c r="AB246" s="300">
        <v>23.781959533691399</v>
      </c>
      <c r="AC246" s="300">
        <v>23.869001388549801</v>
      </c>
      <c r="AD246" s="300">
        <v>23.909082412719702</v>
      </c>
    </row>
    <row r="247" spans="1:70" x14ac:dyDescent="0.25">
      <c r="A247" s="754" t="s">
        <v>599</v>
      </c>
      <c r="B247" s="756">
        <v>18.4642543792725</v>
      </c>
      <c r="C247" s="756">
        <v>19.664405822753899</v>
      </c>
      <c r="D247" s="756">
        <v>23.940315246581999</v>
      </c>
      <c r="E247" s="756">
        <v>15.6857194900513</v>
      </c>
      <c r="F247" s="756">
        <v>13.3512983322144</v>
      </c>
      <c r="G247" s="756">
        <v>15.708171844482401</v>
      </c>
      <c r="H247" s="756">
        <v>17.491518020629901</v>
      </c>
      <c r="I247" s="756">
        <v>18.8044624328613</v>
      </c>
      <c r="J247" s="756">
        <v>20.071212768554702</v>
      </c>
      <c r="K247" s="756">
        <v>21.571735382080099</v>
      </c>
      <c r="L247" s="756">
        <v>22.444984436035199</v>
      </c>
      <c r="M247" s="756">
        <v>23.2645053863525</v>
      </c>
      <c r="N247" s="756">
        <v>23.975505828857401</v>
      </c>
      <c r="O247" s="756">
        <v>24.350082397460898</v>
      </c>
      <c r="P247" s="756">
        <v>24.6401481628418</v>
      </c>
      <c r="Q247" s="756">
        <v>24.7862453460693</v>
      </c>
      <c r="R247" s="756">
        <v>24.899822235107401</v>
      </c>
      <c r="S247" s="756">
        <v>25.1952934265137</v>
      </c>
      <c r="T247" s="756">
        <v>25.492937088012699</v>
      </c>
      <c r="U247" s="756">
        <v>25.134300231933601</v>
      </c>
      <c r="V247" s="756">
        <v>25.433099746704102</v>
      </c>
      <c r="W247" s="756">
        <v>25.7546691894531</v>
      </c>
      <c r="X247" s="756">
        <v>26.098386764526399</v>
      </c>
      <c r="Y247" s="756">
        <v>26.3820476531982</v>
      </c>
      <c r="Z247" s="756">
        <v>26.7700805664063</v>
      </c>
      <c r="AA247" s="300">
        <v>13.801754951477101</v>
      </c>
      <c r="AB247" s="300">
        <v>13.897899627685501</v>
      </c>
      <c r="AC247" s="300">
        <v>14.058331489563001</v>
      </c>
      <c r="AD247" s="300">
        <v>14.125551223754901</v>
      </c>
    </row>
    <row r="248" spans="1:70" x14ac:dyDescent="0.25">
      <c r="A248" s="754" t="s">
        <v>500</v>
      </c>
      <c r="B248" s="756">
        <v>13.7000589370728</v>
      </c>
      <c r="C248" s="756">
        <v>12.691158294677701</v>
      </c>
      <c r="D248" s="756">
        <v>12.9778490066528</v>
      </c>
      <c r="E248" s="756">
        <v>10.717614173889199</v>
      </c>
      <c r="F248" s="756">
        <v>11.192774772644</v>
      </c>
      <c r="G248" s="756">
        <v>11.487280845642101</v>
      </c>
      <c r="H248" s="756">
        <v>11.3991556167603</v>
      </c>
      <c r="I248" s="756">
        <v>11.307798385620099</v>
      </c>
      <c r="J248" s="756">
        <v>11.2896461486816</v>
      </c>
      <c r="K248" s="756">
        <v>11.345415115356399</v>
      </c>
      <c r="L248" s="756">
        <v>11.538298606872599</v>
      </c>
      <c r="M248" s="756">
        <v>11.7583208084106</v>
      </c>
      <c r="N248" s="756">
        <v>11.975100517272899</v>
      </c>
      <c r="O248" s="756">
        <v>12.23952293396</v>
      </c>
      <c r="P248" s="756">
        <v>12.557071685791</v>
      </c>
      <c r="Q248" s="756">
        <v>12.7957820892334</v>
      </c>
      <c r="R248" s="756">
        <v>12.871651649475099</v>
      </c>
      <c r="S248" s="756">
        <v>12.660281181335399</v>
      </c>
      <c r="T248" s="756">
        <v>12.6240320205688</v>
      </c>
      <c r="U248" s="756">
        <v>12.5992183685303</v>
      </c>
      <c r="V248" s="756">
        <v>12.7868556976318</v>
      </c>
      <c r="W248" s="756">
        <v>13.07555103302</v>
      </c>
      <c r="X248" s="756">
        <v>13.407883644104</v>
      </c>
      <c r="Y248" s="756">
        <v>13.6725673675537</v>
      </c>
      <c r="Z248" s="756">
        <v>13.962038993835399</v>
      </c>
      <c r="AA248" s="300">
        <v>11.116808891296399</v>
      </c>
      <c r="AB248" s="300">
        <v>11.2574377059937</v>
      </c>
      <c r="AC248" s="300">
        <v>11.3709173202515</v>
      </c>
      <c r="AD248" s="300">
        <v>11.426144599914601</v>
      </c>
    </row>
    <row r="249" spans="1:70" x14ac:dyDescent="0.25">
      <c r="A249" s="754" t="s">
        <v>469</v>
      </c>
      <c r="B249" s="756">
        <v>31.206779479980501</v>
      </c>
      <c r="C249" s="756">
        <v>31.181957244873001</v>
      </c>
      <c r="D249" s="756">
        <v>31.772819519043001</v>
      </c>
      <c r="E249" s="756">
        <v>30.736837387085</v>
      </c>
      <c r="F249" s="756">
        <v>28.616357803344702</v>
      </c>
      <c r="G249" s="756">
        <v>29.873619079589801</v>
      </c>
      <c r="H249" s="756">
        <v>30.101655960083001</v>
      </c>
      <c r="I249" s="756">
        <v>30.425390243530298</v>
      </c>
      <c r="J249" s="756">
        <v>30.7938537597656</v>
      </c>
      <c r="K249" s="756">
        <v>30.883028030395501</v>
      </c>
      <c r="L249" s="756">
        <v>31.149145126342798</v>
      </c>
      <c r="M249" s="756">
        <v>31.4898681640625</v>
      </c>
      <c r="N249" s="756">
        <v>31.815629959106399</v>
      </c>
      <c r="O249" s="756">
        <v>32.020698547363303</v>
      </c>
      <c r="P249" s="756">
        <v>32.4303588867188</v>
      </c>
      <c r="Q249" s="756">
        <v>32.7907905578613</v>
      </c>
      <c r="R249" s="756">
        <v>32.994007110595703</v>
      </c>
      <c r="S249" s="756">
        <v>32.923465728759801</v>
      </c>
      <c r="T249" s="756">
        <v>32.920154571533203</v>
      </c>
      <c r="U249" s="756">
        <v>32.902271270752003</v>
      </c>
      <c r="V249" s="756">
        <v>32.958240509033203</v>
      </c>
      <c r="W249" s="756">
        <v>33.321102142333999</v>
      </c>
      <c r="X249" s="756">
        <v>33.734363555908203</v>
      </c>
      <c r="Y249" s="756">
        <v>34.149539947509801</v>
      </c>
      <c r="Z249" s="756">
        <v>34.490489959716797</v>
      </c>
      <c r="AA249" s="300">
        <v>26.5695495605469</v>
      </c>
      <c r="AB249" s="300">
        <v>26.6057014465332</v>
      </c>
      <c r="AC249" s="300">
        <v>26.7373046875</v>
      </c>
      <c r="AD249" s="300">
        <v>26.757972717285199</v>
      </c>
    </row>
    <row r="250" spans="1:70" x14ac:dyDescent="0.25">
      <c r="AA250" s="300"/>
      <c r="AB250" s="300"/>
      <c r="AC250" s="300"/>
      <c r="AD250" s="300"/>
    </row>
    <row r="251" spans="1:70" x14ac:dyDescent="0.25">
      <c r="A251" s="754" t="s">
        <v>470</v>
      </c>
      <c r="AA251" s="300">
        <v>12.0537929534912</v>
      </c>
      <c r="AB251" s="300">
        <v>12.2529897689819</v>
      </c>
      <c r="AC251" s="300">
        <v>12.3258762359619</v>
      </c>
      <c r="AD251" s="300">
        <v>12.452996253967299</v>
      </c>
    </row>
    <row r="252" spans="1:70" ht="13.8" thickBot="1" x14ac:dyDescent="0.3">
      <c r="A252" s="754" t="s">
        <v>598</v>
      </c>
      <c r="B252" s="756">
        <v>21.1974983215332</v>
      </c>
      <c r="C252" s="756">
        <v>23.041419982910199</v>
      </c>
      <c r="D252" s="756">
        <v>23.540430068969702</v>
      </c>
      <c r="E252" s="756">
        <v>20.975297927856399</v>
      </c>
      <c r="F252" s="756">
        <v>17.540355682373001</v>
      </c>
      <c r="G252" s="756">
        <v>19.827720642089801</v>
      </c>
      <c r="H252" s="756">
        <v>21.7962131500244</v>
      </c>
      <c r="I252" s="756">
        <v>23.5440998077393</v>
      </c>
      <c r="J252" s="756">
        <v>25.047388076782202</v>
      </c>
      <c r="K252" s="756">
        <v>26.6623840332031</v>
      </c>
      <c r="L252" s="756">
        <v>27.701774597168001</v>
      </c>
      <c r="M252" s="756">
        <v>28.565574645996101</v>
      </c>
      <c r="N252" s="756">
        <v>29.4346523284912</v>
      </c>
      <c r="O252" s="756">
        <v>29.8274021148682</v>
      </c>
      <c r="P252" s="756">
        <v>30.0731811523438</v>
      </c>
      <c r="Q252" s="756">
        <v>30.2960014343262</v>
      </c>
      <c r="R252" s="756">
        <v>30.4115695953369</v>
      </c>
      <c r="S252" s="756">
        <v>30.7421360015869</v>
      </c>
      <c r="T252" s="756">
        <v>30.871879577636701</v>
      </c>
      <c r="U252" s="756">
        <v>30.422807693481399</v>
      </c>
      <c r="V252" s="756">
        <v>30.6932373046875</v>
      </c>
      <c r="W252" s="756">
        <v>30.965314865112301</v>
      </c>
      <c r="X252" s="756">
        <v>31.299940109252901</v>
      </c>
      <c r="Y252" s="756">
        <v>31.482862472534201</v>
      </c>
      <c r="Z252" s="756">
        <v>31.836189270019499</v>
      </c>
      <c r="AA252" s="300">
        <v>7.3951959609985396</v>
      </c>
      <c r="AB252" s="300">
        <v>7.4624595642089799</v>
      </c>
      <c r="AC252" s="300">
        <v>7.2386937141418501</v>
      </c>
      <c r="AD252" s="300">
        <v>7.3113985061645499</v>
      </c>
    </row>
    <row r="253" spans="1:70" ht="13.8" thickBot="1" x14ac:dyDescent="0.3">
      <c r="A253" s="754" t="s">
        <v>599</v>
      </c>
      <c r="B253" s="756">
        <v>15.019946098327599</v>
      </c>
      <c r="C253" s="756">
        <v>16.054100036621101</v>
      </c>
      <c r="D253" s="756">
        <v>20.9568576812744</v>
      </c>
      <c r="E253" s="756">
        <v>13.740292549133301</v>
      </c>
      <c r="F253" s="756">
        <v>10.759732246398899</v>
      </c>
      <c r="G253" s="756">
        <v>13.277551651001</v>
      </c>
      <c r="H253" s="756">
        <v>15.102119445800801</v>
      </c>
      <c r="I253" s="756">
        <v>16.819028854370099</v>
      </c>
      <c r="J253" s="756">
        <v>18.163129806518601</v>
      </c>
      <c r="K253" s="756">
        <v>19.404659271240199</v>
      </c>
      <c r="L253" s="756">
        <v>20.2805690765381</v>
      </c>
      <c r="M253" s="756">
        <v>21.141357421875</v>
      </c>
      <c r="N253" s="756">
        <v>21.870569229126001</v>
      </c>
      <c r="O253" s="756">
        <v>22.288406372070298</v>
      </c>
      <c r="P253" s="756">
        <v>22.606428146362301</v>
      </c>
      <c r="Q253" s="756">
        <v>22.643785476684599</v>
      </c>
      <c r="R253" s="756">
        <v>22.862098693847699</v>
      </c>
      <c r="S253" s="756">
        <v>23.111530303955099</v>
      </c>
      <c r="T253" s="756">
        <v>23.2818489074707</v>
      </c>
      <c r="U253" s="756">
        <v>23.1139316558838</v>
      </c>
      <c r="V253" s="756">
        <v>23.4434604644775</v>
      </c>
      <c r="W253" s="756">
        <v>23.529294967651399</v>
      </c>
      <c r="X253" s="756">
        <v>23.9437866210938</v>
      </c>
      <c r="Y253" s="756">
        <v>24.471529006958001</v>
      </c>
      <c r="Z253" s="756">
        <v>24.6476936340332</v>
      </c>
      <c r="AA253" s="300">
        <v>9.0512752532959002</v>
      </c>
      <c r="AB253" s="300">
        <v>9.1702537536621094</v>
      </c>
      <c r="AC253" s="300">
        <v>9.2454566955566406</v>
      </c>
      <c r="AD253" s="300">
        <v>9.3029346466064506</v>
      </c>
      <c r="AE253" s="277">
        <f>AD253+($AI$253-$AD$253)/5</f>
        <v>9.3577216364198588</v>
      </c>
      <c r="AF253" s="277">
        <f>AE253+($AI$253-$AD$253)/5</f>
        <v>9.4125086262332669</v>
      </c>
      <c r="AG253" s="277">
        <f>AF253+($AI$253-$AD$253)/5</f>
        <v>9.467295616046675</v>
      </c>
      <c r="AH253" s="277">
        <f>AG253+($AI$253-$AD$253)/5</f>
        <v>9.5220826058600831</v>
      </c>
      <c r="AI253" s="278">
        <f>T423*$E$742</f>
        <v>9.5768695956734877</v>
      </c>
      <c r="AJ253" s="277">
        <f>AI253+($AX$253-$AI$253)/15</f>
        <v>9.6852727225982509</v>
      </c>
      <c r="AK253" s="277">
        <f t="shared" ref="AK253:AW253" si="3">AJ253+($AX$253-$AI$253)/15</f>
        <v>9.7936758495230141</v>
      </c>
      <c r="AL253" s="277">
        <f t="shared" si="3"/>
        <v>9.9020789764477772</v>
      </c>
      <c r="AM253" s="277">
        <f t="shared" si="3"/>
        <v>10.01048210337254</v>
      </c>
      <c r="AN253" s="277">
        <f t="shared" si="3"/>
        <v>10.118885230297304</v>
      </c>
      <c r="AO253" s="277">
        <f t="shared" si="3"/>
        <v>10.227288357222067</v>
      </c>
      <c r="AP253" s="277">
        <f t="shared" si="3"/>
        <v>10.33569148414683</v>
      </c>
      <c r="AQ253" s="277">
        <f t="shared" si="3"/>
        <v>10.444094611071593</v>
      </c>
      <c r="AR253" s="277">
        <f t="shared" si="3"/>
        <v>10.552497737996356</v>
      </c>
      <c r="AS253" s="277">
        <f t="shared" si="3"/>
        <v>10.660900864921119</v>
      </c>
      <c r="AT253" s="277">
        <f t="shared" si="3"/>
        <v>10.769303991845883</v>
      </c>
      <c r="AU253" s="277">
        <f t="shared" si="3"/>
        <v>10.877707118770646</v>
      </c>
      <c r="AV253" s="277">
        <f t="shared" si="3"/>
        <v>10.986110245695409</v>
      </c>
      <c r="AW253" s="277">
        <f t="shared" si="3"/>
        <v>11.094513372620172</v>
      </c>
      <c r="AX253" s="278">
        <f>AI253*$B$742</f>
        <v>11.202916499544939</v>
      </c>
      <c r="AY253" s="277">
        <f>AX253+($BM$253-$AX$253)/15</f>
        <v>11.313845014700993</v>
      </c>
      <c r="AZ253" s="277">
        <f t="shared" ref="AZ253:BL253" si="4">AY253+($BM$253-$AX$253)/15</f>
        <v>11.424773529857047</v>
      </c>
      <c r="BA253" s="277">
        <f t="shared" si="4"/>
        <v>11.535702045013101</v>
      </c>
      <c r="BB253" s="277">
        <f t="shared" si="4"/>
        <v>11.646630560169156</v>
      </c>
      <c r="BC253" s="277">
        <f t="shared" si="4"/>
        <v>11.75755907532521</v>
      </c>
      <c r="BD253" s="277">
        <f t="shared" si="4"/>
        <v>11.868487590481264</v>
      </c>
      <c r="BE253" s="277">
        <f t="shared" si="4"/>
        <v>11.979416105637318</v>
      </c>
      <c r="BF253" s="277">
        <f t="shared" si="4"/>
        <v>12.090344620793372</v>
      </c>
      <c r="BG253" s="277">
        <f t="shared" si="4"/>
        <v>12.201273135949426</v>
      </c>
      <c r="BH253" s="277">
        <f t="shared" si="4"/>
        <v>12.312201651105481</v>
      </c>
      <c r="BI253" s="277">
        <f t="shared" si="4"/>
        <v>12.423130166261535</v>
      </c>
      <c r="BJ253" s="277">
        <f t="shared" si="4"/>
        <v>12.534058681417589</v>
      </c>
      <c r="BK253" s="277">
        <f t="shared" si="4"/>
        <v>12.644987196573643</v>
      </c>
      <c r="BL253" s="277">
        <f t="shared" si="4"/>
        <v>12.755915711729697</v>
      </c>
      <c r="BM253" s="278">
        <f>AX253*$C$742</f>
        <v>12.866844226885757</v>
      </c>
      <c r="BN253" s="277">
        <f>BM253+($BR$253-$BM$253)/5</f>
        <v>12.994248543867917</v>
      </c>
      <c r="BO253" s="277">
        <f>BN253+($BR$253-$BM$253)/5</f>
        <v>13.121652860850077</v>
      </c>
      <c r="BP253" s="277">
        <f>BO253+($BR$253-$BM$253)/5</f>
        <v>13.249057177832237</v>
      </c>
      <c r="BQ253" s="277">
        <f>BP253+($BR$253-$BM$253)/5</f>
        <v>13.376461494814397</v>
      </c>
      <c r="BR253" s="278">
        <f>BM253*$D$742</f>
        <v>13.503865811796555</v>
      </c>
    </row>
    <row r="254" spans="1:70" ht="13.8" thickBot="1" x14ac:dyDescent="0.3">
      <c r="A254" s="754" t="s">
        <v>712</v>
      </c>
      <c r="B254" s="756">
        <v>8.8815975189209002</v>
      </c>
      <c r="C254" s="756">
        <v>10.3074436187744</v>
      </c>
      <c r="D254" s="756">
        <v>13.411918640136699</v>
      </c>
      <c r="E254" s="756">
        <v>6.6991925239562997</v>
      </c>
      <c r="F254" s="756">
        <v>5.8016228675842303</v>
      </c>
      <c r="G254" s="756">
        <v>8.5975322723388707</v>
      </c>
      <c r="H254" s="756">
        <v>10.1285858154297</v>
      </c>
      <c r="I254" s="756">
        <v>11.654000282287599</v>
      </c>
      <c r="J254" s="756">
        <v>12.9474182128906</v>
      </c>
      <c r="K254" s="756">
        <v>14.400235176086399</v>
      </c>
      <c r="L254" s="756">
        <v>15.2041673660278</v>
      </c>
      <c r="M254" s="756">
        <v>15.658245086669901</v>
      </c>
      <c r="N254" s="756">
        <v>16.352220535278299</v>
      </c>
      <c r="O254" s="756">
        <v>16.605510711669901</v>
      </c>
      <c r="P254" s="756">
        <v>16.856744766235401</v>
      </c>
      <c r="Q254" s="756">
        <v>17.043632507324201</v>
      </c>
      <c r="R254" s="756">
        <v>17.1953125</v>
      </c>
      <c r="S254" s="756">
        <v>17.403110504150401</v>
      </c>
      <c r="T254" s="756">
        <v>17.4520969390869</v>
      </c>
      <c r="U254" s="756">
        <v>17.016120910644499</v>
      </c>
      <c r="V254" s="756">
        <v>17.163618087768601</v>
      </c>
      <c r="W254" s="756">
        <v>17.311967849731399</v>
      </c>
      <c r="X254" s="756">
        <v>17.516565322876001</v>
      </c>
      <c r="Y254" s="756">
        <v>17.704761505126999</v>
      </c>
      <c r="Z254" s="756">
        <v>17.873653411865199</v>
      </c>
      <c r="AA254" s="300">
        <v>24.1571254730225</v>
      </c>
      <c r="AB254" s="300">
        <v>24.207300186157202</v>
      </c>
      <c r="AC254" s="300">
        <v>24.2876873016357</v>
      </c>
      <c r="AD254" s="300">
        <v>24.267208099365199</v>
      </c>
      <c r="AE254" s="279">
        <f>AD254+($AI$254-$AD$254)/5</f>
        <v>24.075703794494256</v>
      </c>
      <c r="AF254" s="279">
        <f>AE254+($AI$254-$AD$254)/5</f>
        <v>23.884199489623313</v>
      </c>
      <c r="AG254" s="279">
        <f>AF254+($AI$254-$AD$254)/5</f>
        <v>23.69269518475237</v>
      </c>
      <c r="AH254" s="279">
        <f>AG254+($AI$254-$AD$254)/5</f>
        <v>23.501190879881428</v>
      </c>
      <c r="AI254" s="280">
        <f>T424*$E$745</f>
        <v>23.309686575010492</v>
      </c>
      <c r="AJ254" s="279">
        <f>AI254+($AX$254-$AI$254)/15</f>
        <v>23.300523054015734</v>
      </c>
      <c r="AK254" s="279">
        <f t="shared" ref="AK254:AW254" si="5">AJ254+($AX$254-$AI$254)/15</f>
        <v>23.291359533020977</v>
      </c>
      <c r="AL254" s="279">
        <f t="shared" si="5"/>
        <v>23.282196012026219</v>
      </c>
      <c r="AM254" s="279">
        <f t="shared" si="5"/>
        <v>23.273032491031461</v>
      </c>
      <c r="AN254" s="279">
        <f t="shared" si="5"/>
        <v>23.263868970036704</v>
      </c>
      <c r="AO254" s="279">
        <f t="shared" si="5"/>
        <v>23.254705449041946</v>
      </c>
      <c r="AP254" s="279">
        <f t="shared" si="5"/>
        <v>23.245541928047189</v>
      </c>
      <c r="AQ254" s="279">
        <f t="shared" si="5"/>
        <v>23.236378407052431</v>
      </c>
      <c r="AR254" s="279">
        <f t="shared" si="5"/>
        <v>23.227214886057673</v>
      </c>
      <c r="AS254" s="279">
        <f t="shared" si="5"/>
        <v>23.218051365062916</v>
      </c>
      <c r="AT254" s="279">
        <f t="shared" si="5"/>
        <v>23.208887844068158</v>
      </c>
      <c r="AU254" s="279">
        <f t="shared" si="5"/>
        <v>23.199724323073401</v>
      </c>
      <c r="AV254" s="279">
        <f t="shared" si="5"/>
        <v>23.190560802078643</v>
      </c>
      <c r="AW254" s="279">
        <f t="shared" si="5"/>
        <v>23.181397281083886</v>
      </c>
      <c r="AX254" s="280">
        <f>AI254*$B$745</f>
        <v>23.172233760089139</v>
      </c>
      <c r="AY254" s="279">
        <f>AX254+($BM$254-$AX$254)/15</f>
        <v>23.186953863011141</v>
      </c>
      <c r="AZ254" s="279">
        <f t="shared" ref="AZ254:BL254" si="6">AY254+($BM$254-$AX$254)/15</f>
        <v>23.201673965933143</v>
      </c>
      <c r="BA254" s="279">
        <f t="shared" si="6"/>
        <v>23.216394068855145</v>
      </c>
      <c r="BB254" s="279">
        <f t="shared" si="6"/>
        <v>23.231114171777147</v>
      </c>
      <c r="BC254" s="279">
        <f t="shared" si="6"/>
        <v>23.245834274699149</v>
      </c>
      <c r="BD254" s="279">
        <f t="shared" si="6"/>
        <v>23.260554377621151</v>
      </c>
      <c r="BE254" s="279">
        <f t="shared" si="6"/>
        <v>23.275274480543153</v>
      </c>
      <c r="BF254" s="279">
        <f t="shared" si="6"/>
        <v>23.289994583465155</v>
      </c>
      <c r="BG254" s="279">
        <f t="shared" si="6"/>
        <v>23.304714686387157</v>
      </c>
      <c r="BH254" s="279">
        <f t="shared" si="6"/>
        <v>23.31943478930916</v>
      </c>
      <c r="BI254" s="279">
        <f t="shared" si="6"/>
        <v>23.334154892231162</v>
      </c>
      <c r="BJ254" s="279">
        <f t="shared" si="6"/>
        <v>23.348874995153164</v>
      </c>
      <c r="BK254" s="279">
        <f t="shared" si="6"/>
        <v>23.363595098075166</v>
      </c>
      <c r="BL254" s="279">
        <f t="shared" si="6"/>
        <v>23.378315200997168</v>
      </c>
      <c r="BM254" s="280">
        <f>AX254*$C$745</f>
        <v>23.393035303919145</v>
      </c>
      <c r="BN254" s="279">
        <f>BM254+($BR$254-$BM$254)/5</f>
        <v>23.407895670463727</v>
      </c>
      <c r="BO254" s="279">
        <f>BN254+($BR$254-$BM$254)/5</f>
        <v>23.422756037008309</v>
      </c>
      <c r="BP254" s="279">
        <f>BO254+($BR$254-$BM$254)/5</f>
        <v>23.437616403552891</v>
      </c>
      <c r="BQ254" s="279">
        <f>BP254+($BR$254-$BM$254)/5</f>
        <v>23.452476770097473</v>
      </c>
      <c r="BR254" s="280">
        <f>BM254*$D$745</f>
        <v>23.467337136642058</v>
      </c>
    </row>
    <row r="255" spans="1:70" x14ac:dyDescent="0.25">
      <c r="A255" s="754" t="s">
        <v>500</v>
      </c>
      <c r="B255" s="756">
        <v>11.896094322204601</v>
      </c>
      <c r="C255" s="756">
        <v>10.9898433685303</v>
      </c>
      <c r="D255" s="756">
        <v>11.3387994766235</v>
      </c>
      <c r="E255" s="756">
        <v>8.9075946807861293</v>
      </c>
      <c r="F255" s="756">
        <v>9.4656057357788104</v>
      </c>
      <c r="G255" s="756">
        <v>9.7463216781616193</v>
      </c>
      <c r="H255" s="756">
        <v>9.7210922241210902</v>
      </c>
      <c r="I255" s="756">
        <v>9.6719341278076207</v>
      </c>
      <c r="J255" s="756">
        <v>9.7138872146606392</v>
      </c>
      <c r="K255" s="756">
        <v>9.8306560516357404</v>
      </c>
      <c r="L255" s="756">
        <v>10.038209915161101</v>
      </c>
      <c r="M255" s="756">
        <v>10.2545003890991</v>
      </c>
      <c r="N255" s="756">
        <v>10.476261138916</v>
      </c>
      <c r="O255" s="756">
        <v>10.746561050415</v>
      </c>
      <c r="P255" s="756">
        <v>11.0803880691528</v>
      </c>
      <c r="Q255" s="756">
        <v>11.314369201660201</v>
      </c>
      <c r="R255" s="756">
        <v>11.4017143249512</v>
      </c>
      <c r="S255" s="756">
        <v>11.212500572204601</v>
      </c>
      <c r="T255" s="756">
        <v>11.1975994110107</v>
      </c>
      <c r="U255" s="756">
        <v>11.159740447998001</v>
      </c>
      <c r="V255" s="756">
        <v>11.3503875732422</v>
      </c>
      <c r="W255" s="756">
        <v>11.640952110290501</v>
      </c>
      <c r="X255" s="756">
        <v>11.9785671234131</v>
      </c>
      <c r="Y255" s="756">
        <v>12.2332496643066</v>
      </c>
      <c r="Z255" s="756">
        <v>12.5188312530518</v>
      </c>
      <c r="AA255" s="300"/>
      <c r="AB255" s="300"/>
      <c r="AC255" s="300"/>
      <c r="AD255" s="300"/>
    </row>
    <row r="256" spans="1:70" x14ac:dyDescent="0.25">
      <c r="A256" s="754" t="s">
        <v>469</v>
      </c>
      <c r="B256" s="756">
        <v>28.3762531280518</v>
      </c>
      <c r="C256" s="756">
        <v>28.029735565185501</v>
      </c>
      <c r="D256" s="756">
        <v>29.057315826416001</v>
      </c>
      <c r="E256" s="756">
        <v>27.6067714691162</v>
      </c>
      <c r="F256" s="756">
        <v>24.835584640502901</v>
      </c>
      <c r="G256" s="756">
        <v>25.581251144409201</v>
      </c>
      <c r="H256" s="756">
        <v>25.4402256011963</v>
      </c>
      <c r="I256" s="756">
        <v>25.470129013061499</v>
      </c>
      <c r="J256" s="756">
        <v>25.672283172607401</v>
      </c>
      <c r="K256" s="756">
        <v>25.763282775878899</v>
      </c>
      <c r="L256" s="756">
        <v>26.100669860839801</v>
      </c>
      <c r="M256" s="756">
        <v>26.468044281005898</v>
      </c>
      <c r="N256" s="756">
        <v>26.885612487793001</v>
      </c>
      <c r="O256" s="756">
        <v>27.169450759887699</v>
      </c>
      <c r="P256" s="756">
        <v>27.620109558105501</v>
      </c>
      <c r="Q256" s="756">
        <v>28.002447128295898</v>
      </c>
      <c r="R256" s="756">
        <v>28.245407104492202</v>
      </c>
      <c r="S256" s="756">
        <v>28.186374664306602</v>
      </c>
      <c r="T256" s="756">
        <v>28.203248977661101</v>
      </c>
      <c r="U256" s="756">
        <v>28.139711380004901</v>
      </c>
      <c r="V256" s="756">
        <v>28.178466796875</v>
      </c>
      <c r="W256" s="756">
        <v>28.495182037353501</v>
      </c>
      <c r="X256" s="756">
        <v>28.915565490722699</v>
      </c>
      <c r="Y256" s="756">
        <v>29.289411544799801</v>
      </c>
      <c r="Z256" s="756">
        <v>29.651695251464801</v>
      </c>
      <c r="AA256" s="300">
        <v>16.318952560424801</v>
      </c>
      <c r="AB256" s="300">
        <v>16.4172878265381</v>
      </c>
      <c r="AC256" s="300">
        <v>16.5084934234619</v>
      </c>
      <c r="AD256" s="300">
        <v>16.549221038818398</v>
      </c>
    </row>
    <row r="257" spans="1:70" x14ac:dyDescent="0.25">
      <c r="AA257" s="300">
        <v>12.788073539733899</v>
      </c>
      <c r="AB257" s="300">
        <v>13.069622039794901</v>
      </c>
      <c r="AC257" s="300">
        <v>13.0597486495972</v>
      </c>
      <c r="AD257" s="300">
        <v>13.2463188171387</v>
      </c>
    </row>
    <row r="258" spans="1:70" ht="13.8" thickBot="1" x14ac:dyDescent="0.3">
      <c r="A258" s="754" t="s">
        <v>601</v>
      </c>
      <c r="AA258" s="300">
        <v>9.5039434432983398</v>
      </c>
      <c r="AB258" s="300">
        <v>9.4975557327270508</v>
      </c>
      <c r="AC258" s="300">
        <v>9.6068582534790004</v>
      </c>
      <c r="AD258" s="300">
        <v>9.5831336975097692</v>
      </c>
    </row>
    <row r="259" spans="1:70" ht="13.8" thickBot="1" x14ac:dyDescent="0.3">
      <c r="A259" s="754" t="s">
        <v>598</v>
      </c>
      <c r="B259" s="756">
        <v>21.041078567504901</v>
      </c>
      <c r="C259" s="756">
        <v>23.3795166015625</v>
      </c>
      <c r="D259" s="756">
        <v>26.646581649780298</v>
      </c>
      <c r="E259" s="756">
        <v>22.2440700531006</v>
      </c>
      <c r="F259" s="756">
        <v>16.6379299163818</v>
      </c>
      <c r="G259" s="756">
        <v>18.920274734497099</v>
      </c>
      <c r="H259" s="756">
        <v>20.8892612457275</v>
      </c>
      <c r="I259" s="756">
        <v>22.636520385742202</v>
      </c>
      <c r="J259" s="756">
        <v>24.1346244812012</v>
      </c>
      <c r="K259" s="756">
        <v>25.742292404174801</v>
      </c>
      <c r="L259" s="756">
        <v>26.783767700195298</v>
      </c>
      <c r="M259" s="756">
        <v>27.652248382568398</v>
      </c>
      <c r="N259" s="756">
        <v>28.520401000976602</v>
      </c>
      <c r="O259" s="756">
        <v>28.932659149169901</v>
      </c>
      <c r="P259" s="756">
        <v>29.169765472412099</v>
      </c>
      <c r="Q259" s="756">
        <v>29.4143581390381</v>
      </c>
      <c r="R259" s="756">
        <v>29.524629592895501</v>
      </c>
      <c r="S259" s="756">
        <v>29.853767395019499</v>
      </c>
      <c r="T259" s="756">
        <v>29.959171295166001</v>
      </c>
      <c r="U259" s="756">
        <v>29.528638839721701</v>
      </c>
      <c r="V259" s="756">
        <v>29.7813510894775</v>
      </c>
      <c r="W259" s="756">
        <v>30.054143905639599</v>
      </c>
      <c r="X259" s="756">
        <v>30.3852443695068</v>
      </c>
      <c r="Y259" s="756">
        <v>30.4649448394775</v>
      </c>
      <c r="Z259" s="756">
        <v>30.849096298217798</v>
      </c>
      <c r="AA259" s="300">
        <v>6.3330101966857901</v>
      </c>
      <c r="AB259" s="300">
        <v>6.4338274002075204</v>
      </c>
      <c r="AC259" s="300">
        <v>6.5134425163268999</v>
      </c>
      <c r="AD259" s="300">
        <v>6.5598897933959996</v>
      </c>
      <c r="AE259" s="277">
        <f>AD259+($AI$259-$AD$259)/5</f>
        <v>6.5507078532683796</v>
      </c>
      <c r="AF259" s="277">
        <f>AE259+($AI$259-$AD$259)/5</f>
        <v>6.5415259131407595</v>
      </c>
      <c r="AG259" s="277">
        <f>AF259+($AI$259-$AD$259)/5</f>
        <v>6.5323439730131394</v>
      </c>
      <c r="AH259" s="277">
        <f>AG259+($AI$259-$AD$259)/5</f>
        <v>6.5231620328855193</v>
      </c>
      <c r="AI259" s="278">
        <f>T429*$E$742</f>
        <v>6.5139800927579001</v>
      </c>
      <c r="AJ259" s="277">
        <f>AI259+($AX$259-$AI$259)/15</f>
        <v>6.5877135610615332</v>
      </c>
      <c r="AK259" s="277">
        <f t="shared" ref="AK259:AW259" si="7">AJ259+($AX$259-$AI$259)/15</f>
        <v>6.6614470293651662</v>
      </c>
      <c r="AL259" s="277">
        <f t="shared" si="7"/>
        <v>6.7351804976687992</v>
      </c>
      <c r="AM259" s="277">
        <f t="shared" si="7"/>
        <v>6.8089139659724323</v>
      </c>
      <c r="AN259" s="277">
        <f t="shared" si="7"/>
        <v>6.8826474342760653</v>
      </c>
      <c r="AO259" s="277">
        <f t="shared" si="7"/>
        <v>6.9563809025796983</v>
      </c>
      <c r="AP259" s="277">
        <f t="shared" si="7"/>
        <v>7.0301143708833314</v>
      </c>
      <c r="AQ259" s="277">
        <f t="shared" si="7"/>
        <v>7.1038478391869644</v>
      </c>
      <c r="AR259" s="277">
        <f t="shared" si="7"/>
        <v>7.1775813074905974</v>
      </c>
      <c r="AS259" s="277">
        <f t="shared" si="7"/>
        <v>7.2513147757942304</v>
      </c>
      <c r="AT259" s="277">
        <f t="shared" si="7"/>
        <v>7.3250482440978635</v>
      </c>
      <c r="AU259" s="277">
        <f t="shared" si="7"/>
        <v>7.3987817124014965</v>
      </c>
      <c r="AV259" s="277">
        <f t="shared" si="7"/>
        <v>7.4725151807051295</v>
      </c>
      <c r="AW259" s="277">
        <f t="shared" si="7"/>
        <v>7.5462486490087626</v>
      </c>
      <c r="AX259" s="278">
        <f>AI259*$B$742</f>
        <v>7.6199821173123929</v>
      </c>
      <c r="AY259" s="277">
        <f>AX259+($BM$259-$AX$259)/15</f>
        <v>7.6954333002095865</v>
      </c>
      <c r="AZ259" s="277">
        <f t="shared" ref="AZ259:BL259" si="8">AY259+($BM$259-$AX$259)/15</f>
        <v>7.77088448310678</v>
      </c>
      <c r="BA259" s="277">
        <f t="shared" si="8"/>
        <v>7.8463356660039736</v>
      </c>
      <c r="BB259" s="277">
        <f t="shared" si="8"/>
        <v>7.9217868489011671</v>
      </c>
      <c r="BC259" s="277">
        <f t="shared" si="8"/>
        <v>7.9972380317983607</v>
      </c>
      <c r="BD259" s="277">
        <f t="shared" si="8"/>
        <v>8.0726892146955542</v>
      </c>
      <c r="BE259" s="277">
        <f t="shared" si="8"/>
        <v>8.1481403975927478</v>
      </c>
      <c r="BF259" s="277">
        <f t="shared" si="8"/>
        <v>8.2235915804899413</v>
      </c>
      <c r="BG259" s="277">
        <f t="shared" si="8"/>
        <v>8.2990427633871349</v>
      </c>
      <c r="BH259" s="277">
        <f t="shared" si="8"/>
        <v>8.3744939462843284</v>
      </c>
      <c r="BI259" s="277">
        <f t="shared" si="8"/>
        <v>8.449945129181522</v>
      </c>
      <c r="BJ259" s="277">
        <f t="shared" si="8"/>
        <v>8.5253963120787155</v>
      </c>
      <c r="BK259" s="277">
        <f t="shared" si="8"/>
        <v>8.6008474949759091</v>
      </c>
      <c r="BL259" s="277">
        <f t="shared" si="8"/>
        <v>8.6762986778731026</v>
      </c>
      <c r="BM259" s="278">
        <f>AX259*$C$742</f>
        <v>8.7517498607702962</v>
      </c>
      <c r="BN259" s="277">
        <f>BM259+($BR$259-$BM$259)/5</f>
        <v>8.8384075286295438</v>
      </c>
      <c r="BO259" s="277">
        <f>BN259+($BR$259-$BM$259)/5</f>
        <v>8.9250651964887915</v>
      </c>
      <c r="BP259" s="277">
        <f>BO259+($BR$259-$BM$259)/5</f>
        <v>9.0117228643480392</v>
      </c>
      <c r="BQ259" s="277">
        <f>BP259+($BR$259-$BM$259)/5</f>
        <v>9.0983805322072868</v>
      </c>
      <c r="BR259" s="278">
        <f>BM259*$D$742</f>
        <v>9.1850382000665363</v>
      </c>
    </row>
    <row r="260" spans="1:70" x14ac:dyDescent="0.25">
      <c r="A260" s="754" t="s">
        <v>599</v>
      </c>
      <c r="B260" s="756">
        <v>15.7354278564453</v>
      </c>
      <c r="C260" s="756">
        <v>16.8219394683838</v>
      </c>
      <c r="D260" s="756">
        <v>21.937858581543001</v>
      </c>
      <c r="E260" s="756">
        <v>14.291754722595201</v>
      </c>
      <c r="F260" s="756">
        <v>10.6247463226318</v>
      </c>
      <c r="G260" s="756">
        <v>13.4027051925659</v>
      </c>
      <c r="H260" s="756">
        <v>15.2648477554321</v>
      </c>
      <c r="I260" s="756">
        <v>17.266075134277301</v>
      </c>
      <c r="J260" s="756">
        <v>18.658037185668899</v>
      </c>
      <c r="K260" s="756">
        <v>19.740333557128899</v>
      </c>
      <c r="L260" s="756">
        <v>20.622322082519499</v>
      </c>
      <c r="M260" s="756">
        <v>21.514814376831101</v>
      </c>
      <c r="N260" s="756">
        <v>22.261856079101602</v>
      </c>
      <c r="O260" s="756">
        <v>22.720048904418899</v>
      </c>
      <c r="P260" s="756">
        <v>23.0620517730713</v>
      </c>
      <c r="Q260" s="756">
        <v>23.029100418090799</v>
      </c>
      <c r="R260" s="756">
        <v>23.327865600585898</v>
      </c>
      <c r="S260" s="756">
        <v>23.5460414886475</v>
      </c>
      <c r="T260" s="756">
        <v>23.635374069213899</v>
      </c>
      <c r="U260" s="756">
        <v>23.588466644287099</v>
      </c>
      <c r="V260" s="756">
        <v>23.9423828125</v>
      </c>
      <c r="W260" s="756">
        <v>23.870851516723601</v>
      </c>
      <c r="X260" s="756">
        <v>24.336980819702099</v>
      </c>
      <c r="Y260" s="756">
        <v>25.037542343139599</v>
      </c>
      <c r="Z260" s="756">
        <v>25.073137283325199</v>
      </c>
      <c r="AA260" s="300">
        <v>2.7168338298797599</v>
      </c>
      <c r="AB260" s="300">
        <v>2.7307398319244398</v>
      </c>
      <c r="AC260" s="300">
        <v>2.7413196563720699</v>
      </c>
      <c r="AD260" s="300">
        <v>2.7546591758728001</v>
      </c>
    </row>
    <row r="261" spans="1:70" x14ac:dyDescent="0.25">
      <c r="A261" s="754" t="s">
        <v>600</v>
      </c>
      <c r="B261" s="756">
        <v>9.2125787734985405</v>
      </c>
      <c r="C261" s="756">
        <v>10.5954837799072</v>
      </c>
      <c r="D261" s="756">
        <v>13.7473258972168</v>
      </c>
      <c r="E261" s="756">
        <v>6.9127345085143999</v>
      </c>
      <c r="F261" s="756">
        <v>9.8444128036499006</v>
      </c>
      <c r="G261" s="756">
        <v>12.2499532699585</v>
      </c>
      <c r="H261" s="756">
        <v>13.9352369308472</v>
      </c>
      <c r="I261" s="756">
        <v>15.428977966308601</v>
      </c>
      <c r="J261" s="756">
        <v>16.646518707275401</v>
      </c>
      <c r="K261" s="756">
        <v>18.037969589233398</v>
      </c>
      <c r="L261" s="756">
        <v>18.8180332183838</v>
      </c>
      <c r="M261" s="756">
        <v>19.4296264648438</v>
      </c>
      <c r="N261" s="756">
        <v>20.112428665161101</v>
      </c>
      <c r="O261" s="756">
        <v>20.448431015014599</v>
      </c>
      <c r="P261" s="756">
        <v>20.727931976318398</v>
      </c>
      <c r="Q261" s="756">
        <v>20.973798751831101</v>
      </c>
      <c r="R261" s="756">
        <v>21.101537704467798</v>
      </c>
      <c r="S261" s="756">
        <v>21.306892395019499</v>
      </c>
      <c r="T261" s="756">
        <v>21.394767761230501</v>
      </c>
      <c r="U261" s="756">
        <v>21.017236709594702</v>
      </c>
      <c r="V261" s="756">
        <v>21.180326461791999</v>
      </c>
      <c r="W261" s="756">
        <v>21.338615417480501</v>
      </c>
      <c r="X261" s="756">
        <v>21.660650253295898</v>
      </c>
      <c r="Y261" s="756">
        <v>21.793584823608398</v>
      </c>
      <c r="Z261" s="756">
        <v>22.078443527221701</v>
      </c>
      <c r="AA261" s="300">
        <v>2.2517027854919398</v>
      </c>
      <c r="AB261" s="300">
        <v>2.2682161331176802</v>
      </c>
      <c r="AC261" s="300">
        <v>2.2745745182037398</v>
      </c>
      <c r="AD261" s="300">
        <v>2.2862651348114</v>
      </c>
    </row>
    <row r="262" spans="1:70" ht="13.8" thickBot="1" x14ac:dyDescent="0.3">
      <c r="A262" s="754" t="s">
        <v>602</v>
      </c>
      <c r="B262" s="756">
        <v>7.9540700912475604</v>
      </c>
      <c r="C262" s="756">
        <v>7.5152516365051296</v>
      </c>
      <c r="D262" s="756">
        <v>8.8012723922729492</v>
      </c>
      <c r="E262" s="756">
        <v>4.8485679626464799</v>
      </c>
      <c r="F262" s="756">
        <v>5.4989199638366699</v>
      </c>
      <c r="G262" s="756">
        <v>5.8261642456054696</v>
      </c>
      <c r="H262" s="756">
        <v>5.87778615951538</v>
      </c>
      <c r="I262" s="756">
        <v>5.9538393020629901</v>
      </c>
      <c r="J262" s="756">
        <v>6.1098570823669398</v>
      </c>
      <c r="K262" s="756">
        <v>6.3294844627380398</v>
      </c>
      <c r="L262" s="756">
        <v>6.5125813484191903</v>
      </c>
      <c r="M262" s="756">
        <v>6.7027301788330096</v>
      </c>
      <c r="N262" s="756">
        <v>6.8988709449768102</v>
      </c>
      <c r="O262" s="756">
        <v>7.1528282165527299</v>
      </c>
      <c r="P262" s="756">
        <v>7.4686021804809597</v>
      </c>
      <c r="Q262" s="756">
        <v>7.6786775588989302</v>
      </c>
      <c r="R262" s="756">
        <v>7.7538070678710902</v>
      </c>
      <c r="S262" s="756">
        <v>7.5584783554077104</v>
      </c>
      <c r="T262" s="756">
        <v>7.5461778640747097</v>
      </c>
      <c r="U262" s="756">
        <v>7.4592709541320801</v>
      </c>
      <c r="V262" s="756">
        <v>7.6002230644226101</v>
      </c>
      <c r="W262" s="756">
        <v>7.8596048355102504</v>
      </c>
      <c r="X262" s="756">
        <v>8.1941757202148402</v>
      </c>
      <c r="Y262" s="756">
        <v>8.4216127395629901</v>
      </c>
      <c r="Z262" s="756">
        <v>8.6935501098632795</v>
      </c>
      <c r="AA262" s="300">
        <v>1.2833950519561801</v>
      </c>
      <c r="AB262" s="300">
        <v>1.3286876678466799</v>
      </c>
      <c r="AC262" s="300">
        <v>1.33012855052948</v>
      </c>
      <c r="AD262" s="300">
        <v>1.33445107936859</v>
      </c>
    </row>
    <row r="263" spans="1:70" ht="13.8" thickBot="1" x14ac:dyDescent="0.3">
      <c r="A263" s="754" t="s">
        <v>603</v>
      </c>
      <c r="B263" s="756">
        <v>3.6353600025177002</v>
      </c>
      <c r="C263" s="756">
        <v>3.6099998950958301</v>
      </c>
      <c r="D263" s="756">
        <v>4.0558156967163104</v>
      </c>
      <c r="E263" s="756">
        <v>4.0487108230590803</v>
      </c>
      <c r="F263" s="756">
        <v>3.9977276325225799</v>
      </c>
      <c r="G263" s="756">
        <v>4.1121706962585396</v>
      </c>
      <c r="H263" s="756">
        <v>4.1809573173522896</v>
      </c>
      <c r="I263" s="756">
        <v>4.2343683242797896</v>
      </c>
      <c r="J263" s="756">
        <v>4.27162742614746</v>
      </c>
      <c r="K263" s="756">
        <v>4.2985162734985396</v>
      </c>
      <c r="L263" s="756">
        <v>4.3192996978759801</v>
      </c>
      <c r="M263" s="756">
        <v>4.3337044715881303</v>
      </c>
      <c r="N263" s="756">
        <v>4.3530845642089799</v>
      </c>
      <c r="O263" s="756">
        <v>4.3696141242981001</v>
      </c>
      <c r="P263" s="756">
        <v>4.3899216651916504</v>
      </c>
      <c r="Q263" s="756">
        <v>4.4470157623290998</v>
      </c>
      <c r="R263" s="756">
        <v>4.5093812942504901</v>
      </c>
      <c r="S263" s="756">
        <v>4.5352845191955602</v>
      </c>
      <c r="T263" s="756">
        <v>4.5618190765380904</v>
      </c>
      <c r="U263" s="756">
        <v>4.5643453598022496</v>
      </c>
      <c r="V263" s="756">
        <v>4.5493078231811497</v>
      </c>
      <c r="W263" s="756">
        <v>4.5490665435790998</v>
      </c>
      <c r="X263" s="756">
        <v>4.5331215858459499</v>
      </c>
      <c r="Y263" s="756">
        <v>4.4955492019653303</v>
      </c>
      <c r="Z263" s="756">
        <v>4.4319190979003897</v>
      </c>
      <c r="AA263" s="300">
        <v>17.3004150390625</v>
      </c>
      <c r="AB263" s="300">
        <v>17.331628799438501</v>
      </c>
      <c r="AC263" s="300">
        <v>17.425392150878899</v>
      </c>
      <c r="AD263" s="300">
        <v>17.430723190307599</v>
      </c>
      <c r="AE263" s="279">
        <f>AD263+($AI$263-$AD$263)/5</f>
        <v>17.267158349957999</v>
      </c>
      <c r="AF263" s="279">
        <f>AE263+($AI$263-$AD$263)/5</f>
        <v>17.103593509608398</v>
      </c>
      <c r="AG263" s="279">
        <f>AF263+($AI$263-$AD$263)/5</f>
        <v>16.940028669258798</v>
      </c>
      <c r="AH263" s="279">
        <f>AG263+($AI$263-$AD$263)/5</f>
        <v>16.776463828909197</v>
      </c>
      <c r="AI263" s="280">
        <f>T433*$E$745</f>
        <v>16.612898988559596</v>
      </c>
      <c r="AJ263" s="279">
        <f>AI263+($AX$263-$AI$263)/15</f>
        <v>16.606368113587273</v>
      </c>
      <c r="AK263" s="279">
        <f t="shared" ref="AK263:AW263" si="9">AJ263+($AX$263-$AI$263)/15</f>
        <v>16.599837238614949</v>
      </c>
      <c r="AL263" s="279">
        <f t="shared" si="9"/>
        <v>16.593306363642625</v>
      </c>
      <c r="AM263" s="279">
        <f t="shared" si="9"/>
        <v>16.586775488670302</v>
      </c>
      <c r="AN263" s="279">
        <f t="shared" si="9"/>
        <v>16.580244613697978</v>
      </c>
      <c r="AO263" s="279">
        <f t="shared" si="9"/>
        <v>16.573713738725655</v>
      </c>
      <c r="AP263" s="279">
        <f t="shared" si="9"/>
        <v>16.567182863753331</v>
      </c>
      <c r="AQ263" s="279">
        <f t="shared" si="9"/>
        <v>16.560651988781007</v>
      </c>
      <c r="AR263" s="279">
        <f t="shared" si="9"/>
        <v>16.554121113808684</v>
      </c>
      <c r="AS263" s="279">
        <f t="shared" si="9"/>
        <v>16.54759023883636</v>
      </c>
      <c r="AT263" s="279">
        <f t="shared" si="9"/>
        <v>16.541059363864036</v>
      </c>
      <c r="AU263" s="279">
        <f t="shared" si="9"/>
        <v>16.534528488891713</v>
      </c>
      <c r="AV263" s="279">
        <f t="shared" si="9"/>
        <v>16.527997613919389</v>
      </c>
      <c r="AW263" s="279">
        <f t="shared" si="9"/>
        <v>16.521466738947066</v>
      </c>
      <c r="AX263" s="280">
        <f>AI263*$B$745</f>
        <v>16.514935863974742</v>
      </c>
      <c r="AY263" s="279">
        <f>AX263+($BM$263-$AX$263)/15</f>
        <v>16.525426935236357</v>
      </c>
      <c r="AZ263" s="279">
        <f t="shared" ref="AZ263:BL263" si="10">AY263+($BM$263-$AX$263)/15</f>
        <v>16.535918006497972</v>
      </c>
      <c r="BA263" s="279">
        <f t="shared" si="10"/>
        <v>16.546409077759588</v>
      </c>
      <c r="BB263" s="279">
        <f t="shared" si="10"/>
        <v>16.556900149021203</v>
      </c>
      <c r="BC263" s="279">
        <f t="shared" si="10"/>
        <v>16.567391220282818</v>
      </c>
      <c r="BD263" s="279">
        <f t="shared" si="10"/>
        <v>16.577882291544434</v>
      </c>
      <c r="BE263" s="279">
        <f t="shared" si="10"/>
        <v>16.588373362806049</v>
      </c>
      <c r="BF263" s="279">
        <f t="shared" si="10"/>
        <v>16.598864434067664</v>
      </c>
      <c r="BG263" s="279">
        <f t="shared" si="10"/>
        <v>16.60935550532928</v>
      </c>
      <c r="BH263" s="279">
        <f t="shared" si="10"/>
        <v>16.619846576590895</v>
      </c>
      <c r="BI263" s="279">
        <f t="shared" si="10"/>
        <v>16.63033764785251</v>
      </c>
      <c r="BJ263" s="279">
        <f t="shared" si="10"/>
        <v>16.640828719114126</v>
      </c>
      <c r="BK263" s="279">
        <f t="shared" si="10"/>
        <v>16.651319790375741</v>
      </c>
      <c r="BL263" s="279">
        <f t="shared" si="10"/>
        <v>16.661810861637356</v>
      </c>
      <c r="BM263" s="280">
        <f>AX263*$C$745</f>
        <v>16.672301932898996</v>
      </c>
      <c r="BN263" s="279">
        <f>BM263+($BR$263-$BM$263)/5</f>
        <v>16.682892970558111</v>
      </c>
      <c r="BO263" s="279">
        <f>BN263+($BR$263-$BM$263)/5</f>
        <v>16.693484008217226</v>
      </c>
      <c r="BP263" s="279">
        <f>BO263+($BR$263-$BM$263)/5</f>
        <v>16.704075045876341</v>
      </c>
      <c r="BQ263" s="279">
        <f>BP263+($BR$263-$BM$263)/5</f>
        <v>16.714666083535455</v>
      </c>
      <c r="BR263" s="280">
        <f>BM263*$D$745</f>
        <v>16.725257121194577</v>
      </c>
    </row>
    <row r="264" spans="1:70" x14ac:dyDescent="0.25">
      <c r="A264" s="754" t="s">
        <v>604</v>
      </c>
      <c r="B264" s="756">
        <v>2.4029970169067401</v>
      </c>
      <c r="C264" s="756">
        <v>2.4299483299255402</v>
      </c>
      <c r="D264" s="756">
        <v>2.5420303344726598</v>
      </c>
      <c r="E264" s="756">
        <v>2.4490520954132098</v>
      </c>
      <c r="F264" s="756">
        <v>2.3906834125518799</v>
      </c>
      <c r="G264" s="756">
        <v>2.4765830039978001</v>
      </c>
      <c r="H264" s="756">
        <v>2.4936084747314502</v>
      </c>
      <c r="I264" s="756">
        <v>2.5247271060943599</v>
      </c>
      <c r="J264" s="756">
        <v>2.54471778869629</v>
      </c>
      <c r="K264" s="756">
        <v>2.53918480873108</v>
      </c>
      <c r="L264" s="756">
        <v>2.54552221298218</v>
      </c>
      <c r="M264" s="756">
        <v>2.5526983737945601</v>
      </c>
      <c r="N264" s="756">
        <v>2.5639333724975599</v>
      </c>
      <c r="O264" s="756">
        <v>2.5611753463745099</v>
      </c>
      <c r="P264" s="756">
        <v>2.56861472129822</v>
      </c>
      <c r="Q264" s="756">
        <v>2.5710935592651398</v>
      </c>
      <c r="R264" s="756">
        <v>2.57420825958252</v>
      </c>
      <c r="S264" s="756">
        <v>2.5741758346557599</v>
      </c>
      <c r="T264" s="756">
        <v>2.5788726806640598</v>
      </c>
      <c r="U264" s="756">
        <v>2.5789062976837198</v>
      </c>
      <c r="V264" s="756">
        <v>2.59378290176392</v>
      </c>
      <c r="W264" s="756">
        <v>2.6088099479675302</v>
      </c>
      <c r="X264" s="756">
        <v>2.6259028911590598</v>
      </c>
      <c r="Y264" s="756">
        <v>2.64452123641968</v>
      </c>
      <c r="Z264" s="756">
        <v>2.6644773483276398</v>
      </c>
      <c r="AA264" s="300"/>
      <c r="AB264" s="300"/>
      <c r="AC264" s="300"/>
      <c r="AD264" s="300"/>
    </row>
    <row r="265" spans="1:70" ht="13.8" thickBot="1" x14ac:dyDescent="0.3">
      <c r="A265" s="754" t="s">
        <v>605</v>
      </c>
      <c r="B265" s="756">
        <v>0</v>
      </c>
      <c r="C265" s="756">
        <v>0</v>
      </c>
      <c r="D265" s="756">
        <v>0</v>
      </c>
      <c r="E265" s="756">
        <v>0</v>
      </c>
      <c r="F265" s="756">
        <v>0</v>
      </c>
      <c r="G265" s="756">
        <v>1.5133428573608401</v>
      </c>
      <c r="H265" s="756">
        <v>1.3742095232009901</v>
      </c>
      <c r="I265" s="756">
        <v>1.19064140319824</v>
      </c>
      <c r="J265" s="756">
        <v>1.3664953708648699</v>
      </c>
      <c r="K265" s="756">
        <v>1.33487153053284</v>
      </c>
      <c r="L265" s="756">
        <v>1.31654036045074</v>
      </c>
      <c r="M265" s="756">
        <v>1.30223417282104</v>
      </c>
      <c r="N265" s="756">
        <v>1.30838906764984</v>
      </c>
      <c r="O265" s="756">
        <v>1.32146644592285</v>
      </c>
      <c r="P265" s="756">
        <v>1.3489345312118499</v>
      </c>
      <c r="Q265" s="756">
        <v>1.3524934053421001</v>
      </c>
      <c r="R265" s="756">
        <v>1.3570195436477701</v>
      </c>
      <c r="S265" s="756">
        <v>1.3626403808593801</v>
      </c>
      <c r="T265" s="756">
        <v>1.37119424343109</v>
      </c>
      <c r="U265" s="756">
        <v>1.3635557889938399</v>
      </c>
      <c r="V265" s="756">
        <v>1.3662919998168901</v>
      </c>
      <c r="W265" s="756">
        <v>1.37254309654236</v>
      </c>
      <c r="X265" s="756">
        <v>1.37609398365021</v>
      </c>
      <c r="Y265" s="756">
        <v>1.3784751892089799</v>
      </c>
      <c r="Z265" s="756">
        <v>1.3805129528045701</v>
      </c>
      <c r="AA265" s="300">
        <v>24.056577682495099</v>
      </c>
      <c r="AB265" s="300">
        <v>24.1739406585693</v>
      </c>
      <c r="AC265" s="300">
        <v>24.2586994171143</v>
      </c>
      <c r="AD265" s="300">
        <v>24.288969039916999</v>
      </c>
    </row>
    <row r="266" spans="1:70" ht="13.8" thickBot="1" x14ac:dyDescent="0.3">
      <c r="A266" s="754" t="s">
        <v>469</v>
      </c>
      <c r="B266" s="756">
        <v>18.400894165039102</v>
      </c>
      <c r="C266" s="756">
        <v>18.6226921081543</v>
      </c>
      <c r="D266" s="756">
        <v>20.334409713745099</v>
      </c>
      <c r="E266" s="756">
        <v>19.159486770629901</v>
      </c>
      <c r="F266" s="756">
        <v>16.828172683715799</v>
      </c>
      <c r="G266" s="756">
        <v>17.264308929443398</v>
      </c>
      <c r="H266" s="756">
        <v>17.156070709228501</v>
      </c>
      <c r="I266" s="756">
        <v>17.083604812622099</v>
      </c>
      <c r="J266" s="756">
        <v>17.1988334655762</v>
      </c>
      <c r="K266" s="756">
        <v>17.318143844604499</v>
      </c>
      <c r="L266" s="756">
        <v>17.615074157714801</v>
      </c>
      <c r="M266" s="756">
        <v>17.910154342651399</v>
      </c>
      <c r="N266" s="756">
        <v>18.210170745849599</v>
      </c>
      <c r="O266" s="756">
        <v>18.456880569458001</v>
      </c>
      <c r="P266" s="756">
        <v>18.803001403808601</v>
      </c>
      <c r="Q266" s="756">
        <v>19.085206985473601</v>
      </c>
      <c r="R266" s="756">
        <v>19.30615234375</v>
      </c>
      <c r="S266" s="756">
        <v>19.3043308258057</v>
      </c>
      <c r="T266" s="756">
        <v>19.3253479003906</v>
      </c>
      <c r="U266" s="756">
        <v>19.324813842773398</v>
      </c>
      <c r="V266" s="756">
        <v>19.354219436645501</v>
      </c>
      <c r="W266" s="756">
        <v>19.614883422851602</v>
      </c>
      <c r="X266" s="756">
        <v>19.97239112854</v>
      </c>
      <c r="Y266" s="756">
        <v>20.29469871521</v>
      </c>
      <c r="Z266" s="756">
        <v>20.560989379882798</v>
      </c>
      <c r="AA266" s="300">
        <v>21.3195495605469</v>
      </c>
      <c r="AB266" s="300">
        <v>21.43874168396</v>
      </c>
      <c r="AC266" s="300">
        <v>21.398374557495099</v>
      </c>
      <c r="AD266" s="300">
        <v>21.4992275238037</v>
      </c>
      <c r="AE266" s="283">
        <f>AD266+($AI$266-$AD$266)/5</f>
        <v>21.318281718011935</v>
      </c>
      <c r="AF266" s="283">
        <f>AE266+($AI$266-$AD$266)/5</f>
        <v>21.13733591222017</v>
      </c>
      <c r="AG266" s="283">
        <f>AF266+($AI$266-$AD$266)/5</f>
        <v>20.956390106428405</v>
      </c>
      <c r="AH266" s="283">
        <f>AG266+($AI$266-$AD$266)/5</f>
        <v>20.775444300636639</v>
      </c>
      <c r="AI266" s="284">
        <f>T436*$E$747</f>
        <v>20.594498494844878</v>
      </c>
      <c r="AJ266" s="283">
        <f>AI266+($AX$266-$AI$266)/15</f>
        <v>20.60819416894353</v>
      </c>
      <c r="AK266" s="283">
        <f t="shared" ref="AK266:AW266" si="11">AJ266+($AX$266-$AI$266)/15</f>
        <v>20.621889843042183</v>
      </c>
      <c r="AL266" s="283">
        <f t="shared" si="11"/>
        <v>20.635585517140836</v>
      </c>
      <c r="AM266" s="283">
        <f t="shared" si="11"/>
        <v>20.649281191239488</v>
      </c>
      <c r="AN266" s="283">
        <f t="shared" si="11"/>
        <v>20.662976865338141</v>
      </c>
      <c r="AO266" s="283">
        <f t="shared" si="11"/>
        <v>20.676672539436794</v>
      </c>
      <c r="AP266" s="283">
        <f t="shared" si="11"/>
        <v>20.690368213535447</v>
      </c>
      <c r="AQ266" s="283">
        <f t="shared" si="11"/>
        <v>20.704063887634099</v>
      </c>
      <c r="AR266" s="283">
        <f t="shared" si="11"/>
        <v>20.717759561732752</v>
      </c>
      <c r="AS266" s="283">
        <f t="shared" si="11"/>
        <v>20.731455235831405</v>
      </c>
      <c r="AT266" s="283">
        <f t="shared" si="11"/>
        <v>20.745150909930057</v>
      </c>
      <c r="AU266" s="283">
        <f t="shared" si="11"/>
        <v>20.75884658402871</v>
      </c>
      <c r="AV266" s="283">
        <f t="shared" si="11"/>
        <v>20.772542258127363</v>
      </c>
      <c r="AW266" s="283">
        <f t="shared" si="11"/>
        <v>20.786237932226015</v>
      </c>
      <c r="AX266" s="284">
        <f>AI266*$B$747</f>
        <v>20.799933606324664</v>
      </c>
      <c r="AY266" s="283">
        <f>AX266+($BM$266-$AX$266)/15</f>
        <v>20.807002050879195</v>
      </c>
      <c r="AZ266" s="283">
        <f t="shared" ref="AZ266:BL266" si="12">AY266+($BM$266-$AX$266)/15</f>
        <v>20.814070495433725</v>
      </c>
      <c r="BA266" s="283">
        <f t="shared" si="12"/>
        <v>20.821138939988256</v>
      </c>
      <c r="BB266" s="283">
        <f t="shared" si="12"/>
        <v>20.828207384542786</v>
      </c>
      <c r="BC266" s="283">
        <f t="shared" si="12"/>
        <v>20.835275829097316</v>
      </c>
      <c r="BD266" s="283">
        <f t="shared" si="12"/>
        <v>20.842344273651847</v>
      </c>
      <c r="BE266" s="283">
        <f t="shared" si="12"/>
        <v>20.849412718206377</v>
      </c>
      <c r="BF266" s="283">
        <f t="shared" si="12"/>
        <v>20.856481162760907</v>
      </c>
      <c r="BG266" s="283">
        <f t="shared" si="12"/>
        <v>20.863549607315438</v>
      </c>
      <c r="BH266" s="283">
        <f t="shared" si="12"/>
        <v>20.870618051869968</v>
      </c>
      <c r="BI266" s="283">
        <f t="shared" si="12"/>
        <v>20.877686496424499</v>
      </c>
      <c r="BJ266" s="283">
        <f t="shared" si="12"/>
        <v>20.884754940979029</v>
      </c>
      <c r="BK266" s="283">
        <f t="shared" si="12"/>
        <v>20.891823385533559</v>
      </c>
      <c r="BL266" s="283">
        <f t="shared" si="12"/>
        <v>20.89889183008809</v>
      </c>
      <c r="BM266" s="284">
        <f>AX266*$C$747</f>
        <v>20.905960274642634</v>
      </c>
      <c r="BN266" s="283">
        <f>BM266+($BR$266-$BM$266)/5</f>
        <v>20.913064750255749</v>
      </c>
      <c r="BO266" s="283">
        <f>BN266+($BR$266-$BM$266)/5</f>
        <v>20.920169225868865</v>
      </c>
      <c r="BP266" s="283">
        <f>BO266+($BR$266-$BM$266)/5</f>
        <v>20.92727370148198</v>
      </c>
      <c r="BQ266" s="283">
        <f>BP266+($BR$266-$BM$266)/5</f>
        <v>20.934378177095095</v>
      </c>
      <c r="BR266" s="284">
        <f>BM266*$D$747</f>
        <v>20.94148265270821</v>
      </c>
    </row>
    <row r="267" spans="1:70" ht="13.8" thickBot="1" x14ac:dyDescent="0.3">
      <c r="AA267" s="300">
        <v>17.292875289916999</v>
      </c>
      <c r="AB267" s="300">
        <v>17.531343460083001</v>
      </c>
      <c r="AC267" s="300">
        <v>17.526832580566399</v>
      </c>
      <c r="AD267" s="300">
        <v>17.756109237670898</v>
      </c>
      <c r="AE267" s="281">
        <f>AD267+($AI$267-$AD$267)/5</f>
        <v>18.740759573600641</v>
      </c>
      <c r="AF267" s="281">
        <f>AE267+($AI$267-$AD$267)/5</f>
        <v>19.725409909530384</v>
      </c>
      <c r="AG267" s="281">
        <f>AF267+($AI$267-$AD$267)/5</f>
        <v>20.710060245460127</v>
      </c>
      <c r="AH267" s="281">
        <f>AG267+($AI$267-$AD$267)/5</f>
        <v>21.69471058138987</v>
      </c>
      <c r="AI267" s="282">
        <f>T437*$E$744</f>
        <v>22.67936091731961</v>
      </c>
      <c r="AJ267" s="281">
        <f>AI267+($AX$267-$AI$267)/15</f>
        <v>22.91940642537169</v>
      </c>
      <c r="AK267" s="281">
        <f t="shared" ref="AK267:AW267" si="13">AJ267+($AX$267-$AI$267)/15</f>
        <v>23.159451933423771</v>
      </c>
      <c r="AL267" s="281">
        <f t="shared" si="13"/>
        <v>23.399497441475852</v>
      </c>
      <c r="AM267" s="281">
        <f t="shared" si="13"/>
        <v>23.639542949527932</v>
      </c>
      <c r="AN267" s="281">
        <f t="shared" si="13"/>
        <v>23.879588457580013</v>
      </c>
      <c r="AO267" s="281">
        <f t="shared" si="13"/>
        <v>24.119633965632094</v>
      </c>
      <c r="AP267" s="281">
        <f t="shared" si="13"/>
        <v>24.359679473684174</v>
      </c>
      <c r="AQ267" s="281">
        <f t="shared" si="13"/>
        <v>24.599724981736255</v>
      </c>
      <c r="AR267" s="281">
        <f t="shared" si="13"/>
        <v>24.839770489788336</v>
      </c>
      <c r="AS267" s="281">
        <f t="shared" si="13"/>
        <v>25.079815997840416</v>
      </c>
      <c r="AT267" s="281">
        <f t="shared" si="13"/>
        <v>25.319861505892497</v>
      </c>
      <c r="AU267" s="281">
        <f t="shared" si="13"/>
        <v>25.559907013944578</v>
      </c>
      <c r="AV267" s="281">
        <f t="shared" si="13"/>
        <v>25.799952521996659</v>
      </c>
      <c r="AW267" s="281">
        <f t="shared" si="13"/>
        <v>26.039998030048739</v>
      </c>
      <c r="AX267" s="282">
        <f>AI267*$B$744</f>
        <v>26.28004353810082</v>
      </c>
      <c r="AY267" s="281">
        <f>AX267+($BM$267-$AX$267)/15</f>
        <v>26.429681543018035</v>
      </c>
      <c r="AZ267" s="281">
        <f t="shared" ref="AZ267:BL267" si="14">AY267+($BM$267-$AX$267)/15</f>
        <v>26.579319547935249</v>
      </c>
      <c r="BA267" s="281">
        <f t="shared" si="14"/>
        <v>26.728957552852464</v>
      </c>
      <c r="BB267" s="281">
        <f t="shared" si="14"/>
        <v>26.878595557769678</v>
      </c>
      <c r="BC267" s="281">
        <f t="shared" si="14"/>
        <v>27.028233562686893</v>
      </c>
      <c r="BD267" s="281">
        <f t="shared" si="14"/>
        <v>27.177871567604107</v>
      </c>
      <c r="BE267" s="281">
        <f t="shared" si="14"/>
        <v>27.327509572521322</v>
      </c>
      <c r="BF267" s="281">
        <f t="shared" si="14"/>
        <v>27.477147577438537</v>
      </c>
      <c r="BG267" s="281">
        <f t="shared" si="14"/>
        <v>27.626785582355751</v>
      </c>
      <c r="BH267" s="281">
        <f t="shared" si="14"/>
        <v>27.776423587272966</v>
      </c>
      <c r="BI267" s="281">
        <f t="shared" si="14"/>
        <v>27.92606159219018</v>
      </c>
      <c r="BJ267" s="281">
        <f t="shared" si="14"/>
        <v>28.075699597107395</v>
      </c>
      <c r="BK267" s="281">
        <f t="shared" si="14"/>
        <v>28.225337602024609</v>
      </c>
      <c r="BL267" s="281">
        <f t="shared" si="14"/>
        <v>28.374975606941824</v>
      </c>
      <c r="BM267" s="282">
        <f>AX267*$C$744</f>
        <v>28.524613611859053</v>
      </c>
      <c r="BN267" s="281">
        <f>BM267+($BR$267-$BM$267)/5</f>
        <v>28.687032150691561</v>
      </c>
      <c r="BO267" s="281">
        <f>BN267+($BR$267-$BM$267)/5</f>
        <v>28.849450689524069</v>
      </c>
      <c r="BP267" s="281">
        <f>BO267+($BR$267-$BM$267)/5</f>
        <v>29.011869228356577</v>
      </c>
      <c r="BQ267" s="281">
        <f>BP267+($BR$267-$BM$267)/5</f>
        <v>29.174287767189085</v>
      </c>
      <c r="BR267" s="282">
        <f>BM267*$D$744</f>
        <v>29.336706306021593</v>
      </c>
    </row>
    <row r="268" spans="1:70" ht="13.8" thickBot="1" x14ac:dyDescent="0.3">
      <c r="A268" s="754" t="s">
        <v>477</v>
      </c>
      <c r="AA268" s="300">
        <v>11.227470397949199</v>
      </c>
      <c r="AB268" s="300">
        <v>11.517865180969199</v>
      </c>
      <c r="AC268" s="300">
        <v>11.5089683532715</v>
      </c>
      <c r="AD268" s="300">
        <v>11.7493782043457</v>
      </c>
    </row>
    <row r="269" spans="1:70" ht="13.8" thickBot="1" x14ac:dyDescent="0.3">
      <c r="A269" s="754" t="s">
        <v>606</v>
      </c>
      <c r="B269" s="756">
        <v>22.296371459960898</v>
      </c>
      <c r="C269" s="756">
        <v>25.0072345733643</v>
      </c>
      <c r="D269" s="756">
        <v>28.759458541870099</v>
      </c>
      <c r="E269" s="756">
        <v>21.685003280639599</v>
      </c>
      <c r="F269" s="756">
        <v>20.534326553344702</v>
      </c>
      <c r="G269" s="756">
        <v>22.796831130981399</v>
      </c>
      <c r="H269" s="756">
        <v>24.8035278320313</v>
      </c>
      <c r="I269" s="756">
        <v>26.570152282714801</v>
      </c>
      <c r="J269" s="756">
        <v>28.076972961425799</v>
      </c>
      <c r="K269" s="756">
        <v>29.693559646606399</v>
      </c>
      <c r="L269" s="756">
        <v>30.7330017089844</v>
      </c>
      <c r="M269" s="756">
        <v>31.595745086669901</v>
      </c>
      <c r="N269" s="756">
        <v>32.463813781738303</v>
      </c>
      <c r="O269" s="756">
        <v>32.853603363037102</v>
      </c>
      <c r="P269" s="756">
        <v>33.095050811767599</v>
      </c>
      <c r="Q269" s="756">
        <v>33.3141899108887</v>
      </c>
      <c r="R269" s="756">
        <v>33.425758361816399</v>
      </c>
      <c r="S269" s="756">
        <v>33.752655029296903</v>
      </c>
      <c r="T269" s="756">
        <v>33.878787994384801</v>
      </c>
      <c r="U269" s="756">
        <v>33.426109313964801</v>
      </c>
      <c r="V269" s="756">
        <v>33.692680358886697</v>
      </c>
      <c r="W269" s="756">
        <v>33.960933685302699</v>
      </c>
      <c r="X269" s="756">
        <v>34.291332244872997</v>
      </c>
      <c r="Y269" s="756">
        <v>34.467491149902301</v>
      </c>
      <c r="Z269" s="756">
        <v>34.819602966308601</v>
      </c>
      <c r="AA269" s="300">
        <v>16.025825500488299</v>
      </c>
      <c r="AB269" s="300">
        <v>16.333782196044901</v>
      </c>
      <c r="AC269" s="300">
        <v>16.2625331878662</v>
      </c>
      <c r="AD269" s="300">
        <v>16.470952987670898</v>
      </c>
      <c r="AE269" s="281">
        <f>AD269+($AI$269-$AD$269)/5</f>
        <v>17.380928094850553</v>
      </c>
      <c r="AF269" s="281">
        <f>AE269+($AI$269-$AD$269)/5</f>
        <v>18.290903202030208</v>
      </c>
      <c r="AG269" s="281">
        <f>AF269+($AI$269-$AD$269)/5</f>
        <v>19.200878309209862</v>
      </c>
      <c r="AH269" s="281">
        <f>AG269+($AI$269-$AD$269)/5</f>
        <v>20.110853416389517</v>
      </c>
      <c r="AI269" s="282">
        <f>T439*$E$744</f>
        <v>21.020828523569172</v>
      </c>
      <c r="AJ269" s="281">
        <f>AI269+($AX$269-$AI$269)/15</f>
        <v>21.243319601735415</v>
      </c>
      <c r="AK269" s="281">
        <f t="shared" ref="AK269:AW269" si="15">AJ269+($AX$269-$AI$269)/15</f>
        <v>21.465810679901658</v>
      </c>
      <c r="AL269" s="281">
        <f t="shared" si="15"/>
        <v>21.688301758067901</v>
      </c>
      <c r="AM269" s="281">
        <f t="shared" si="15"/>
        <v>21.910792836234144</v>
      </c>
      <c r="AN269" s="281">
        <f t="shared" si="15"/>
        <v>22.133283914400387</v>
      </c>
      <c r="AO269" s="281">
        <f t="shared" si="15"/>
        <v>22.35577499256663</v>
      </c>
      <c r="AP269" s="281">
        <f t="shared" si="15"/>
        <v>22.578266070732873</v>
      </c>
      <c r="AQ269" s="281">
        <f t="shared" si="15"/>
        <v>22.800757148899116</v>
      </c>
      <c r="AR269" s="281">
        <f t="shared" si="15"/>
        <v>23.023248227065359</v>
      </c>
      <c r="AS269" s="281">
        <f t="shared" si="15"/>
        <v>23.245739305231602</v>
      </c>
      <c r="AT269" s="281">
        <f t="shared" si="15"/>
        <v>23.468230383397845</v>
      </c>
      <c r="AU269" s="281">
        <f t="shared" si="15"/>
        <v>23.690721461564088</v>
      </c>
      <c r="AV269" s="281">
        <f t="shared" si="15"/>
        <v>23.913212539730331</v>
      </c>
      <c r="AW269" s="281">
        <f t="shared" si="15"/>
        <v>24.135703617896574</v>
      </c>
      <c r="AX269" s="282">
        <f>AI269*$B$744</f>
        <v>24.358194696062842</v>
      </c>
      <c r="AY269" s="281">
        <f>AX269+($BM$269-$AX$269)/15</f>
        <v>24.496889734844629</v>
      </c>
      <c r="AZ269" s="281">
        <f t="shared" ref="AZ269:BL269" si="16">AY269+($BM$269-$AX$269)/15</f>
        <v>24.635584773626416</v>
      </c>
      <c r="BA269" s="281">
        <f t="shared" si="16"/>
        <v>24.774279812408203</v>
      </c>
      <c r="BB269" s="281">
        <f t="shared" si="16"/>
        <v>24.91297485118999</v>
      </c>
      <c r="BC269" s="281">
        <f t="shared" si="16"/>
        <v>25.051669889971777</v>
      </c>
      <c r="BD269" s="281">
        <f t="shared" si="16"/>
        <v>25.190364928753564</v>
      </c>
      <c r="BE269" s="281">
        <f t="shared" si="16"/>
        <v>25.32905996753535</v>
      </c>
      <c r="BF269" s="281">
        <f t="shared" si="16"/>
        <v>25.467755006317137</v>
      </c>
      <c r="BG269" s="281">
        <f t="shared" si="16"/>
        <v>25.606450045098924</v>
      </c>
      <c r="BH269" s="281">
        <f t="shared" si="16"/>
        <v>25.745145083880711</v>
      </c>
      <c r="BI269" s="281">
        <f t="shared" si="16"/>
        <v>25.883840122662498</v>
      </c>
      <c r="BJ269" s="281">
        <f t="shared" si="16"/>
        <v>26.022535161444285</v>
      </c>
      <c r="BK269" s="281">
        <f t="shared" si="16"/>
        <v>26.161230200226072</v>
      </c>
      <c r="BL269" s="281">
        <f t="shared" si="16"/>
        <v>26.299925239007859</v>
      </c>
      <c r="BM269" s="282">
        <f>AX269*$C$744</f>
        <v>26.438620277789649</v>
      </c>
      <c r="BN269" s="281">
        <f>BM269+($BR$269-$BM$269)/5</f>
        <v>26.589161215265516</v>
      </c>
      <c r="BO269" s="281">
        <f>BN269+($BR$269-$BM$269)/5</f>
        <v>26.739702152741383</v>
      </c>
      <c r="BP269" s="281">
        <f>BO269+($BR$269-$BM$269)/5</f>
        <v>26.89024309021725</v>
      </c>
      <c r="BQ269" s="281">
        <f>BP269+($BR$269-$BM$269)/5</f>
        <v>27.040784027693118</v>
      </c>
      <c r="BR269" s="282">
        <f>BM269*$D$744</f>
        <v>27.191324965168981</v>
      </c>
    </row>
    <row r="270" spans="1:70" x14ac:dyDescent="0.25">
      <c r="A270" s="754" t="s">
        <v>607</v>
      </c>
      <c r="B270" s="756">
        <v>25.5142211914063</v>
      </c>
      <c r="C270" s="756">
        <v>26.818180084228501</v>
      </c>
      <c r="D270" s="756">
        <v>34.073703765869098</v>
      </c>
      <c r="E270" s="756">
        <v>20.3962516784668</v>
      </c>
      <c r="F270" s="756">
        <v>18.869060516357401</v>
      </c>
      <c r="G270" s="756">
        <v>22.499189376831101</v>
      </c>
      <c r="H270" s="756">
        <v>24.345371246337901</v>
      </c>
      <c r="I270" s="756">
        <v>25.8835773468018</v>
      </c>
      <c r="J270" s="756">
        <v>27.376197814941399</v>
      </c>
      <c r="K270" s="756">
        <v>25.5507621765137</v>
      </c>
      <c r="L270" s="756">
        <v>26.3307495117188</v>
      </c>
      <c r="M270" s="756">
        <v>27.042121887206999</v>
      </c>
      <c r="N270" s="756">
        <v>27.074653625488299</v>
      </c>
      <c r="O270" s="756">
        <v>28.861484527587901</v>
      </c>
      <c r="P270" s="756">
        <v>29.593324661254901</v>
      </c>
      <c r="Q270" s="756">
        <v>29.691083908081101</v>
      </c>
      <c r="R270" s="756">
        <v>29.8394565582275</v>
      </c>
      <c r="S270" s="756">
        <v>30.056737899780298</v>
      </c>
      <c r="T270" s="756">
        <v>30.123649597168001</v>
      </c>
      <c r="U270" s="756">
        <v>30.045396804809599</v>
      </c>
      <c r="V270" s="756">
        <v>30.335887908935501</v>
      </c>
      <c r="W270" s="756">
        <v>30.1821899414063</v>
      </c>
      <c r="X270" s="756">
        <v>30.567377090454102</v>
      </c>
      <c r="Y270" s="756">
        <v>31.227724075317401</v>
      </c>
      <c r="Z270" s="756">
        <v>30.935503005981399</v>
      </c>
      <c r="AA270" s="300">
        <v>8.1832656860351598</v>
      </c>
      <c r="AB270" s="300">
        <v>8.1197490692138707</v>
      </c>
      <c r="AC270" s="300">
        <v>8.3803300857543892</v>
      </c>
      <c r="AD270" s="300">
        <v>8.2735004425048793</v>
      </c>
    </row>
    <row r="271" spans="1:70" x14ac:dyDescent="0.25">
      <c r="A271" s="754" t="s">
        <v>608</v>
      </c>
      <c r="B271" s="756">
        <v>21.784559249877901</v>
      </c>
      <c r="C271" s="756">
        <v>22.982162475585898</v>
      </c>
      <c r="D271" s="756">
        <v>26.1744689941406</v>
      </c>
      <c r="E271" s="756">
        <v>15.6736001968384</v>
      </c>
      <c r="F271" s="756">
        <v>17.7131462097168</v>
      </c>
      <c r="G271" s="756">
        <v>20.6617527008057</v>
      </c>
      <c r="H271" s="756">
        <v>22.301433563232401</v>
      </c>
      <c r="I271" s="756">
        <v>23.517950057983398</v>
      </c>
      <c r="J271" s="756">
        <v>24.816135406494102</v>
      </c>
      <c r="K271" s="756">
        <v>26.137458801269499</v>
      </c>
      <c r="L271" s="756">
        <v>27.061580657958999</v>
      </c>
      <c r="M271" s="756">
        <v>27.993299484252901</v>
      </c>
      <c r="N271" s="756">
        <v>28.802474975585898</v>
      </c>
      <c r="O271" s="756">
        <v>29.411088943481399</v>
      </c>
      <c r="P271" s="756">
        <v>29.938217163085898</v>
      </c>
      <c r="Q271" s="756">
        <v>30.057752609252901</v>
      </c>
      <c r="R271" s="756">
        <v>30.3159790039063</v>
      </c>
      <c r="S271" s="756">
        <v>30.494945526123001</v>
      </c>
      <c r="T271" s="756">
        <v>30.528341293335</v>
      </c>
      <c r="U271" s="756">
        <v>30.4458103179932</v>
      </c>
      <c r="V271" s="756">
        <v>30.726751327514599</v>
      </c>
      <c r="W271" s="756">
        <v>30.704950332641602</v>
      </c>
      <c r="X271" s="756">
        <v>31.110511779785199</v>
      </c>
      <c r="Y271" s="756">
        <v>31.9617519378662</v>
      </c>
      <c r="Z271" s="756">
        <v>31.583656311035199</v>
      </c>
      <c r="AA271" s="300">
        <v>13.240598678588899</v>
      </c>
      <c r="AB271" s="300">
        <v>13.359972000122101</v>
      </c>
      <c r="AC271" s="300">
        <v>13.395259857177701</v>
      </c>
      <c r="AD271" s="300">
        <v>13.453570365905801</v>
      </c>
    </row>
    <row r="272" spans="1:70" x14ac:dyDescent="0.25">
      <c r="A272" s="754" t="s">
        <v>609</v>
      </c>
      <c r="B272" s="756">
        <v>15.2446508407593</v>
      </c>
      <c r="C272" s="756">
        <v>16.0964660644531</v>
      </c>
      <c r="D272" s="756">
        <v>22.1856594085693</v>
      </c>
      <c r="E272" s="756">
        <v>10.540905952453601</v>
      </c>
      <c r="F272" s="756">
        <v>10.4131317138672</v>
      </c>
      <c r="G272" s="756">
        <v>12.992267608642599</v>
      </c>
      <c r="H272" s="756">
        <v>14.8510446548462</v>
      </c>
      <c r="I272" s="756">
        <v>16.4927158355713</v>
      </c>
      <c r="J272" s="756">
        <v>17.888269424438501</v>
      </c>
      <c r="K272" s="756">
        <v>19.120731353759801</v>
      </c>
      <c r="L272" s="756">
        <v>20.025011062622099</v>
      </c>
      <c r="M272" s="756">
        <v>20.925888061523398</v>
      </c>
      <c r="N272" s="756">
        <v>21.650459289550799</v>
      </c>
      <c r="O272" s="756">
        <v>22.054113388061499</v>
      </c>
      <c r="P272" s="756">
        <v>22.358533859252901</v>
      </c>
      <c r="Q272" s="756">
        <v>22.535087585449201</v>
      </c>
      <c r="R272" s="756">
        <v>22.624557495117202</v>
      </c>
      <c r="S272" s="756">
        <v>22.875423431396499</v>
      </c>
      <c r="T272" s="756">
        <v>23.088819503784201</v>
      </c>
      <c r="U272" s="756">
        <v>22.878332138061499</v>
      </c>
      <c r="V272" s="756">
        <v>23.229129791259801</v>
      </c>
      <c r="W272" s="756">
        <v>23.440977096557599</v>
      </c>
      <c r="X272" s="756">
        <v>23.911849975585898</v>
      </c>
      <c r="Y272" s="756">
        <v>24.3618278503418</v>
      </c>
      <c r="Z272" s="756">
        <v>24.669164657592798</v>
      </c>
      <c r="AA272" s="300">
        <v>24.345100402831999</v>
      </c>
      <c r="AB272" s="300">
        <v>24.401657104492202</v>
      </c>
      <c r="AC272" s="300">
        <v>24.482112884521499</v>
      </c>
      <c r="AD272" s="300">
        <v>24.4609375</v>
      </c>
    </row>
    <row r="273" spans="1:70" x14ac:dyDescent="0.25">
      <c r="A273" s="754" t="s">
        <v>713</v>
      </c>
      <c r="B273" s="756">
        <v>20.2724208831787</v>
      </c>
      <c r="C273" s="756">
        <v>20.921422958373999</v>
      </c>
      <c r="D273" s="756">
        <v>27.066003799438501</v>
      </c>
      <c r="E273" s="756">
        <v>15.379162788391101</v>
      </c>
      <c r="F273" s="756">
        <v>14.6322994232178</v>
      </c>
      <c r="G273" s="756">
        <v>17.082887649536101</v>
      </c>
      <c r="H273" s="756">
        <v>18.906814575195298</v>
      </c>
      <c r="I273" s="756">
        <v>21.012025833129901</v>
      </c>
      <c r="J273" s="756">
        <v>22.391767501831101</v>
      </c>
      <c r="K273" s="756">
        <v>23.401908874511701</v>
      </c>
      <c r="L273" s="756">
        <v>24.249780654907202</v>
      </c>
      <c r="M273" s="756">
        <v>25.151100158691399</v>
      </c>
      <c r="N273" s="756">
        <v>25.830009460449201</v>
      </c>
      <c r="O273" s="756">
        <v>26.267305374145501</v>
      </c>
      <c r="P273" s="756">
        <v>26.5901203155518</v>
      </c>
      <c r="Q273" s="756">
        <v>26.487575531005898</v>
      </c>
      <c r="R273" s="756">
        <v>26.7318305969238</v>
      </c>
      <c r="S273" s="756">
        <v>26.979133605956999</v>
      </c>
      <c r="T273" s="756">
        <v>27.001283645629901</v>
      </c>
      <c r="U273" s="756">
        <v>26.997362136840799</v>
      </c>
      <c r="V273" s="756">
        <v>27.317785263061499</v>
      </c>
      <c r="W273" s="756">
        <v>27.182266235351602</v>
      </c>
      <c r="X273" s="756">
        <v>27.638069152831999</v>
      </c>
      <c r="Y273" s="756">
        <v>28.388862609863299</v>
      </c>
      <c r="Z273" s="756">
        <v>28.337171554565401</v>
      </c>
      <c r="AA273" s="300"/>
      <c r="AB273" s="300"/>
      <c r="AC273" s="300"/>
      <c r="AD273" s="300"/>
    </row>
    <row r="274" spans="1:70" x14ac:dyDescent="0.25">
      <c r="A274" s="754" t="s">
        <v>600</v>
      </c>
      <c r="B274" s="756">
        <v>8.20648097991943</v>
      </c>
      <c r="C274" s="756">
        <v>9.4357099533081108</v>
      </c>
      <c r="D274" s="756">
        <v>14.2847747802734</v>
      </c>
      <c r="E274" s="756">
        <v>6.3925981521606401</v>
      </c>
      <c r="F274" s="756">
        <v>6.5852246284484899</v>
      </c>
      <c r="G274" s="756">
        <v>8.6673641204834002</v>
      </c>
      <c r="H274" s="756">
        <v>10.3328533172607</v>
      </c>
      <c r="I274" s="756">
        <v>11.815202713012701</v>
      </c>
      <c r="J274" s="756">
        <v>13.023598670959499</v>
      </c>
      <c r="K274" s="756">
        <v>14.4141092300415</v>
      </c>
      <c r="L274" s="756">
        <v>15.219378471374499</v>
      </c>
      <c r="M274" s="756">
        <v>15.915946006774901</v>
      </c>
      <c r="N274" s="756">
        <v>16.592523574829102</v>
      </c>
      <c r="O274" s="756">
        <v>16.9536838531494</v>
      </c>
      <c r="P274" s="756">
        <v>17.162534713745099</v>
      </c>
      <c r="Q274" s="756">
        <v>17.429744720458999</v>
      </c>
      <c r="R274" s="756">
        <v>17.456914901733398</v>
      </c>
      <c r="S274" s="756">
        <v>17.5628662109375</v>
      </c>
      <c r="T274" s="756">
        <v>17.630765914916999</v>
      </c>
      <c r="U274" s="756">
        <v>17.410764694213899</v>
      </c>
      <c r="V274" s="756">
        <v>17.6028347015381</v>
      </c>
      <c r="W274" s="756">
        <v>17.926630020141602</v>
      </c>
      <c r="X274" s="756">
        <v>18.257143020629901</v>
      </c>
      <c r="Y274" s="756">
        <v>18.451654434204102</v>
      </c>
      <c r="Z274" s="756">
        <v>18.835027694702099</v>
      </c>
      <c r="AA274" s="300">
        <v>10.4858131408691</v>
      </c>
      <c r="AB274" s="300">
        <v>10.572740554809601</v>
      </c>
      <c r="AC274" s="300">
        <v>10.740042686462401</v>
      </c>
      <c r="AD274" s="300">
        <v>10.786236763000501</v>
      </c>
    </row>
    <row r="275" spans="1:70" ht="13.8" thickBot="1" x14ac:dyDescent="0.3">
      <c r="A275" s="754" t="s">
        <v>611</v>
      </c>
      <c r="B275" s="756">
        <v>15.5415086746216</v>
      </c>
      <c r="C275" s="756">
        <v>15.4958410263062</v>
      </c>
      <c r="D275" s="756">
        <v>16.8896675109863</v>
      </c>
      <c r="E275" s="756">
        <v>12.7877197265625</v>
      </c>
      <c r="F275" s="756">
        <v>13.502610206604</v>
      </c>
      <c r="G275" s="756">
        <v>13.8291311264038</v>
      </c>
      <c r="H275" s="756">
        <v>13.8390712738037</v>
      </c>
      <c r="I275" s="756">
        <v>13.843875885009799</v>
      </c>
      <c r="J275" s="756">
        <v>13.934069633483899</v>
      </c>
      <c r="K275" s="756">
        <v>14.0993509292603</v>
      </c>
      <c r="L275" s="756">
        <v>14.229956626892101</v>
      </c>
      <c r="M275" s="756">
        <v>14.3684740066528</v>
      </c>
      <c r="N275" s="756">
        <v>14.5119123458862</v>
      </c>
      <c r="O275" s="756">
        <v>14.701403617858899</v>
      </c>
      <c r="P275" s="756">
        <v>14.9462375640869</v>
      </c>
      <c r="Q275" s="756">
        <v>15.0934410095215</v>
      </c>
      <c r="R275" s="756">
        <v>15.092455863952599</v>
      </c>
      <c r="S275" s="756">
        <v>14.8220539093018</v>
      </c>
      <c r="T275" s="756">
        <v>14.7596139907837</v>
      </c>
      <c r="U275" s="756">
        <v>14.661186218261699</v>
      </c>
      <c r="V275" s="756">
        <v>14.786495208740201</v>
      </c>
      <c r="W275" s="756">
        <v>15.012266159057599</v>
      </c>
      <c r="X275" s="756">
        <v>15.2852840423584</v>
      </c>
      <c r="Y275" s="756">
        <v>15.4684591293335</v>
      </c>
      <c r="Z275" s="756">
        <v>15.6974124908447</v>
      </c>
      <c r="AA275" s="300">
        <v>6.7344188690185502</v>
      </c>
      <c r="AB275" s="300">
        <v>6.7479009628295898</v>
      </c>
      <c r="AC275" s="300">
        <v>6.8497943878173801</v>
      </c>
      <c r="AD275" s="300">
        <v>6.84698486328125</v>
      </c>
    </row>
    <row r="276" spans="1:70" ht="13.8" thickBot="1" x14ac:dyDescent="0.3">
      <c r="A276" s="754" t="s">
        <v>469</v>
      </c>
      <c r="B276" s="756">
        <v>30.349004745483398</v>
      </c>
      <c r="C276" s="756">
        <v>30.777971267700199</v>
      </c>
      <c r="D276" s="756">
        <v>33.734138488769503</v>
      </c>
      <c r="E276" s="756">
        <v>31.501590728759801</v>
      </c>
      <c r="F276" s="756">
        <v>27.327030181884801</v>
      </c>
      <c r="G276" s="756">
        <v>28.561843872070298</v>
      </c>
      <c r="H276" s="756">
        <v>28.965305328369102</v>
      </c>
      <c r="I276" s="756">
        <v>28.9159030914307</v>
      </c>
      <c r="J276" s="756">
        <v>28.7644939422607</v>
      </c>
      <c r="K276" s="756">
        <v>28.526710510253899</v>
      </c>
      <c r="L276" s="756">
        <v>28.644361495971701</v>
      </c>
      <c r="M276" s="756">
        <v>28.6527919769287</v>
      </c>
      <c r="N276" s="756">
        <v>28.819505691528299</v>
      </c>
      <c r="O276" s="756">
        <v>28.888120651245099</v>
      </c>
      <c r="P276" s="756">
        <v>29.142557144165</v>
      </c>
      <c r="Q276" s="756">
        <v>29.470201492309599</v>
      </c>
      <c r="R276" s="756">
        <v>29.764074325561499</v>
      </c>
      <c r="S276" s="756">
        <v>29.801677703857401</v>
      </c>
      <c r="T276" s="756">
        <v>29.921939849853501</v>
      </c>
      <c r="U276" s="756">
        <v>30.035243988037099</v>
      </c>
      <c r="V276" s="756">
        <v>30.304817199706999</v>
      </c>
      <c r="W276" s="756">
        <v>30.8045558929443</v>
      </c>
      <c r="X276" s="756">
        <v>31.450147628784201</v>
      </c>
      <c r="Y276" s="756">
        <v>31.910936355590799</v>
      </c>
      <c r="Z276" s="756">
        <v>32.484222412109403</v>
      </c>
      <c r="AA276" s="300">
        <v>6.1479806900024396</v>
      </c>
      <c r="AB276" s="300">
        <v>6.2516684532165501</v>
      </c>
      <c r="AC276" s="300">
        <v>6.3134694099426296</v>
      </c>
      <c r="AD276" s="300">
        <v>6.3304243087768599</v>
      </c>
      <c r="AE276" s="277">
        <f>AD276+($AI$276-$AD$276)/5</f>
        <v>6.3370805697154289</v>
      </c>
      <c r="AF276" s="277">
        <f>AE276+($AI$276-$AD$276)/5</f>
        <v>6.3437368306539978</v>
      </c>
      <c r="AG276" s="277">
        <f>AF276+($AI$276-$AD$276)/5</f>
        <v>6.3503930915925668</v>
      </c>
      <c r="AH276" s="277">
        <f>AG276+($AI$276-$AD$276)/5</f>
        <v>6.3570493525311358</v>
      </c>
      <c r="AI276" s="278">
        <f>T446*$E$742</f>
        <v>6.363705613469703</v>
      </c>
      <c r="AJ276" s="277">
        <f>AI276+($AX$276-$AI$276)/15</f>
        <v>6.4357380850865695</v>
      </c>
      <c r="AK276" s="277">
        <f t="shared" ref="AK276:AW276" si="17">AJ276+($AX$276-$AI$276)/15</f>
        <v>6.5077705567034361</v>
      </c>
      <c r="AL276" s="277">
        <f t="shared" si="17"/>
        <v>6.5798030283203026</v>
      </c>
      <c r="AM276" s="277">
        <f t="shared" si="17"/>
        <v>6.6518354999371692</v>
      </c>
      <c r="AN276" s="277">
        <f t="shared" si="17"/>
        <v>6.7238679715540357</v>
      </c>
      <c r="AO276" s="277">
        <f t="shared" si="17"/>
        <v>6.7959004431709022</v>
      </c>
      <c r="AP276" s="277">
        <f t="shared" si="17"/>
        <v>6.8679329147877688</v>
      </c>
      <c r="AQ276" s="277">
        <f t="shared" si="17"/>
        <v>6.9399653864046353</v>
      </c>
      <c r="AR276" s="277">
        <f t="shared" si="17"/>
        <v>7.0119978580215019</v>
      </c>
      <c r="AS276" s="277">
        <f t="shared" si="17"/>
        <v>7.0840303296383684</v>
      </c>
      <c r="AT276" s="277">
        <f t="shared" si="17"/>
        <v>7.156062801255235</v>
      </c>
      <c r="AU276" s="277">
        <f t="shared" si="17"/>
        <v>7.2280952728721015</v>
      </c>
      <c r="AV276" s="277">
        <f t="shared" si="17"/>
        <v>7.3001277444889681</v>
      </c>
      <c r="AW276" s="277">
        <f t="shared" si="17"/>
        <v>7.3721602161058346</v>
      </c>
      <c r="AX276" s="278">
        <f>AI276*$B$742</f>
        <v>7.4441926877227056</v>
      </c>
      <c r="AY276" s="277">
        <f>AX276+($BM$276-$AX$276)/15</f>
        <v>7.51790324705948</v>
      </c>
      <c r="AZ276" s="277">
        <f t="shared" ref="AZ276:BL276" si="18">AY276+($BM$276-$AX$276)/15</f>
        <v>7.5916138063962544</v>
      </c>
      <c r="BA276" s="277">
        <f t="shared" si="18"/>
        <v>7.6653243657330288</v>
      </c>
      <c r="BB276" s="277">
        <f t="shared" si="18"/>
        <v>7.7390349250698032</v>
      </c>
      <c r="BC276" s="277">
        <f t="shared" si="18"/>
        <v>7.8127454844065776</v>
      </c>
      <c r="BD276" s="277">
        <f t="shared" si="18"/>
        <v>7.886456043743352</v>
      </c>
      <c r="BE276" s="277">
        <f t="shared" si="18"/>
        <v>7.9601666030801264</v>
      </c>
      <c r="BF276" s="277">
        <f t="shared" si="18"/>
        <v>8.0338771624169016</v>
      </c>
      <c r="BG276" s="277">
        <f t="shared" si="18"/>
        <v>8.107587721753676</v>
      </c>
      <c r="BH276" s="277">
        <f t="shared" si="18"/>
        <v>8.1812982810904504</v>
      </c>
      <c r="BI276" s="277">
        <f t="shared" si="18"/>
        <v>8.2550088404272248</v>
      </c>
      <c r="BJ276" s="277">
        <f t="shared" si="18"/>
        <v>8.3287193997639992</v>
      </c>
      <c r="BK276" s="277">
        <f t="shared" si="18"/>
        <v>8.4024299591007736</v>
      </c>
      <c r="BL276" s="277">
        <f t="shared" si="18"/>
        <v>8.476140518437548</v>
      </c>
      <c r="BM276" s="278">
        <f>AX276*$C$742</f>
        <v>8.5498510777743242</v>
      </c>
      <c r="BN276" s="277">
        <f>BM276+($BR$276-$BM$276)/5</f>
        <v>8.6345095936975138</v>
      </c>
      <c r="BO276" s="277">
        <f>BN276+($BR$276-$BM$276)/5</f>
        <v>8.7191681096207034</v>
      </c>
      <c r="BP276" s="277">
        <f>BO276+($BR$276-$BM$276)/5</f>
        <v>8.8038266255438931</v>
      </c>
      <c r="BQ276" s="277">
        <f>BP276+($BR$276-$BM$276)/5</f>
        <v>8.8884851414670827</v>
      </c>
      <c r="BR276" s="278">
        <f>BM276*$D$742</f>
        <v>8.9731436573902759</v>
      </c>
    </row>
    <row r="277" spans="1:70" ht="13.8" thickBot="1" x14ac:dyDescent="0.3">
      <c r="AA277" s="300">
        <v>1.65011918544769</v>
      </c>
      <c r="AB277" s="300">
        <v>1.6656291484832799</v>
      </c>
      <c r="AC277" s="300">
        <v>1.67491066455841</v>
      </c>
      <c r="AD277" s="300">
        <v>1.68971908092499</v>
      </c>
      <c r="AE277" s="285">
        <f>AD277+($AI$277-$AD$277)/5</f>
        <v>1.6902380098146863</v>
      </c>
      <c r="AF277" s="285">
        <f>AE277+($AI$277-$AD$277)/5</f>
        <v>1.6907569387043826</v>
      </c>
      <c r="AG277" s="285">
        <f>AF277+($AI$277-$AD$277)/5</f>
        <v>1.6912758675940789</v>
      </c>
      <c r="AH277" s="285">
        <f>AG277+($AI$277-$AD$277)/5</f>
        <v>1.6917947964837752</v>
      </c>
      <c r="AI277" s="286">
        <f>T447*$E$740</f>
        <v>1.692313725373471</v>
      </c>
      <c r="AJ277" s="285">
        <f>AI277+($AX$277-$AI$277)/15</f>
        <v>1.6972753042285647</v>
      </c>
      <c r="AK277" s="285">
        <f t="shared" ref="AK277:AW277" si="19">AJ277+($AX$277-$AI$277)/15</f>
        <v>1.7022368830836583</v>
      </c>
      <c r="AL277" s="285">
        <f t="shared" si="19"/>
        <v>1.7071984619387519</v>
      </c>
      <c r="AM277" s="285">
        <f t="shared" si="19"/>
        <v>1.7121600407938455</v>
      </c>
      <c r="AN277" s="285">
        <f t="shared" si="19"/>
        <v>1.7171216196489392</v>
      </c>
      <c r="AO277" s="285">
        <f t="shared" si="19"/>
        <v>1.7220831985040328</v>
      </c>
      <c r="AP277" s="285">
        <f t="shared" si="19"/>
        <v>1.7270447773591264</v>
      </c>
      <c r="AQ277" s="285">
        <f t="shared" si="19"/>
        <v>1.7320063562142201</v>
      </c>
      <c r="AR277" s="285">
        <f t="shared" si="19"/>
        <v>1.7369679350693137</v>
      </c>
      <c r="AS277" s="285">
        <f t="shared" si="19"/>
        <v>1.7419295139244073</v>
      </c>
      <c r="AT277" s="285">
        <f t="shared" si="19"/>
        <v>1.7468910927795009</v>
      </c>
      <c r="AU277" s="285">
        <f t="shared" si="19"/>
        <v>1.7518526716345946</v>
      </c>
      <c r="AV277" s="285">
        <f t="shared" si="19"/>
        <v>1.7568142504896882</v>
      </c>
      <c r="AW277" s="285">
        <f t="shared" si="19"/>
        <v>1.7617758293447818</v>
      </c>
      <c r="AX277" s="286">
        <f>AI277*$B$740</f>
        <v>1.7667374081998766</v>
      </c>
      <c r="AY277" s="285">
        <f>AX277+($BM$277-$AX$277)/15</f>
        <v>1.7700881577207939</v>
      </c>
      <c r="AZ277" s="285">
        <f t="shared" ref="AZ277:BL277" si="20">AY277+($BM$277-$AX$277)/15</f>
        <v>1.7734389072417112</v>
      </c>
      <c r="BA277" s="285">
        <f t="shared" si="20"/>
        <v>1.7767896567626285</v>
      </c>
      <c r="BB277" s="285">
        <f t="shared" si="20"/>
        <v>1.7801404062835458</v>
      </c>
      <c r="BC277" s="285">
        <f t="shared" si="20"/>
        <v>1.783491155804463</v>
      </c>
      <c r="BD277" s="285">
        <f t="shared" si="20"/>
        <v>1.7868419053253803</v>
      </c>
      <c r="BE277" s="285">
        <f t="shared" si="20"/>
        <v>1.7901926548462976</v>
      </c>
      <c r="BF277" s="285">
        <f t="shared" si="20"/>
        <v>1.7935434043672149</v>
      </c>
      <c r="BG277" s="285">
        <f t="shared" si="20"/>
        <v>1.7968941538881322</v>
      </c>
      <c r="BH277" s="285">
        <f t="shared" si="20"/>
        <v>1.8002449034090495</v>
      </c>
      <c r="BI277" s="285">
        <f t="shared" si="20"/>
        <v>1.8035956529299668</v>
      </c>
      <c r="BJ277" s="285">
        <f t="shared" si="20"/>
        <v>1.8069464024508841</v>
      </c>
      <c r="BK277" s="285">
        <f t="shared" si="20"/>
        <v>1.8102971519718014</v>
      </c>
      <c r="BL277" s="285">
        <f t="shared" si="20"/>
        <v>1.8136479014927187</v>
      </c>
      <c r="BM277" s="286">
        <f>AX277*$C$740</f>
        <v>1.8169986510136373</v>
      </c>
      <c r="BN277" s="285">
        <f>BM277+($BR$277-$BM$277)/5</f>
        <v>1.8204447247375162</v>
      </c>
      <c r="BO277" s="285">
        <f>BN277+($BR$277-$BM$277)/5</f>
        <v>1.823890798461395</v>
      </c>
      <c r="BP277" s="285">
        <f>BO277+($BR$277-$BM$277)/5</f>
        <v>1.8273368721852739</v>
      </c>
      <c r="BQ277" s="285">
        <f>BP277+($BR$277-$BM$277)/5</f>
        <v>1.8307829459091527</v>
      </c>
      <c r="BR277" s="286">
        <f>BM277*$D$740</f>
        <v>1.8342290196330318</v>
      </c>
    </row>
    <row r="278" spans="1:70" x14ac:dyDescent="0.25">
      <c r="A278" s="754" t="s">
        <v>612</v>
      </c>
      <c r="AA278" s="300"/>
      <c r="AB278" s="300"/>
      <c r="AC278" s="300"/>
      <c r="AD278" s="300"/>
    </row>
    <row r="279" spans="1:70" x14ac:dyDescent="0.25">
      <c r="A279" s="754" t="s">
        <v>599</v>
      </c>
      <c r="B279" s="756">
        <v>13.773189544677701</v>
      </c>
      <c r="C279" s="756">
        <v>14.7725219726563</v>
      </c>
      <c r="D279" s="756">
        <v>19.176651000976602</v>
      </c>
      <c r="E279" s="756">
        <v>12.4995737075806</v>
      </c>
      <c r="F279" s="756">
        <v>9.7914295196533203</v>
      </c>
      <c r="G279" s="756">
        <v>12.0805196762085</v>
      </c>
      <c r="H279" s="756">
        <v>13.8671321868896</v>
      </c>
      <c r="I279" s="756">
        <v>15.216549873352101</v>
      </c>
      <c r="J279" s="756">
        <v>16.469785690307599</v>
      </c>
      <c r="K279" s="756">
        <v>17.9636936187744</v>
      </c>
      <c r="L279" s="756">
        <v>18.832237243652301</v>
      </c>
      <c r="M279" s="756">
        <v>19.641151428222699</v>
      </c>
      <c r="N279" s="756">
        <v>20.348432540893601</v>
      </c>
      <c r="O279" s="756">
        <v>20.710233688354499</v>
      </c>
      <c r="P279" s="756">
        <v>20.980741500854499</v>
      </c>
      <c r="Q279" s="756">
        <v>21.161005020141602</v>
      </c>
      <c r="R279" s="756">
        <v>21.2950553894043</v>
      </c>
      <c r="S279" s="756">
        <v>21.596014022827099</v>
      </c>
      <c r="T279" s="756">
        <v>21.884708404541001</v>
      </c>
      <c r="U279" s="756">
        <v>21.582948684692401</v>
      </c>
      <c r="V279" s="756">
        <v>21.8727416992188</v>
      </c>
      <c r="W279" s="756">
        <v>22.200710296630898</v>
      </c>
      <c r="X279" s="756">
        <v>22.548530578613299</v>
      </c>
      <c r="Y279" s="756">
        <v>22.812198638916001</v>
      </c>
      <c r="Z279" s="756">
        <v>23.2114353179932</v>
      </c>
      <c r="AA279" s="300">
        <v>18.0768718719482</v>
      </c>
      <c r="AB279" s="300">
        <v>18.184886932373001</v>
      </c>
      <c r="AC279" s="300">
        <v>18.263076782226602</v>
      </c>
      <c r="AD279" s="300">
        <v>18.304286956787099</v>
      </c>
    </row>
    <row r="280" spans="1:70" x14ac:dyDescent="0.25">
      <c r="A280" s="754" t="s">
        <v>600</v>
      </c>
      <c r="B280" s="756">
        <v>8.3781757354736293</v>
      </c>
      <c r="C280" s="756">
        <v>8.5664386749267596</v>
      </c>
      <c r="D280" s="756">
        <v>14.309384346008301</v>
      </c>
      <c r="E280" s="756">
        <v>6.51324510574341</v>
      </c>
      <c r="F280" s="756">
        <v>6.6763448715209996</v>
      </c>
      <c r="G280" s="756">
        <v>9.3123388290405291</v>
      </c>
      <c r="H280" s="756">
        <v>10.994701385498001</v>
      </c>
      <c r="I280" s="756">
        <v>12.5300750732422</v>
      </c>
      <c r="J280" s="756">
        <v>13.7526693344116</v>
      </c>
      <c r="K280" s="756">
        <v>15.155575752258301</v>
      </c>
      <c r="L280" s="756">
        <v>15.963142395019499</v>
      </c>
      <c r="M280" s="756">
        <v>16.617677688598601</v>
      </c>
      <c r="N280" s="756">
        <v>17.274333953857401</v>
      </c>
      <c r="O280" s="756">
        <v>17.322587966918899</v>
      </c>
      <c r="P280" s="756">
        <v>17.542411804199201</v>
      </c>
      <c r="Q280" s="756">
        <v>17.799869537353501</v>
      </c>
      <c r="R280" s="756">
        <v>17.916141510009801</v>
      </c>
      <c r="S280" s="756">
        <v>18.075910568237301</v>
      </c>
      <c r="T280" s="756">
        <v>18.1613368988037</v>
      </c>
      <c r="U280" s="756">
        <v>17.935956954956101</v>
      </c>
      <c r="V280" s="756">
        <v>18.128087997436499</v>
      </c>
      <c r="W280" s="756">
        <v>18.400978088378899</v>
      </c>
      <c r="X280" s="756">
        <v>18.7218933105469</v>
      </c>
      <c r="Y280" s="756">
        <v>18.9085083007813</v>
      </c>
      <c r="Z280" s="756">
        <v>19.247135162353501</v>
      </c>
      <c r="AA280" s="300">
        <v>21.3195495605469</v>
      </c>
      <c r="AB280" s="300">
        <v>21.43874168396</v>
      </c>
      <c r="AC280" s="300">
        <v>21.398374557495099</v>
      </c>
      <c r="AD280" s="300">
        <v>21.4992275238037</v>
      </c>
    </row>
    <row r="281" spans="1:70" x14ac:dyDescent="0.25">
      <c r="A281" s="754" t="s">
        <v>500</v>
      </c>
      <c r="B281" s="756">
        <v>7.0546379089355504</v>
      </c>
      <c r="C281" s="756">
        <v>7.0191597938537598</v>
      </c>
      <c r="D281" s="756">
        <v>8.8716125488281303</v>
      </c>
      <c r="E281" s="756">
        <v>4.5556221008300799</v>
      </c>
      <c r="F281" s="756">
        <v>5.1293134689331099</v>
      </c>
      <c r="G281" s="756">
        <v>5.4535460472106898</v>
      </c>
      <c r="H281" s="756">
        <v>5.5187635421752903</v>
      </c>
      <c r="I281" s="756">
        <v>5.53977298736572</v>
      </c>
      <c r="J281" s="756">
        <v>5.6835036277770996</v>
      </c>
      <c r="K281" s="756">
        <v>5.8920464515686</v>
      </c>
      <c r="L281" s="756">
        <v>6.0819325447082502</v>
      </c>
      <c r="M281" s="756">
        <v>6.2693996429443404</v>
      </c>
      <c r="N281" s="756">
        <v>6.4775133132934597</v>
      </c>
      <c r="O281" s="756">
        <v>6.7354197502136204</v>
      </c>
      <c r="P281" s="756">
        <v>7.0278439521789604</v>
      </c>
      <c r="Q281" s="756">
        <v>7.2539091110229501</v>
      </c>
      <c r="R281" s="756">
        <v>7.3283839225768999</v>
      </c>
      <c r="S281" s="756">
        <v>7.1506276130676296</v>
      </c>
      <c r="T281" s="756">
        <v>7.1924118995666504</v>
      </c>
      <c r="U281" s="756">
        <v>7.1398839950561497</v>
      </c>
      <c r="V281" s="756">
        <v>7.2806253433227504</v>
      </c>
      <c r="W281" s="756">
        <v>7.5354790687561</v>
      </c>
      <c r="X281" s="756">
        <v>7.8600792884826696</v>
      </c>
      <c r="Y281" s="756">
        <v>8.0742120742797905</v>
      </c>
      <c r="Z281" s="756">
        <v>8.3395175933837908</v>
      </c>
      <c r="AA281" s="300">
        <v>17.291141510009801</v>
      </c>
      <c r="AB281" s="300">
        <v>17.529483795166001</v>
      </c>
      <c r="AC281" s="300">
        <v>17.525184631347699</v>
      </c>
      <c r="AD281" s="300">
        <v>17.7543029785156</v>
      </c>
    </row>
    <row r="282" spans="1:70" x14ac:dyDescent="0.25">
      <c r="A282" s="754" t="s">
        <v>613</v>
      </c>
      <c r="B282" s="756">
        <v>1.7355252504348799</v>
      </c>
      <c r="C282" s="756">
        <v>1.7800002098083501</v>
      </c>
      <c r="D282" s="756">
        <v>1.9310736656189</v>
      </c>
      <c r="E282" s="756">
        <v>1.98230564594269</v>
      </c>
      <c r="F282" s="756">
        <v>1.86225914955139</v>
      </c>
      <c r="G282" s="756">
        <v>1.87335216999054</v>
      </c>
      <c r="H282" s="756">
        <v>1.85759365558624</v>
      </c>
      <c r="I282" s="756">
        <v>1.8817487955093399</v>
      </c>
      <c r="J282" s="756">
        <v>1.9043176174163801</v>
      </c>
      <c r="K282" s="756">
        <v>1.90719401836395</v>
      </c>
      <c r="L282" s="756">
        <v>1.9170492887496899</v>
      </c>
      <c r="M282" s="756">
        <v>1.9259506464004501</v>
      </c>
      <c r="N282" s="756">
        <v>1.94080138206482</v>
      </c>
      <c r="O282" s="756">
        <v>1.94636797904968</v>
      </c>
      <c r="P282" s="756">
        <v>1.9562891721725499</v>
      </c>
      <c r="Q282" s="756">
        <v>1.9622501134872401</v>
      </c>
      <c r="R282" s="756">
        <v>1.9753552675247199</v>
      </c>
      <c r="S282" s="756">
        <v>1.9811542034149201</v>
      </c>
      <c r="T282" s="756">
        <v>1.98549652099609</v>
      </c>
      <c r="U282" s="756">
        <v>1.9898830652236901</v>
      </c>
      <c r="V282" s="756">
        <v>1.99634909629822</v>
      </c>
      <c r="W282" s="756">
        <v>2.00744533538818</v>
      </c>
      <c r="X282" s="756">
        <v>2.0202190876007098</v>
      </c>
      <c r="Y282" s="756">
        <v>2.0336120128631601</v>
      </c>
      <c r="Z282" s="756">
        <v>2.0445194244384801</v>
      </c>
      <c r="AA282" s="300">
        <v>11.227470397949199</v>
      </c>
      <c r="AB282" s="300">
        <v>11.517865180969199</v>
      </c>
      <c r="AC282" s="300">
        <v>11.5089683532715</v>
      </c>
      <c r="AD282" s="300">
        <v>11.7493782043457</v>
      </c>
    </row>
    <row r="283" spans="1:70" x14ac:dyDescent="0.25">
      <c r="AA283" s="300">
        <v>15.2353620529175</v>
      </c>
      <c r="AB283" s="300">
        <v>15.5302953720093</v>
      </c>
      <c r="AC283" s="300">
        <v>15.500846862793001</v>
      </c>
      <c r="AD283" s="300">
        <v>15.7047281265259</v>
      </c>
    </row>
    <row r="284" spans="1:70" x14ac:dyDescent="0.25">
      <c r="A284" s="754" t="s">
        <v>614</v>
      </c>
      <c r="AA284" s="300">
        <v>7.7013258934020996</v>
      </c>
      <c r="AB284" s="300">
        <v>7.6767330169677699</v>
      </c>
      <c r="AC284" s="300">
        <v>7.8322434425354004</v>
      </c>
      <c r="AD284" s="300">
        <v>7.7872447967529297</v>
      </c>
    </row>
    <row r="285" spans="1:70" x14ac:dyDescent="0.25">
      <c r="A285" s="754" t="s">
        <v>598</v>
      </c>
      <c r="B285" s="756">
        <v>15.657142639160201</v>
      </c>
      <c r="C285" s="756">
        <v>18.5313529968262</v>
      </c>
      <c r="D285" s="756">
        <v>19.701341629028299</v>
      </c>
      <c r="E285" s="756">
        <v>16.4090671539307</v>
      </c>
      <c r="F285" s="756">
        <v>16.297544479370099</v>
      </c>
      <c r="G285" s="756">
        <v>18.4262371063232</v>
      </c>
      <c r="H285" s="756">
        <v>20.2184352874756</v>
      </c>
      <c r="I285" s="756">
        <v>21.813219070434599</v>
      </c>
      <c r="J285" s="756">
        <v>23.252103805541999</v>
      </c>
      <c r="K285" s="756">
        <v>24.811630249023398</v>
      </c>
      <c r="L285" s="756">
        <v>25.812454223632798</v>
      </c>
      <c r="M285" s="756">
        <v>26.627546310424801</v>
      </c>
      <c r="N285" s="756">
        <v>27.460300445556602</v>
      </c>
      <c r="O285" s="756">
        <v>27.8579425811768</v>
      </c>
      <c r="P285" s="756">
        <v>28.113265991210898</v>
      </c>
      <c r="Q285" s="756">
        <v>28.325565338134801</v>
      </c>
      <c r="R285" s="756">
        <v>28.4571437835693</v>
      </c>
      <c r="S285" s="756">
        <v>28.7732944488525</v>
      </c>
      <c r="T285" s="756">
        <v>28.920036315918001</v>
      </c>
      <c r="U285" s="756">
        <v>28.525373458862301</v>
      </c>
      <c r="V285" s="756">
        <v>28.814060211181602</v>
      </c>
      <c r="W285" s="756">
        <v>29.1242790222168</v>
      </c>
      <c r="X285" s="756">
        <v>29.486963272094702</v>
      </c>
      <c r="Y285" s="756">
        <v>29.629682540893601</v>
      </c>
      <c r="Z285" s="756">
        <v>30.0484523773193</v>
      </c>
      <c r="AA285" s="300">
        <v>7.8213167190551802</v>
      </c>
      <c r="AB285" s="300">
        <v>7.9383788108825701</v>
      </c>
      <c r="AC285" s="300">
        <v>8.0273618698120099</v>
      </c>
      <c r="AD285" s="300">
        <v>8.0851049423217791</v>
      </c>
    </row>
    <row r="286" spans="1:70" x14ac:dyDescent="0.25">
      <c r="A286" s="754" t="s">
        <v>607</v>
      </c>
      <c r="B286" s="756">
        <v>25.5142211914063</v>
      </c>
      <c r="C286" s="756">
        <v>26.818180084228501</v>
      </c>
      <c r="D286" s="756">
        <v>34.073703765869098</v>
      </c>
      <c r="E286" s="756">
        <v>20.3962516784668</v>
      </c>
      <c r="F286" s="756">
        <v>18.869060516357401</v>
      </c>
      <c r="G286" s="756">
        <v>22.499189376831101</v>
      </c>
      <c r="H286" s="756">
        <v>24.345371246337901</v>
      </c>
      <c r="I286" s="756">
        <v>25.8835773468018</v>
      </c>
      <c r="J286" s="756">
        <v>27.376197814941399</v>
      </c>
      <c r="K286" s="756">
        <v>25.5507621765137</v>
      </c>
      <c r="L286" s="756">
        <v>26.3307495117188</v>
      </c>
      <c r="M286" s="756">
        <v>27.042121887206999</v>
      </c>
      <c r="N286" s="756">
        <v>27.074653625488299</v>
      </c>
      <c r="O286" s="756">
        <v>28.861484527587901</v>
      </c>
      <c r="P286" s="756">
        <v>29.593324661254901</v>
      </c>
      <c r="Q286" s="756">
        <v>29.691083908081101</v>
      </c>
      <c r="R286" s="756">
        <v>29.8394565582275</v>
      </c>
      <c r="S286" s="756">
        <v>30.056737899780298</v>
      </c>
      <c r="T286" s="756">
        <v>30.123649597168001</v>
      </c>
      <c r="U286" s="756">
        <v>30.045396804809599</v>
      </c>
      <c r="V286" s="756">
        <v>30.335887908935501</v>
      </c>
      <c r="W286" s="756">
        <v>30.1821899414063</v>
      </c>
      <c r="X286" s="756">
        <v>30.567377090454102</v>
      </c>
      <c r="Y286" s="756">
        <v>31.227724075317401</v>
      </c>
      <c r="Z286" s="756">
        <v>30.935503005981399</v>
      </c>
      <c r="AA286" s="300">
        <v>2.7168338298797599</v>
      </c>
      <c r="AB286" s="300">
        <v>2.7307398319244398</v>
      </c>
      <c r="AC286" s="300">
        <v>2.7413196563720699</v>
      </c>
      <c r="AD286" s="300">
        <v>2.7546591758728001</v>
      </c>
    </row>
    <row r="287" spans="1:70" x14ac:dyDescent="0.25">
      <c r="A287" s="754" t="s">
        <v>608</v>
      </c>
      <c r="B287" s="756">
        <v>21.649000167846701</v>
      </c>
      <c r="C287" s="756">
        <v>22.8191947937012</v>
      </c>
      <c r="D287" s="756">
        <v>26.0107421875</v>
      </c>
      <c r="E287" s="756">
        <v>15.8019914627075</v>
      </c>
      <c r="F287" s="756">
        <v>17.711067199706999</v>
      </c>
      <c r="G287" s="756">
        <v>20.6589241027832</v>
      </c>
      <c r="H287" s="756">
        <v>22.298402786254901</v>
      </c>
      <c r="I287" s="756">
        <v>23.5152263641357</v>
      </c>
      <c r="J287" s="756">
        <v>24.813198089599599</v>
      </c>
      <c r="K287" s="756">
        <v>26.134485244751001</v>
      </c>
      <c r="L287" s="756">
        <v>27.0586547851563</v>
      </c>
      <c r="M287" s="756">
        <v>27.9900207519531</v>
      </c>
      <c r="N287" s="756">
        <v>28.799554824829102</v>
      </c>
      <c r="O287" s="756">
        <v>29.408401489257798</v>
      </c>
      <c r="P287" s="756">
        <v>29.935087203979499</v>
      </c>
      <c r="Q287" s="756">
        <v>30.054672241210898</v>
      </c>
      <c r="R287" s="756">
        <v>30.314332962036101</v>
      </c>
      <c r="S287" s="756">
        <v>30.492042541503899</v>
      </c>
      <c r="T287" s="756">
        <v>30.525100708007798</v>
      </c>
      <c r="U287" s="756">
        <v>30.442491531372099</v>
      </c>
      <c r="V287" s="756">
        <v>30.723676681518601</v>
      </c>
      <c r="W287" s="756">
        <v>30.701581954956101</v>
      </c>
      <c r="X287" s="756">
        <v>31.107343673706101</v>
      </c>
      <c r="Y287" s="756">
        <v>31.957983016967798</v>
      </c>
      <c r="Z287" s="756">
        <v>31.580909729003899</v>
      </c>
      <c r="AA287" s="300">
        <v>1.67883205413818</v>
      </c>
      <c r="AB287" s="300">
        <v>1.6938681602478001</v>
      </c>
      <c r="AC287" s="300">
        <v>1.7024568319320701</v>
      </c>
      <c r="AD287" s="300">
        <v>1.71655297279358</v>
      </c>
    </row>
    <row r="288" spans="1:70" x14ac:dyDescent="0.25">
      <c r="A288" s="754" t="s">
        <v>615</v>
      </c>
      <c r="B288" s="756">
        <v>15.2446508407593</v>
      </c>
      <c r="C288" s="756">
        <v>16.0964660644531</v>
      </c>
      <c r="D288" s="756">
        <v>22.1856594085693</v>
      </c>
      <c r="E288" s="756">
        <v>10.540905952453601</v>
      </c>
      <c r="F288" s="756">
        <v>10.4131317138672</v>
      </c>
      <c r="G288" s="756">
        <v>12.992267608642599</v>
      </c>
      <c r="H288" s="756">
        <v>14.8510446548462</v>
      </c>
      <c r="I288" s="756">
        <v>16.4927158355713</v>
      </c>
      <c r="J288" s="756">
        <v>17.888269424438501</v>
      </c>
      <c r="K288" s="756">
        <v>19.120731353759801</v>
      </c>
      <c r="L288" s="756">
        <v>20.025011062622099</v>
      </c>
      <c r="M288" s="756">
        <v>20.925888061523398</v>
      </c>
      <c r="N288" s="756">
        <v>21.650459289550799</v>
      </c>
      <c r="O288" s="756">
        <v>22.054113388061499</v>
      </c>
      <c r="P288" s="756">
        <v>22.358533859252901</v>
      </c>
      <c r="Q288" s="756">
        <v>22.535087585449201</v>
      </c>
      <c r="R288" s="756">
        <v>22.624557495117202</v>
      </c>
      <c r="S288" s="756">
        <v>22.875423431396499</v>
      </c>
      <c r="T288" s="756">
        <v>23.088819503784201</v>
      </c>
      <c r="U288" s="756">
        <v>22.878332138061499</v>
      </c>
      <c r="V288" s="756">
        <v>23.229129791259801</v>
      </c>
      <c r="W288" s="756">
        <v>23.440977096557599</v>
      </c>
      <c r="X288" s="756">
        <v>23.911849975585898</v>
      </c>
      <c r="Y288" s="756">
        <v>24.3618278503418</v>
      </c>
      <c r="Z288" s="756">
        <v>24.669164657592798</v>
      </c>
      <c r="AA288" s="300">
        <v>1.2833950519561801</v>
      </c>
      <c r="AB288" s="300">
        <v>1.3286876678466799</v>
      </c>
      <c r="AC288" s="300">
        <v>1.33012855052948</v>
      </c>
      <c r="AD288" s="300">
        <v>1.33445107936859</v>
      </c>
    </row>
    <row r="289" spans="1:30" x14ac:dyDescent="0.25">
      <c r="A289" s="754" t="s">
        <v>599</v>
      </c>
      <c r="B289" s="756">
        <v>19.171348571777301</v>
      </c>
      <c r="C289" s="756">
        <v>19.9431552886963</v>
      </c>
      <c r="D289" s="756">
        <v>25.721439361572301</v>
      </c>
      <c r="E289" s="756">
        <v>15.1513471603394</v>
      </c>
      <c r="F289" s="756">
        <v>13.5963325500488</v>
      </c>
      <c r="G289" s="756">
        <v>16.098552703857401</v>
      </c>
      <c r="H289" s="756">
        <v>18.014595031738299</v>
      </c>
      <c r="I289" s="756">
        <v>20.0945529937744</v>
      </c>
      <c r="J289" s="756">
        <v>21.487236022949201</v>
      </c>
      <c r="K289" s="756">
        <v>22.551927566528299</v>
      </c>
      <c r="L289" s="756">
        <v>23.4185886383057</v>
      </c>
      <c r="M289" s="756">
        <v>24.295482635498001</v>
      </c>
      <c r="N289" s="756">
        <v>25.028078079223601</v>
      </c>
      <c r="O289" s="756">
        <v>25.4735622406006</v>
      </c>
      <c r="P289" s="756">
        <v>25.7968635559082</v>
      </c>
      <c r="Q289" s="756">
        <v>25.744600296020501</v>
      </c>
      <c r="R289" s="756">
        <v>26.0401725769043</v>
      </c>
      <c r="S289" s="756">
        <v>26.245742797851602</v>
      </c>
      <c r="T289" s="756">
        <v>26.316581726074201</v>
      </c>
      <c r="U289" s="756">
        <v>26.282798767089801</v>
      </c>
      <c r="V289" s="756">
        <v>26.623888015747099</v>
      </c>
      <c r="W289" s="756">
        <v>26.532428741455099</v>
      </c>
      <c r="X289" s="756">
        <v>26.9911499023438</v>
      </c>
      <c r="Y289" s="756">
        <v>27.692060470581101</v>
      </c>
      <c r="Z289" s="756">
        <v>27.7130451202393</v>
      </c>
      <c r="AA289" s="300">
        <v>23.429731369018601</v>
      </c>
      <c r="AB289" s="300">
        <v>23.480413436889599</v>
      </c>
      <c r="AC289" s="300">
        <v>23.589033126831101</v>
      </c>
      <c r="AD289" s="300">
        <v>23.596023559570298</v>
      </c>
    </row>
    <row r="290" spans="1:30" x14ac:dyDescent="0.25">
      <c r="A290" s="754" t="s">
        <v>600</v>
      </c>
      <c r="B290" s="756">
        <v>8.4246683120727504</v>
      </c>
      <c r="C290" s="756">
        <v>9.3672227859497106</v>
      </c>
      <c r="D290" s="756">
        <v>14.1781015396118</v>
      </c>
      <c r="E290" s="756">
        <v>6.5043296813964799</v>
      </c>
      <c r="F290" s="756">
        <v>6.9149212837219203</v>
      </c>
      <c r="G290" s="756">
        <v>9.2013835906982404</v>
      </c>
      <c r="H290" s="756">
        <v>10.8588418960571</v>
      </c>
      <c r="I290" s="756">
        <v>12.3554439544678</v>
      </c>
      <c r="J290" s="756">
        <v>13.5696716308594</v>
      </c>
      <c r="K290" s="756">
        <v>14.9571332931519</v>
      </c>
      <c r="L290" s="756">
        <v>15.7562828063965</v>
      </c>
      <c r="M290" s="756">
        <v>16.419845581054702</v>
      </c>
      <c r="N290" s="756">
        <v>17.090215682983398</v>
      </c>
      <c r="O290" s="756">
        <v>17.3671054840088</v>
      </c>
      <c r="P290" s="756">
        <v>17.589653015136701</v>
      </c>
      <c r="Q290" s="756">
        <v>17.8480415344238</v>
      </c>
      <c r="R290" s="756">
        <v>17.911899566650401</v>
      </c>
      <c r="S290" s="756">
        <v>18.041828155517599</v>
      </c>
      <c r="T290" s="756">
        <v>18.112939834594702</v>
      </c>
      <c r="U290" s="756">
        <v>17.862413406372099</v>
      </c>
      <c r="V290" s="756">
        <v>18.047613143920898</v>
      </c>
      <c r="W290" s="756">
        <v>18.333000183105501</v>
      </c>
      <c r="X290" s="756">
        <v>18.6528930664063</v>
      </c>
      <c r="Y290" s="756">
        <v>18.8375339508057</v>
      </c>
      <c r="Z290" s="756">
        <v>19.187860488891602</v>
      </c>
      <c r="AA290" s="300"/>
      <c r="AB290" s="300"/>
      <c r="AC290" s="300"/>
      <c r="AD290" s="300"/>
    </row>
    <row r="291" spans="1:30" x14ac:dyDescent="0.25">
      <c r="A291" s="754" t="s">
        <v>500</v>
      </c>
      <c r="B291" s="756">
        <v>9.5015735626220703</v>
      </c>
      <c r="C291" s="756">
        <v>9.0060253143310494</v>
      </c>
      <c r="D291" s="756">
        <v>10.1816816329956</v>
      </c>
      <c r="E291" s="756">
        <v>6.76324558258057</v>
      </c>
      <c r="F291" s="756">
        <v>7.4289712905883798</v>
      </c>
      <c r="G291" s="756">
        <v>7.7374553680419904</v>
      </c>
      <c r="H291" s="756">
        <v>7.7907910346984899</v>
      </c>
      <c r="I291" s="756">
        <v>7.79954290390015</v>
      </c>
      <c r="J291" s="756">
        <v>7.91036033630371</v>
      </c>
      <c r="K291" s="756">
        <v>8.0721502304077095</v>
      </c>
      <c r="L291" s="756">
        <v>8.2674913406372106</v>
      </c>
      <c r="M291" s="756">
        <v>8.4630060195922905</v>
      </c>
      <c r="N291" s="756">
        <v>8.6615943908691406</v>
      </c>
      <c r="O291" s="756">
        <v>8.9140930175781303</v>
      </c>
      <c r="P291" s="756">
        <v>9.2212562561035192</v>
      </c>
      <c r="Q291" s="756">
        <v>9.4307956695556605</v>
      </c>
      <c r="R291" s="756">
        <v>9.4883728027343803</v>
      </c>
      <c r="S291" s="756">
        <v>9.2674760818481392</v>
      </c>
      <c r="T291" s="756">
        <v>9.2395153045654297</v>
      </c>
      <c r="U291" s="756">
        <v>9.1623344421386701</v>
      </c>
      <c r="V291" s="756">
        <v>9.3142642974853498</v>
      </c>
      <c r="W291" s="756">
        <v>9.5711297988891602</v>
      </c>
      <c r="X291" s="756">
        <v>9.9057645797729492</v>
      </c>
      <c r="Y291" s="756">
        <v>10.151716232299799</v>
      </c>
      <c r="Z291" s="756">
        <v>10.4206848144531</v>
      </c>
      <c r="AA291" s="300"/>
      <c r="AB291" s="300"/>
      <c r="AC291" s="300"/>
      <c r="AD291" s="300"/>
    </row>
    <row r="292" spans="1:30" x14ac:dyDescent="0.25">
      <c r="A292" s="754" t="s">
        <v>603</v>
      </c>
      <c r="B292" s="756">
        <v>3.6353600025177002</v>
      </c>
      <c r="C292" s="756">
        <v>3.6099998950958301</v>
      </c>
      <c r="D292" s="756">
        <v>4.0558156967163104</v>
      </c>
      <c r="E292" s="756">
        <v>4.0487108230590803</v>
      </c>
      <c r="F292" s="756">
        <v>3.9977276325225799</v>
      </c>
      <c r="G292" s="756">
        <v>4.1121706962585396</v>
      </c>
      <c r="H292" s="756">
        <v>4.1809573173522896</v>
      </c>
      <c r="I292" s="756">
        <v>4.2343683242797896</v>
      </c>
      <c r="J292" s="756">
        <v>4.27162742614746</v>
      </c>
      <c r="K292" s="756">
        <v>4.2985162734985396</v>
      </c>
      <c r="L292" s="756">
        <v>4.3192996978759801</v>
      </c>
      <c r="M292" s="756">
        <v>4.3337044715881303</v>
      </c>
      <c r="N292" s="756">
        <v>4.3530845642089799</v>
      </c>
      <c r="O292" s="756">
        <v>4.3696141242981001</v>
      </c>
      <c r="P292" s="756">
        <v>4.3899216651916504</v>
      </c>
      <c r="Q292" s="756">
        <v>4.4470157623290998</v>
      </c>
      <c r="R292" s="756">
        <v>4.5093812942504901</v>
      </c>
      <c r="S292" s="756">
        <v>4.5352845191955602</v>
      </c>
      <c r="T292" s="756">
        <v>4.5618190765380904</v>
      </c>
      <c r="U292" s="756">
        <v>4.5643453598022496</v>
      </c>
      <c r="V292" s="756">
        <v>4.5493078231811497</v>
      </c>
      <c r="W292" s="756">
        <v>4.5490665435790998</v>
      </c>
      <c r="X292" s="756">
        <v>4.5331215858459499</v>
      </c>
      <c r="Y292" s="756">
        <v>4.4955492019653303</v>
      </c>
      <c r="Z292" s="756">
        <v>4.4319190979003897</v>
      </c>
      <c r="AA292" s="300">
        <v>253.732666015625</v>
      </c>
      <c r="AB292" s="300">
        <v>257.28918457031301</v>
      </c>
      <c r="AC292" s="300">
        <v>259.96432495117199</v>
      </c>
      <c r="AD292" s="300">
        <v>262.21316528320301</v>
      </c>
    </row>
    <row r="293" spans="1:30" x14ac:dyDescent="0.25">
      <c r="A293" s="754" t="s">
        <v>616</v>
      </c>
      <c r="B293" s="756">
        <v>1.7776364088058501</v>
      </c>
      <c r="C293" s="756">
        <v>1.81885313987732</v>
      </c>
      <c r="D293" s="756">
        <v>1.9676311016082799</v>
      </c>
      <c r="E293" s="756">
        <v>2.0067975521087602</v>
      </c>
      <c r="F293" s="756">
        <v>1.88941025733948</v>
      </c>
      <c r="G293" s="756">
        <v>1.9042230844497701</v>
      </c>
      <c r="H293" s="756">
        <v>1.89033174514771</v>
      </c>
      <c r="I293" s="756">
        <v>1.9154095649719201</v>
      </c>
      <c r="J293" s="756">
        <v>1.93832087516785</v>
      </c>
      <c r="K293" s="756">
        <v>1.94072294235229</v>
      </c>
      <c r="L293" s="756">
        <v>1.9500694274902299</v>
      </c>
      <c r="M293" s="756">
        <v>1.9586881399154701</v>
      </c>
      <c r="N293" s="756">
        <v>1.9732190370559699</v>
      </c>
      <c r="O293" s="756">
        <v>1.9783339500427199</v>
      </c>
      <c r="P293" s="756">
        <v>1.98810267448425</v>
      </c>
      <c r="Q293" s="756">
        <v>1.9938982725143399</v>
      </c>
      <c r="R293" s="756">
        <v>2.0064799785614</v>
      </c>
      <c r="S293" s="756">
        <v>2.0119984149932901</v>
      </c>
      <c r="T293" s="756">
        <v>2.0163278579711901</v>
      </c>
      <c r="U293" s="756">
        <v>2.0205180644989</v>
      </c>
      <c r="V293" s="756">
        <v>2.0271856784820601</v>
      </c>
      <c r="W293" s="756">
        <v>2.0382561683654798</v>
      </c>
      <c r="X293" s="756">
        <v>2.0508835315704301</v>
      </c>
      <c r="Y293" s="756">
        <v>2.0641281604766801</v>
      </c>
      <c r="Z293" s="756">
        <v>2.0750961303710902</v>
      </c>
      <c r="AA293" s="300">
        <v>208.50216674804699</v>
      </c>
      <c r="AB293" s="300">
        <v>213.246017456055</v>
      </c>
      <c r="AC293" s="300">
        <v>217.97378540039099</v>
      </c>
      <c r="AD293" s="300">
        <v>222.08200073242199</v>
      </c>
    </row>
    <row r="294" spans="1:30" x14ac:dyDescent="0.25">
      <c r="A294" s="754" t="s">
        <v>605</v>
      </c>
      <c r="B294" s="756">
        <v>0</v>
      </c>
      <c r="C294" s="756">
        <v>0</v>
      </c>
      <c r="D294" s="756">
        <v>0</v>
      </c>
      <c r="E294" s="756">
        <v>0</v>
      </c>
      <c r="F294" s="756">
        <v>0</v>
      </c>
      <c r="G294" s="756">
        <v>1.5133428573608401</v>
      </c>
      <c r="H294" s="756">
        <v>1.3742095232009901</v>
      </c>
      <c r="I294" s="756">
        <v>1.19064140319824</v>
      </c>
      <c r="J294" s="756">
        <v>1.3664953708648699</v>
      </c>
      <c r="K294" s="756">
        <v>1.33487153053284</v>
      </c>
      <c r="L294" s="756">
        <v>1.31654036045074</v>
      </c>
      <c r="M294" s="756">
        <v>1.30223417282104</v>
      </c>
      <c r="N294" s="756">
        <v>1.30838906764984</v>
      </c>
      <c r="O294" s="756">
        <v>1.32146644592285</v>
      </c>
      <c r="P294" s="756">
        <v>1.3489345312118499</v>
      </c>
      <c r="Q294" s="756">
        <v>1.3524934053421001</v>
      </c>
      <c r="R294" s="756">
        <v>1.3570195436477701</v>
      </c>
      <c r="S294" s="756">
        <v>1.3626403808593801</v>
      </c>
      <c r="T294" s="756">
        <v>1.37119424343109</v>
      </c>
      <c r="U294" s="756">
        <v>1.3635557889938399</v>
      </c>
      <c r="V294" s="756">
        <v>1.3662919998168901</v>
      </c>
      <c r="W294" s="756">
        <v>1.37254309654236</v>
      </c>
      <c r="X294" s="756">
        <v>1.37609398365021</v>
      </c>
      <c r="Y294" s="756">
        <v>1.3784751892089799</v>
      </c>
      <c r="Z294" s="756">
        <v>1.3805129528045701</v>
      </c>
      <c r="AA294" s="300">
        <v>212.89649963378901</v>
      </c>
      <c r="AB294" s="300">
        <v>216.30204772949199</v>
      </c>
      <c r="AC294" s="300">
        <v>219.267822265625</v>
      </c>
      <c r="AD294" s="300">
        <v>222.079177856445</v>
      </c>
    </row>
    <row r="295" spans="1:30" x14ac:dyDescent="0.25">
      <c r="A295" s="754" t="s">
        <v>469</v>
      </c>
      <c r="B295" s="756">
        <v>26.672916412353501</v>
      </c>
      <c r="C295" s="756">
        <v>26.680915832519499</v>
      </c>
      <c r="D295" s="756">
        <v>27.799331665039102</v>
      </c>
      <c r="E295" s="756">
        <v>26.6892414093018</v>
      </c>
      <c r="F295" s="756">
        <v>24.2756156921387</v>
      </c>
      <c r="G295" s="756">
        <v>25.0947151184082</v>
      </c>
      <c r="H295" s="756">
        <v>25.0493679046631</v>
      </c>
      <c r="I295" s="756">
        <v>25.093559265136701</v>
      </c>
      <c r="J295" s="756">
        <v>25.339256286621101</v>
      </c>
      <c r="K295" s="756">
        <v>25.454051971435501</v>
      </c>
      <c r="L295" s="756">
        <v>25.7708930969238</v>
      </c>
      <c r="M295" s="756">
        <v>26.1124782562256</v>
      </c>
      <c r="N295" s="756">
        <v>26.474697113037099</v>
      </c>
      <c r="O295" s="756">
        <v>26.7419338226318</v>
      </c>
      <c r="P295" s="756">
        <v>27.1641750335693</v>
      </c>
      <c r="Q295" s="756">
        <v>27.529588699340799</v>
      </c>
      <c r="R295" s="756">
        <v>27.7828693389893</v>
      </c>
      <c r="S295" s="756">
        <v>27.754991531372099</v>
      </c>
      <c r="T295" s="756">
        <v>27.792310714721701</v>
      </c>
      <c r="U295" s="756">
        <v>27.7856330871582</v>
      </c>
      <c r="V295" s="756">
        <v>27.867961883544901</v>
      </c>
      <c r="W295" s="756">
        <v>28.2280673980713</v>
      </c>
      <c r="X295" s="756">
        <v>28.6754856109619</v>
      </c>
      <c r="Y295" s="756">
        <v>29.0858860015869</v>
      </c>
      <c r="Z295" s="756">
        <v>29.4564533233643</v>
      </c>
      <c r="AA295" s="300">
        <v>588.97521972656295</v>
      </c>
      <c r="AB295" s="300">
        <v>607.12139892578102</v>
      </c>
      <c r="AC295" s="300">
        <v>615.45501708984398</v>
      </c>
      <c r="AD295" s="300">
        <v>632.78991699218795</v>
      </c>
    </row>
    <row r="296" spans="1:30" x14ac:dyDescent="0.25">
      <c r="AA296" s="300">
        <v>1264.10656738281</v>
      </c>
      <c r="AB296" s="300">
        <v>1293.95861816406</v>
      </c>
      <c r="AC296" s="300">
        <v>1312.66088867188</v>
      </c>
      <c r="AD296" s="300">
        <v>1339.16430664063</v>
      </c>
    </row>
    <row r="297" spans="1:30" x14ac:dyDescent="0.25">
      <c r="A297" s="754" t="s">
        <v>503</v>
      </c>
      <c r="AA297" s="300">
        <v>0.38684526085853599</v>
      </c>
      <c r="AB297" s="300">
        <v>0.443235874176025</v>
      </c>
      <c r="AC297" s="300">
        <v>0.46923574805259699</v>
      </c>
      <c r="AD297" s="300">
        <v>0.51463860273361195</v>
      </c>
    </row>
    <row r="298" spans="1:30" x14ac:dyDescent="0.25">
      <c r="A298" s="754" t="s">
        <v>714</v>
      </c>
      <c r="AA298" s="300">
        <v>1264.49340820313</v>
      </c>
      <c r="AB298" s="300">
        <v>1294.40185546875</v>
      </c>
      <c r="AC298" s="300">
        <v>1313.13012695313</v>
      </c>
      <c r="AD298" s="300">
        <v>1339.67895507813</v>
      </c>
    </row>
    <row r="299" spans="1:30" x14ac:dyDescent="0.25">
      <c r="A299" s="754" t="s">
        <v>463</v>
      </c>
      <c r="B299" s="756">
        <v>231.10064697265599</v>
      </c>
      <c r="C299" s="756">
        <v>238.40081787109401</v>
      </c>
      <c r="D299" s="756">
        <v>250.00378417968801</v>
      </c>
      <c r="E299" s="756">
        <v>223.81915283203099</v>
      </c>
      <c r="F299" s="756">
        <v>215.29118347168</v>
      </c>
      <c r="G299" s="756">
        <v>224.09677124023401</v>
      </c>
      <c r="H299" s="756">
        <v>227.34310913085901</v>
      </c>
      <c r="I299" s="756">
        <v>227.85260009765599</v>
      </c>
      <c r="J299" s="756">
        <v>231.24415588378901</v>
      </c>
      <c r="K299" s="756">
        <v>234.18721008300801</v>
      </c>
      <c r="L299" s="756">
        <v>238.75100708007801</v>
      </c>
      <c r="M299" s="756">
        <v>243.18489074707</v>
      </c>
      <c r="N299" s="756">
        <v>248.169021606445</v>
      </c>
      <c r="O299" s="756">
        <v>252.72660827636699</v>
      </c>
      <c r="P299" s="756">
        <v>258.44952392578102</v>
      </c>
      <c r="Q299" s="756">
        <v>262.50808715820301</v>
      </c>
      <c r="R299" s="756">
        <v>265.94851684570301</v>
      </c>
      <c r="S299" s="756">
        <v>267.30322265625</v>
      </c>
      <c r="T299" s="756">
        <v>270.58847045898398</v>
      </c>
      <c r="U299" s="756">
        <v>272.04168701171898</v>
      </c>
      <c r="V299" s="756">
        <v>276.25186157226602</v>
      </c>
      <c r="W299" s="756">
        <v>282.20260620117199</v>
      </c>
      <c r="X299" s="756">
        <v>288.93267822265602</v>
      </c>
      <c r="Y299" s="756">
        <v>293.60751342773398</v>
      </c>
      <c r="Z299" s="756">
        <v>298.90402221679699</v>
      </c>
      <c r="AA299" s="300"/>
      <c r="AB299" s="300"/>
      <c r="AC299" s="300"/>
      <c r="AD299" s="300"/>
    </row>
    <row r="300" spans="1:30" x14ac:dyDescent="0.25">
      <c r="A300" s="754" t="s">
        <v>470</v>
      </c>
      <c r="B300" s="756">
        <v>170.28274536132801</v>
      </c>
      <c r="C300" s="756">
        <v>172.89260864257801</v>
      </c>
      <c r="D300" s="756">
        <v>183.352294921875</v>
      </c>
      <c r="E300" s="756">
        <v>163.89425659179699</v>
      </c>
      <c r="F300" s="756">
        <v>157.14476013183599</v>
      </c>
      <c r="G300" s="756">
        <v>164.69047546386699</v>
      </c>
      <c r="H300" s="756">
        <v>166.42567443847699</v>
      </c>
      <c r="I300" s="756">
        <v>169.00093078613301</v>
      </c>
      <c r="J300" s="756">
        <v>173.04789733886699</v>
      </c>
      <c r="K300" s="756">
        <v>176.93461608886699</v>
      </c>
      <c r="L300" s="756">
        <v>182.04042053222699</v>
      </c>
      <c r="M300" s="756">
        <v>187.24485778808599</v>
      </c>
      <c r="N300" s="756">
        <v>192.69107055664099</v>
      </c>
      <c r="O300" s="756">
        <v>197.508544921875</v>
      </c>
      <c r="P300" s="756">
        <v>203.26272583007801</v>
      </c>
      <c r="Q300" s="756">
        <v>208.31881713867199</v>
      </c>
      <c r="R300" s="756">
        <v>212.33370971679699</v>
      </c>
      <c r="S300" s="756">
        <v>214.22947692871099</v>
      </c>
      <c r="T300" s="756">
        <v>217.23475646972699</v>
      </c>
      <c r="U300" s="756">
        <v>219.65505981445301</v>
      </c>
      <c r="V300" s="756">
        <v>223.61666870117199</v>
      </c>
      <c r="W300" s="756">
        <v>229.31947326660199</v>
      </c>
      <c r="X300" s="756">
        <v>235.82908630371099</v>
      </c>
      <c r="Y300" s="756">
        <v>241.79779052734401</v>
      </c>
      <c r="Z300" s="756">
        <v>247.76422119140599</v>
      </c>
      <c r="AA300" s="300"/>
      <c r="AB300" s="300"/>
      <c r="AC300" s="300"/>
      <c r="AD300" s="300"/>
    </row>
    <row r="301" spans="1:30" x14ac:dyDescent="0.25">
      <c r="A301" s="754" t="s">
        <v>505</v>
      </c>
      <c r="B301" s="756">
        <v>216.08058166503901</v>
      </c>
      <c r="C301" s="756">
        <v>226.88609313964801</v>
      </c>
      <c r="D301" s="756">
        <v>248.66896057128901</v>
      </c>
      <c r="E301" s="756">
        <v>181.39601135253901</v>
      </c>
      <c r="F301" s="756">
        <v>151.70443725585901</v>
      </c>
      <c r="G301" s="756">
        <v>172.23597717285199</v>
      </c>
      <c r="H301" s="756">
        <v>186.63681030273401</v>
      </c>
      <c r="I301" s="756">
        <v>200.19924926757801</v>
      </c>
      <c r="J301" s="756">
        <v>207.03741455078099</v>
      </c>
      <c r="K301" s="756">
        <v>213.45352172851599</v>
      </c>
      <c r="L301" s="756">
        <v>218.62767028808599</v>
      </c>
      <c r="M301" s="756">
        <v>224.29528808593801</v>
      </c>
      <c r="N301" s="756">
        <v>229.96401977539099</v>
      </c>
      <c r="O301" s="756">
        <v>233.76069641113301</v>
      </c>
      <c r="P301" s="756">
        <v>239.065841674805</v>
      </c>
      <c r="Q301" s="756">
        <v>241.45851135253901</v>
      </c>
      <c r="R301" s="756">
        <v>242.383544921875</v>
      </c>
      <c r="S301" s="756">
        <v>242.41815185546901</v>
      </c>
      <c r="T301" s="756">
        <v>242.89247131347699</v>
      </c>
      <c r="U301" s="756">
        <v>240.916915893555</v>
      </c>
      <c r="V301" s="756">
        <v>241.41357421875</v>
      </c>
      <c r="W301" s="756">
        <v>242.50785827636699</v>
      </c>
      <c r="X301" s="756">
        <v>244.85752868652301</v>
      </c>
      <c r="Y301" s="756">
        <v>245.86729431152301</v>
      </c>
      <c r="Z301" s="756">
        <v>245.87216186523401</v>
      </c>
      <c r="AA301" s="300"/>
      <c r="AB301" s="300"/>
      <c r="AC301" s="300"/>
      <c r="AD301" s="300"/>
    </row>
    <row r="302" spans="1:30" x14ac:dyDescent="0.25">
      <c r="A302" s="754" t="s">
        <v>477</v>
      </c>
      <c r="B302" s="756">
        <v>564.62982177734398</v>
      </c>
      <c r="C302" s="756">
        <v>596.84759521484398</v>
      </c>
      <c r="D302" s="756">
        <v>693.65460205078102</v>
      </c>
      <c r="E302" s="756">
        <v>393.76574707031301</v>
      </c>
      <c r="F302" s="756">
        <v>430.90808105468801</v>
      </c>
      <c r="G302" s="756">
        <v>516.84307861328102</v>
      </c>
      <c r="H302" s="756">
        <v>568.141357421875</v>
      </c>
      <c r="I302" s="756">
        <v>610.89111328125</v>
      </c>
      <c r="J302" s="756">
        <v>646.41064453125</v>
      </c>
      <c r="K302" s="756">
        <v>676.39013671875</v>
      </c>
      <c r="L302" s="756">
        <v>696.72686767578102</v>
      </c>
      <c r="M302" s="756">
        <v>719.33160400390602</v>
      </c>
      <c r="N302" s="756">
        <v>737.13671875</v>
      </c>
      <c r="O302" s="756">
        <v>750.27301025390602</v>
      </c>
      <c r="P302" s="756">
        <v>759.33123779296898</v>
      </c>
      <c r="Q302" s="756">
        <v>760.33734130859398</v>
      </c>
      <c r="R302" s="756">
        <v>761.04602050781295</v>
      </c>
      <c r="S302" s="756">
        <v>771.55059814453102</v>
      </c>
      <c r="T302" s="756">
        <v>780.57421875</v>
      </c>
      <c r="U302" s="756">
        <v>783.147216796875</v>
      </c>
      <c r="V302" s="756">
        <v>796.70227050781295</v>
      </c>
      <c r="W302" s="756">
        <v>794.56842041015602</v>
      </c>
      <c r="X302" s="756">
        <v>811.39251708984398</v>
      </c>
      <c r="Y302" s="756">
        <v>832.07995605468795</v>
      </c>
      <c r="Z302" s="756">
        <v>835.36431884765602</v>
      </c>
      <c r="AA302" s="300"/>
      <c r="AB302" s="300"/>
      <c r="AC302" s="300"/>
      <c r="AD302" s="300"/>
    </row>
    <row r="303" spans="1:30" x14ac:dyDescent="0.25">
      <c r="A303" s="754" t="s">
        <v>506</v>
      </c>
      <c r="B303" s="756">
        <v>1182.09375</v>
      </c>
      <c r="C303" s="756">
        <v>1235.02709960938</v>
      </c>
      <c r="D303" s="756">
        <v>1375.6796875</v>
      </c>
      <c r="E303" s="756">
        <v>962.87518310546898</v>
      </c>
      <c r="F303" s="756">
        <v>955.04846191406295</v>
      </c>
      <c r="G303" s="756">
        <v>1077.86633300781</v>
      </c>
      <c r="H303" s="756">
        <v>1148.54699707031</v>
      </c>
      <c r="I303" s="756">
        <v>1207.94384765625</v>
      </c>
      <c r="J303" s="756">
        <v>1257.74011230469</v>
      </c>
      <c r="K303" s="756">
        <v>1300.96545410156</v>
      </c>
      <c r="L303" s="756">
        <v>1336.14599609375</v>
      </c>
      <c r="M303" s="756">
        <v>1374.056640625</v>
      </c>
      <c r="N303" s="756">
        <v>1407.96081542969</v>
      </c>
      <c r="O303" s="756">
        <v>1434.26879882813</v>
      </c>
      <c r="P303" s="756">
        <v>1460.109375</v>
      </c>
      <c r="Q303" s="756">
        <v>1472.62280273438</v>
      </c>
      <c r="R303" s="756">
        <v>1481.71179199219</v>
      </c>
      <c r="S303" s="756">
        <v>1495.50146484375</v>
      </c>
      <c r="T303" s="756">
        <v>1511.28991699219</v>
      </c>
      <c r="U303" s="756">
        <v>1515.76086425781</v>
      </c>
      <c r="V303" s="756">
        <v>1537.984375</v>
      </c>
      <c r="W303" s="756">
        <v>1548.59838867188</v>
      </c>
      <c r="X303" s="756">
        <v>1581.01184082031</v>
      </c>
      <c r="Y303" s="756">
        <v>1613.3525390625</v>
      </c>
      <c r="Z303" s="756">
        <v>1627.90478515625</v>
      </c>
      <c r="AA303" s="300"/>
      <c r="AB303" s="300"/>
      <c r="AC303" s="300"/>
      <c r="AD303" s="300"/>
    </row>
    <row r="304" spans="1:30" x14ac:dyDescent="0.25">
      <c r="A304" s="754" t="s">
        <v>618</v>
      </c>
      <c r="B304" s="756">
        <v>3.2131362706422799E-2</v>
      </c>
      <c r="C304" s="756">
        <v>4.0145620703697198E-2</v>
      </c>
      <c r="D304" s="756">
        <v>3.7687420845031697E-2</v>
      </c>
      <c r="E304" s="756">
        <v>2.54867300391197E-2</v>
      </c>
      <c r="F304" s="756">
        <v>5.4010055959224701E-2</v>
      </c>
      <c r="G304" s="756">
        <v>6.77362531423569E-2</v>
      </c>
      <c r="H304" s="756">
        <v>8.3178348839283003E-2</v>
      </c>
      <c r="I304" s="756">
        <v>9.4869345426559407E-2</v>
      </c>
      <c r="J304" s="756">
        <v>0.113030456006527</v>
      </c>
      <c r="K304" s="756">
        <v>1.97330021858215</v>
      </c>
      <c r="L304" s="756">
        <v>4.8567194938659703</v>
      </c>
      <c r="M304" s="756">
        <v>6.7303171157836896</v>
      </c>
      <c r="N304" s="756">
        <v>10.514961242675801</v>
      </c>
      <c r="O304" s="756">
        <v>15.7356252670288</v>
      </c>
      <c r="P304" s="756">
        <v>22.100711822509801</v>
      </c>
      <c r="Q304" s="756">
        <v>25.9892463684082</v>
      </c>
      <c r="R304" s="756">
        <v>35.539012908935497</v>
      </c>
      <c r="S304" s="756">
        <v>35.597633361816399</v>
      </c>
      <c r="T304" s="756">
        <v>34.1677055358887</v>
      </c>
      <c r="U304" s="756">
        <v>35.613494873046903</v>
      </c>
      <c r="V304" s="756">
        <v>37.140151977539098</v>
      </c>
      <c r="W304" s="756">
        <v>45.276290893554702</v>
      </c>
      <c r="X304" s="756">
        <v>47.974498748779297</v>
      </c>
      <c r="Y304" s="756">
        <v>53.190200805664098</v>
      </c>
      <c r="Z304" s="756">
        <v>54.179977416992202</v>
      </c>
      <c r="AA304" s="300"/>
      <c r="AB304" s="300"/>
      <c r="AC304" s="300"/>
      <c r="AD304" s="300"/>
    </row>
    <row r="305" spans="1:30" x14ac:dyDescent="0.25">
      <c r="A305" s="754" t="s">
        <v>508</v>
      </c>
      <c r="B305" s="756">
        <v>1182.12585449219</v>
      </c>
      <c r="C305" s="756">
        <v>1235.06726074219</v>
      </c>
      <c r="D305" s="756">
        <v>1375.71740722656</v>
      </c>
      <c r="E305" s="756">
        <v>962.90069580078102</v>
      </c>
      <c r="F305" s="756">
        <v>955.10247802734398</v>
      </c>
      <c r="G305" s="756">
        <v>1077.93408203125</v>
      </c>
      <c r="H305" s="756">
        <v>1148.63012695313</v>
      </c>
      <c r="I305" s="756">
        <v>1208.03869628906</v>
      </c>
      <c r="J305" s="756">
        <v>1257.85314941406</v>
      </c>
      <c r="K305" s="756">
        <v>1302.93872070313</v>
      </c>
      <c r="L305" s="756">
        <v>1341.00268554688</v>
      </c>
      <c r="M305" s="756">
        <v>1380.78698730469</v>
      </c>
      <c r="N305" s="756">
        <v>1418.47583007813</v>
      </c>
      <c r="O305" s="756">
        <v>1450.00439453125</v>
      </c>
      <c r="P305" s="756">
        <v>1482.21008300781</v>
      </c>
      <c r="Q305" s="756">
        <v>1498.61206054688</v>
      </c>
      <c r="R305" s="756">
        <v>1517.25085449219</v>
      </c>
      <c r="S305" s="756">
        <v>1531.09912109375</v>
      </c>
      <c r="T305" s="756">
        <v>1545.45764160156</v>
      </c>
      <c r="U305" s="756">
        <v>1551.37438964844</v>
      </c>
      <c r="V305" s="756">
        <v>1575.12451171875</v>
      </c>
      <c r="W305" s="756">
        <v>1593.87463378906</v>
      </c>
      <c r="X305" s="756">
        <v>1628.986328125</v>
      </c>
      <c r="Y305" s="756">
        <v>1666.54272460938</v>
      </c>
      <c r="Z305" s="756">
        <v>1682.08471679688</v>
      </c>
      <c r="AA305" s="300"/>
      <c r="AB305" s="300"/>
      <c r="AC305" s="300"/>
      <c r="AD305" s="300"/>
    </row>
    <row r="306" spans="1:30" x14ac:dyDescent="0.25">
      <c r="AA306" s="300"/>
      <c r="AB306" s="300"/>
      <c r="AC306" s="300"/>
      <c r="AD306" s="300"/>
    </row>
    <row r="307" spans="1:30" x14ac:dyDescent="0.25">
      <c r="AA307" s="300"/>
      <c r="AB307" s="300"/>
      <c r="AC307" s="300"/>
      <c r="AD307" s="300"/>
    </row>
    <row r="308" spans="1:30" x14ac:dyDescent="0.25">
      <c r="A308" s="754" t="s">
        <v>715</v>
      </c>
      <c r="AA308" s="300"/>
      <c r="AB308" s="300"/>
      <c r="AC308" s="300"/>
      <c r="AD308" s="300"/>
    </row>
    <row r="309" spans="1:30" x14ac:dyDescent="0.25">
      <c r="A309" s="754" t="s">
        <v>463</v>
      </c>
      <c r="AA309" s="300"/>
      <c r="AB309" s="300"/>
      <c r="AC309" s="300"/>
      <c r="AD309" s="300"/>
    </row>
    <row r="310" spans="1:30" x14ac:dyDescent="0.25">
      <c r="A310" s="754" t="s">
        <v>598</v>
      </c>
      <c r="B310" s="756">
        <v>23.2563285827637</v>
      </c>
      <c r="C310" s="756">
        <v>24.973464965820298</v>
      </c>
      <c r="D310" s="756">
        <v>29.096658706665</v>
      </c>
      <c r="E310" s="756">
        <v>22.194786071777301</v>
      </c>
      <c r="F310" s="756">
        <v>21.477947235107401</v>
      </c>
      <c r="G310" s="756">
        <v>24.1509113311768</v>
      </c>
      <c r="H310" s="756">
        <v>26.557428359985401</v>
      </c>
      <c r="I310" s="756">
        <v>28.936630249023398</v>
      </c>
      <c r="J310" s="756">
        <v>31.2247924804688</v>
      </c>
      <c r="K310" s="756">
        <v>33.758499145507798</v>
      </c>
      <c r="L310" s="756">
        <v>35.743316650390597</v>
      </c>
      <c r="M310" s="756">
        <v>37.599853515625</v>
      </c>
      <c r="N310" s="756">
        <v>39.552177429199197</v>
      </c>
      <c r="O310" s="756">
        <v>40.9905815124512</v>
      </c>
      <c r="P310" s="756">
        <v>42.334590911865199</v>
      </c>
      <c r="Q310" s="756">
        <v>43.7123832702637</v>
      </c>
      <c r="R310" s="756">
        <v>44.985881805419901</v>
      </c>
      <c r="S310" s="756">
        <v>46.523696899414098</v>
      </c>
      <c r="T310" s="756">
        <v>47.765018463134801</v>
      </c>
      <c r="U310" s="756">
        <v>48.143123626708999</v>
      </c>
      <c r="V310" s="756">
        <v>49.548942565917997</v>
      </c>
      <c r="W310" s="756">
        <v>50.986961364746101</v>
      </c>
      <c r="X310" s="756">
        <v>52.580905914306598</v>
      </c>
      <c r="Y310" s="756">
        <v>53.965934753417997</v>
      </c>
      <c r="Z310" s="756">
        <v>55.648300170898402</v>
      </c>
      <c r="AA310" s="300"/>
      <c r="AB310" s="300"/>
      <c r="AC310" s="300"/>
      <c r="AD310" s="300"/>
    </row>
    <row r="311" spans="1:30" x14ac:dyDescent="0.25">
      <c r="A311" s="754" t="s">
        <v>599</v>
      </c>
      <c r="B311" s="756">
        <v>17.979913711547901</v>
      </c>
      <c r="C311" s="756">
        <v>19.664405822753899</v>
      </c>
      <c r="D311" s="756">
        <v>24.466548919677699</v>
      </c>
      <c r="E311" s="756">
        <v>16.188474655151399</v>
      </c>
      <c r="F311" s="756">
        <v>13.8549404144287</v>
      </c>
      <c r="G311" s="756">
        <v>16.4927158355713</v>
      </c>
      <c r="H311" s="756">
        <v>18.5955104827881</v>
      </c>
      <c r="I311" s="756">
        <v>20.348911285400401</v>
      </c>
      <c r="J311" s="756">
        <v>22.1809597015381</v>
      </c>
      <c r="K311" s="756">
        <v>24.3712253570557</v>
      </c>
      <c r="L311" s="756">
        <v>25.9372863769531</v>
      </c>
      <c r="M311" s="756">
        <v>27.5034885406494</v>
      </c>
      <c r="N311" s="756">
        <v>29.0146675109863</v>
      </c>
      <c r="O311" s="756">
        <v>30.168525695800799</v>
      </c>
      <c r="P311" s="756">
        <v>31.2883205413818</v>
      </c>
      <c r="Q311" s="756">
        <v>32.275276184082003</v>
      </c>
      <c r="R311" s="756">
        <v>33.246475219726598</v>
      </c>
      <c r="S311" s="756">
        <v>34.4459838867188</v>
      </c>
      <c r="T311" s="756">
        <v>35.640113830566399</v>
      </c>
      <c r="U311" s="756">
        <v>35.882171630859403</v>
      </c>
      <c r="V311" s="756">
        <v>37.065284729003899</v>
      </c>
      <c r="W311" s="756">
        <v>38.310382843017599</v>
      </c>
      <c r="X311" s="756">
        <v>39.641868591308601</v>
      </c>
      <c r="Y311" s="756">
        <v>40.905982971191399</v>
      </c>
      <c r="Z311" s="756">
        <v>42.365245819091797</v>
      </c>
      <c r="AA311" s="300"/>
      <c r="AB311" s="300"/>
      <c r="AC311" s="300"/>
      <c r="AD311" s="300"/>
    </row>
    <row r="312" spans="1:30" x14ac:dyDescent="0.25">
      <c r="A312" s="754" t="s">
        <v>500</v>
      </c>
      <c r="B312" s="756">
        <v>13.3406887054443</v>
      </c>
      <c r="C312" s="756">
        <v>12.691158294677701</v>
      </c>
      <c r="D312" s="756">
        <v>13.2631158828735</v>
      </c>
      <c r="E312" s="756">
        <v>11.061133384704601</v>
      </c>
      <c r="F312" s="756">
        <v>11.614992141723601</v>
      </c>
      <c r="G312" s="756">
        <v>12.061012268066399</v>
      </c>
      <c r="H312" s="756">
        <v>12.1186227798462</v>
      </c>
      <c r="I312" s="756">
        <v>12.236530303955099</v>
      </c>
      <c r="J312" s="756">
        <v>12.476335525512701</v>
      </c>
      <c r="K312" s="756">
        <v>12.8177757263184</v>
      </c>
      <c r="L312" s="756">
        <v>13.333586692810099</v>
      </c>
      <c r="M312" s="756">
        <v>13.900782585144</v>
      </c>
      <c r="N312" s="756">
        <v>14.492022514343301</v>
      </c>
      <c r="O312" s="756">
        <v>15.1641521453857</v>
      </c>
      <c r="P312" s="756">
        <v>15.945101737976101</v>
      </c>
      <c r="Q312" s="756">
        <v>16.661958694458001</v>
      </c>
      <c r="R312" s="756">
        <v>17.186347961425799</v>
      </c>
      <c r="S312" s="756">
        <v>17.308622360229499</v>
      </c>
      <c r="T312" s="756">
        <v>17.6488857269287</v>
      </c>
      <c r="U312" s="756">
        <v>17.9868679046631</v>
      </c>
      <c r="V312" s="756">
        <v>18.635103225708001</v>
      </c>
      <c r="W312" s="756">
        <v>19.4500408172607</v>
      </c>
      <c r="X312" s="756">
        <v>20.3657627105713</v>
      </c>
      <c r="Y312" s="756">
        <v>21.1996364593506</v>
      </c>
      <c r="Z312" s="756">
        <v>22.095756530761701</v>
      </c>
      <c r="AA312" s="300"/>
      <c r="AB312" s="300"/>
      <c r="AC312" s="300"/>
      <c r="AD312" s="300"/>
    </row>
    <row r="313" spans="1:30" x14ac:dyDescent="0.25">
      <c r="A313" s="754" t="s">
        <v>469</v>
      </c>
      <c r="B313" s="756">
        <v>30.388185501098601</v>
      </c>
      <c r="C313" s="756">
        <v>31.181957244873001</v>
      </c>
      <c r="D313" s="756">
        <v>32.471218109130902</v>
      </c>
      <c r="E313" s="756">
        <v>31.722009658813501</v>
      </c>
      <c r="F313" s="756">
        <v>29.6958332061768</v>
      </c>
      <c r="G313" s="756">
        <v>31.365653991699201</v>
      </c>
      <c r="H313" s="756">
        <v>32.001548767089801</v>
      </c>
      <c r="I313" s="756">
        <v>32.924289703369098</v>
      </c>
      <c r="J313" s="756">
        <v>34.030689239502003</v>
      </c>
      <c r="K313" s="756">
        <v>34.890899658203097</v>
      </c>
      <c r="L313" s="756">
        <v>35.995761871337898</v>
      </c>
      <c r="M313" s="756">
        <v>37.227577209472699</v>
      </c>
      <c r="N313" s="756">
        <v>38.5026245117188</v>
      </c>
      <c r="O313" s="756">
        <v>39.672031402587898</v>
      </c>
      <c r="P313" s="756">
        <v>41.180412292480497</v>
      </c>
      <c r="Q313" s="756">
        <v>42.698352813720703</v>
      </c>
      <c r="R313" s="756">
        <v>44.053905487060497</v>
      </c>
      <c r="S313" s="756">
        <v>45.011627197265597</v>
      </c>
      <c r="T313" s="756">
        <v>46.023651123046903</v>
      </c>
      <c r="U313" s="756">
        <v>46.971866607666001</v>
      </c>
      <c r="V313" s="756">
        <v>48.032154083252003</v>
      </c>
      <c r="W313" s="756">
        <v>49.565544128417997</v>
      </c>
      <c r="X313" s="756">
        <v>51.240451812744098</v>
      </c>
      <c r="Y313" s="756">
        <v>52.949665069580099</v>
      </c>
      <c r="Z313" s="756">
        <v>54.583251953125</v>
      </c>
      <c r="AA313" s="300"/>
      <c r="AB313" s="300"/>
      <c r="AC313" s="300"/>
      <c r="AD313" s="300"/>
    </row>
    <row r="314" spans="1:30" x14ac:dyDescent="0.25">
      <c r="AA314" s="300"/>
      <c r="AB314" s="300"/>
      <c r="AC314" s="300"/>
      <c r="AD314" s="300"/>
    </row>
    <row r="315" spans="1:30" x14ac:dyDescent="0.25">
      <c r="A315" s="754" t="s">
        <v>470</v>
      </c>
      <c r="AA315" s="300"/>
      <c r="AB315" s="300"/>
      <c r="AC315" s="300"/>
      <c r="AD315" s="300"/>
    </row>
    <row r="316" spans="1:30" x14ac:dyDescent="0.25">
      <c r="A316" s="754" t="s">
        <v>598</v>
      </c>
      <c r="B316" s="756">
        <v>20.6414604187012</v>
      </c>
      <c r="C316" s="756">
        <v>23.041419982910199</v>
      </c>
      <c r="D316" s="756">
        <v>24.0578727722168</v>
      </c>
      <c r="E316" s="756">
        <v>21.6475944519043</v>
      </c>
      <c r="F316" s="756">
        <v>18.202018737793001</v>
      </c>
      <c r="G316" s="756">
        <v>20.8180141448975</v>
      </c>
      <c r="H316" s="756">
        <v>23.171899795532202</v>
      </c>
      <c r="I316" s="756">
        <v>25.4778232574463</v>
      </c>
      <c r="J316" s="756">
        <v>27.6801948547363</v>
      </c>
      <c r="K316" s="756">
        <v>30.122516632080099</v>
      </c>
      <c r="L316" s="756">
        <v>32.012001037597699</v>
      </c>
      <c r="M316" s="756">
        <v>33.770454406738303</v>
      </c>
      <c r="N316" s="756">
        <v>35.6212158203125</v>
      </c>
      <c r="O316" s="756">
        <v>36.9546508789063</v>
      </c>
      <c r="P316" s="756">
        <v>38.187240600585902</v>
      </c>
      <c r="Q316" s="756">
        <v>39.449775695800803</v>
      </c>
      <c r="R316" s="756">
        <v>40.605808258056598</v>
      </c>
      <c r="S316" s="756">
        <v>42.0293998718262</v>
      </c>
      <c r="T316" s="756">
        <v>43.160079956054702</v>
      </c>
      <c r="U316" s="756">
        <v>43.432140350341797</v>
      </c>
      <c r="V316" s="756">
        <v>44.7312202453613</v>
      </c>
      <c r="W316" s="756">
        <v>46.061283111572301</v>
      </c>
      <c r="X316" s="756">
        <v>47.542713165283203</v>
      </c>
      <c r="Y316" s="756">
        <v>48.814918518066399</v>
      </c>
      <c r="Z316" s="756">
        <v>50.382663726806598</v>
      </c>
      <c r="AA316" s="300"/>
      <c r="AB316" s="300"/>
      <c r="AC316" s="300"/>
      <c r="AD316" s="300"/>
    </row>
    <row r="317" spans="1:30" x14ac:dyDescent="0.25">
      <c r="A317" s="754" t="s">
        <v>599</v>
      </c>
      <c r="B317" s="756">
        <v>14.625953674316399</v>
      </c>
      <c r="C317" s="756">
        <v>16.054100036621101</v>
      </c>
      <c r="D317" s="756">
        <v>21.4175109863281</v>
      </c>
      <c r="E317" s="756">
        <v>14.1806936264038</v>
      </c>
      <c r="F317" s="756">
        <v>11.1656141281128</v>
      </c>
      <c r="G317" s="756">
        <v>13.940697669982899</v>
      </c>
      <c r="H317" s="756">
        <v>16.055301666259801</v>
      </c>
      <c r="I317" s="756">
        <v>18.2004089355469</v>
      </c>
      <c r="J317" s="756">
        <v>20.072311401367202</v>
      </c>
      <c r="K317" s="756">
        <v>21.922914505004901</v>
      </c>
      <c r="L317" s="756">
        <v>23.436100006103501</v>
      </c>
      <c r="M317" s="756">
        <v>24.993484497070298</v>
      </c>
      <c r="N317" s="756">
        <v>26.4673175811768</v>
      </c>
      <c r="O317" s="756">
        <v>27.614213943481399</v>
      </c>
      <c r="P317" s="756">
        <v>28.7058811187744</v>
      </c>
      <c r="Q317" s="756">
        <v>29.4854850769043</v>
      </c>
      <c r="R317" s="756">
        <v>30.5256862640381</v>
      </c>
      <c r="S317" s="756">
        <v>31.597146987915</v>
      </c>
      <c r="T317" s="756">
        <v>32.548923492431598</v>
      </c>
      <c r="U317" s="756">
        <v>32.997859954833999</v>
      </c>
      <c r="V317" s="756">
        <v>34.165657043457003</v>
      </c>
      <c r="W317" s="756">
        <v>35.000114440917997</v>
      </c>
      <c r="X317" s="756">
        <v>36.3691596984863</v>
      </c>
      <c r="Y317" s="756">
        <v>37.943679809570298</v>
      </c>
      <c r="Z317" s="756">
        <v>39.006439208984403</v>
      </c>
      <c r="AA317" s="300"/>
      <c r="AB317" s="300"/>
      <c r="AC317" s="300"/>
      <c r="AD317" s="300"/>
    </row>
    <row r="318" spans="1:30" x14ac:dyDescent="0.25">
      <c r="A318" s="754" t="s">
        <v>712</v>
      </c>
      <c r="B318" s="756">
        <v>8.64862155914307</v>
      </c>
      <c r="C318" s="756">
        <v>10.3074436187744</v>
      </c>
      <c r="D318" s="756">
        <v>13.7067270278931</v>
      </c>
      <c r="E318" s="756">
        <v>6.9139137268066397</v>
      </c>
      <c r="F318" s="756">
        <v>6.0204734802246103</v>
      </c>
      <c r="G318" s="756">
        <v>9.0269355773925799</v>
      </c>
      <c r="H318" s="756">
        <v>10.767860412597701</v>
      </c>
      <c r="I318" s="756">
        <v>12.611166954040501</v>
      </c>
      <c r="J318" s="756">
        <v>14.3083610534668</v>
      </c>
      <c r="K318" s="756">
        <v>16.269037246704102</v>
      </c>
      <c r="L318" s="756">
        <v>17.569841384887699</v>
      </c>
      <c r="M318" s="756">
        <v>18.511304855346701</v>
      </c>
      <c r="N318" s="756">
        <v>19.7891235351563</v>
      </c>
      <c r="O318" s="756">
        <v>20.573390960693398</v>
      </c>
      <c r="P318" s="756">
        <v>21.404872894287099</v>
      </c>
      <c r="Q318" s="756">
        <v>22.193275451660199</v>
      </c>
      <c r="R318" s="756">
        <v>22.9593410491943</v>
      </c>
      <c r="S318" s="756">
        <v>23.7928276062012</v>
      </c>
      <c r="T318" s="756">
        <v>24.398706436157202</v>
      </c>
      <c r="U318" s="756">
        <v>24.292516708373999</v>
      </c>
      <c r="V318" s="756">
        <v>25.0136394500732</v>
      </c>
      <c r="W318" s="756">
        <v>25.751762390136701</v>
      </c>
      <c r="X318" s="756">
        <v>26.606601715087901</v>
      </c>
      <c r="Y318" s="756">
        <v>27.4516487121582</v>
      </c>
      <c r="Z318" s="756">
        <v>28.286119461059599</v>
      </c>
      <c r="AA318" s="300"/>
      <c r="AB318" s="300"/>
      <c r="AC318" s="300"/>
      <c r="AD318" s="300"/>
    </row>
    <row r="319" spans="1:30" x14ac:dyDescent="0.25">
      <c r="A319" s="754" t="s">
        <v>500</v>
      </c>
      <c r="B319" s="756">
        <v>11.5840444564819</v>
      </c>
      <c r="C319" s="756">
        <v>10.9898433685303</v>
      </c>
      <c r="D319" s="756">
        <v>11.588038444519</v>
      </c>
      <c r="E319" s="756">
        <v>9.1930990219116193</v>
      </c>
      <c r="F319" s="756">
        <v>9.8226709365844709</v>
      </c>
      <c r="G319" s="756">
        <v>10.233100891113301</v>
      </c>
      <c r="H319" s="756">
        <v>10.334647178649901</v>
      </c>
      <c r="I319" s="756">
        <v>10.4663095474243</v>
      </c>
      <c r="J319" s="756">
        <v>10.734943389892599</v>
      </c>
      <c r="K319" s="756">
        <v>11.106437683105501</v>
      </c>
      <c r="L319" s="756">
        <v>11.600093841552701</v>
      </c>
      <c r="M319" s="756">
        <v>12.1229543685913</v>
      </c>
      <c r="N319" s="756">
        <v>12.6781578063965</v>
      </c>
      <c r="O319" s="756">
        <v>13.3144483566284</v>
      </c>
      <c r="P319" s="756">
        <v>14.069993019104</v>
      </c>
      <c r="Q319" s="756">
        <v>14.7329454421997</v>
      </c>
      <c r="R319" s="756">
        <v>15.223674774169901</v>
      </c>
      <c r="S319" s="756">
        <v>15.329276084899901</v>
      </c>
      <c r="T319" s="756">
        <v>15.6546773910522</v>
      </c>
      <c r="U319" s="756">
        <v>15.9318437576294</v>
      </c>
      <c r="V319" s="756">
        <v>16.5416469573975</v>
      </c>
      <c r="W319" s="756">
        <v>17.316057205200199</v>
      </c>
      <c r="X319" s="756">
        <v>18.194717407226602</v>
      </c>
      <c r="Y319" s="756">
        <v>18.967941284179702</v>
      </c>
      <c r="Z319" s="756">
        <v>19.811794281005898</v>
      </c>
      <c r="AA319" s="300"/>
      <c r="AB319" s="300"/>
      <c r="AC319" s="300"/>
      <c r="AD319" s="300"/>
    </row>
    <row r="320" spans="1:30" x14ac:dyDescent="0.25">
      <c r="A320" s="754" t="s">
        <v>469</v>
      </c>
      <c r="B320" s="756">
        <v>27.631908416748001</v>
      </c>
      <c r="C320" s="756">
        <v>28.029735565185501</v>
      </c>
      <c r="D320" s="756">
        <v>29.6960258483887</v>
      </c>
      <c r="E320" s="756">
        <v>28.491619110107401</v>
      </c>
      <c r="F320" s="756">
        <v>25.7724418640137</v>
      </c>
      <c r="G320" s="756">
        <v>26.858903884887699</v>
      </c>
      <c r="H320" s="756">
        <v>27.045906066894499</v>
      </c>
      <c r="I320" s="756">
        <v>27.5620422363281</v>
      </c>
      <c r="J320" s="756">
        <v>28.370775222778299</v>
      </c>
      <c r="K320" s="756">
        <v>29.106733322143601</v>
      </c>
      <c r="L320" s="756">
        <v>30.1617736816406</v>
      </c>
      <c r="M320" s="756">
        <v>31.290737152099599</v>
      </c>
      <c r="N320" s="756">
        <v>32.536418914794901</v>
      </c>
      <c r="O320" s="756">
        <v>33.661582946777301</v>
      </c>
      <c r="P320" s="756">
        <v>35.072307586669901</v>
      </c>
      <c r="Q320" s="756">
        <v>36.4632377624512</v>
      </c>
      <c r="R320" s="756">
        <v>37.713531494140597</v>
      </c>
      <c r="S320" s="756">
        <v>38.535266876220703</v>
      </c>
      <c r="T320" s="756">
        <v>39.429233551025398</v>
      </c>
      <c r="U320" s="756">
        <v>40.172752380371101</v>
      </c>
      <c r="V320" s="756">
        <v>41.0662841796875</v>
      </c>
      <c r="W320" s="756">
        <v>42.386928558349602</v>
      </c>
      <c r="X320" s="756">
        <v>43.920989990234403</v>
      </c>
      <c r="Y320" s="756">
        <v>45.4139213562012</v>
      </c>
      <c r="Z320" s="756">
        <v>46.925571441650398</v>
      </c>
      <c r="AA320" s="300"/>
      <c r="AB320" s="300"/>
      <c r="AC320" s="300"/>
      <c r="AD320" s="300"/>
    </row>
    <row r="321" spans="1:30" x14ac:dyDescent="0.25">
      <c r="AA321" s="300"/>
      <c r="AB321" s="300"/>
      <c r="AC321" s="300"/>
      <c r="AD321" s="300"/>
    </row>
    <row r="322" spans="1:30" x14ac:dyDescent="0.25">
      <c r="A322" s="754" t="s">
        <v>601</v>
      </c>
      <c r="AA322" s="300"/>
      <c r="AB322" s="300"/>
      <c r="AC322" s="300"/>
      <c r="AD322" s="300"/>
    </row>
    <row r="323" spans="1:30" x14ac:dyDescent="0.25">
      <c r="A323" s="754" t="s">
        <v>598</v>
      </c>
      <c r="B323" s="756">
        <v>20.489143371581999</v>
      </c>
      <c r="C323" s="756">
        <v>23.3795166015625</v>
      </c>
      <c r="D323" s="756">
        <v>27.232301712036101</v>
      </c>
      <c r="E323" s="756">
        <v>22.957033157348601</v>
      </c>
      <c r="F323" s="756">
        <v>17.265552520751999</v>
      </c>
      <c r="G323" s="756">
        <v>19.8652458190918</v>
      </c>
      <c r="H323" s="756">
        <v>22.207704544067401</v>
      </c>
      <c r="I323" s="756">
        <v>24.495702743530298</v>
      </c>
      <c r="J323" s="756">
        <v>26.6714878082275</v>
      </c>
      <c r="K323" s="756">
        <v>29.0830192565918</v>
      </c>
      <c r="L323" s="756">
        <v>30.951156616210898</v>
      </c>
      <c r="M323" s="756">
        <v>32.690711975097699</v>
      </c>
      <c r="N323" s="756">
        <v>34.514808654785199</v>
      </c>
      <c r="O323" s="756">
        <v>35.846107482910199</v>
      </c>
      <c r="P323" s="756">
        <v>37.040077209472699</v>
      </c>
      <c r="Q323" s="756">
        <v>38.301750183105497</v>
      </c>
      <c r="R323" s="756">
        <v>39.421558380127003</v>
      </c>
      <c r="S323" s="756">
        <v>40.814861297607401</v>
      </c>
      <c r="T323" s="756">
        <v>41.884078979492202</v>
      </c>
      <c r="U323" s="756">
        <v>42.155609130859403</v>
      </c>
      <c r="V323" s="756">
        <v>43.402267456054702</v>
      </c>
      <c r="W323" s="756">
        <v>44.705905914306598</v>
      </c>
      <c r="X323" s="756">
        <v>46.153343200683601</v>
      </c>
      <c r="Y323" s="756">
        <v>47.236614227294901</v>
      </c>
      <c r="Z323" s="756">
        <v>48.820529937744098</v>
      </c>
      <c r="AA323" s="300"/>
      <c r="AB323" s="300"/>
      <c r="AC323" s="300"/>
      <c r="AD323" s="300"/>
    </row>
    <row r="324" spans="1:30" x14ac:dyDescent="0.25">
      <c r="A324" s="754" t="s">
        <v>599</v>
      </c>
      <c r="B324" s="756">
        <v>15.3226671218872</v>
      </c>
      <c r="C324" s="756">
        <v>16.8219394683838</v>
      </c>
      <c r="D324" s="756">
        <v>22.4200763702393</v>
      </c>
      <c r="E324" s="756">
        <v>14.749831199646</v>
      </c>
      <c r="F324" s="756">
        <v>11.025536537170399</v>
      </c>
      <c r="G324" s="756">
        <v>14.0721025466919</v>
      </c>
      <c r="H324" s="756">
        <v>16.2283020019531</v>
      </c>
      <c r="I324" s="756">
        <v>18.6841716766357</v>
      </c>
      <c r="J324" s="756">
        <v>20.619239807128899</v>
      </c>
      <c r="K324" s="756">
        <v>22.302150726318398</v>
      </c>
      <c r="L324" s="756">
        <v>23.831027984619102</v>
      </c>
      <c r="M324" s="756">
        <v>25.434989929199201</v>
      </c>
      <c r="N324" s="756">
        <v>26.940843582153299</v>
      </c>
      <c r="O324" s="756">
        <v>28.1489963531494</v>
      </c>
      <c r="P324" s="756">
        <v>29.2844352722168</v>
      </c>
      <c r="Q324" s="756">
        <v>29.987220764160199</v>
      </c>
      <c r="R324" s="756">
        <v>31.1475830078125</v>
      </c>
      <c r="S324" s="756">
        <v>32.191192626953097</v>
      </c>
      <c r="T324" s="756">
        <v>33.043167114257798</v>
      </c>
      <c r="U324" s="756">
        <v>33.6753120422363</v>
      </c>
      <c r="V324" s="756">
        <v>34.892765045166001</v>
      </c>
      <c r="W324" s="756">
        <v>35.508182525634801</v>
      </c>
      <c r="X324" s="756">
        <v>36.966400146484403</v>
      </c>
      <c r="Y324" s="756">
        <v>38.821296691894503</v>
      </c>
      <c r="Z324" s="756">
        <v>39.679729461669901</v>
      </c>
      <c r="AA324" s="300"/>
      <c r="AB324" s="300"/>
      <c r="AC324" s="300"/>
      <c r="AD324" s="300"/>
    </row>
    <row r="325" spans="1:30" x14ac:dyDescent="0.25">
      <c r="A325" s="754" t="s">
        <v>600</v>
      </c>
      <c r="B325" s="756">
        <v>8.9709205627441406</v>
      </c>
      <c r="C325" s="756">
        <v>10.5954837799072</v>
      </c>
      <c r="D325" s="756">
        <v>14.049506187439</v>
      </c>
      <c r="E325" s="756">
        <v>7.1343002319335902</v>
      </c>
      <c r="F325" s="756">
        <v>10.215766906738301</v>
      </c>
      <c r="G325" s="756">
        <v>12.8617763519287</v>
      </c>
      <c r="H325" s="756">
        <v>14.814771652221699</v>
      </c>
      <c r="I325" s="756">
        <v>16.696189880371101</v>
      </c>
      <c r="J325" s="756">
        <v>18.396284103393601</v>
      </c>
      <c r="K325" s="756">
        <v>20.378862380981399</v>
      </c>
      <c r="L325" s="756">
        <v>21.7460041046143</v>
      </c>
      <c r="M325" s="756">
        <v>22.969861984252901</v>
      </c>
      <c r="N325" s="756">
        <v>24.3396511077881</v>
      </c>
      <c r="O325" s="756">
        <v>25.3345756530762</v>
      </c>
      <c r="P325" s="756">
        <v>26.3205471038818</v>
      </c>
      <c r="Q325" s="756">
        <v>27.310920715331999</v>
      </c>
      <c r="R325" s="756">
        <v>28.174968719482401</v>
      </c>
      <c r="S325" s="756">
        <v>29.129919052123999</v>
      </c>
      <c r="T325" s="756">
        <v>29.910713195800799</v>
      </c>
      <c r="U325" s="756">
        <v>30.004579544067401</v>
      </c>
      <c r="V325" s="756">
        <v>30.867444992065401</v>
      </c>
      <c r="W325" s="756">
        <v>31.741449356079102</v>
      </c>
      <c r="X325" s="756">
        <v>32.901214599609403</v>
      </c>
      <c r="Y325" s="756">
        <v>33.791465759277301</v>
      </c>
      <c r="Z325" s="756">
        <v>34.9404487609863</v>
      </c>
      <c r="AA325" s="300"/>
      <c r="AB325" s="300"/>
      <c r="AC325" s="300"/>
      <c r="AD325" s="300"/>
    </row>
    <row r="326" spans="1:30" x14ac:dyDescent="0.25">
      <c r="A326" s="754" t="s">
        <v>602</v>
      </c>
      <c r="B326" s="756">
        <v>7.7454247474670401</v>
      </c>
      <c r="C326" s="756">
        <v>7.5152516365051296</v>
      </c>
      <c r="D326" s="756">
        <v>8.9947338104247994</v>
      </c>
      <c r="E326" s="756">
        <v>5.0039734840393102</v>
      </c>
      <c r="F326" s="756">
        <v>5.7063522338867196</v>
      </c>
      <c r="G326" s="756">
        <v>6.1171517372131303</v>
      </c>
      <c r="H326" s="756">
        <v>6.2487673759460396</v>
      </c>
      <c r="I326" s="756">
        <v>6.4428400993347203</v>
      </c>
      <c r="J326" s="756">
        <v>6.7520828247070304</v>
      </c>
      <c r="K326" s="756">
        <v>7.1508984565734899</v>
      </c>
      <c r="L326" s="756">
        <v>7.5258989334106401</v>
      </c>
      <c r="M326" s="756">
        <v>7.9240221977233896</v>
      </c>
      <c r="N326" s="756">
        <v>8.3488731384277308</v>
      </c>
      <c r="O326" s="756">
        <v>8.8619937896728498</v>
      </c>
      <c r="P326" s="756">
        <v>9.4837093353271502</v>
      </c>
      <c r="Q326" s="756">
        <v>9.9987487792968803</v>
      </c>
      <c r="R326" s="756">
        <v>10.352954864501999</v>
      </c>
      <c r="S326" s="756">
        <v>10.3336448669434</v>
      </c>
      <c r="T326" s="756">
        <v>10.549848556518601</v>
      </c>
      <c r="U326" s="756">
        <v>10.6489877700806</v>
      </c>
      <c r="V326" s="756">
        <v>11.076291084289601</v>
      </c>
      <c r="W326" s="756">
        <v>11.6912574768066</v>
      </c>
      <c r="X326" s="756">
        <v>12.4464559555054</v>
      </c>
      <c r="Y326" s="756">
        <v>13.0579080581665</v>
      </c>
      <c r="Z326" s="756">
        <v>13.758059501647899</v>
      </c>
      <c r="AA326" s="300"/>
      <c r="AB326" s="300"/>
      <c r="AC326" s="300"/>
      <c r="AD326" s="300"/>
    </row>
    <row r="327" spans="1:30" x14ac:dyDescent="0.25">
      <c r="A327" s="754" t="s">
        <v>603</v>
      </c>
      <c r="B327" s="756">
        <v>3.53999996185303</v>
      </c>
      <c r="C327" s="756">
        <v>3.6099998950958301</v>
      </c>
      <c r="D327" s="756">
        <v>4.1449666023254403</v>
      </c>
      <c r="E327" s="756">
        <v>4.1784791946411097</v>
      </c>
      <c r="F327" s="756">
        <v>4.1485314369201696</v>
      </c>
      <c r="G327" s="756">
        <v>4.3175525665283203</v>
      </c>
      <c r="H327" s="756">
        <v>4.44484186172485</v>
      </c>
      <c r="I327" s="756">
        <v>4.5821456909179696</v>
      </c>
      <c r="J327" s="756">
        <v>4.7206311225891104</v>
      </c>
      <c r="K327" s="756">
        <v>4.8563599586486799</v>
      </c>
      <c r="L327" s="756">
        <v>4.9913563728332502</v>
      </c>
      <c r="M327" s="756">
        <v>5.1233406066894496</v>
      </c>
      <c r="N327" s="756">
        <v>5.2680139541626003</v>
      </c>
      <c r="O327" s="756">
        <v>5.4137320518493697</v>
      </c>
      <c r="P327" s="756">
        <v>5.5743689537048304</v>
      </c>
      <c r="Q327" s="756">
        <v>5.7906579971313503</v>
      </c>
      <c r="R327" s="756">
        <v>6.0209679603576696</v>
      </c>
      <c r="S327" s="756">
        <v>6.20045709609985</v>
      </c>
      <c r="T327" s="756">
        <v>6.3775997161865199</v>
      </c>
      <c r="U327" s="756">
        <v>6.5161404609680202</v>
      </c>
      <c r="V327" s="756">
        <v>6.6299972534179696</v>
      </c>
      <c r="W327" s="756">
        <v>6.7667918205261204</v>
      </c>
      <c r="X327" s="756">
        <v>6.88553714752197</v>
      </c>
      <c r="Y327" s="756">
        <v>6.9704546928405797</v>
      </c>
      <c r="Z327" s="756">
        <v>7.0137753486633301</v>
      </c>
    </row>
    <row r="328" spans="1:30" x14ac:dyDescent="0.25">
      <c r="A328" s="754" t="s">
        <v>604</v>
      </c>
      <c r="B328" s="756">
        <v>2.3399634361267099</v>
      </c>
      <c r="C328" s="756">
        <v>2.4299483299255402</v>
      </c>
      <c r="D328" s="756">
        <v>2.5979068279266402</v>
      </c>
      <c r="E328" s="756">
        <v>2.52754878997803</v>
      </c>
      <c r="F328" s="756">
        <v>2.4808654785156299</v>
      </c>
      <c r="G328" s="756">
        <v>2.6002757549285902</v>
      </c>
      <c r="H328" s="756">
        <v>2.6509947776794398</v>
      </c>
      <c r="I328" s="756">
        <v>2.73208808898926</v>
      </c>
      <c r="J328" s="756">
        <v>2.8122007846832302</v>
      </c>
      <c r="K328" s="756">
        <v>2.8687095642089799</v>
      </c>
      <c r="L328" s="756">
        <v>2.94158983230591</v>
      </c>
      <c r="M328" s="756">
        <v>3.0178208351135298</v>
      </c>
      <c r="N328" s="756">
        <v>3.1028199195861799</v>
      </c>
      <c r="O328" s="756">
        <v>3.17316722869873</v>
      </c>
      <c r="P328" s="756">
        <v>3.2616541385650599</v>
      </c>
      <c r="Q328" s="756">
        <v>3.3479356765747101</v>
      </c>
      <c r="R328" s="756">
        <v>3.4371068477630602</v>
      </c>
      <c r="S328" s="756">
        <v>3.5193088054657</v>
      </c>
      <c r="T328" s="756">
        <v>3.6053638458252002</v>
      </c>
      <c r="U328" s="756">
        <v>3.6816923618316699</v>
      </c>
      <c r="V328" s="756">
        <v>3.7800858020782502</v>
      </c>
      <c r="W328" s="756">
        <v>3.88063645362854</v>
      </c>
      <c r="X328" s="756">
        <v>3.98858737945557</v>
      </c>
      <c r="Y328" s="756">
        <v>4.1003923416137704</v>
      </c>
      <c r="Z328" s="756">
        <v>4.2166938781738299</v>
      </c>
    </row>
    <row r="329" spans="1:30" x14ac:dyDescent="0.25">
      <c r="A329" s="754" t="s">
        <v>605</v>
      </c>
      <c r="B329" s="756">
        <v>0</v>
      </c>
      <c r="C329" s="756">
        <v>0</v>
      </c>
      <c r="D329" s="756">
        <v>0</v>
      </c>
      <c r="E329" s="756">
        <v>0</v>
      </c>
      <c r="F329" s="756">
        <v>0</v>
      </c>
      <c r="G329" s="756">
        <v>1.5889266729354901</v>
      </c>
      <c r="H329" s="756">
        <v>1.46094393730164</v>
      </c>
      <c r="I329" s="756">
        <v>1.28843116760254</v>
      </c>
      <c r="J329" s="756">
        <v>1.5101318359375</v>
      </c>
      <c r="K329" s="756">
        <v>1.50810551643372</v>
      </c>
      <c r="L329" s="756">
        <v>1.5213859081268299</v>
      </c>
      <c r="M329" s="756">
        <v>1.53951179981232</v>
      </c>
      <c r="N329" s="756">
        <v>1.58338570594788</v>
      </c>
      <c r="O329" s="756">
        <v>1.63723039627075</v>
      </c>
      <c r="P329" s="756">
        <v>1.71289122104645</v>
      </c>
      <c r="Q329" s="756">
        <v>1.76114201545715</v>
      </c>
      <c r="R329" s="756">
        <v>1.8119050264358501</v>
      </c>
      <c r="S329" s="756">
        <v>1.8629466295242301</v>
      </c>
      <c r="T329" s="756">
        <v>1.9169825315475499</v>
      </c>
      <c r="U329" s="756">
        <v>1.9466364383697501</v>
      </c>
      <c r="V329" s="756">
        <v>1.9911848306655899</v>
      </c>
      <c r="W329" s="756">
        <v>2.0416746139526398</v>
      </c>
      <c r="X329" s="756">
        <v>2.09020328521729</v>
      </c>
      <c r="Y329" s="756">
        <v>2.1373581886291499</v>
      </c>
      <c r="Z329" s="756">
        <v>2.1847438812255899</v>
      </c>
    </row>
    <row r="330" spans="1:30" x14ac:dyDescent="0.25">
      <c r="A330" s="754" t="s">
        <v>469</v>
      </c>
      <c r="B330" s="756">
        <v>17.918214797973601</v>
      </c>
      <c r="C330" s="756">
        <v>18.6226921081543</v>
      </c>
      <c r="D330" s="756">
        <v>20.7813816070557</v>
      </c>
      <c r="E330" s="756">
        <v>19.773582458496101</v>
      </c>
      <c r="F330" s="756">
        <v>17.462970733642599</v>
      </c>
      <c r="G330" s="756">
        <v>18.126573562622099</v>
      </c>
      <c r="H330" s="756">
        <v>18.238889694213899</v>
      </c>
      <c r="I330" s="756">
        <v>18.4867153167725</v>
      </c>
      <c r="J330" s="756">
        <v>19.006654739379901</v>
      </c>
      <c r="K330" s="756">
        <v>19.565620422363299</v>
      </c>
      <c r="L330" s="756">
        <v>20.355871200561499</v>
      </c>
      <c r="M330" s="756">
        <v>21.173530578613299</v>
      </c>
      <c r="N330" s="756">
        <v>22.037576675415</v>
      </c>
      <c r="O330" s="756">
        <v>22.867145538330099</v>
      </c>
      <c r="P330" s="756">
        <v>23.876249313354499</v>
      </c>
      <c r="Q330" s="756">
        <v>24.851699829101602</v>
      </c>
      <c r="R330" s="756">
        <v>25.777753829956101</v>
      </c>
      <c r="S330" s="756">
        <v>26.392097473144499</v>
      </c>
      <c r="T330" s="756">
        <v>27.017583847045898</v>
      </c>
      <c r="U330" s="756">
        <v>27.588447570800799</v>
      </c>
      <c r="V330" s="756">
        <v>28.206142425537099</v>
      </c>
      <c r="W330" s="756">
        <v>29.1773777008057</v>
      </c>
      <c r="X330" s="756">
        <v>30.336851119995099</v>
      </c>
      <c r="Y330" s="756">
        <v>31.4674072265625</v>
      </c>
      <c r="Z330" s="756">
        <v>32.538986206054702</v>
      </c>
    </row>
    <row r="332" spans="1:30" x14ac:dyDescent="0.25">
      <c r="A332" s="754" t="s">
        <v>477</v>
      </c>
    </row>
    <row r="333" spans="1:30" x14ac:dyDescent="0.25">
      <c r="A333" s="754" t="s">
        <v>606</v>
      </c>
      <c r="B333" s="756">
        <v>21.711509704589801</v>
      </c>
      <c r="C333" s="756">
        <v>25.0072345733643</v>
      </c>
      <c r="D333" s="756">
        <v>29.391622543335</v>
      </c>
      <c r="E333" s="756">
        <v>22.380046844482401</v>
      </c>
      <c r="F333" s="756">
        <v>21.3089294433594</v>
      </c>
      <c r="G333" s="756">
        <v>23.935417175293001</v>
      </c>
      <c r="H333" s="756">
        <v>26.369024276733398</v>
      </c>
      <c r="I333" s="756">
        <v>28.752412796020501</v>
      </c>
      <c r="J333" s="756">
        <v>31.0282287597656</v>
      </c>
      <c r="K333" s="756">
        <v>33.547065734863303</v>
      </c>
      <c r="L333" s="756">
        <v>35.514869689941399</v>
      </c>
      <c r="M333" s="756">
        <v>37.352748870849602</v>
      </c>
      <c r="N333" s="756">
        <v>39.287044525146499</v>
      </c>
      <c r="O333" s="756">
        <v>40.7039604187012</v>
      </c>
      <c r="P333" s="756">
        <v>42.024444580078097</v>
      </c>
      <c r="Q333" s="756">
        <v>43.379894256591797</v>
      </c>
      <c r="R333" s="756">
        <v>44.630382537841797</v>
      </c>
      <c r="S333" s="756">
        <v>46.145259857177699</v>
      </c>
      <c r="T333" s="756">
        <v>47.363857269287102</v>
      </c>
      <c r="U333" s="756">
        <v>47.7197074890137</v>
      </c>
      <c r="V333" s="756">
        <v>49.102500915527301</v>
      </c>
      <c r="W333" s="756">
        <v>50.517303466796903</v>
      </c>
      <c r="X333" s="756">
        <v>52.086456298828097</v>
      </c>
      <c r="Y333" s="756">
        <v>53.442653656005902</v>
      </c>
      <c r="Z333" s="756">
        <v>55.104091644287102</v>
      </c>
    </row>
    <row r="334" spans="1:30" x14ac:dyDescent="0.25">
      <c r="A334" s="754" t="s">
        <v>607</v>
      </c>
      <c r="B334" s="756">
        <v>24.84494972229</v>
      </c>
      <c r="C334" s="756">
        <v>26.818180084228501</v>
      </c>
      <c r="D334" s="756">
        <v>34.822681427002003</v>
      </c>
      <c r="E334" s="756">
        <v>21.049989700317401</v>
      </c>
      <c r="F334" s="756">
        <v>19.580844879150401</v>
      </c>
      <c r="G334" s="756">
        <v>23.622909545898398</v>
      </c>
      <c r="H334" s="756">
        <v>25.881950378418001</v>
      </c>
      <c r="I334" s="756">
        <v>28.009447097778299</v>
      </c>
      <c r="J334" s="756">
        <v>30.2537937164307</v>
      </c>
      <c r="K334" s="756">
        <v>28.866632461547901</v>
      </c>
      <c r="L334" s="756">
        <v>30.4276523590088</v>
      </c>
      <c r="M334" s="756">
        <v>31.969417572021499</v>
      </c>
      <c r="N334" s="756">
        <v>32.765193939208999</v>
      </c>
      <c r="O334" s="756">
        <v>35.757926940917997</v>
      </c>
      <c r="P334" s="756">
        <v>37.577915191650398</v>
      </c>
      <c r="Q334" s="756">
        <v>38.662086486816399</v>
      </c>
      <c r="R334" s="756">
        <v>39.8419189453125</v>
      </c>
      <c r="S334" s="756">
        <v>41.092353820800803</v>
      </c>
      <c r="T334" s="756">
        <v>42.114028930664098</v>
      </c>
      <c r="U334" s="756">
        <v>42.893341064453097</v>
      </c>
      <c r="V334" s="756">
        <v>44.2104301452637</v>
      </c>
      <c r="W334" s="756">
        <v>44.896373748779297</v>
      </c>
      <c r="X334" s="756">
        <v>46.4299926757813</v>
      </c>
      <c r="Y334" s="756">
        <v>48.419319152832003</v>
      </c>
      <c r="Z334" s="756">
        <v>48.957271575927699</v>
      </c>
    </row>
    <row r="335" spans="1:30" x14ac:dyDescent="0.25">
      <c r="A335" s="754" t="s">
        <v>608</v>
      </c>
      <c r="B335" s="756">
        <v>21.213121414184599</v>
      </c>
      <c r="C335" s="756">
        <v>22.982162475585898</v>
      </c>
      <c r="D335" s="756">
        <v>26.749811172485401</v>
      </c>
      <c r="E335" s="756">
        <v>16.175968170166001</v>
      </c>
      <c r="F335" s="756">
        <v>18.381326675415</v>
      </c>
      <c r="G335" s="756">
        <v>21.693702697753899</v>
      </c>
      <c r="H335" s="756">
        <v>23.709007263183601</v>
      </c>
      <c r="I335" s="756">
        <v>25.449525833129901</v>
      </c>
      <c r="J335" s="756">
        <v>27.424634933471701</v>
      </c>
      <c r="K335" s="756">
        <v>29.529468536376999</v>
      </c>
      <c r="L335" s="756">
        <v>31.27219581604</v>
      </c>
      <c r="M335" s="756">
        <v>33.093906402587898</v>
      </c>
      <c r="N335" s="756">
        <v>34.856166839599602</v>
      </c>
      <c r="O335" s="756">
        <v>36.438858032226598</v>
      </c>
      <c r="P335" s="756">
        <v>38.015861511230497</v>
      </c>
      <c r="Q335" s="756">
        <v>39.139541625976598</v>
      </c>
      <c r="R335" s="756">
        <v>40.478176116943402</v>
      </c>
      <c r="S335" s="756">
        <v>41.691452026367202</v>
      </c>
      <c r="T335" s="756">
        <v>42.679801940917997</v>
      </c>
      <c r="U335" s="756">
        <v>43.464977264404297</v>
      </c>
      <c r="V335" s="756">
        <v>44.780059814453097</v>
      </c>
      <c r="W335" s="756">
        <v>45.673988342285199</v>
      </c>
      <c r="X335" s="756">
        <v>47.254981994628899</v>
      </c>
      <c r="Y335" s="756">
        <v>49.557445526122997</v>
      </c>
      <c r="Z335" s="756">
        <v>49.9830131530762</v>
      </c>
    </row>
    <row r="336" spans="1:30" x14ac:dyDescent="0.25">
      <c r="A336" s="754" t="s">
        <v>609</v>
      </c>
      <c r="B336" s="756">
        <v>14.844763755798301</v>
      </c>
      <c r="C336" s="756">
        <v>16.0964660644531</v>
      </c>
      <c r="D336" s="756">
        <v>22.673322677612301</v>
      </c>
      <c r="E336" s="756">
        <v>10.878761291503899</v>
      </c>
      <c r="F336" s="756">
        <v>10.805939674377401</v>
      </c>
      <c r="G336" s="756">
        <v>13.641165733337401</v>
      </c>
      <c r="H336" s="756">
        <v>15.7883806228638</v>
      </c>
      <c r="I336" s="756">
        <v>17.847295761108398</v>
      </c>
      <c r="J336" s="756">
        <v>19.768560409545898</v>
      </c>
      <c r="K336" s="756">
        <v>21.6021404266357</v>
      </c>
      <c r="L336" s="756">
        <v>23.1407794952393</v>
      </c>
      <c r="M336" s="756">
        <v>24.738756179809599</v>
      </c>
      <c r="N336" s="756">
        <v>26.200944900512699</v>
      </c>
      <c r="O336" s="756">
        <v>27.323936462402301</v>
      </c>
      <c r="P336" s="756">
        <v>28.3911018371582</v>
      </c>
      <c r="Q336" s="756">
        <v>29.343944549560501</v>
      </c>
      <c r="R336" s="756">
        <v>30.208518981933601</v>
      </c>
      <c r="S336" s="756">
        <v>31.274351119995099</v>
      </c>
      <c r="T336" s="756">
        <v>32.279064178466797</v>
      </c>
      <c r="U336" s="756">
        <v>32.661514282226598</v>
      </c>
      <c r="V336" s="756">
        <v>33.853298187255902</v>
      </c>
      <c r="W336" s="756">
        <v>34.868740081787102</v>
      </c>
      <c r="X336" s="756">
        <v>36.320652008056598</v>
      </c>
      <c r="Y336" s="756">
        <v>37.773586273193402</v>
      </c>
      <c r="Z336" s="756">
        <v>39.040420532226598</v>
      </c>
    </row>
    <row r="337" spans="1:70" x14ac:dyDescent="0.25">
      <c r="A337" s="754" t="s">
        <v>713</v>
      </c>
      <c r="B337" s="756">
        <v>19.740650177001999</v>
      </c>
      <c r="C337" s="756">
        <v>20.921422958373999</v>
      </c>
      <c r="D337" s="756">
        <v>27.660943984985401</v>
      </c>
      <c r="E337" s="756">
        <v>15.872093200683601</v>
      </c>
      <c r="F337" s="756">
        <v>15.1842641830444</v>
      </c>
      <c r="G337" s="756">
        <v>17.936090469360401</v>
      </c>
      <c r="H337" s="756">
        <v>20.100133895873999</v>
      </c>
      <c r="I337" s="756">
        <v>22.737785339355501</v>
      </c>
      <c r="J337" s="756">
        <v>24.745433807373001</v>
      </c>
      <c r="K337" s="756">
        <v>26.438911437988299</v>
      </c>
      <c r="L337" s="756">
        <v>28.0228977203369</v>
      </c>
      <c r="M337" s="756">
        <v>29.7338352203369</v>
      </c>
      <c r="N337" s="756">
        <v>31.2589511871338</v>
      </c>
      <c r="O337" s="756">
        <v>32.543869018554702</v>
      </c>
      <c r="P337" s="756">
        <v>33.764415740966797</v>
      </c>
      <c r="Q337" s="756">
        <v>34.490653991699197</v>
      </c>
      <c r="R337" s="756">
        <v>35.692588806152301</v>
      </c>
      <c r="S337" s="756">
        <v>36.884777069091797</v>
      </c>
      <c r="T337" s="756">
        <v>37.7488403320313</v>
      </c>
      <c r="U337" s="756">
        <v>38.541912078857401</v>
      </c>
      <c r="V337" s="756">
        <v>39.811958312988303</v>
      </c>
      <c r="W337" s="756">
        <v>40.433952331542997</v>
      </c>
      <c r="X337" s="756">
        <v>41.980552673339801</v>
      </c>
      <c r="Y337" s="756">
        <v>44.0175971984863</v>
      </c>
      <c r="Z337" s="756">
        <v>44.845256805419901</v>
      </c>
    </row>
    <row r="338" spans="1:70" x14ac:dyDescent="0.25">
      <c r="A338" s="754" t="s">
        <v>600</v>
      </c>
      <c r="B338" s="756">
        <v>7.9912142753601101</v>
      </c>
      <c r="C338" s="756">
        <v>9.4357099533081108</v>
      </c>
      <c r="D338" s="756">
        <v>14.5987691879272</v>
      </c>
      <c r="E338" s="756">
        <v>6.5974926948547399</v>
      </c>
      <c r="F338" s="756">
        <v>6.8336348533630398</v>
      </c>
      <c r="G338" s="756">
        <v>9.1002550125122106</v>
      </c>
      <c r="H338" s="756">
        <v>10.9850196838379</v>
      </c>
      <c r="I338" s="756">
        <v>12.7856092453003</v>
      </c>
      <c r="J338" s="756">
        <v>14.3925485610962</v>
      </c>
      <c r="K338" s="756">
        <v>16.284711837768601</v>
      </c>
      <c r="L338" s="756">
        <v>17.587419509887699</v>
      </c>
      <c r="M338" s="756">
        <v>18.815961837768601</v>
      </c>
      <c r="N338" s="756">
        <v>20.079933166503899</v>
      </c>
      <c r="O338" s="756">
        <v>21.0047607421875</v>
      </c>
      <c r="P338" s="756">
        <v>21.793167114257798</v>
      </c>
      <c r="Q338" s="756">
        <v>22.696048736572301</v>
      </c>
      <c r="R338" s="756">
        <v>23.3086338043213</v>
      </c>
      <c r="S338" s="756">
        <v>24.011238098144499</v>
      </c>
      <c r="T338" s="756">
        <v>24.648492813110401</v>
      </c>
      <c r="U338" s="756">
        <v>24.8559169769287</v>
      </c>
      <c r="V338" s="756">
        <v>25.6537380218506</v>
      </c>
      <c r="W338" s="756">
        <v>26.666080474853501</v>
      </c>
      <c r="X338" s="756">
        <v>27.731492996215799</v>
      </c>
      <c r="Y338" s="756">
        <v>28.609724044799801</v>
      </c>
      <c r="Z338" s="756">
        <v>29.807550430297901</v>
      </c>
    </row>
    <row r="339" spans="1:70" x14ac:dyDescent="0.25">
      <c r="A339" s="754" t="s">
        <v>611</v>
      </c>
      <c r="B339" s="756">
        <v>15.1338348388672</v>
      </c>
      <c r="C339" s="756">
        <v>15.4958410263062</v>
      </c>
      <c r="D339" s="756">
        <v>17.260919570922901</v>
      </c>
      <c r="E339" s="756">
        <v>13.197589874267599</v>
      </c>
      <c r="F339" s="756">
        <v>14.011960029602101</v>
      </c>
      <c r="G339" s="756">
        <v>14.5198259353638</v>
      </c>
      <c r="H339" s="756">
        <v>14.7125358581543</v>
      </c>
      <c r="I339" s="756">
        <v>14.9809007644653</v>
      </c>
      <c r="J339" s="756">
        <v>15.3987216949463</v>
      </c>
      <c r="K339" s="756">
        <v>15.929105758666999</v>
      </c>
      <c r="L339" s="756">
        <v>16.444049835205099</v>
      </c>
      <c r="M339" s="756">
        <v>16.986526489257798</v>
      </c>
      <c r="N339" s="756">
        <v>17.562019348144499</v>
      </c>
      <c r="O339" s="756">
        <v>18.214298248291001</v>
      </c>
      <c r="P339" s="756">
        <v>18.978889465331999</v>
      </c>
      <c r="Q339" s="756">
        <v>19.653842926025401</v>
      </c>
      <c r="R339" s="756">
        <v>20.151586532592798</v>
      </c>
      <c r="S339" s="756">
        <v>20.264110565185501</v>
      </c>
      <c r="T339" s="756">
        <v>20.6345119476318</v>
      </c>
      <c r="U339" s="756">
        <v>20.930568695068398</v>
      </c>
      <c r="V339" s="756">
        <v>21.5493049621582</v>
      </c>
      <c r="W339" s="756">
        <v>22.330928802490199</v>
      </c>
      <c r="X339" s="756">
        <v>23.217420578002901</v>
      </c>
      <c r="Y339" s="756">
        <v>23.984209060668899</v>
      </c>
      <c r="Z339" s="756">
        <v>24.842088699340799</v>
      </c>
    </row>
    <row r="340" spans="1:70" x14ac:dyDescent="0.25">
      <c r="A340" s="754" t="s">
        <v>469</v>
      </c>
      <c r="B340" s="756">
        <v>29.552911758422901</v>
      </c>
      <c r="C340" s="756">
        <v>30.777971267700199</v>
      </c>
      <c r="D340" s="756">
        <v>34.475650787353501</v>
      </c>
      <c r="E340" s="756">
        <v>32.511272430419901</v>
      </c>
      <c r="F340" s="756">
        <v>28.3578701019287</v>
      </c>
      <c r="G340" s="756">
        <v>29.9883632659912</v>
      </c>
      <c r="H340" s="756">
        <v>30.793474197387699</v>
      </c>
      <c r="I340" s="756">
        <v>31.290824890136701</v>
      </c>
      <c r="J340" s="756">
        <v>31.788017272949201</v>
      </c>
      <c r="K340" s="756">
        <v>32.228786468505902</v>
      </c>
      <c r="L340" s="756">
        <v>33.101249694824197</v>
      </c>
      <c r="M340" s="756">
        <v>33.873565673828097</v>
      </c>
      <c r="N340" s="756">
        <v>34.876777648925803</v>
      </c>
      <c r="O340" s="756">
        <v>35.790927886962898</v>
      </c>
      <c r="P340" s="756">
        <v>37.005527496337898</v>
      </c>
      <c r="Q340" s="756">
        <v>38.374465942382798</v>
      </c>
      <c r="R340" s="756">
        <v>39.741268157958999</v>
      </c>
      <c r="S340" s="756">
        <v>40.743644714355497</v>
      </c>
      <c r="T340" s="756">
        <v>41.832027435302699</v>
      </c>
      <c r="U340" s="756">
        <v>42.8788452148438</v>
      </c>
      <c r="V340" s="756">
        <v>44.165149688720703</v>
      </c>
      <c r="W340" s="756">
        <v>45.822151184082003</v>
      </c>
      <c r="X340" s="756">
        <v>47.770866394042997</v>
      </c>
      <c r="Y340" s="756">
        <v>49.4786567687988</v>
      </c>
      <c r="Z340" s="756">
        <v>51.408214569091797</v>
      </c>
    </row>
    <row r="341" spans="1:70" x14ac:dyDescent="0.25">
      <c r="AA341">
        <v>2027</v>
      </c>
      <c r="AB341">
        <v>2028</v>
      </c>
      <c r="AC341">
        <v>2029</v>
      </c>
      <c r="AD341">
        <v>2030</v>
      </c>
      <c r="AE341">
        <v>2031</v>
      </c>
      <c r="AF341">
        <v>2032</v>
      </c>
      <c r="AG341">
        <v>2033</v>
      </c>
      <c r="AH341">
        <v>2034</v>
      </c>
      <c r="AI341">
        <v>2035</v>
      </c>
      <c r="AJ341">
        <v>2036</v>
      </c>
      <c r="AK341">
        <v>2037</v>
      </c>
      <c r="AL341">
        <v>2038</v>
      </c>
      <c r="AM341">
        <v>2039</v>
      </c>
      <c r="AN341">
        <v>2040</v>
      </c>
      <c r="AO341">
        <v>2041</v>
      </c>
      <c r="AP341">
        <v>2042</v>
      </c>
      <c r="AQ341">
        <v>2043</v>
      </c>
      <c r="AR341">
        <v>2044</v>
      </c>
      <c r="AS341">
        <v>2045</v>
      </c>
      <c r="AT341">
        <v>2046</v>
      </c>
      <c r="AU341">
        <v>2047</v>
      </c>
      <c r="AV341">
        <v>2048</v>
      </c>
      <c r="AW341">
        <v>2049</v>
      </c>
      <c r="AX341">
        <v>2050</v>
      </c>
      <c r="AY341">
        <v>2051</v>
      </c>
      <c r="AZ341">
        <v>2052</v>
      </c>
      <c r="BA341">
        <v>2053</v>
      </c>
      <c r="BB341">
        <v>2054</v>
      </c>
      <c r="BC341">
        <v>2055</v>
      </c>
      <c r="BD341">
        <v>2056</v>
      </c>
      <c r="BE341">
        <v>2057</v>
      </c>
      <c r="BF341">
        <v>2058</v>
      </c>
      <c r="BG341">
        <v>2059</v>
      </c>
      <c r="BH341">
        <v>2060</v>
      </c>
      <c r="BI341">
        <v>2061</v>
      </c>
      <c r="BJ341">
        <v>2062</v>
      </c>
      <c r="BK341">
        <v>2063</v>
      </c>
      <c r="BL341">
        <v>2064</v>
      </c>
      <c r="BM341">
        <v>2065</v>
      </c>
      <c r="BN341">
        <v>2066</v>
      </c>
      <c r="BO341">
        <v>2067</v>
      </c>
      <c r="BP341">
        <v>2068</v>
      </c>
      <c r="BQ341">
        <v>2069</v>
      </c>
      <c r="BR341">
        <v>2070</v>
      </c>
    </row>
    <row r="342" spans="1:70" x14ac:dyDescent="0.25">
      <c r="A342" s="754" t="s">
        <v>612</v>
      </c>
    </row>
    <row r="343" spans="1:70" x14ac:dyDescent="0.25">
      <c r="A343" s="754" t="s">
        <v>599</v>
      </c>
      <c r="B343" s="756">
        <v>13.411901473999</v>
      </c>
      <c r="C343" s="756">
        <v>14.7725219726563</v>
      </c>
      <c r="D343" s="756">
        <v>19.598173141479499</v>
      </c>
      <c r="E343" s="756">
        <v>12.9002075195313</v>
      </c>
      <c r="F343" s="756">
        <v>10.160784721374499</v>
      </c>
      <c r="G343" s="756">
        <v>12.683879852294901</v>
      </c>
      <c r="H343" s="756">
        <v>14.742367744445801</v>
      </c>
      <c r="I343" s="756">
        <v>16.466316223144499</v>
      </c>
      <c r="J343" s="756">
        <v>18.200975418090799</v>
      </c>
      <c r="K343" s="756">
        <v>20.294946670532202</v>
      </c>
      <c r="L343" s="756">
        <v>21.762416839599599</v>
      </c>
      <c r="M343" s="756">
        <v>23.219928741455099</v>
      </c>
      <c r="N343" s="756">
        <v>24.625257492065401</v>
      </c>
      <c r="O343" s="756">
        <v>25.658937454223601</v>
      </c>
      <c r="P343" s="756">
        <v>26.641567230224599</v>
      </c>
      <c r="Q343" s="756">
        <v>27.554689407348601</v>
      </c>
      <c r="R343" s="756">
        <v>28.433355331420898</v>
      </c>
      <c r="S343" s="756">
        <v>29.525194168090799</v>
      </c>
      <c r="T343" s="756">
        <v>30.595668792724599</v>
      </c>
      <c r="U343" s="756">
        <v>30.812200546264599</v>
      </c>
      <c r="V343" s="756">
        <v>31.8765468597412</v>
      </c>
      <c r="W343" s="756">
        <v>33.023826599121101</v>
      </c>
      <c r="X343" s="756">
        <v>34.249851226806598</v>
      </c>
      <c r="Y343" s="756">
        <v>35.370849609375</v>
      </c>
      <c r="Z343" s="756">
        <v>36.733474731445298</v>
      </c>
    </row>
    <row r="344" spans="1:70" x14ac:dyDescent="0.25">
      <c r="A344" s="754" t="s">
        <v>600</v>
      </c>
      <c r="B344" s="756">
        <v>8.1584053039550799</v>
      </c>
      <c r="C344" s="756">
        <v>8.5664386749267596</v>
      </c>
      <c r="D344" s="756">
        <v>14.623919486999499</v>
      </c>
      <c r="E344" s="756">
        <v>6.72200632095337</v>
      </c>
      <c r="F344" s="756">
        <v>6.9281921386718803</v>
      </c>
      <c r="G344" s="756">
        <v>9.7774429321289098</v>
      </c>
      <c r="H344" s="756">
        <v>11.688641548156699</v>
      </c>
      <c r="I344" s="756">
        <v>13.5591955184937</v>
      </c>
      <c r="J344" s="756">
        <v>15.198254585266101</v>
      </c>
      <c r="K344" s="756">
        <v>17.122402191162099</v>
      </c>
      <c r="L344" s="756">
        <v>18.4469089508057</v>
      </c>
      <c r="M344" s="756">
        <v>19.645553588867202</v>
      </c>
      <c r="N344" s="756">
        <v>20.905046463012699</v>
      </c>
      <c r="O344" s="756">
        <v>21.461814880371101</v>
      </c>
      <c r="P344" s="756">
        <v>22.275539398193398</v>
      </c>
      <c r="Q344" s="756">
        <v>23.178005218505898</v>
      </c>
      <c r="R344" s="756">
        <v>23.921798706054702</v>
      </c>
      <c r="S344" s="756">
        <v>24.712652206420898</v>
      </c>
      <c r="T344" s="756">
        <v>25.390251159668001</v>
      </c>
      <c r="U344" s="756">
        <v>25.605690002441399</v>
      </c>
      <c r="V344" s="756">
        <v>26.419223785400401</v>
      </c>
      <c r="W344" s="756">
        <v>27.371679306030298</v>
      </c>
      <c r="X344" s="756">
        <v>28.437421798706101</v>
      </c>
      <c r="Y344" s="756">
        <v>29.318086624145501</v>
      </c>
      <c r="Z344" s="756">
        <v>30.4597358703613</v>
      </c>
    </row>
    <row r="345" spans="1:70" x14ac:dyDescent="0.25">
      <c r="A345" s="754" t="s">
        <v>500</v>
      </c>
      <c r="B345" s="756">
        <v>6.8695855140686</v>
      </c>
      <c r="C345" s="756">
        <v>7.0191597938537598</v>
      </c>
      <c r="D345" s="756">
        <v>9.0666198730468803</v>
      </c>
      <c r="E345" s="756">
        <v>4.70163822174072</v>
      </c>
      <c r="F345" s="756">
        <v>5.3228030204772896</v>
      </c>
      <c r="G345" s="756">
        <v>5.7259230613708496</v>
      </c>
      <c r="H345" s="756">
        <v>5.8670849800109899</v>
      </c>
      <c r="I345" s="756">
        <v>5.9947657585143999</v>
      </c>
      <c r="J345" s="756">
        <v>6.2809138298034703</v>
      </c>
      <c r="K345" s="756">
        <v>6.6566915512084996</v>
      </c>
      <c r="L345" s="756">
        <v>7.0282440185546902</v>
      </c>
      <c r="M345" s="756">
        <v>7.4117355346679696</v>
      </c>
      <c r="N345" s="756">
        <v>7.8389544486999503</v>
      </c>
      <c r="O345" s="756">
        <v>8.3448457717895508</v>
      </c>
      <c r="P345" s="756">
        <v>8.9240303039550799</v>
      </c>
      <c r="Q345" s="756">
        <v>9.4456386566162092</v>
      </c>
      <c r="R345" s="756">
        <v>9.7849264144897496</v>
      </c>
      <c r="S345" s="756">
        <v>9.7760477066040004</v>
      </c>
      <c r="T345" s="756">
        <v>10.055270195007299</v>
      </c>
      <c r="U345" s="756">
        <v>10.193024635314901</v>
      </c>
      <c r="V345" s="756">
        <v>10.610521316528301</v>
      </c>
      <c r="W345" s="756">
        <v>11.20911693573</v>
      </c>
      <c r="X345" s="756">
        <v>11.9389839172363</v>
      </c>
      <c r="Y345" s="756">
        <v>12.519255638122599</v>
      </c>
      <c r="Z345" s="756">
        <v>13.197782516479499</v>
      </c>
    </row>
    <row r="346" spans="1:70" x14ac:dyDescent="0.25">
      <c r="A346" s="754" t="s">
        <v>613</v>
      </c>
      <c r="B346" s="756">
        <v>1.6900001764297501</v>
      </c>
      <c r="C346" s="756">
        <v>1.7800002098083501</v>
      </c>
      <c r="D346" s="756">
        <v>1.97352075576782</v>
      </c>
      <c r="E346" s="756">
        <v>2.0458421707153298</v>
      </c>
      <c r="F346" s="756">
        <v>1.9325078725814799</v>
      </c>
      <c r="G346" s="756">
        <v>1.9669165611267101</v>
      </c>
      <c r="H346" s="756">
        <v>1.97483730316162</v>
      </c>
      <c r="I346" s="756">
        <v>2.0363006591796902</v>
      </c>
      <c r="J346" s="756">
        <v>2.1044862270355198</v>
      </c>
      <c r="K346" s="756">
        <v>2.15470170974731</v>
      </c>
      <c r="L346" s="756">
        <v>2.2153303623199498</v>
      </c>
      <c r="M346" s="756">
        <v>2.2768745422363299</v>
      </c>
      <c r="N346" s="756">
        <v>2.3487181663513201</v>
      </c>
      <c r="O346" s="756">
        <v>2.4114518165588401</v>
      </c>
      <c r="P346" s="756">
        <v>2.4841165542602499</v>
      </c>
      <c r="Q346" s="756">
        <v>2.5551335811614999</v>
      </c>
      <c r="R346" s="756">
        <v>2.63751268386841</v>
      </c>
      <c r="S346" s="756">
        <v>2.7085535526275599</v>
      </c>
      <c r="T346" s="756">
        <v>2.7758009433746298</v>
      </c>
      <c r="U346" s="756">
        <v>2.84079241752625</v>
      </c>
      <c r="V346" s="756">
        <v>2.9094073772430402</v>
      </c>
      <c r="W346" s="756">
        <v>2.9860992431640598</v>
      </c>
      <c r="X346" s="756">
        <v>3.0685904026031499</v>
      </c>
      <c r="Y346" s="756">
        <v>3.1531631946563698</v>
      </c>
      <c r="Z346" s="756">
        <v>3.23557353019714</v>
      </c>
    </row>
    <row r="348" spans="1:70" x14ac:dyDescent="0.25">
      <c r="A348" s="754" t="s">
        <v>614</v>
      </c>
    </row>
    <row r="349" spans="1:70" x14ac:dyDescent="0.25">
      <c r="A349" s="754" t="s">
        <v>598</v>
      </c>
      <c r="B349" s="756">
        <v>15.246436119079601</v>
      </c>
      <c r="C349" s="756">
        <v>18.5313529968262</v>
      </c>
      <c r="D349" s="756">
        <v>20.134397506713899</v>
      </c>
      <c r="E349" s="756">
        <v>16.9350070953369</v>
      </c>
      <c r="F349" s="756">
        <v>16.912326812744102</v>
      </c>
      <c r="G349" s="756">
        <v>19.346534729003899</v>
      </c>
      <c r="H349" s="756">
        <v>21.4945392608643</v>
      </c>
      <c r="I349" s="756">
        <v>23.604782104492202</v>
      </c>
      <c r="J349" s="756">
        <v>25.696203231811499</v>
      </c>
      <c r="K349" s="756">
        <v>28.031579971313501</v>
      </c>
      <c r="L349" s="756">
        <v>29.828712463378899</v>
      </c>
      <c r="M349" s="756">
        <v>31.479301452636701</v>
      </c>
      <c r="N349" s="756">
        <v>33.231895446777301</v>
      </c>
      <c r="O349" s="756">
        <v>34.5145874023438</v>
      </c>
      <c r="P349" s="756">
        <v>35.698520660400398</v>
      </c>
      <c r="Q349" s="756">
        <v>36.883983612060497</v>
      </c>
      <c r="R349" s="756">
        <v>37.996242523193402</v>
      </c>
      <c r="S349" s="756">
        <v>39.337680816650398</v>
      </c>
      <c r="T349" s="756">
        <v>40.431327819824197</v>
      </c>
      <c r="U349" s="756">
        <v>40.7233276367188</v>
      </c>
      <c r="V349" s="756">
        <v>41.9925727844238</v>
      </c>
      <c r="W349" s="756">
        <v>43.322719573974602</v>
      </c>
      <c r="X349" s="756">
        <v>44.788909912109403</v>
      </c>
      <c r="Y349" s="756">
        <v>45.941520690917997</v>
      </c>
      <c r="Z349" s="756">
        <v>47.553462982177699</v>
      </c>
    </row>
    <row r="350" spans="1:70" x14ac:dyDescent="0.25">
      <c r="A350" s="754" t="s">
        <v>607</v>
      </c>
      <c r="B350" s="756">
        <v>24.84494972229</v>
      </c>
      <c r="C350" s="756">
        <v>26.818180084228501</v>
      </c>
      <c r="D350" s="756">
        <v>34.822681427002003</v>
      </c>
      <c r="E350" s="756">
        <v>21.049989700317401</v>
      </c>
      <c r="F350" s="756">
        <v>19.580844879150401</v>
      </c>
      <c r="G350" s="756">
        <v>23.622909545898398</v>
      </c>
      <c r="H350" s="756">
        <v>25.881950378418001</v>
      </c>
      <c r="I350" s="756">
        <v>28.009447097778299</v>
      </c>
      <c r="J350" s="756">
        <v>30.2537937164307</v>
      </c>
      <c r="K350" s="756">
        <v>28.866632461547901</v>
      </c>
      <c r="L350" s="756">
        <v>30.4276523590088</v>
      </c>
      <c r="M350" s="756">
        <v>31.969417572021499</v>
      </c>
      <c r="N350" s="756">
        <v>32.765193939208999</v>
      </c>
      <c r="O350" s="756">
        <v>35.757926940917997</v>
      </c>
      <c r="P350" s="756">
        <v>37.577915191650398</v>
      </c>
      <c r="Q350" s="756">
        <v>38.662086486816399</v>
      </c>
      <c r="R350" s="756">
        <v>39.8419189453125</v>
      </c>
      <c r="S350" s="756">
        <v>41.092353820800803</v>
      </c>
      <c r="T350" s="756">
        <v>42.114028930664098</v>
      </c>
      <c r="U350" s="756">
        <v>42.893341064453097</v>
      </c>
      <c r="V350" s="756">
        <v>44.2104301452637</v>
      </c>
      <c r="W350" s="756">
        <v>44.896373748779297</v>
      </c>
      <c r="X350" s="756">
        <v>46.4299926757813</v>
      </c>
      <c r="Y350" s="756">
        <v>48.419319152832003</v>
      </c>
      <c r="Z350" s="756">
        <v>48.957271575927699</v>
      </c>
    </row>
    <row r="351" spans="1:70" x14ac:dyDescent="0.25">
      <c r="A351" s="754" t="s">
        <v>608</v>
      </c>
      <c r="B351" s="756">
        <v>21.081119537353501</v>
      </c>
      <c r="C351" s="756">
        <v>22.8191947937012</v>
      </c>
      <c r="D351" s="756">
        <v>26.582485198974599</v>
      </c>
      <c r="E351" s="756">
        <v>16.308473587036101</v>
      </c>
      <c r="F351" s="756">
        <v>18.3791694641113</v>
      </c>
      <c r="G351" s="756">
        <v>21.690732955932599</v>
      </c>
      <c r="H351" s="756">
        <v>23.705785751342798</v>
      </c>
      <c r="I351" s="756">
        <v>25.446578979492202</v>
      </c>
      <c r="J351" s="756">
        <v>27.421388626098601</v>
      </c>
      <c r="K351" s="756">
        <v>29.526109695434599</v>
      </c>
      <c r="L351" s="756">
        <v>31.268815994262699</v>
      </c>
      <c r="M351" s="756">
        <v>33.090030670166001</v>
      </c>
      <c r="N351" s="756">
        <v>34.852634429931598</v>
      </c>
      <c r="O351" s="756">
        <v>36.4355278015137</v>
      </c>
      <c r="P351" s="756">
        <v>38.011890411377003</v>
      </c>
      <c r="Q351" s="756">
        <v>39.135532379150398</v>
      </c>
      <c r="R351" s="756">
        <v>40.475978851318402</v>
      </c>
      <c r="S351" s="756">
        <v>41.687484741210902</v>
      </c>
      <c r="T351" s="756">
        <v>42.675270080566399</v>
      </c>
      <c r="U351" s="756">
        <v>43.460239410400398</v>
      </c>
      <c r="V351" s="756">
        <v>44.775581359863303</v>
      </c>
      <c r="W351" s="756">
        <v>45.668975830078097</v>
      </c>
      <c r="X351" s="756">
        <v>47.250167846679702</v>
      </c>
      <c r="Y351" s="756">
        <v>49.551605224609403</v>
      </c>
      <c r="Z351" s="756">
        <v>49.978668212890597</v>
      </c>
    </row>
    <row r="352" spans="1:70" x14ac:dyDescent="0.25">
      <c r="A352" s="754" t="s">
        <v>615</v>
      </c>
      <c r="B352" s="756">
        <v>14.844763755798301</v>
      </c>
      <c r="C352" s="756">
        <v>16.0964660644531</v>
      </c>
      <c r="D352" s="756">
        <v>22.673322677612301</v>
      </c>
      <c r="E352" s="756">
        <v>10.878761291503899</v>
      </c>
      <c r="F352" s="756">
        <v>10.805939674377401</v>
      </c>
      <c r="G352" s="756">
        <v>13.641165733337401</v>
      </c>
      <c r="H352" s="756">
        <v>15.7883806228638</v>
      </c>
      <c r="I352" s="756">
        <v>17.847295761108398</v>
      </c>
      <c r="J352" s="756">
        <v>19.768560409545898</v>
      </c>
      <c r="K352" s="756">
        <v>21.6021404266357</v>
      </c>
      <c r="L352" s="756">
        <v>23.1407794952393</v>
      </c>
      <c r="M352" s="756">
        <v>24.738756179809599</v>
      </c>
      <c r="N352" s="756">
        <v>26.200944900512699</v>
      </c>
      <c r="O352" s="756">
        <v>27.323936462402301</v>
      </c>
      <c r="P352" s="756">
        <v>28.3911018371582</v>
      </c>
      <c r="Q352" s="756">
        <v>29.343944549560501</v>
      </c>
      <c r="R352" s="756">
        <v>30.208518981933601</v>
      </c>
      <c r="S352" s="756">
        <v>31.274351119995099</v>
      </c>
      <c r="T352" s="756">
        <v>32.279064178466797</v>
      </c>
      <c r="U352" s="756">
        <v>32.661514282226598</v>
      </c>
      <c r="V352" s="756">
        <v>33.853298187255902</v>
      </c>
      <c r="W352" s="756">
        <v>34.868740081787102</v>
      </c>
      <c r="X352" s="756">
        <v>36.320652008056598</v>
      </c>
      <c r="Y352" s="756">
        <v>37.773586273193402</v>
      </c>
      <c r="Z352" s="756">
        <v>39.040420532226598</v>
      </c>
    </row>
    <row r="353" spans="1:70" x14ac:dyDescent="0.25">
      <c r="A353" s="754" t="s">
        <v>599</v>
      </c>
      <c r="B353" s="756">
        <v>18.668458938598601</v>
      </c>
      <c r="C353" s="756">
        <v>19.9431552886963</v>
      </c>
      <c r="D353" s="756">
        <v>26.286823272705099</v>
      </c>
      <c r="E353" s="756">
        <v>15.636975288391101</v>
      </c>
      <c r="F353" s="756">
        <v>14.1092176437378</v>
      </c>
      <c r="G353" s="756">
        <v>16.902593612670898</v>
      </c>
      <c r="H353" s="756">
        <v>19.1516017913818</v>
      </c>
      <c r="I353" s="756">
        <v>21.744958877563501</v>
      </c>
      <c r="J353" s="756">
        <v>23.745824813842798</v>
      </c>
      <c r="K353" s="756">
        <v>25.478622436523398</v>
      </c>
      <c r="L353" s="756">
        <v>27.0623779296875</v>
      </c>
      <c r="M353" s="756">
        <v>28.722316741943398</v>
      </c>
      <c r="N353" s="756">
        <v>30.288469314575199</v>
      </c>
      <c r="O353" s="756">
        <v>31.560461044311499</v>
      </c>
      <c r="P353" s="756">
        <v>32.757129669189503</v>
      </c>
      <c r="Q353" s="756">
        <v>33.523193359375</v>
      </c>
      <c r="R353" s="756">
        <v>34.769081115722699</v>
      </c>
      <c r="S353" s="756">
        <v>35.882114410400398</v>
      </c>
      <c r="T353" s="756">
        <v>36.791599273681598</v>
      </c>
      <c r="U353" s="756">
        <v>37.5217895507813</v>
      </c>
      <c r="V353" s="756">
        <v>38.800697326660199</v>
      </c>
      <c r="W353" s="756">
        <v>39.467311859130902</v>
      </c>
      <c r="X353" s="756">
        <v>40.997920989990199</v>
      </c>
      <c r="Y353" s="756">
        <v>42.937191009521499</v>
      </c>
      <c r="Z353" s="756">
        <v>43.857540130615199</v>
      </c>
    </row>
    <row r="354" spans="1:70" x14ac:dyDescent="0.25">
      <c r="A354" s="754" t="s">
        <v>600</v>
      </c>
      <c r="B354" s="756">
        <v>8.2036781311035192</v>
      </c>
      <c r="C354" s="756">
        <v>9.3672227859497106</v>
      </c>
      <c r="D354" s="756">
        <v>14.4897508621216</v>
      </c>
      <c r="E354" s="756">
        <v>6.7128052711486799</v>
      </c>
      <c r="F354" s="756">
        <v>7.1757683753967303</v>
      </c>
      <c r="G354" s="756">
        <v>9.6609458923339808</v>
      </c>
      <c r="H354" s="756">
        <v>11.544206619262701</v>
      </c>
      <c r="I354" s="756">
        <v>13.370221138000501</v>
      </c>
      <c r="J354" s="756">
        <v>14.996021270751999</v>
      </c>
      <c r="K354" s="756">
        <v>16.898206710815401</v>
      </c>
      <c r="L354" s="756">
        <v>18.207862854003899</v>
      </c>
      <c r="M354" s="756">
        <v>19.411674499511701</v>
      </c>
      <c r="N354" s="756">
        <v>20.6822299957275</v>
      </c>
      <c r="O354" s="756">
        <v>21.516969680786101</v>
      </c>
      <c r="P354" s="756">
        <v>22.335527420043899</v>
      </c>
      <c r="Q354" s="756">
        <v>23.2407321929932</v>
      </c>
      <c r="R354" s="756">
        <v>23.916133880615199</v>
      </c>
      <c r="S354" s="756">
        <v>24.6660556793213</v>
      </c>
      <c r="T354" s="756">
        <v>25.322589874267599</v>
      </c>
      <c r="U354" s="756">
        <v>25.500698089599599</v>
      </c>
      <c r="V354" s="756">
        <v>26.3019409179688</v>
      </c>
      <c r="W354" s="756">
        <v>27.270561218261701</v>
      </c>
      <c r="X354" s="756">
        <v>28.332614898681602</v>
      </c>
      <c r="Y354" s="756">
        <v>29.2080383300781</v>
      </c>
      <c r="Z354" s="756">
        <v>30.365930557251001</v>
      </c>
    </row>
    <row r="355" spans="1:70" x14ac:dyDescent="0.25">
      <c r="A355" s="754" t="s">
        <v>500</v>
      </c>
      <c r="B355" s="756">
        <v>9.2523355484008807</v>
      </c>
      <c r="C355" s="756">
        <v>9.0060253143310494</v>
      </c>
      <c r="D355" s="756">
        <v>10.405486106872599</v>
      </c>
      <c r="E355" s="756">
        <v>6.98002004623413</v>
      </c>
      <c r="F355" s="756">
        <v>7.7092094421386701</v>
      </c>
      <c r="G355" s="756">
        <v>8.12390232086182</v>
      </c>
      <c r="H355" s="756">
        <v>8.2825136184692401</v>
      </c>
      <c r="I355" s="756">
        <v>8.4401350021362305</v>
      </c>
      <c r="J355" s="756">
        <v>8.7418422698974592</v>
      </c>
      <c r="K355" s="756">
        <v>9.1197204589843803</v>
      </c>
      <c r="L355" s="756">
        <v>9.5538625717163104</v>
      </c>
      <c r="M355" s="756">
        <v>10.0050344467163</v>
      </c>
      <c r="N355" s="756">
        <v>10.4820852279663</v>
      </c>
      <c r="O355" s="756">
        <v>11.0441122055054</v>
      </c>
      <c r="P355" s="756">
        <v>11.7092485427856</v>
      </c>
      <c r="Q355" s="756">
        <v>12.280260086059601</v>
      </c>
      <c r="R355" s="756">
        <v>12.668963432311999</v>
      </c>
      <c r="S355" s="756">
        <v>12.670117378234901</v>
      </c>
      <c r="T355" s="756">
        <v>12.917200088501</v>
      </c>
      <c r="U355" s="756">
        <v>13.0803108215332</v>
      </c>
      <c r="V355" s="756">
        <v>13.574273109436</v>
      </c>
      <c r="W355" s="756">
        <v>14.23717212677</v>
      </c>
      <c r="X355" s="756">
        <v>15.0462560653687</v>
      </c>
      <c r="Y355" s="756">
        <v>15.740474700927701</v>
      </c>
      <c r="Z355" s="756">
        <v>16.4913539886475</v>
      </c>
    </row>
    <row r="356" spans="1:70" ht="13.8" thickBot="1" x14ac:dyDescent="0.3">
      <c r="A356" s="754" t="s">
        <v>603</v>
      </c>
      <c r="B356" s="756">
        <v>3.53999996185303</v>
      </c>
      <c r="C356" s="756">
        <v>3.6099998950958301</v>
      </c>
      <c r="D356" s="756">
        <v>4.1449666023254403</v>
      </c>
      <c r="E356" s="756">
        <v>4.1784791946411097</v>
      </c>
      <c r="F356" s="756">
        <v>4.1485314369201696</v>
      </c>
      <c r="G356" s="756">
        <v>4.3175525665283203</v>
      </c>
      <c r="H356" s="756">
        <v>4.44484186172485</v>
      </c>
      <c r="I356" s="756">
        <v>4.5821456909179696</v>
      </c>
      <c r="J356" s="756">
        <v>4.7206311225891104</v>
      </c>
      <c r="K356" s="756">
        <v>4.8563599586486799</v>
      </c>
      <c r="L356" s="756">
        <v>4.9913563728332502</v>
      </c>
      <c r="M356" s="756">
        <v>5.1233406066894496</v>
      </c>
      <c r="N356" s="756">
        <v>5.2680139541626003</v>
      </c>
      <c r="O356" s="756">
        <v>5.4137320518493697</v>
      </c>
      <c r="P356" s="756">
        <v>5.5743689537048304</v>
      </c>
      <c r="Q356" s="756">
        <v>5.7906579971313503</v>
      </c>
      <c r="R356" s="756">
        <v>6.0209679603576696</v>
      </c>
      <c r="S356" s="756">
        <v>6.20045709609985</v>
      </c>
      <c r="T356" s="756">
        <v>6.3775997161865199</v>
      </c>
      <c r="U356" s="756">
        <v>6.5161404609680202</v>
      </c>
      <c r="V356" s="756">
        <v>6.6299972534179696</v>
      </c>
      <c r="W356" s="756">
        <v>6.7667918205261204</v>
      </c>
      <c r="X356" s="756">
        <v>6.88553714752197</v>
      </c>
      <c r="Y356" s="756">
        <v>6.9704546928405797</v>
      </c>
      <c r="Z356" s="756">
        <v>7.0137753486633301</v>
      </c>
    </row>
    <row r="357" spans="1:70" ht="13.8" thickBot="1" x14ac:dyDescent="0.3">
      <c r="A357" s="754" t="s">
        <v>616</v>
      </c>
      <c r="B357" s="756">
        <v>1.73100674152374</v>
      </c>
      <c r="C357" s="756">
        <v>1.81885313987732</v>
      </c>
      <c r="D357" s="756">
        <v>2.01088166236877</v>
      </c>
      <c r="E357" s="756">
        <v>2.0711190700531001</v>
      </c>
      <c r="F357" s="756">
        <v>1.96068322658539</v>
      </c>
      <c r="G357" s="756">
        <v>1.99932932853699</v>
      </c>
      <c r="H357" s="756">
        <v>2.0096416473388699</v>
      </c>
      <c r="I357" s="756">
        <v>2.07272601127625</v>
      </c>
      <c r="J357" s="756">
        <v>2.1420636177063002</v>
      </c>
      <c r="K357" s="756">
        <v>2.1925818920135498</v>
      </c>
      <c r="L357" s="756">
        <v>2.2534883022308301</v>
      </c>
      <c r="M357" s="756">
        <v>2.3155770301818799</v>
      </c>
      <c r="N357" s="756">
        <v>2.38794946670532</v>
      </c>
      <c r="O357" s="756">
        <v>2.4510562419891402</v>
      </c>
      <c r="P357" s="756">
        <v>2.52451372146606</v>
      </c>
      <c r="Q357" s="756">
        <v>2.5963439941406299</v>
      </c>
      <c r="R357" s="756">
        <v>2.6790707111358598</v>
      </c>
      <c r="S357" s="756">
        <v>2.7507226467132599</v>
      </c>
      <c r="T357" s="756">
        <v>2.8189043998718302</v>
      </c>
      <c r="U357" s="756">
        <v>2.8845274448394802</v>
      </c>
      <c r="V357" s="756">
        <v>2.9543473720550502</v>
      </c>
      <c r="W357" s="756">
        <v>3.0319309234619101</v>
      </c>
      <c r="X357" s="756">
        <v>3.1151678562164302</v>
      </c>
      <c r="Y357" s="756">
        <v>3.20047926902771</v>
      </c>
      <c r="Z357" s="756">
        <v>3.2839629650115998</v>
      </c>
      <c r="AA357" s="277">
        <f>Z527+($AI$357-$Y$527)/10</f>
        <v>8.0623037763536161</v>
      </c>
      <c r="AB357" s="277">
        <f t="shared" ref="AB357:AH357" si="21">AA357+($AI$357-$Y$527)/10</f>
        <v>8.1146083992868938</v>
      </c>
      <c r="AC357" s="277">
        <f t="shared" si="21"/>
        <v>8.1669130222201716</v>
      </c>
      <c r="AD357" s="277">
        <f t="shared" si="21"/>
        <v>8.2192176451534493</v>
      </c>
      <c r="AE357" s="277">
        <f t="shared" si="21"/>
        <v>8.2715222680867271</v>
      </c>
      <c r="AF357" s="277">
        <f t="shared" si="21"/>
        <v>8.3238268910200048</v>
      </c>
      <c r="AG357" s="277">
        <f t="shared" si="21"/>
        <v>8.3761315139532826</v>
      </c>
      <c r="AH357" s="277">
        <f t="shared" si="21"/>
        <v>8.4284361368865603</v>
      </c>
      <c r="AI357" s="278">
        <f>T527*$E$742</f>
        <v>8.4807407598198452</v>
      </c>
      <c r="AJ357" s="277">
        <f>AI357+($AX$357-$AI$357)/15</f>
        <v>8.5767365137369804</v>
      </c>
      <c r="AK357" s="277">
        <f t="shared" ref="AK357:AW357" si="22">AJ357+($AX$357-$AI$357)/15</f>
        <v>8.6727322676541156</v>
      </c>
      <c r="AL357" s="277">
        <f t="shared" si="22"/>
        <v>8.7687280215712509</v>
      </c>
      <c r="AM357" s="277">
        <f t="shared" si="22"/>
        <v>8.8647237754883861</v>
      </c>
      <c r="AN357" s="277">
        <f t="shared" si="22"/>
        <v>8.9607195294055213</v>
      </c>
      <c r="AO357" s="277">
        <f t="shared" si="22"/>
        <v>9.0567152833226565</v>
      </c>
      <c r="AP357" s="277">
        <f t="shared" si="22"/>
        <v>9.1527110372397917</v>
      </c>
      <c r="AQ357" s="277">
        <f t="shared" si="22"/>
        <v>9.248706791156927</v>
      </c>
      <c r="AR357" s="277">
        <f t="shared" si="22"/>
        <v>9.3447025450740622</v>
      </c>
      <c r="AS357" s="277">
        <f t="shared" si="22"/>
        <v>9.4406982989911974</v>
      </c>
      <c r="AT357" s="277">
        <f t="shared" si="22"/>
        <v>9.5366940529083326</v>
      </c>
      <c r="AU357" s="277">
        <f t="shared" si="22"/>
        <v>9.6326898068254678</v>
      </c>
      <c r="AV357" s="277">
        <f t="shared" si="22"/>
        <v>9.728685560742603</v>
      </c>
      <c r="AW357" s="277">
        <f t="shared" si="22"/>
        <v>9.8246813146597383</v>
      </c>
      <c r="AX357" s="278">
        <f>AI357*$B$742</f>
        <v>9.9206770685768717</v>
      </c>
      <c r="AY357" s="277">
        <f>AX357+($BM$357-$AX$357)/15</f>
        <v>10.018909165246043</v>
      </c>
      <c r="AZ357" s="277">
        <f t="shared" ref="AZ357:BL357" si="23">AY357+($BM$357-$AX$357)/15</f>
        <v>10.117141261915215</v>
      </c>
      <c r="BA357" s="277">
        <f t="shared" si="23"/>
        <v>10.215373358584387</v>
      </c>
      <c r="BB357" s="277">
        <f t="shared" si="23"/>
        <v>10.313605455253558</v>
      </c>
      <c r="BC357" s="277">
        <f t="shared" si="23"/>
        <v>10.41183755192273</v>
      </c>
      <c r="BD357" s="277">
        <f t="shared" si="23"/>
        <v>10.510069648591902</v>
      </c>
      <c r="BE357" s="277">
        <f t="shared" si="23"/>
        <v>10.608301745261073</v>
      </c>
      <c r="BF357" s="277">
        <f t="shared" si="23"/>
        <v>10.706533841930245</v>
      </c>
      <c r="BG357" s="277">
        <f t="shared" si="23"/>
        <v>10.804765938599417</v>
      </c>
      <c r="BH357" s="277">
        <f t="shared" si="23"/>
        <v>10.902998035268588</v>
      </c>
      <c r="BI357" s="277">
        <f t="shared" si="23"/>
        <v>11.00123013193776</v>
      </c>
      <c r="BJ357" s="277">
        <f t="shared" si="23"/>
        <v>11.099462228606932</v>
      </c>
      <c r="BK357" s="277">
        <f t="shared" si="23"/>
        <v>11.197694325276103</v>
      </c>
      <c r="BL357" s="277">
        <f t="shared" si="23"/>
        <v>11.295926421945275</v>
      </c>
      <c r="BM357" s="278">
        <f>AX357*$C$742</f>
        <v>11.394158518614441</v>
      </c>
      <c r="BN357" s="277">
        <f>BM357+($BR$357-$BM$357)/5</f>
        <v>11.506980665059427</v>
      </c>
      <c r="BO357" s="277">
        <f>BN357+($BR$357-$BM$357)/5</f>
        <v>11.619802811504412</v>
      </c>
      <c r="BP357" s="277">
        <f>BO357+($BR$357-$BM$357)/5</f>
        <v>11.732624957949398</v>
      </c>
      <c r="BQ357" s="277">
        <f>BP357+($BR$357-$BM$357)/5</f>
        <v>11.845447104394383</v>
      </c>
      <c r="BR357" s="278">
        <f>BM357*$D$742</f>
        <v>11.95826925083937</v>
      </c>
    </row>
    <row r="358" spans="1:70" ht="13.8" thickBot="1" x14ac:dyDescent="0.3">
      <c r="A358" s="754" t="s">
        <v>605</v>
      </c>
      <c r="B358" s="756">
        <v>0</v>
      </c>
      <c r="C358" s="756">
        <v>0</v>
      </c>
      <c r="D358" s="756">
        <v>0</v>
      </c>
      <c r="E358" s="756">
        <v>0</v>
      </c>
      <c r="F358" s="756">
        <v>0</v>
      </c>
      <c r="G358" s="756">
        <v>1.5889266729354901</v>
      </c>
      <c r="H358" s="756">
        <v>1.46094393730164</v>
      </c>
      <c r="I358" s="756">
        <v>1.28843116760254</v>
      </c>
      <c r="J358" s="756">
        <v>1.5101318359375</v>
      </c>
      <c r="K358" s="756">
        <v>1.50810551643372</v>
      </c>
      <c r="L358" s="756">
        <v>1.5213859081268299</v>
      </c>
      <c r="M358" s="756">
        <v>1.53951179981232</v>
      </c>
      <c r="N358" s="756">
        <v>1.58338570594788</v>
      </c>
      <c r="O358" s="756">
        <v>1.63723039627075</v>
      </c>
      <c r="P358" s="756">
        <v>1.71289122104645</v>
      </c>
      <c r="Q358" s="756">
        <v>1.76114201545715</v>
      </c>
      <c r="R358" s="756">
        <v>1.8119050264358501</v>
      </c>
      <c r="S358" s="756">
        <v>1.8629466295242301</v>
      </c>
      <c r="T358" s="756">
        <v>1.9169825315475499</v>
      </c>
      <c r="U358" s="756">
        <v>1.9466364383697501</v>
      </c>
      <c r="V358" s="756">
        <v>1.9911848306655899</v>
      </c>
      <c r="W358" s="756">
        <v>2.0416746139526398</v>
      </c>
      <c r="X358" s="756">
        <v>2.09020328521729</v>
      </c>
      <c r="Y358" s="756">
        <v>2.1373581886291499</v>
      </c>
      <c r="Z358" s="756">
        <v>2.1847438812255899</v>
      </c>
      <c r="AA358" s="279">
        <f>Z528+($AI$358-$Y$528)/10</f>
        <v>22.224617194901626</v>
      </c>
      <c r="AB358" s="279">
        <f t="shared" ref="AB358:AH358" si="24">AA358+($AI$358-$Y$528)/10</f>
        <v>22.135413455621489</v>
      </c>
      <c r="AC358" s="279">
        <f t="shared" si="24"/>
        <v>22.046209716341352</v>
      </c>
      <c r="AD358" s="279">
        <f t="shared" si="24"/>
        <v>21.957005977061215</v>
      </c>
      <c r="AE358" s="279">
        <f t="shared" si="24"/>
        <v>21.867802237781078</v>
      </c>
      <c r="AF358" s="279">
        <f t="shared" si="24"/>
        <v>21.778598498500941</v>
      </c>
      <c r="AG358" s="279">
        <f t="shared" si="24"/>
        <v>21.689394759220804</v>
      </c>
      <c r="AH358" s="279">
        <f t="shared" si="24"/>
        <v>21.600191019940667</v>
      </c>
      <c r="AI358" s="280">
        <f>T528*$E$745</f>
        <v>21.510987280660522</v>
      </c>
      <c r="AJ358" s="279">
        <f>AI358+($AX$358-$AI$358)/15</f>
        <v>21.502530865644818</v>
      </c>
      <c r="AK358" s="279">
        <f t="shared" ref="AK358:AW358" si="25">AJ358+($AX$358-$AI$358)/15</f>
        <v>21.494074450629114</v>
      </c>
      <c r="AL358" s="279">
        <f t="shared" si="25"/>
        <v>21.48561803561341</v>
      </c>
      <c r="AM358" s="279">
        <f t="shared" si="25"/>
        <v>21.477161620597705</v>
      </c>
      <c r="AN358" s="279">
        <f t="shared" si="25"/>
        <v>21.468705205582001</v>
      </c>
      <c r="AO358" s="279">
        <f t="shared" si="25"/>
        <v>21.460248790566297</v>
      </c>
      <c r="AP358" s="279">
        <f t="shared" si="25"/>
        <v>21.451792375550593</v>
      </c>
      <c r="AQ358" s="279">
        <f t="shared" si="25"/>
        <v>21.443335960534888</v>
      </c>
      <c r="AR358" s="279">
        <f t="shared" si="25"/>
        <v>21.434879545519184</v>
      </c>
      <c r="AS358" s="279">
        <f t="shared" si="25"/>
        <v>21.42642313050348</v>
      </c>
      <c r="AT358" s="279">
        <f t="shared" si="25"/>
        <v>21.417966715487776</v>
      </c>
      <c r="AU358" s="279">
        <f t="shared" si="25"/>
        <v>21.409510300472071</v>
      </c>
      <c r="AV358" s="279">
        <f t="shared" si="25"/>
        <v>21.401053885456367</v>
      </c>
      <c r="AW358" s="279">
        <f t="shared" si="25"/>
        <v>21.392597470440663</v>
      </c>
      <c r="AX358" s="280">
        <f>AI358*$B$745</f>
        <v>21.384141055424955</v>
      </c>
      <c r="AY358" s="279">
        <f>AX358+($BM$358-$AX$358)/15</f>
        <v>21.397725276976207</v>
      </c>
      <c r="AZ358" s="279">
        <f t="shared" ref="AZ358:BL358" si="26">AY358+($BM$358-$AX$358)/15</f>
        <v>21.411309498527459</v>
      </c>
      <c r="BA358" s="279">
        <f t="shared" si="26"/>
        <v>21.42489372007871</v>
      </c>
      <c r="BB358" s="279">
        <f t="shared" si="26"/>
        <v>21.438477941629962</v>
      </c>
      <c r="BC358" s="279">
        <f t="shared" si="26"/>
        <v>21.452062163181214</v>
      </c>
      <c r="BD358" s="279">
        <f t="shared" si="26"/>
        <v>21.465646384732466</v>
      </c>
      <c r="BE358" s="279">
        <f t="shared" si="26"/>
        <v>21.479230606283718</v>
      </c>
      <c r="BF358" s="279">
        <f t="shared" si="26"/>
        <v>21.49281482783497</v>
      </c>
      <c r="BG358" s="279">
        <f t="shared" si="26"/>
        <v>21.506399049386221</v>
      </c>
      <c r="BH358" s="279">
        <f t="shared" si="26"/>
        <v>21.519983270937473</v>
      </c>
      <c r="BI358" s="279">
        <f t="shared" si="26"/>
        <v>21.533567492488725</v>
      </c>
      <c r="BJ358" s="279">
        <f t="shared" si="26"/>
        <v>21.547151714039977</v>
      </c>
      <c r="BK358" s="279">
        <f t="shared" si="26"/>
        <v>21.560735935591229</v>
      </c>
      <c r="BL358" s="279">
        <f t="shared" si="26"/>
        <v>21.574320157142481</v>
      </c>
      <c r="BM358" s="280">
        <f>AX358*$C$745</f>
        <v>21.587904378693722</v>
      </c>
      <c r="BN358" s="279">
        <f>BM358+($BR$358-$BM$358)/5</f>
        <v>21.601618040381013</v>
      </c>
      <c r="BO358" s="279">
        <f>BN358+($BR$358-$BM$358)/5</f>
        <v>21.615331702068303</v>
      </c>
      <c r="BP358" s="279">
        <f>BO358+($BR$358-$BM$358)/5</f>
        <v>21.629045363755594</v>
      </c>
      <c r="BQ358" s="279">
        <f>BP358+($BR$358-$BM$358)/5</f>
        <v>21.642759025442885</v>
      </c>
      <c r="BR358" s="280">
        <f>BM358*$D$745</f>
        <v>21.656472687130176</v>
      </c>
    </row>
    <row r="359" spans="1:70" x14ac:dyDescent="0.25">
      <c r="A359" s="754" t="s">
        <v>469</v>
      </c>
      <c r="B359" s="756">
        <v>25.973251342773398</v>
      </c>
      <c r="C359" s="756">
        <v>26.680915832519499</v>
      </c>
      <c r="D359" s="756">
        <v>28.4103908538818</v>
      </c>
      <c r="E359" s="756">
        <v>27.544679641723601</v>
      </c>
      <c r="F359" s="756">
        <v>25.191349029541001</v>
      </c>
      <c r="G359" s="756">
        <v>26.348068237304702</v>
      </c>
      <c r="H359" s="756">
        <v>26.6303806304932</v>
      </c>
      <c r="I359" s="756">
        <v>27.154542922973601</v>
      </c>
      <c r="J359" s="756">
        <v>28.002742767333999</v>
      </c>
      <c r="K359" s="756">
        <v>28.757371902465799</v>
      </c>
      <c r="L359" s="756">
        <v>29.780685424804702</v>
      </c>
      <c r="M359" s="756">
        <v>30.870384216308601</v>
      </c>
      <c r="N359" s="756">
        <v>32.039138793945298</v>
      </c>
      <c r="O359" s="756">
        <v>33.131908416747997</v>
      </c>
      <c r="P359" s="756">
        <v>34.493354797363303</v>
      </c>
      <c r="Q359" s="756">
        <v>35.847507476806598</v>
      </c>
      <c r="R359" s="756">
        <v>37.095943450927699</v>
      </c>
      <c r="S359" s="756">
        <v>37.945499420166001</v>
      </c>
      <c r="T359" s="756">
        <v>38.854724884033203</v>
      </c>
      <c r="U359" s="756">
        <v>39.667263031005902</v>
      </c>
      <c r="V359" s="756">
        <v>40.613765716552699</v>
      </c>
      <c r="W359" s="756">
        <v>41.989593505859403</v>
      </c>
      <c r="X359" s="756">
        <v>43.556324005127003</v>
      </c>
      <c r="Y359" s="756">
        <v>45.098350524902301</v>
      </c>
      <c r="Z359" s="756">
        <v>46.616588592529297</v>
      </c>
    </row>
    <row r="361" spans="1:70" x14ac:dyDescent="0.25">
      <c r="A361" s="754" t="s">
        <v>503</v>
      </c>
    </row>
    <row r="362" spans="1:70" x14ac:dyDescent="0.25">
      <c r="A362" s="754" t="s">
        <v>716</v>
      </c>
    </row>
    <row r="363" spans="1:70" x14ac:dyDescent="0.25">
      <c r="A363" s="754" t="s">
        <v>463</v>
      </c>
      <c r="B363" s="756">
        <v>225.03859096661196</v>
      </c>
      <c r="C363" s="756">
        <v>238.40081787109398</v>
      </c>
      <c r="D363" s="756">
        <v>255.49913625772319</v>
      </c>
      <c r="E363" s="756">
        <v>230.9929746666815</v>
      </c>
      <c r="F363" s="756">
        <v>223.41247611699868</v>
      </c>
      <c r="G363" s="756">
        <v>235.2892736225177</v>
      </c>
      <c r="H363" s="756">
        <v>241.6920712265439</v>
      </c>
      <c r="I363" s="756">
        <v>246.56659612211084</v>
      </c>
      <c r="J363" s="756">
        <v>255.55094332875294</v>
      </c>
      <c r="K363" s="756">
        <v>264.57905396662414</v>
      </c>
      <c r="L363" s="756">
        <v>275.89920726734971</v>
      </c>
      <c r="M363" s="756">
        <v>287.49516661999758</v>
      </c>
      <c r="N363" s="756">
        <v>300.32909110683801</v>
      </c>
      <c r="O363" s="756">
        <v>313.11554742582229</v>
      </c>
      <c r="P363" s="756">
        <v>328.18192619930682</v>
      </c>
      <c r="Q363" s="756">
        <v>341.8235015289352</v>
      </c>
      <c r="R363" s="756">
        <v>355.09694320426638</v>
      </c>
      <c r="S363" s="756">
        <v>365.44612056098629</v>
      </c>
      <c r="T363" s="756">
        <v>378.29315112389759</v>
      </c>
      <c r="U363" s="756">
        <v>388.37155634393389</v>
      </c>
      <c r="V363" s="756">
        <v>402.59953615177363</v>
      </c>
      <c r="W363" s="756">
        <v>419.77981120164446</v>
      </c>
      <c r="X363" s="756">
        <v>438.87123825530841</v>
      </c>
      <c r="Y363" s="756">
        <v>455.24534715742953</v>
      </c>
      <c r="Z363" s="756">
        <v>473.03338245571979</v>
      </c>
    </row>
    <row r="364" spans="1:70" x14ac:dyDescent="0.25">
      <c r="A364" s="754" t="s">
        <v>470</v>
      </c>
      <c r="B364" s="756">
        <v>165.81601818957134</v>
      </c>
      <c r="C364" s="756">
        <v>172.89260864257801</v>
      </c>
      <c r="D364" s="756">
        <v>187.38257557629601</v>
      </c>
      <c r="E364" s="756">
        <v>169.14737359110225</v>
      </c>
      <c r="F364" s="756">
        <v>163.07263216137929</v>
      </c>
      <c r="G364" s="756">
        <v>172.91593328178766</v>
      </c>
      <c r="H364" s="756">
        <v>176.9297785804325</v>
      </c>
      <c r="I364" s="756">
        <v>182.88131988639063</v>
      </c>
      <c r="J364" s="756">
        <v>191.23749630338142</v>
      </c>
      <c r="K364" s="756">
        <v>199.89645601118545</v>
      </c>
      <c r="L364" s="756">
        <v>210.36479941888081</v>
      </c>
      <c r="M364" s="756">
        <v>221.36240217535854</v>
      </c>
      <c r="N364" s="756">
        <v>233.19080564556924</v>
      </c>
      <c r="O364" s="756">
        <v>244.70314616363081</v>
      </c>
      <c r="P364" s="756">
        <v>258.1051490216438</v>
      </c>
      <c r="Q364" s="756">
        <v>271.26123343313407</v>
      </c>
      <c r="R364" s="756">
        <v>283.50995205362011</v>
      </c>
      <c r="S364" s="756">
        <v>292.88584879534454</v>
      </c>
      <c r="T364" s="756">
        <v>303.70259464185926</v>
      </c>
      <c r="U364" s="756">
        <v>313.58347456242666</v>
      </c>
      <c r="V364" s="756">
        <v>325.89089746765683</v>
      </c>
      <c r="W364" s="756">
        <v>341.11550736031069</v>
      </c>
      <c r="X364" s="756">
        <v>358.21009848865214</v>
      </c>
      <c r="Y364" s="756">
        <v>374.9131546581271</v>
      </c>
      <c r="Z364" s="756">
        <v>392.1016075075479</v>
      </c>
    </row>
    <row r="365" spans="1:70" ht="13.8" thickBot="1" x14ac:dyDescent="0.3">
      <c r="A365" s="754" t="s">
        <v>505</v>
      </c>
      <c r="B365" s="756">
        <v>210.41252056252281</v>
      </c>
      <c r="C365" s="756">
        <v>226.88609313964801</v>
      </c>
      <c r="D365" s="756">
        <v>254.13497179068762</v>
      </c>
      <c r="E365" s="756">
        <v>187.2100922767749</v>
      </c>
      <c r="F365" s="756">
        <v>157.4270874391178</v>
      </c>
      <c r="G365" s="756">
        <v>180.83829470805441</v>
      </c>
      <c r="H365" s="756">
        <v>198.41655822177904</v>
      </c>
      <c r="I365" s="756">
        <v>216.64201952030527</v>
      </c>
      <c r="J365" s="756">
        <v>228.79975664936245</v>
      </c>
      <c r="K365" s="756">
        <v>241.15463361452254</v>
      </c>
      <c r="L365" s="756">
        <v>252.64480203410886</v>
      </c>
      <c r="M365" s="756">
        <v>265.1637238738445</v>
      </c>
      <c r="N365" s="756">
        <v>278.29776899368039</v>
      </c>
      <c r="O365" s="756">
        <v>289.61773721654419</v>
      </c>
      <c r="P365" s="756">
        <v>303.56832242347855</v>
      </c>
      <c r="Q365" s="756">
        <v>314.41390898844122</v>
      </c>
      <c r="R365" s="756">
        <v>323.63277263436424</v>
      </c>
      <c r="S365" s="756">
        <v>331.42426143912343</v>
      </c>
      <c r="T365" s="756">
        <v>339.57307272400601</v>
      </c>
      <c r="U365" s="756">
        <v>343.93727888891527</v>
      </c>
      <c r="V365" s="756">
        <v>351.82746805051073</v>
      </c>
      <c r="W365" s="756">
        <v>360.73339056833169</v>
      </c>
      <c r="X365" s="756">
        <v>371.92375563686846</v>
      </c>
      <c r="Y365" s="756">
        <v>381.22301587849751</v>
      </c>
      <c r="Z365" s="756">
        <v>389.10731115707301</v>
      </c>
    </row>
    <row r="366" spans="1:70" ht="13.8" thickBot="1" x14ac:dyDescent="0.3">
      <c r="A366" s="754" t="s">
        <v>477</v>
      </c>
      <c r="B366" s="756">
        <v>549.81888270324475</v>
      </c>
      <c r="C366" s="756">
        <v>596.84759521484398</v>
      </c>
      <c r="D366" s="756">
        <v>708.90187629235277</v>
      </c>
      <c r="E366" s="756">
        <v>406.38667462869051</v>
      </c>
      <c r="F366" s="756">
        <v>447.16295305198071</v>
      </c>
      <c r="G366" s="756">
        <v>542.65678113398656</v>
      </c>
      <c r="H366" s="756">
        <v>604.00010341071868</v>
      </c>
      <c r="I366" s="756">
        <v>661.06483901631009</v>
      </c>
      <c r="J366" s="756">
        <v>714.35686387994281</v>
      </c>
      <c r="K366" s="756">
        <v>764.16924059162022</v>
      </c>
      <c r="L366" s="756">
        <v>805.13331786340132</v>
      </c>
      <c r="M366" s="756">
        <v>850.39970498506295</v>
      </c>
      <c r="N366" s="756">
        <v>892.06783074940802</v>
      </c>
      <c r="O366" s="756">
        <v>929.55049698437085</v>
      </c>
      <c r="P366" s="756">
        <v>964.20679928883487</v>
      </c>
      <c r="Q366" s="756">
        <v>990.06920191633094</v>
      </c>
      <c r="R366" s="756">
        <v>1016.1557534719609</v>
      </c>
      <c r="S366" s="756">
        <v>1054.8326731961108</v>
      </c>
      <c r="T366" s="756">
        <v>1091.2729592511287</v>
      </c>
      <c r="U366" s="756">
        <v>1118.0349113947391</v>
      </c>
      <c r="V366" s="756">
        <v>1161.085260138974</v>
      </c>
      <c r="W366" s="756">
        <v>1181.9301954596156</v>
      </c>
      <c r="X366" s="756">
        <v>1232.4560893451367</v>
      </c>
      <c r="Y366" s="756">
        <v>1290.1595195386233</v>
      </c>
      <c r="Z366" s="756">
        <v>1322.0136898683704</v>
      </c>
      <c r="AA366" s="277">
        <f>Z536+($AI$366-$Y$536)/10</f>
        <v>5.5334229650972304</v>
      </c>
      <c r="AB366" s="277">
        <f t="shared" ref="AB366:AH366" si="27">AA366+($AI$366-$Y$536)/10</f>
        <v>5.5639341150042458</v>
      </c>
      <c r="AC366" s="277">
        <f t="shared" si="27"/>
        <v>5.5944452649112613</v>
      </c>
      <c r="AD366" s="277">
        <f t="shared" si="27"/>
        <v>5.6249564148182767</v>
      </c>
      <c r="AE366" s="277">
        <f t="shared" si="27"/>
        <v>5.6554675647252921</v>
      </c>
      <c r="AF366" s="277">
        <f t="shared" si="27"/>
        <v>5.6859787146323075</v>
      </c>
      <c r="AG366" s="277">
        <f t="shared" si="27"/>
        <v>5.716489864539323</v>
      </c>
      <c r="AH366" s="277">
        <f t="shared" si="27"/>
        <v>5.7470010144463384</v>
      </c>
      <c r="AI366" s="278">
        <f>T536*$E$742</f>
        <v>5.7775121643533494</v>
      </c>
      <c r="AJ366" s="277">
        <f>AI366+($AX$366-$AI$366)/15</f>
        <v>5.8429093568498098</v>
      </c>
      <c r="AK366" s="277">
        <f t="shared" ref="AK366:AW366" si="28">AJ366+($AX$366-$AI$366)/15</f>
        <v>5.9083065493462703</v>
      </c>
      <c r="AL366" s="277">
        <f t="shared" si="28"/>
        <v>5.9737037418427308</v>
      </c>
      <c r="AM366" s="277">
        <f t="shared" si="28"/>
        <v>6.0391009343391913</v>
      </c>
      <c r="AN366" s="277">
        <f t="shared" si="28"/>
        <v>6.1044981268356517</v>
      </c>
      <c r="AO366" s="277">
        <f t="shared" si="28"/>
        <v>6.1698953193321122</v>
      </c>
      <c r="AP366" s="277">
        <f t="shared" si="28"/>
        <v>6.2352925118285727</v>
      </c>
      <c r="AQ366" s="277">
        <f t="shared" si="28"/>
        <v>6.3006897043250332</v>
      </c>
      <c r="AR366" s="277">
        <f t="shared" si="28"/>
        <v>6.3660868968214936</v>
      </c>
      <c r="AS366" s="277">
        <f t="shared" si="28"/>
        <v>6.4314840893179541</v>
      </c>
      <c r="AT366" s="277">
        <f t="shared" si="28"/>
        <v>6.4968812818144146</v>
      </c>
      <c r="AU366" s="277">
        <f t="shared" si="28"/>
        <v>6.5622784743108751</v>
      </c>
      <c r="AV366" s="277">
        <f t="shared" si="28"/>
        <v>6.6276756668073356</v>
      </c>
      <c r="AW366" s="277">
        <f t="shared" si="28"/>
        <v>6.693072859303796</v>
      </c>
      <c r="AX366" s="278">
        <f>AI366*$B$742</f>
        <v>6.7584700518002592</v>
      </c>
      <c r="AY366" s="277">
        <f>AX366+($BM$366-$AX$366)/15</f>
        <v>6.8253907547799981</v>
      </c>
      <c r="AZ366" s="277">
        <f t="shared" ref="AZ366:BL366" si="29">AY366+($BM$366-$AX$366)/15</f>
        <v>6.8923114577597371</v>
      </c>
      <c r="BA366" s="277">
        <f t="shared" si="29"/>
        <v>6.959232160739476</v>
      </c>
      <c r="BB366" s="277">
        <f t="shared" si="29"/>
        <v>7.026152863719215</v>
      </c>
      <c r="BC366" s="277">
        <f t="shared" si="29"/>
        <v>7.0930735666989539</v>
      </c>
      <c r="BD366" s="277">
        <f t="shared" si="29"/>
        <v>7.1599942696786929</v>
      </c>
      <c r="BE366" s="277">
        <f t="shared" si="29"/>
        <v>7.2269149726584319</v>
      </c>
      <c r="BF366" s="277">
        <f t="shared" si="29"/>
        <v>7.2938356756381708</v>
      </c>
      <c r="BG366" s="277">
        <f t="shared" si="29"/>
        <v>7.3607563786179098</v>
      </c>
      <c r="BH366" s="277">
        <f t="shared" si="29"/>
        <v>7.4276770815976487</v>
      </c>
      <c r="BI366" s="277">
        <f t="shared" si="29"/>
        <v>7.4945977845773877</v>
      </c>
      <c r="BJ366" s="277">
        <f t="shared" si="29"/>
        <v>7.5615184875571266</v>
      </c>
      <c r="BK366" s="277">
        <f t="shared" si="29"/>
        <v>7.6284391905368656</v>
      </c>
      <c r="BL366" s="277">
        <f t="shared" si="29"/>
        <v>7.6953598935166045</v>
      </c>
      <c r="BM366" s="278">
        <f>AX366*$C$742</f>
        <v>7.7622805964963462</v>
      </c>
      <c r="BN366" s="277">
        <f>BM366+($BR$366-$BM$366)/5</f>
        <v>7.8391407838260445</v>
      </c>
      <c r="BO366" s="277">
        <f>BN366+($BR$366-$BM$366)/5</f>
        <v>7.9160009711557429</v>
      </c>
      <c r="BP366" s="277">
        <f>BO366+($BR$366-$BM$366)/5</f>
        <v>7.9928611584854412</v>
      </c>
      <c r="BQ366" s="277">
        <f>BP366+($BR$366-$BM$366)/5</f>
        <v>8.0697213458151396</v>
      </c>
      <c r="BR366" s="278">
        <f>BM366*$D$742</f>
        <v>8.1465815331448379</v>
      </c>
    </row>
    <row r="367" spans="1:70" x14ac:dyDescent="0.25">
      <c r="A367" s="754" t="s">
        <v>506</v>
      </c>
      <c r="B367" s="756">
        <v>1151.0859678463546</v>
      </c>
      <c r="C367" s="756">
        <v>1235.02709960938</v>
      </c>
      <c r="D367" s="756">
        <v>1405.9186066996403</v>
      </c>
      <c r="E367" s="756">
        <v>993.73713091111074</v>
      </c>
      <c r="F367" s="756">
        <v>991.07514876947641</v>
      </c>
      <c r="G367" s="756">
        <v>1131.7003147881212</v>
      </c>
      <c r="H367" s="756">
        <v>1221.038560105055</v>
      </c>
      <c r="I367" s="756">
        <v>1307.1547250090439</v>
      </c>
      <c r="J367" s="756">
        <v>1389.9450601614428</v>
      </c>
      <c r="K367" s="756">
        <v>1469.7993497059265</v>
      </c>
      <c r="L367" s="756">
        <v>1544.0421618496678</v>
      </c>
      <c r="M367" s="756">
        <v>1624.4209976542634</v>
      </c>
      <c r="N367" s="756">
        <v>1703.8854780296228</v>
      </c>
      <c r="O367" s="756">
        <v>1776.9868521708881</v>
      </c>
      <c r="P367" s="756">
        <v>1854.0622550605767</v>
      </c>
      <c r="Q367" s="756">
        <v>1917.5679054742993</v>
      </c>
      <c r="R367" s="756">
        <v>1978.3954213642144</v>
      </c>
      <c r="S367" s="756">
        <v>2044.5889248527621</v>
      </c>
      <c r="T367" s="756">
        <v>2112.8417777408945</v>
      </c>
      <c r="U367" s="756">
        <v>2163.9271994062915</v>
      </c>
      <c r="V367" s="756">
        <v>2241.4031618089139</v>
      </c>
      <c r="W367" s="756">
        <v>2303.558949985179</v>
      </c>
      <c r="X367" s="756">
        <v>2401.4612280803153</v>
      </c>
      <c r="Y367" s="756">
        <v>2501.5410135735665</v>
      </c>
      <c r="Z367" s="756">
        <v>2576.2560875804752</v>
      </c>
    </row>
    <row r="368" spans="1:70" ht="13.8" thickBot="1" x14ac:dyDescent="0.3">
      <c r="A368" s="754" t="s">
        <v>618</v>
      </c>
      <c r="B368" s="756">
        <v>3.1288517293273019E-2</v>
      </c>
      <c r="C368" s="756">
        <v>4.0145620703697205E-2</v>
      </c>
      <c r="D368" s="756">
        <v>3.8515830891447944E-2</v>
      </c>
      <c r="E368" s="756">
        <v>2.6303627333810531E-2</v>
      </c>
      <c r="F368" s="756">
        <v>5.6047443014104255E-2</v>
      </c>
      <c r="G368" s="756">
        <v>7.1119337023784479E-2</v>
      </c>
      <c r="H368" s="756">
        <v>8.8428224145552056E-2</v>
      </c>
      <c r="I368" s="756">
        <v>0.10266115711707489</v>
      </c>
      <c r="J368" s="756">
        <v>0.12491143634290662</v>
      </c>
      <c r="K368" s="756">
        <v>2.2293869286864165</v>
      </c>
      <c r="L368" s="756">
        <v>5.6123954184121017</v>
      </c>
      <c r="M368" s="756">
        <v>7.9566359351664051</v>
      </c>
      <c r="N368" s="756">
        <v>12.724991751969894</v>
      </c>
      <c r="O368" s="756">
        <v>19.495647700796784</v>
      </c>
      <c r="P368" s="756">
        <v>28.06371652814466</v>
      </c>
      <c r="Q368" s="756">
        <v>33.841758141316177</v>
      </c>
      <c r="R368" s="756">
        <v>47.452021910622882</v>
      </c>
      <c r="S368" s="756">
        <v>48.667640008057987</v>
      </c>
      <c r="T368" s="756">
        <v>47.767774332439714</v>
      </c>
      <c r="U368" s="756">
        <v>50.842459413568172</v>
      </c>
      <c r="V368" s="756">
        <v>54.12672288853372</v>
      </c>
      <c r="W368" s="756">
        <v>67.349033728123644</v>
      </c>
      <c r="X368" s="756">
        <v>72.870357898145016</v>
      </c>
      <c r="Y368" s="756">
        <v>82.472655922369356</v>
      </c>
      <c r="Z368" s="756">
        <v>85.74303480046683</v>
      </c>
    </row>
    <row r="369" spans="1:70" ht="13.8" thickBot="1" x14ac:dyDescent="0.3">
      <c r="A369" s="754" t="s">
        <v>508</v>
      </c>
      <c r="B369" s="756">
        <v>1151.1172301979784</v>
      </c>
      <c r="C369" s="756">
        <v>1235.06726074219</v>
      </c>
      <c r="D369" s="756">
        <v>1405.957155546361</v>
      </c>
      <c r="E369" s="756">
        <v>993.76346133595302</v>
      </c>
      <c r="F369" s="756">
        <v>991.13120249830877</v>
      </c>
      <c r="G369" s="756">
        <v>1131.7714475332546</v>
      </c>
      <c r="H369" s="756">
        <v>1221.1269368042056</v>
      </c>
      <c r="I369" s="756">
        <v>1307.2573637523753</v>
      </c>
      <c r="J369" s="756">
        <v>1390.0699789505047</v>
      </c>
      <c r="K369" s="756">
        <v>1472.0286986549243</v>
      </c>
      <c r="L369" s="756">
        <v>1549.6545225531884</v>
      </c>
      <c r="M369" s="756">
        <v>1632.3776685401217</v>
      </c>
      <c r="N369" s="756">
        <v>1716.6105344121597</v>
      </c>
      <c r="O369" s="756">
        <v>1796.4824632434897</v>
      </c>
      <c r="P369" s="756">
        <v>1882.1259667447755</v>
      </c>
      <c r="Q369" s="756">
        <v>1951.4096785174786</v>
      </c>
      <c r="R369" s="756">
        <v>2025.8475094892897</v>
      </c>
      <c r="S369" s="756">
        <v>2093.2565961526161</v>
      </c>
      <c r="T369" s="756">
        <v>2160.609578738799</v>
      </c>
      <c r="U369" s="756">
        <v>2214.7697023873047</v>
      </c>
      <c r="V369" s="756">
        <v>2295.5298624598372</v>
      </c>
      <c r="W369" s="756">
        <v>2370.9079156203875</v>
      </c>
      <c r="X369" s="756">
        <v>2474.3315685955818</v>
      </c>
      <c r="Y369" s="756">
        <v>2584.0136458368329</v>
      </c>
      <c r="Z369" s="756">
        <v>2661.9990499371279</v>
      </c>
      <c r="AA369" s="279">
        <f>Z539+($AI$369-$Y$539)/10</f>
        <v>15.611683809514826</v>
      </c>
      <c r="AB369" s="279">
        <f t="shared" ref="AB369:AH369" si="30">AA369+($AI$369-$Y$539)/10</f>
        <v>15.541748469704389</v>
      </c>
      <c r="AC369" s="279">
        <f t="shared" si="30"/>
        <v>15.471813129893953</v>
      </c>
      <c r="AD369" s="279">
        <f t="shared" si="30"/>
        <v>15.401877790083516</v>
      </c>
      <c r="AE369" s="279">
        <f t="shared" si="30"/>
        <v>15.331942450273079</v>
      </c>
      <c r="AF369" s="279">
        <f t="shared" si="30"/>
        <v>15.262007110462642</v>
      </c>
      <c r="AG369" s="279">
        <f t="shared" si="30"/>
        <v>15.192071770652205</v>
      </c>
      <c r="AH369" s="279">
        <f t="shared" si="30"/>
        <v>15.122136430841769</v>
      </c>
      <c r="AI369" s="280">
        <f>T539*$E$745</f>
        <v>15.052201091031337</v>
      </c>
      <c r="AJ369" s="279">
        <f>AI369+($AX$369-$AI$369)/15</f>
        <v>15.046283758755285</v>
      </c>
      <c r="AK369" s="279">
        <f t="shared" ref="AK369:AW369" si="31">AJ369+($AX$369-$AI$369)/15</f>
        <v>15.040366426479233</v>
      </c>
      <c r="AL369" s="279">
        <f t="shared" si="31"/>
        <v>15.034449094203181</v>
      </c>
      <c r="AM369" s="279">
        <f t="shared" si="31"/>
        <v>15.028531761927129</v>
      </c>
      <c r="AN369" s="279">
        <f t="shared" si="31"/>
        <v>15.022614429651076</v>
      </c>
      <c r="AO369" s="279">
        <f t="shared" si="31"/>
        <v>15.016697097375024</v>
      </c>
      <c r="AP369" s="279">
        <f t="shared" si="31"/>
        <v>15.010779765098972</v>
      </c>
      <c r="AQ369" s="279">
        <f t="shared" si="31"/>
        <v>15.00486243282292</v>
      </c>
      <c r="AR369" s="279">
        <f t="shared" si="31"/>
        <v>14.998945100546868</v>
      </c>
      <c r="AS369" s="279">
        <f t="shared" si="31"/>
        <v>14.993027768270816</v>
      </c>
      <c r="AT369" s="279">
        <f t="shared" si="31"/>
        <v>14.987110435994763</v>
      </c>
      <c r="AU369" s="279">
        <f t="shared" si="31"/>
        <v>14.981193103718711</v>
      </c>
      <c r="AV369" s="279">
        <f t="shared" si="31"/>
        <v>14.975275771442659</v>
      </c>
      <c r="AW369" s="279">
        <f t="shared" si="31"/>
        <v>14.969358439166607</v>
      </c>
      <c r="AX369" s="280">
        <f>AI369*$B$745</f>
        <v>14.963441106890555</v>
      </c>
      <c r="AY369" s="279">
        <f>AX369+($BM$369-$AX$369)/15</f>
        <v>14.972946595029557</v>
      </c>
      <c r="AZ369" s="279">
        <f t="shared" ref="AZ369:BL369" si="32">AY369+($BM$369-$AX$369)/15</f>
        <v>14.982452083168559</v>
      </c>
      <c r="BA369" s="279">
        <f t="shared" si="32"/>
        <v>14.991957571307561</v>
      </c>
      <c r="BB369" s="279">
        <f t="shared" si="32"/>
        <v>15.001463059446563</v>
      </c>
      <c r="BC369" s="279">
        <f t="shared" si="32"/>
        <v>15.010968547585565</v>
      </c>
      <c r="BD369" s="279">
        <f t="shared" si="32"/>
        <v>15.020474035724567</v>
      </c>
      <c r="BE369" s="279">
        <f t="shared" si="32"/>
        <v>15.029979523863569</v>
      </c>
      <c r="BF369" s="279">
        <f t="shared" si="32"/>
        <v>15.03948501200257</v>
      </c>
      <c r="BG369" s="279">
        <f t="shared" si="32"/>
        <v>15.048990500141572</v>
      </c>
      <c r="BH369" s="279">
        <f t="shared" si="32"/>
        <v>15.058495988280574</v>
      </c>
      <c r="BI369" s="279">
        <f t="shared" si="32"/>
        <v>15.068001476419576</v>
      </c>
      <c r="BJ369" s="279">
        <f t="shared" si="32"/>
        <v>15.077506964558578</v>
      </c>
      <c r="BK369" s="279">
        <f t="shared" si="32"/>
        <v>15.08701245269758</v>
      </c>
      <c r="BL369" s="279">
        <f t="shared" si="32"/>
        <v>15.096517940836582</v>
      </c>
      <c r="BM369" s="280">
        <f>AX369*$C$745</f>
        <v>15.106023428975591</v>
      </c>
      <c r="BN369" s="279">
        <f>BM369+($BR$369-$BM$369)/5</f>
        <v>15.115619492174282</v>
      </c>
      <c r="BO369" s="279">
        <f>BN369+($BR$369-$BM$369)/5</f>
        <v>15.125215555372973</v>
      </c>
      <c r="BP369" s="279">
        <f>BO369+($BR$369-$BM$369)/5</f>
        <v>15.134811618571664</v>
      </c>
      <c r="BQ369" s="279">
        <f>BP369+($BR$369-$BM$369)/5</f>
        <v>15.144407681770355</v>
      </c>
      <c r="BR369" s="280">
        <f>BM369*$D$745</f>
        <v>15.154003744969049</v>
      </c>
    </row>
    <row r="373" spans="1:70" ht="13.8" thickBot="1" x14ac:dyDescent="0.3">
      <c r="A373" s="754" t="s">
        <v>619</v>
      </c>
    </row>
    <row r="374" spans="1:70" ht="13.8" thickBot="1" x14ac:dyDescent="0.3">
      <c r="A374" s="754" t="s">
        <v>620</v>
      </c>
      <c r="AA374" s="281">
        <f>Z544+($AI$374-$Y$544)/10</f>
        <v>11.584123362673006</v>
      </c>
      <c r="AB374" s="281">
        <f t="shared" ref="AB374:AH374" si="33">AA374+($AI$374-$Y$544)/10</f>
        <v>11.952852829654059</v>
      </c>
      <c r="AC374" s="281">
        <f t="shared" si="33"/>
        <v>12.321582296635112</v>
      </c>
      <c r="AD374" s="281">
        <f t="shared" si="33"/>
        <v>12.690311763616165</v>
      </c>
      <c r="AE374" s="281">
        <f t="shared" si="33"/>
        <v>13.059041230597218</v>
      </c>
      <c r="AF374" s="281">
        <f t="shared" si="33"/>
        <v>13.427770697578271</v>
      </c>
      <c r="AG374" s="281">
        <f t="shared" si="33"/>
        <v>13.796500164559324</v>
      </c>
      <c r="AH374" s="281">
        <f t="shared" si="33"/>
        <v>14.165229631540377</v>
      </c>
      <c r="AI374" s="282">
        <f>T544*$E$744</f>
        <v>14.533959098521429</v>
      </c>
      <c r="AJ374" s="281">
        <f>AI374+($AX$374-$AI$374)/15</f>
        <v>14.687791105011014</v>
      </c>
      <c r="AK374" s="281">
        <f t="shared" ref="AK374:AW374" si="34">AJ374+($AX$374-$AI$374)/15</f>
        <v>14.841623111500599</v>
      </c>
      <c r="AL374" s="281">
        <f t="shared" si="34"/>
        <v>14.995455117990184</v>
      </c>
      <c r="AM374" s="281">
        <f t="shared" si="34"/>
        <v>15.14928712447977</v>
      </c>
      <c r="AN374" s="281">
        <f t="shared" si="34"/>
        <v>15.303119130969355</v>
      </c>
      <c r="AO374" s="281">
        <f t="shared" si="34"/>
        <v>15.45695113745894</v>
      </c>
      <c r="AP374" s="281">
        <f t="shared" si="34"/>
        <v>15.610783143948526</v>
      </c>
      <c r="AQ374" s="281">
        <f t="shared" si="34"/>
        <v>15.764615150438111</v>
      </c>
      <c r="AR374" s="281">
        <f t="shared" si="34"/>
        <v>15.918447156927696</v>
      </c>
      <c r="AS374" s="281">
        <f t="shared" si="34"/>
        <v>16.072279163417281</v>
      </c>
      <c r="AT374" s="281">
        <f t="shared" si="34"/>
        <v>16.226111169906865</v>
      </c>
      <c r="AU374" s="281">
        <f t="shared" si="34"/>
        <v>16.379943176396448</v>
      </c>
      <c r="AV374" s="281">
        <f t="shared" si="34"/>
        <v>16.533775182886032</v>
      </c>
      <c r="AW374" s="281">
        <f t="shared" si="34"/>
        <v>16.687607189375615</v>
      </c>
      <c r="AX374" s="282">
        <f>AI374*$B$744</f>
        <v>16.841439195865195</v>
      </c>
      <c r="AY374" s="281">
        <f>AX374+($BM$374-$AX$374)/15</f>
        <v>16.937333989857837</v>
      </c>
      <c r="AZ374" s="281">
        <f t="shared" ref="AZ374:BL374" si="35">AY374+($BM$374-$AX$374)/15</f>
        <v>17.033228783850479</v>
      </c>
      <c r="BA374" s="281">
        <f t="shared" si="35"/>
        <v>17.129123577843121</v>
      </c>
      <c r="BB374" s="281">
        <f t="shared" si="35"/>
        <v>17.225018371835763</v>
      </c>
      <c r="BC374" s="281">
        <f t="shared" si="35"/>
        <v>17.320913165828404</v>
      </c>
      <c r="BD374" s="281">
        <f t="shared" si="35"/>
        <v>17.416807959821046</v>
      </c>
      <c r="BE374" s="281">
        <f t="shared" si="35"/>
        <v>17.512702753813688</v>
      </c>
      <c r="BF374" s="281">
        <f t="shared" si="35"/>
        <v>17.60859754780633</v>
      </c>
      <c r="BG374" s="281">
        <f t="shared" si="35"/>
        <v>17.704492341798971</v>
      </c>
      <c r="BH374" s="281">
        <f t="shared" si="35"/>
        <v>17.800387135791613</v>
      </c>
      <c r="BI374" s="281">
        <f t="shared" si="35"/>
        <v>17.896281929784255</v>
      </c>
      <c r="BJ374" s="281">
        <f t="shared" si="35"/>
        <v>17.992176723776897</v>
      </c>
      <c r="BK374" s="281">
        <f t="shared" si="35"/>
        <v>18.088071517769539</v>
      </c>
      <c r="BL374" s="281">
        <f t="shared" si="35"/>
        <v>18.18396631176218</v>
      </c>
      <c r="BM374" s="282">
        <f>AX374*$C$744</f>
        <v>18.27986110575484</v>
      </c>
      <c r="BN374" s="281">
        <f>BM374+($BR$374-$BM$374)/5</f>
        <v>18.383946243287554</v>
      </c>
      <c r="BO374" s="281">
        <f>BN374+($BR$374-$BM$374)/5</f>
        <v>18.488031380820267</v>
      </c>
      <c r="BP374" s="281">
        <f>BO374+($BR$374-$BM$374)/5</f>
        <v>18.592116518352981</v>
      </c>
      <c r="BQ374" s="281">
        <f>BP374+($BR$374-$BM$374)/5</f>
        <v>18.696201655885694</v>
      </c>
      <c r="BR374" s="282">
        <f>BM374*$D$744</f>
        <v>18.800286793418415</v>
      </c>
    </row>
    <row r="375" spans="1:70" ht="13.8" thickBot="1" x14ac:dyDescent="0.3">
      <c r="A375" s="754" t="s">
        <v>621</v>
      </c>
    </row>
    <row r="376" spans="1:70" ht="13.8" thickBot="1" x14ac:dyDescent="0.3">
      <c r="A376" s="754" t="s">
        <v>717</v>
      </c>
      <c r="AA376" s="281">
        <f>Z546+($AI$376-$Y$546)/10</f>
        <v>13.665763245709009</v>
      </c>
      <c r="AB376" s="281">
        <f t="shared" ref="AB376:AH376" si="36">AA376+($AI$376-$Y$546)/10</f>
        <v>14.091688195895063</v>
      </c>
      <c r="AC376" s="281">
        <f t="shared" si="36"/>
        <v>14.517613146081118</v>
      </c>
      <c r="AD376" s="281">
        <f t="shared" si="36"/>
        <v>14.943538096267172</v>
      </c>
      <c r="AE376" s="281">
        <f t="shared" si="36"/>
        <v>15.369463046453227</v>
      </c>
      <c r="AF376" s="281">
        <f t="shared" si="36"/>
        <v>15.795387996639281</v>
      </c>
      <c r="AG376" s="281">
        <f t="shared" si="36"/>
        <v>16.221312946825336</v>
      </c>
      <c r="AH376" s="281">
        <f t="shared" si="36"/>
        <v>16.64723789701139</v>
      </c>
      <c r="AI376" s="282">
        <f>T546*$E$744</f>
        <v>17.073162847197445</v>
      </c>
      <c r="AJ376" s="281">
        <f>AI376+($AX$376-$AI$376)/15</f>
        <v>17.253870586919582</v>
      </c>
      <c r="AK376" s="281">
        <f t="shared" ref="AK376:AW376" si="37">AJ376+($AX$376-$AI$376)/15</f>
        <v>17.43457832664172</v>
      </c>
      <c r="AL376" s="281">
        <f t="shared" si="37"/>
        <v>17.615286066363858</v>
      </c>
      <c r="AM376" s="281">
        <f t="shared" si="37"/>
        <v>17.795993806085995</v>
      </c>
      <c r="AN376" s="281">
        <f t="shared" si="37"/>
        <v>17.976701545808133</v>
      </c>
      <c r="AO376" s="281">
        <f t="shared" si="37"/>
        <v>18.157409285530271</v>
      </c>
      <c r="AP376" s="281">
        <f t="shared" si="37"/>
        <v>18.338117025252409</v>
      </c>
      <c r="AQ376" s="281">
        <f t="shared" si="37"/>
        <v>18.518824764974546</v>
      </c>
      <c r="AR376" s="281">
        <f t="shared" si="37"/>
        <v>18.699532504696684</v>
      </c>
      <c r="AS376" s="281">
        <f t="shared" si="37"/>
        <v>18.880240244418822</v>
      </c>
      <c r="AT376" s="281">
        <f t="shared" si="37"/>
        <v>19.060947984140959</v>
      </c>
      <c r="AU376" s="281">
        <f t="shared" si="37"/>
        <v>19.241655723863097</v>
      </c>
      <c r="AV376" s="281">
        <f t="shared" si="37"/>
        <v>19.422363463585235</v>
      </c>
      <c r="AW376" s="281">
        <f t="shared" si="37"/>
        <v>19.603071203307373</v>
      </c>
      <c r="AX376" s="282">
        <f>AI376*$B$744</f>
        <v>19.783778943029514</v>
      </c>
      <c r="AY376" s="281">
        <f>AX376+($BM$376-$AX$376)/15</f>
        <v>19.896427356509733</v>
      </c>
      <c r="AZ376" s="281">
        <f t="shared" ref="AZ376:BL376" si="38">AY376+($BM$376-$AX$376)/15</f>
        <v>20.009075769989952</v>
      </c>
      <c r="BA376" s="281">
        <f t="shared" si="38"/>
        <v>20.121724183470171</v>
      </c>
      <c r="BB376" s="281">
        <f t="shared" si="38"/>
        <v>20.23437259695039</v>
      </c>
      <c r="BC376" s="281">
        <f t="shared" si="38"/>
        <v>20.347021010430609</v>
      </c>
      <c r="BD376" s="281">
        <f t="shared" si="38"/>
        <v>20.459669423910828</v>
      </c>
      <c r="BE376" s="281">
        <f t="shared" si="38"/>
        <v>20.572317837391047</v>
      </c>
      <c r="BF376" s="281">
        <f t="shared" si="38"/>
        <v>20.684966250871266</v>
      </c>
      <c r="BG376" s="281">
        <f t="shared" si="38"/>
        <v>20.797614664351485</v>
      </c>
      <c r="BH376" s="281">
        <f t="shared" si="38"/>
        <v>20.910263077831704</v>
      </c>
      <c r="BI376" s="281">
        <f t="shared" si="38"/>
        <v>21.022911491311923</v>
      </c>
      <c r="BJ376" s="281">
        <f t="shared" si="38"/>
        <v>21.135559904792142</v>
      </c>
      <c r="BK376" s="281">
        <f t="shared" si="38"/>
        <v>21.248208318272361</v>
      </c>
      <c r="BL376" s="281">
        <f t="shared" si="38"/>
        <v>21.36085673175258</v>
      </c>
      <c r="BM376" s="282">
        <f>AX376*$C$744</f>
        <v>21.47350514523281</v>
      </c>
      <c r="BN376" s="281">
        <f>BM376+($BR$376-$BM$376)/5</f>
        <v>21.595774823509927</v>
      </c>
      <c r="BO376" s="281">
        <f>BN376+($BR$376-$BM$376)/5</f>
        <v>21.718044501787045</v>
      </c>
      <c r="BP376" s="281">
        <f>BO376+($BR$376-$BM$376)/5</f>
        <v>21.840314180064162</v>
      </c>
      <c r="BQ376" s="281">
        <f>BP376+($BR$376-$BM$376)/5</f>
        <v>21.962583858341279</v>
      </c>
      <c r="BR376" s="282">
        <f>BM376*$D$744</f>
        <v>22.084853536618393</v>
      </c>
    </row>
    <row r="377" spans="1:70" x14ac:dyDescent="0.25">
      <c r="A377" s="754" t="s">
        <v>718</v>
      </c>
    </row>
    <row r="378" spans="1:70" x14ac:dyDescent="0.25">
      <c r="A378" s="754" t="s">
        <v>638</v>
      </c>
    </row>
    <row r="379" spans="1:70" ht="13.8" thickBot="1" x14ac:dyDescent="0.3">
      <c r="A379" s="754" t="s">
        <v>639</v>
      </c>
    </row>
    <row r="380" spans="1:70" ht="13.8" thickBot="1" x14ac:dyDescent="0.3">
      <c r="A380" s="754" t="s">
        <v>640</v>
      </c>
      <c r="AA380" s="283">
        <f>Z550+($AI$380-$Y$550)/10</f>
        <v>17.944433063730909</v>
      </c>
      <c r="AB380" s="283">
        <f t="shared" ref="AB380:AH380" si="39">AA380+($AI$380-$Y$550)/10</f>
        <v>17.852387205459664</v>
      </c>
      <c r="AC380" s="283">
        <f t="shared" si="39"/>
        <v>17.760341347188419</v>
      </c>
      <c r="AD380" s="283">
        <f t="shared" si="39"/>
        <v>17.668295488917174</v>
      </c>
      <c r="AE380" s="283">
        <f t="shared" si="39"/>
        <v>17.576249630645929</v>
      </c>
      <c r="AF380" s="283">
        <f t="shared" si="39"/>
        <v>17.484203772374684</v>
      </c>
      <c r="AG380" s="283">
        <f t="shared" si="39"/>
        <v>17.392157914103439</v>
      </c>
      <c r="AH380" s="283">
        <f t="shared" si="39"/>
        <v>17.300112055832194</v>
      </c>
      <c r="AI380" s="284">
        <f>T550*$E$747</f>
        <v>17.208066197560942</v>
      </c>
      <c r="AJ380" s="283">
        <f>AI380+($AX$380-$AI$380)/15</f>
        <v>17.219509839491277</v>
      </c>
      <c r="AK380" s="283">
        <f t="shared" ref="AK380:AW380" si="40">AJ380+($AX$380-$AI$380)/15</f>
        <v>17.230953481421611</v>
      </c>
      <c r="AL380" s="283">
        <f t="shared" si="40"/>
        <v>17.242397123351946</v>
      </c>
      <c r="AM380" s="283">
        <f t="shared" si="40"/>
        <v>17.253840765282281</v>
      </c>
      <c r="AN380" s="283">
        <f t="shared" si="40"/>
        <v>17.265284407212615</v>
      </c>
      <c r="AO380" s="283">
        <f t="shared" si="40"/>
        <v>17.27672804914295</v>
      </c>
      <c r="AP380" s="283">
        <f t="shared" si="40"/>
        <v>17.288171691073284</v>
      </c>
      <c r="AQ380" s="283">
        <f t="shared" si="40"/>
        <v>17.299615333003619</v>
      </c>
      <c r="AR380" s="283">
        <f t="shared" si="40"/>
        <v>17.311058974933953</v>
      </c>
      <c r="AS380" s="283">
        <f t="shared" si="40"/>
        <v>17.322502616864288</v>
      </c>
      <c r="AT380" s="283">
        <f t="shared" si="40"/>
        <v>17.333946258794622</v>
      </c>
      <c r="AU380" s="283">
        <f t="shared" si="40"/>
        <v>17.345389900724957</v>
      </c>
      <c r="AV380" s="283">
        <f t="shared" si="40"/>
        <v>17.356833542655291</v>
      </c>
      <c r="AW380" s="283">
        <f t="shared" si="40"/>
        <v>17.368277184585626</v>
      </c>
      <c r="AX380" s="284">
        <f>AI380*$B$747</f>
        <v>17.379720826515971</v>
      </c>
      <c r="AY380" s="283">
        <f>AX380+($BM$380-$AX$380)/15</f>
        <v>17.385626979648983</v>
      </c>
      <c r="AZ380" s="283">
        <f t="shared" ref="AZ380:BL380" si="41">AY380+($BM$380-$AX$380)/15</f>
        <v>17.391533132781994</v>
      </c>
      <c r="BA380" s="283">
        <f t="shared" si="41"/>
        <v>17.397439285915006</v>
      </c>
      <c r="BB380" s="283">
        <f t="shared" si="41"/>
        <v>17.403345439048017</v>
      </c>
      <c r="BC380" s="283">
        <f t="shared" si="41"/>
        <v>17.409251592181029</v>
      </c>
      <c r="BD380" s="283">
        <f t="shared" si="41"/>
        <v>17.41515774531404</v>
      </c>
      <c r="BE380" s="283">
        <f t="shared" si="41"/>
        <v>17.421063898447052</v>
      </c>
      <c r="BF380" s="283">
        <f t="shared" si="41"/>
        <v>17.426970051580064</v>
      </c>
      <c r="BG380" s="283">
        <f t="shared" si="41"/>
        <v>17.432876204713075</v>
      </c>
      <c r="BH380" s="283">
        <f t="shared" si="41"/>
        <v>17.438782357846087</v>
      </c>
      <c r="BI380" s="283">
        <f t="shared" si="41"/>
        <v>17.444688510979098</v>
      </c>
      <c r="BJ380" s="283">
        <f t="shared" si="41"/>
        <v>17.45059466411211</v>
      </c>
      <c r="BK380" s="283">
        <f t="shared" si="41"/>
        <v>17.456500817245121</v>
      </c>
      <c r="BL380" s="283">
        <f t="shared" si="41"/>
        <v>17.462406970378133</v>
      </c>
      <c r="BM380" s="284">
        <f>AX380*$C$747</f>
        <v>17.468313123511169</v>
      </c>
      <c r="BN380" s="283">
        <f>BM380+($BR$380-$BM$380)/5</f>
        <v>17.474249382977746</v>
      </c>
      <c r="BO380" s="283">
        <f>BN380+($BR$380-$BM$380)/5</f>
        <v>17.480185642444322</v>
      </c>
      <c r="BP380" s="283">
        <f>BO380+($BR$380-$BM$380)/5</f>
        <v>17.486121901910899</v>
      </c>
      <c r="BQ380" s="283">
        <f>BP380+($BR$380-$BM$380)/5</f>
        <v>17.492058161377475</v>
      </c>
      <c r="BR380" s="284">
        <f>BM380*$D$747</f>
        <v>17.497994420844059</v>
      </c>
    </row>
    <row r="381" spans="1:70" x14ac:dyDescent="0.25">
      <c r="A381" s="754" t="s">
        <v>641</v>
      </c>
    </row>
    <row r="382" spans="1:70" x14ac:dyDescent="0.25">
      <c r="A382" s="754" t="s">
        <v>642</v>
      </c>
    </row>
    <row r="383" spans="1:70" x14ac:dyDescent="0.25">
      <c r="A383" s="754" t="s">
        <v>643</v>
      </c>
    </row>
    <row r="384" spans="1:70" x14ac:dyDescent="0.25">
      <c r="A384" s="754" t="s">
        <v>535</v>
      </c>
    </row>
    <row r="385" spans="1:70" x14ac:dyDescent="0.25">
      <c r="A385" s="754" t="s">
        <v>719</v>
      </c>
    </row>
    <row r="386" spans="1:70" x14ac:dyDescent="0.25">
      <c r="A386" s="754" t="s">
        <v>720</v>
      </c>
    </row>
    <row r="387" spans="1:70" x14ac:dyDescent="0.25">
      <c r="A387" s="754" t="s">
        <v>721</v>
      </c>
    </row>
    <row r="388" spans="1:70" x14ac:dyDescent="0.25">
      <c r="A388" s="754" t="s">
        <v>722</v>
      </c>
    </row>
    <row r="389" spans="1:70" x14ac:dyDescent="0.25">
      <c r="A389" s="754" t="s">
        <v>723</v>
      </c>
    </row>
    <row r="390" spans="1:70" x14ac:dyDescent="0.25">
      <c r="A390" s="754" t="s">
        <v>724</v>
      </c>
    </row>
    <row r="391" spans="1:70" ht="13.8" thickBot="1" x14ac:dyDescent="0.3">
      <c r="A391" s="754" t="s">
        <v>725</v>
      </c>
    </row>
    <row r="392" spans="1:70" ht="13.8" thickBot="1" x14ac:dyDescent="0.3">
      <c r="A392" s="754" t="s">
        <v>726</v>
      </c>
      <c r="AA392" s="277">
        <f>Z562+($AI$392-$Y$562)/10</f>
        <v>5.5024940130181221</v>
      </c>
      <c r="AB392" s="277">
        <f t="shared" ref="AB392:AH392" si="42">AA392+($AI$392-$Y$562)/10</f>
        <v>5.5327298577229831</v>
      </c>
      <c r="AC392" s="277">
        <f t="shared" si="42"/>
        <v>5.5629657024278441</v>
      </c>
      <c r="AD392" s="277">
        <f t="shared" si="42"/>
        <v>5.593201547132705</v>
      </c>
      <c r="AE392" s="277">
        <f t="shared" si="42"/>
        <v>5.623437391837566</v>
      </c>
      <c r="AF392" s="277">
        <f t="shared" si="42"/>
        <v>5.6536732365424269</v>
      </c>
      <c r="AG392" s="277">
        <f t="shared" si="42"/>
        <v>5.6839090812472879</v>
      </c>
      <c r="AH392" s="277">
        <f t="shared" si="42"/>
        <v>5.7141449259521488</v>
      </c>
      <c r="AI392" s="278">
        <f>T562*$E$742</f>
        <v>5.7443807706570116</v>
      </c>
      <c r="AJ392" s="277">
        <f>AI392+($AX$392-$AI$392)/15</f>
        <v>5.809402940121136</v>
      </c>
      <c r="AK392" s="277">
        <f t="shared" ref="AK392:AW392" si="43">AJ392+($AX$392-$AI$392)/15</f>
        <v>5.8744251095852604</v>
      </c>
      <c r="AL392" s="277">
        <f t="shared" si="43"/>
        <v>5.9394472790493849</v>
      </c>
      <c r="AM392" s="277">
        <f t="shared" si="43"/>
        <v>6.0044694485135093</v>
      </c>
      <c r="AN392" s="277">
        <f t="shared" si="43"/>
        <v>6.0694916179776337</v>
      </c>
      <c r="AO392" s="277">
        <f t="shared" si="43"/>
        <v>6.1345137874417581</v>
      </c>
      <c r="AP392" s="277">
        <f t="shared" si="43"/>
        <v>6.1995359569058825</v>
      </c>
      <c r="AQ392" s="277">
        <f t="shared" si="43"/>
        <v>6.264558126370007</v>
      </c>
      <c r="AR392" s="277">
        <f t="shared" si="43"/>
        <v>6.3295802958341314</v>
      </c>
      <c r="AS392" s="277">
        <f t="shared" si="43"/>
        <v>6.3946024652982558</v>
      </c>
      <c r="AT392" s="277">
        <f t="shared" si="43"/>
        <v>6.4596246347623802</v>
      </c>
      <c r="AU392" s="277">
        <f t="shared" si="43"/>
        <v>6.5246468042265047</v>
      </c>
      <c r="AV392" s="277">
        <f t="shared" si="43"/>
        <v>6.5896689736906291</v>
      </c>
      <c r="AW392" s="277">
        <f t="shared" si="43"/>
        <v>6.6546911431547535</v>
      </c>
      <c r="AX392" s="278">
        <f>AI392*$B$742</f>
        <v>6.7197133126188779</v>
      </c>
      <c r="AY392" s="277">
        <f>AX392+($BM$392-$AX$392)/15</f>
        <v>6.7862502559294402</v>
      </c>
      <c r="AZ392" s="277">
        <f t="shared" ref="AZ392:BL392" si="44">AY392+($BM$392-$AX$392)/15</f>
        <v>6.8527871992400025</v>
      </c>
      <c r="BA392" s="277">
        <f t="shared" si="44"/>
        <v>6.9193241425505647</v>
      </c>
      <c r="BB392" s="277">
        <f t="shared" si="44"/>
        <v>6.985861085861127</v>
      </c>
      <c r="BC392" s="277">
        <f t="shared" si="44"/>
        <v>7.0523980291716892</v>
      </c>
      <c r="BD392" s="277">
        <f t="shared" si="44"/>
        <v>7.1189349724822515</v>
      </c>
      <c r="BE392" s="277">
        <f t="shared" si="44"/>
        <v>7.1854719157928137</v>
      </c>
      <c r="BF392" s="277">
        <f t="shared" si="44"/>
        <v>7.252008859103376</v>
      </c>
      <c r="BG392" s="277">
        <f t="shared" si="44"/>
        <v>7.3185458024139383</v>
      </c>
      <c r="BH392" s="277">
        <f t="shared" si="44"/>
        <v>7.3850827457245005</v>
      </c>
      <c r="BI392" s="277">
        <f t="shared" si="44"/>
        <v>7.4516196890350628</v>
      </c>
      <c r="BJ392" s="277">
        <f t="shared" si="44"/>
        <v>7.518156632345625</v>
      </c>
      <c r="BK392" s="277">
        <f t="shared" si="44"/>
        <v>7.5846935756561873</v>
      </c>
      <c r="BL392" s="277">
        <f t="shared" si="44"/>
        <v>7.6512305189667495</v>
      </c>
      <c r="BM392" s="278">
        <f>AX392*$C$742</f>
        <v>7.7177674622773127</v>
      </c>
      <c r="BN392" s="277">
        <f>BM392+($BR$392-$BM$392)/5</f>
        <v>7.7941868915344088</v>
      </c>
      <c r="BO392" s="277">
        <f>BN392+($BR$392-$BM$392)/5</f>
        <v>7.8706063207915049</v>
      </c>
      <c r="BP392" s="277">
        <f>BO392+($BR$392-$BM$392)/5</f>
        <v>7.947025750048601</v>
      </c>
      <c r="BQ392" s="277">
        <f>BP392+($BR$392-$BM$392)/5</f>
        <v>8.023445179305698</v>
      </c>
      <c r="BR392" s="278">
        <f>BM392*$D$742</f>
        <v>8.099864608562795</v>
      </c>
    </row>
    <row r="393" spans="1:70" ht="13.8" thickBot="1" x14ac:dyDescent="0.3">
      <c r="A393" s="754" t="s">
        <v>727</v>
      </c>
      <c r="AA393" s="285">
        <f>Z563+($AI$393-$Y$563)/10</f>
        <v>1.3116492415795387</v>
      </c>
      <c r="AB393" s="285">
        <f t="shared" ref="AB393:AH393" si="45">AA393+($AI$393-$Y$563)/10</f>
        <v>1.314474997718583</v>
      </c>
      <c r="AC393" s="285">
        <f t="shared" si="45"/>
        <v>1.3173007538576273</v>
      </c>
      <c r="AD393" s="285">
        <f t="shared" si="45"/>
        <v>1.3201265099966717</v>
      </c>
      <c r="AE393" s="285">
        <f t="shared" si="45"/>
        <v>1.322952266135716</v>
      </c>
      <c r="AF393" s="285">
        <f t="shared" si="45"/>
        <v>1.3257780222747604</v>
      </c>
      <c r="AG393" s="285">
        <f t="shared" si="45"/>
        <v>1.3286037784138047</v>
      </c>
      <c r="AH393" s="285">
        <f t="shared" si="45"/>
        <v>1.3314295345528491</v>
      </c>
      <c r="AI393" s="286">
        <f>T563*$E$740</f>
        <v>1.3342552906918941</v>
      </c>
      <c r="AJ393" s="285">
        <f>AI393+($AX$393-$AI$393)/15</f>
        <v>1.3381671025139799</v>
      </c>
      <c r="AK393" s="285">
        <f t="shared" ref="AK393:AW393" si="46">AJ393+($AX$393-$AI$393)/15</f>
        <v>1.3420789143360656</v>
      </c>
      <c r="AL393" s="285">
        <f t="shared" si="46"/>
        <v>1.3459907261581514</v>
      </c>
      <c r="AM393" s="285">
        <f t="shared" si="46"/>
        <v>1.3499025379802372</v>
      </c>
      <c r="AN393" s="285">
        <f t="shared" si="46"/>
        <v>1.353814349802323</v>
      </c>
      <c r="AO393" s="285">
        <f t="shared" si="46"/>
        <v>1.3577261616244087</v>
      </c>
      <c r="AP393" s="285">
        <f t="shared" si="46"/>
        <v>1.3616379734464945</v>
      </c>
      <c r="AQ393" s="285">
        <f t="shared" si="46"/>
        <v>1.3655497852685803</v>
      </c>
      <c r="AR393" s="285">
        <f t="shared" si="46"/>
        <v>1.3694615970906661</v>
      </c>
      <c r="AS393" s="285">
        <f t="shared" si="46"/>
        <v>1.3733734089127518</v>
      </c>
      <c r="AT393" s="285">
        <f t="shared" si="46"/>
        <v>1.3772852207348376</v>
      </c>
      <c r="AU393" s="285">
        <f t="shared" si="46"/>
        <v>1.3811970325569234</v>
      </c>
      <c r="AV393" s="285">
        <f t="shared" si="46"/>
        <v>1.3851088443790092</v>
      </c>
      <c r="AW393" s="285">
        <f t="shared" si="46"/>
        <v>1.3890206562010949</v>
      </c>
      <c r="AX393" s="286">
        <f>AI393*$B$740</f>
        <v>1.3929324680231794</v>
      </c>
      <c r="AY393" s="285">
        <f>AX393+($BM$393-$AX$393)/15</f>
        <v>1.3955742685410359</v>
      </c>
      <c r="AZ393" s="285">
        <f t="shared" ref="AZ393:BL393" si="47">AY393+($BM$393-$AX$393)/15</f>
        <v>1.3982160690588925</v>
      </c>
      <c r="BA393" s="285">
        <f t="shared" si="47"/>
        <v>1.4008578695767491</v>
      </c>
      <c r="BB393" s="285">
        <f t="shared" si="47"/>
        <v>1.4034996700946056</v>
      </c>
      <c r="BC393" s="285">
        <f t="shared" si="47"/>
        <v>1.4061414706124622</v>
      </c>
      <c r="BD393" s="285">
        <f t="shared" si="47"/>
        <v>1.4087832711303188</v>
      </c>
      <c r="BE393" s="285">
        <f t="shared" si="47"/>
        <v>1.4114250716481753</v>
      </c>
      <c r="BF393" s="285">
        <f t="shared" si="47"/>
        <v>1.4140668721660319</v>
      </c>
      <c r="BG393" s="285">
        <f t="shared" si="47"/>
        <v>1.4167086726838884</v>
      </c>
      <c r="BH393" s="285">
        <f t="shared" si="47"/>
        <v>1.419350473201745</v>
      </c>
      <c r="BI393" s="285">
        <f t="shared" si="47"/>
        <v>1.4219922737196016</v>
      </c>
      <c r="BJ393" s="285">
        <f t="shared" si="47"/>
        <v>1.4246340742374581</v>
      </c>
      <c r="BK393" s="285">
        <f t="shared" si="47"/>
        <v>1.4272758747553147</v>
      </c>
      <c r="BL393" s="285">
        <f t="shared" si="47"/>
        <v>1.4299176752731713</v>
      </c>
      <c r="BM393" s="286">
        <f>AX393*$C$740</f>
        <v>1.4325594757910274</v>
      </c>
      <c r="BN393" s="285">
        <f>BM393+($BR$393-$BM$393)/5</f>
        <v>1.4352764318903966</v>
      </c>
      <c r="BO393" s="285">
        <f>BN393+($BR$393-$BM$393)/5</f>
        <v>1.4379933879897657</v>
      </c>
      <c r="BP393" s="285">
        <f>BO393+($BR$393-$BM$393)/5</f>
        <v>1.4407103440891349</v>
      </c>
      <c r="BQ393" s="285">
        <f>BP393+($BR$393-$BM$393)/5</f>
        <v>1.4434273001885041</v>
      </c>
      <c r="BR393" s="286">
        <f>BM393*$D$740</f>
        <v>1.4461442562878735</v>
      </c>
    </row>
    <row r="394" spans="1:70" x14ac:dyDescent="0.25">
      <c r="A394" s="754" t="s">
        <v>728</v>
      </c>
    </row>
    <row r="395" spans="1:70" x14ac:dyDescent="0.25">
      <c r="A395" s="754" t="s">
        <v>729</v>
      </c>
    </row>
    <row r="396" spans="1:70" x14ac:dyDescent="0.25">
      <c r="A396" s="754" t="s">
        <v>730</v>
      </c>
    </row>
    <row r="397" spans="1:70" x14ac:dyDescent="0.25">
      <c r="A397" s="754" t="s">
        <v>731</v>
      </c>
    </row>
    <row r="403" spans="1:26" x14ac:dyDescent="0.25">
      <c r="A403" s="300" t="s">
        <v>850</v>
      </c>
      <c r="B403" s="300"/>
      <c r="C403" s="300"/>
      <c r="D403" s="300"/>
      <c r="E403" s="300"/>
      <c r="F403" s="300"/>
      <c r="G403" s="300"/>
      <c r="H403" s="300"/>
      <c r="I403" s="300"/>
      <c r="J403" s="300"/>
      <c r="K403" s="300"/>
      <c r="L403" s="300"/>
      <c r="M403" s="300"/>
      <c r="N403" s="300"/>
      <c r="O403" s="300"/>
      <c r="P403" s="300"/>
      <c r="Q403" s="300"/>
      <c r="R403" s="300"/>
      <c r="S403" s="300"/>
      <c r="T403" s="300"/>
      <c r="U403" s="300"/>
      <c r="V403" s="300"/>
      <c r="W403" s="300"/>
      <c r="X403" s="300"/>
      <c r="Y403" s="300"/>
      <c r="Z403" s="300"/>
    </row>
    <row r="404" spans="1:26" x14ac:dyDescent="0.25">
      <c r="A404" s="300" t="s">
        <v>590</v>
      </c>
      <c r="B404" s="300"/>
      <c r="C404" s="300"/>
      <c r="D404" s="300"/>
      <c r="E404" s="300"/>
      <c r="F404" s="300"/>
      <c r="G404" s="300"/>
      <c r="H404" s="300"/>
      <c r="I404" s="300"/>
      <c r="J404" s="300"/>
      <c r="K404" s="300"/>
      <c r="L404" s="300"/>
      <c r="M404" s="300"/>
      <c r="N404" s="300"/>
      <c r="O404" s="300"/>
      <c r="P404" s="300"/>
      <c r="Q404" s="300"/>
      <c r="R404" s="300"/>
      <c r="S404" s="300"/>
      <c r="T404" s="300"/>
      <c r="U404" s="300"/>
      <c r="V404" s="300"/>
      <c r="W404" s="300"/>
      <c r="X404" s="300"/>
      <c r="Y404" s="300"/>
      <c r="Z404" s="300"/>
    </row>
    <row r="405" spans="1:26" x14ac:dyDescent="0.25">
      <c r="A405" s="300" t="s">
        <v>591</v>
      </c>
      <c r="B405" s="300"/>
      <c r="C405" s="300"/>
      <c r="D405" s="300"/>
      <c r="E405" s="300"/>
      <c r="F405" s="300"/>
      <c r="G405" s="300"/>
      <c r="H405" s="300"/>
      <c r="I405" s="300"/>
      <c r="J405" s="300"/>
      <c r="K405" s="300"/>
      <c r="L405" s="300"/>
      <c r="M405" s="300"/>
      <c r="N405" s="300"/>
      <c r="O405" s="300"/>
      <c r="P405" s="300"/>
      <c r="Q405" s="300"/>
      <c r="R405" s="300"/>
      <c r="S405" s="300"/>
      <c r="T405" s="300"/>
      <c r="U405" s="300"/>
      <c r="V405" s="300"/>
      <c r="W405" s="300"/>
      <c r="X405" s="300"/>
      <c r="Y405" s="300"/>
      <c r="Z405" s="300"/>
    </row>
    <row r="406" spans="1:26" x14ac:dyDescent="0.25">
      <c r="A406" s="300"/>
      <c r="B406" s="300"/>
      <c r="C406" s="300"/>
      <c r="D406" s="300"/>
      <c r="E406" s="300"/>
      <c r="F406" s="300"/>
      <c r="G406" s="300"/>
      <c r="H406" s="300"/>
      <c r="I406" s="300"/>
      <c r="J406" s="300"/>
      <c r="K406" s="300"/>
      <c r="L406" s="300"/>
      <c r="M406" s="300"/>
      <c r="N406" s="300"/>
      <c r="O406" s="300"/>
      <c r="P406" s="300"/>
      <c r="Q406" s="300"/>
      <c r="R406" s="300"/>
      <c r="S406" s="300"/>
      <c r="T406" s="300"/>
      <c r="U406" s="300"/>
      <c r="V406" s="300"/>
      <c r="W406" s="300"/>
      <c r="X406" s="300"/>
      <c r="Y406" s="300"/>
      <c r="Z406" s="300"/>
    </row>
    <row r="407" spans="1:26" x14ac:dyDescent="0.25">
      <c r="A407" s="300" t="s">
        <v>437</v>
      </c>
      <c r="B407" s="300"/>
      <c r="C407" s="300"/>
      <c r="D407" s="300"/>
      <c r="E407" s="300"/>
      <c r="F407" s="300"/>
      <c r="G407" s="300"/>
      <c r="H407" s="300"/>
      <c r="I407" s="300"/>
      <c r="J407" s="300"/>
      <c r="K407" s="300"/>
      <c r="L407" s="300"/>
      <c r="M407" s="300"/>
      <c r="N407" s="300"/>
      <c r="O407" s="300"/>
      <c r="P407" s="300"/>
      <c r="Q407" s="300"/>
      <c r="R407" s="300"/>
      <c r="S407" s="300"/>
      <c r="T407" s="300"/>
      <c r="U407" s="300"/>
      <c r="V407" s="300"/>
      <c r="W407" s="300"/>
      <c r="X407" s="300"/>
      <c r="Y407" s="300"/>
      <c r="Z407" s="300"/>
    </row>
    <row r="408" spans="1:26" x14ac:dyDescent="0.25">
      <c r="A408" s="300" t="s">
        <v>592</v>
      </c>
      <c r="B408" s="300"/>
      <c r="C408" s="300"/>
      <c r="D408" s="300"/>
      <c r="E408" s="300"/>
      <c r="F408" s="300"/>
      <c r="G408" s="300"/>
      <c r="H408" s="300"/>
      <c r="I408" s="300"/>
      <c r="J408" s="300"/>
      <c r="K408" s="300"/>
      <c r="L408" s="300"/>
      <c r="M408" s="300"/>
      <c r="N408" s="300"/>
      <c r="O408" s="300"/>
      <c r="P408" s="300"/>
      <c r="Q408" s="300"/>
      <c r="R408" s="300"/>
      <c r="S408" s="300"/>
      <c r="T408" s="300"/>
      <c r="U408" s="300"/>
      <c r="V408" s="300"/>
      <c r="W408" s="300"/>
      <c r="X408" s="300"/>
      <c r="Y408" s="300"/>
      <c r="Z408" s="300"/>
    </row>
    <row r="409" spans="1:26" x14ac:dyDescent="0.25">
      <c r="A409" s="300"/>
      <c r="B409" s="300"/>
      <c r="C409" s="300"/>
      <c r="D409" s="300"/>
      <c r="E409" s="300"/>
      <c r="F409" s="300"/>
      <c r="G409" s="300"/>
      <c r="H409" s="300"/>
      <c r="I409" s="300"/>
      <c r="J409" s="300"/>
      <c r="K409" s="300"/>
      <c r="L409" s="300"/>
      <c r="M409" s="300"/>
      <c r="N409" s="300"/>
      <c r="O409" s="300"/>
      <c r="P409" s="300"/>
      <c r="Q409" s="300"/>
      <c r="R409" s="300"/>
      <c r="S409" s="300"/>
      <c r="T409" s="300"/>
      <c r="U409" s="300"/>
      <c r="V409" s="300"/>
      <c r="W409" s="300"/>
      <c r="X409" s="300"/>
      <c r="Y409" s="300"/>
      <c r="Z409" s="300"/>
    </row>
    <row r="410" spans="1:26" x14ac:dyDescent="0.25">
      <c r="A410" s="300"/>
      <c r="B410" s="300"/>
      <c r="C410" s="300"/>
      <c r="D410" s="300"/>
      <c r="E410" s="300"/>
      <c r="F410" s="300"/>
      <c r="G410" s="300"/>
      <c r="H410" s="300"/>
      <c r="I410" s="300"/>
      <c r="J410" s="300"/>
      <c r="K410" s="300"/>
      <c r="L410" s="300"/>
      <c r="M410" s="300"/>
      <c r="N410" s="300"/>
      <c r="O410" s="300"/>
      <c r="P410" s="300"/>
      <c r="Q410" s="300"/>
      <c r="R410" s="300"/>
      <c r="S410" s="300"/>
      <c r="T410" s="300"/>
      <c r="U410" s="300"/>
      <c r="V410" s="300"/>
      <c r="W410" s="300"/>
      <c r="X410" s="300"/>
      <c r="Y410" s="300"/>
      <c r="Z410" s="300"/>
    </row>
    <row r="411" spans="1:26" x14ac:dyDescent="0.25">
      <c r="A411" s="300"/>
      <c r="B411" s="300"/>
      <c r="C411" s="300"/>
      <c r="D411" s="300"/>
      <c r="E411" s="300"/>
      <c r="F411" s="300"/>
      <c r="G411" s="300"/>
      <c r="H411" s="300"/>
      <c r="I411" s="300"/>
      <c r="J411" s="300"/>
      <c r="K411" s="300"/>
      <c r="L411" s="300"/>
      <c r="M411" s="300"/>
      <c r="N411" s="300"/>
      <c r="O411" s="300"/>
      <c r="P411" s="300"/>
      <c r="Q411" s="300"/>
      <c r="R411" s="300"/>
      <c r="S411" s="300"/>
      <c r="T411" s="300"/>
      <c r="U411" s="300"/>
      <c r="V411" s="300"/>
      <c r="W411" s="300"/>
      <c r="X411" s="300"/>
      <c r="Y411" s="300"/>
      <c r="Z411" s="300"/>
    </row>
    <row r="412" spans="1:26" x14ac:dyDescent="0.25">
      <c r="A412" s="300"/>
      <c r="B412" s="300"/>
      <c r="C412" s="300"/>
      <c r="D412" s="300" t="s">
        <v>441</v>
      </c>
      <c r="E412" s="300" t="s">
        <v>442</v>
      </c>
      <c r="F412" s="300" t="s">
        <v>443</v>
      </c>
      <c r="G412" s="300" t="s">
        <v>444</v>
      </c>
      <c r="H412" s="300" t="s">
        <v>445</v>
      </c>
      <c r="I412" s="300" t="s">
        <v>446</v>
      </c>
      <c r="J412" s="300" t="s">
        <v>447</v>
      </c>
      <c r="K412" s="300" t="s">
        <v>448</v>
      </c>
      <c r="L412" s="300" t="s">
        <v>449</v>
      </c>
      <c r="M412" s="300" t="s">
        <v>450</v>
      </c>
      <c r="N412" s="300" t="s">
        <v>451</v>
      </c>
      <c r="O412" s="300" t="s">
        <v>452</v>
      </c>
      <c r="P412" s="300" t="s">
        <v>453</v>
      </c>
      <c r="Q412" s="300" t="s">
        <v>454</v>
      </c>
      <c r="R412" s="300" t="s">
        <v>455</v>
      </c>
      <c r="S412" s="300" t="s">
        <v>456</v>
      </c>
      <c r="T412" s="300" t="s">
        <v>457</v>
      </c>
      <c r="U412" s="300" t="s">
        <v>458</v>
      </c>
      <c r="V412" s="300" t="s">
        <v>459</v>
      </c>
      <c r="W412" s="300" t="s">
        <v>460</v>
      </c>
      <c r="X412" s="300" t="s">
        <v>461</v>
      </c>
      <c r="Y412" s="300" t="s">
        <v>462</v>
      </c>
      <c r="Z412" s="300" t="s">
        <v>593</v>
      </c>
    </row>
    <row r="413" spans="1:26" x14ac:dyDescent="0.25">
      <c r="A413" s="300"/>
      <c r="B413" s="300"/>
      <c r="C413" s="300"/>
      <c r="D413" s="300"/>
      <c r="E413" s="300"/>
      <c r="F413" s="300"/>
      <c r="G413" s="300"/>
      <c r="H413" s="300"/>
      <c r="I413" s="300"/>
      <c r="J413" s="300"/>
      <c r="K413" s="300"/>
      <c r="L413" s="300"/>
      <c r="M413" s="300"/>
      <c r="N413" s="300"/>
      <c r="O413" s="300"/>
      <c r="P413" s="300"/>
      <c r="Q413" s="300"/>
      <c r="R413" s="300"/>
      <c r="S413" s="300"/>
      <c r="T413" s="300"/>
      <c r="U413" s="300"/>
      <c r="V413" s="300"/>
      <c r="W413" s="300"/>
      <c r="X413" s="300"/>
      <c r="Y413" s="300"/>
      <c r="Z413" s="300"/>
    </row>
    <row r="414" spans="1:26" x14ac:dyDescent="0.25">
      <c r="A414" s="300"/>
      <c r="B414" s="300"/>
      <c r="C414" s="300"/>
      <c r="D414" s="300"/>
      <c r="E414" s="300"/>
      <c r="F414" s="300"/>
      <c r="G414" s="300"/>
      <c r="H414" s="300"/>
      <c r="I414" s="300"/>
      <c r="J414" s="300"/>
      <c r="K414" s="300"/>
      <c r="L414" s="300"/>
      <c r="M414" s="300"/>
      <c r="N414" s="300"/>
      <c r="O414" s="300"/>
      <c r="P414" s="300"/>
      <c r="Q414" s="300"/>
      <c r="R414" s="300"/>
      <c r="S414" s="300"/>
      <c r="T414" s="300"/>
      <c r="U414" s="300"/>
      <c r="V414" s="300"/>
      <c r="W414" s="300"/>
      <c r="X414" s="300"/>
      <c r="Y414" s="300"/>
      <c r="Z414" s="300"/>
    </row>
    <row r="415" spans="1:26" x14ac:dyDescent="0.25">
      <c r="A415" s="300" t="s">
        <v>463</v>
      </c>
      <c r="B415" s="300"/>
      <c r="C415" s="300"/>
      <c r="D415" s="300"/>
      <c r="E415" s="300"/>
      <c r="F415" s="300"/>
      <c r="G415" s="300"/>
      <c r="H415" s="300"/>
      <c r="I415" s="300"/>
      <c r="J415" s="300"/>
      <c r="K415" s="300"/>
      <c r="L415" s="300"/>
      <c r="M415" s="300"/>
      <c r="N415" s="300"/>
      <c r="O415" s="300"/>
      <c r="P415" s="300"/>
      <c r="Q415" s="300"/>
      <c r="R415" s="300"/>
      <c r="S415" s="300"/>
      <c r="T415" s="300"/>
      <c r="U415" s="300"/>
      <c r="V415" s="300"/>
      <c r="W415" s="300"/>
      <c r="X415" s="300"/>
      <c r="Y415" s="300"/>
      <c r="Z415" s="300"/>
    </row>
    <row r="416" spans="1:26" x14ac:dyDescent="0.25">
      <c r="A416" s="300" t="s">
        <v>598</v>
      </c>
      <c r="B416" s="300"/>
      <c r="C416" s="300"/>
      <c r="D416" s="300">
        <v>18.210411071777301</v>
      </c>
      <c r="E416" s="300">
        <v>19.293371200561499</v>
      </c>
      <c r="F416" s="300">
        <v>21.158409118652301</v>
      </c>
      <c r="G416" s="300">
        <v>24.5404376983643</v>
      </c>
      <c r="H416" s="300">
        <v>24.494813919067401</v>
      </c>
      <c r="I416" s="300">
        <v>23.9600429534912</v>
      </c>
      <c r="J416" s="300">
        <v>23.672391891479499</v>
      </c>
      <c r="K416" s="300">
        <v>23.2634162902832</v>
      </c>
      <c r="L416" s="300">
        <v>23.106723785400401</v>
      </c>
      <c r="M416" s="300">
        <v>22.905719757080099</v>
      </c>
      <c r="N416" s="300">
        <v>22.942964553833001</v>
      </c>
      <c r="O416" s="300">
        <v>22.881586074829102</v>
      </c>
      <c r="P416" s="300">
        <v>22.979688644409201</v>
      </c>
      <c r="Q416" s="300">
        <v>23.190465927123999</v>
      </c>
      <c r="R416" s="300">
        <v>23.129106521606399</v>
      </c>
      <c r="S416" s="300">
        <v>23.088548660278299</v>
      </c>
      <c r="T416" s="300">
        <v>23.183416366577099</v>
      </c>
      <c r="U416" s="300">
        <v>23.1546516418457</v>
      </c>
      <c r="V416" s="300">
        <v>23.285535812377901</v>
      </c>
      <c r="W416" s="300">
        <v>23.420475006103501</v>
      </c>
      <c r="X416" s="300">
        <v>23.540468215942401</v>
      </c>
      <c r="Y416" s="300">
        <v>23.532218933105501</v>
      </c>
      <c r="Z416" s="300">
        <v>23.562456130981399</v>
      </c>
    </row>
    <row r="417" spans="1:26" x14ac:dyDescent="0.25">
      <c r="A417" s="300" t="s">
        <v>599</v>
      </c>
      <c r="B417" s="300"/>
      <c r="C417" s="300"/>
      <c r="D417" s="300">
        <v>12.893347740173301</v>
      </c>
      <c r="E417" s="300">
        <v>14.727064132690399</v>
      </c>
      <c r="F417" s="300">
        <v>16.906724929809599</v>
      </c>
      <c r="G417" s="300">
        <v>17.4485054016113</v>
      </c>
      <c r="H417" s="300">
        <v>16.910488128662099</v>
      </c>
      <c r="I417" s="300">
        <v>15.8367977142334</v>
      </c>
      <c r="J417" s="300">
        <v>14.87486743927</v>
      </c>
      <c r="K417" s="300">
        <v>14.031831741333001</v>
      </c>
      <c r="L417" s="300">
        <v>13.359474182128899</v>
      </c>
      <c r="M417" s="300">
        <v>12.596385955810501</v>
      </c>
      <c r="N417" s="300">
        <v>12.5241403579712</v>
      </c>
      <c r="O417" s="300">
        <v>12.595507621765099</v>
      </c>
      <c r="P417" s="300">
        <v>12.630928039550801</v>
      </c>
      <c r="Q417" s="300">
        <v>12.738121032714799</v>
      </c>
      <c r="R417" s="300">
        <v>12.8303670883179</v>
      </c>
      <c r="S417" s="300">
        <v>13.052293777465801</v>
      </c>
      <c r="T417" s="300">
        <v>13.1472158432007</v>
      </c>
      <c r="U417" s="300">
        <v>13.2630777359009</v>
      </c>
      <c r="V417" s="300">
        <v>13.422198295593301</v>
      </c>
      <c r="W417" s="300">
        <v>13.360619544982899</v>
      </c>
      <c r="X417" s="300">
        <v>13.513841629028301</v>
      </c>
      <c r="Y417" s="300">
        <v>13.560380935668899</v>
      </c>
      <c r="Z417" s="300">
        <v>13.627392768859901</v>
      </c>
    </row>
    <row r="418" spans="1:26" x14ac:dyDescent="0.25">
      <c r="A418" s="300" t="s">
        <v>500</v>
      </c>
      <c r="B418" s="300"/>
      <c r="C418" s="300"/>
      <c r="D418" s="300">
        <v>10.721179008483899</v>
      </c>
      <c r="E418" s="300">
        <v>12.4281768798828</v>
      </c>
      <c r="F418" s="300">
        <v>13.040691375732401</v>
      </c>
      <c r="G418" s="300">
        <v>11.8341617584229</v>
      </c>
      <c r="H418" s="300">
        <v>11.7410221099854</v>
      </c>
      <c r="I418" s="300">
        <v>11.2507781982422</v>
      </c>
      <c r="J418" s="300">
        <v>10.9759874343872</v>
      </c>
      <c r="K418" s="300">
        <v>10.5919141769409</v>
      </c>
      <c r="L418" s="300">
        <v>10.441241264343301</v>
      </c>
      <c r="M418" s="300">
        <v>10.249824523925801</v>
      </c>
      <c r="N418" s="300">
        <v>10.2927255630493</v>
      </c>
      <c r="O418" s="300">
        <v>10.2421607971191</v>
      </c>
      <c r="P418" s="300">
        <v>10.3305416107178</v>
      </c>
      <c r="Q418" s="300">
        <v>10.557685852050801</v>
      </c>
      <c r="R418" s="300">
        <v>10.4870929718018</v>
      </c>
      <c r="S418" s="300">
        <v>10.439262390136699</v>
      </c>
      <c r="T418" s="300">
        <v>10.539955139160201</v>
      </c>
      <c r="U418" s="300">
        <v>10.5361185073853</v>
      </c>
      <c r="V418" s="300">
        <v>10.6743927001953</v>
      </c>
      <c r="W418" s="300">
        <v>10.830116271972701</v>
      </c>
      <c r="X418" s="300">
        <v>10.948052406311</v>
      </c>
      <c r="Y418" s="300">
        <v>10.9735927581787</v>
      </c>
      <c r="Z418" s="300">
        <v>11.0174913406372</v>
      </c>
    </row>
    <row r="419" spans="1:26" x14ac:dyDescent="0.25">
      <c r="A419" s="300" t="s">
        <v>469</v>
      </c>
      <c r="B419" s="300"/>
      <c r="C419" s="300"/>
      <c r="D419" s="300">
        <v>27.0989685058594</v>
      </c>
      <c r="E419" s="300">
        <v>27.587884902954102</v>
      </c>
      <c r="F419" s="300">
        <v>27.636594772338899</v>
      </c>
      <c r="G419" s="300">
        <v>27.492031097412099</v>
      </c>
      <c r="H419" s="300">
        <v>27.368114471435501</v>
      </c>
      <c r="I419" s="300">
        <v>27.154861450195298</v>
      </c>
      <c r="J419" s="300">
        <v>26.912786483764599</v>
      </c>
      <c r="K419" s="300">
        <v>26.5094184875488</v>
      </c>
      <c r="L419" s="300">
        <v>26.281187057495099</v>
      </c>
      <c r="M419" s="300">
        <v>26.172458648681602</v>
      </c>
      <c r="N419" s="300">
        <v>26.036540985107401</v>
      </c>
      <c r="O419" s="300">
        <v>25.993564605712901</v>
      </c>
      <c r="P419" s="300">
        <v>26.085290908813501</v>
      </c>
      <c r="Q419" s="300">
        <v>26.304872512817401</v>
      </c>
      <c r="R419" s="300">
        <v>26.445003509521499</v>
      </c>
      <c r="S419" s="300">
        <v>26.355556488037099</v>
      </c>
      <c r="T419" s="300">
        <v>26.368726730346701</v>
      </c>
      <c r="U419" s="300">
        <v>26.419284820556602</v>
      </c>
      <c r="V419" s="300">
        <v>26.420993804931602</v>
      </c>
      <c r="W419" s="300">
        <v>26.4647102355957</v>
      </c>
      <c r="X419" s="300">
        <v>26.5621242523193</v>
      </c>
      <c r="Y419" s="300">
        <v>26.608213424682599</v>
      </c>
      <c r="Z419" s="300">
        <v>26.564920425415</v>
      </c>
    </row>
    <row r="420" spans="1:26" x14ac:dyDescent="0.25">
      <c r="A420" s="300" t="s">
        <v>470</v>
      </c>
      <c r="B420" s="300"/>
      <c r="C420" s="300"/>
      <c r="D420" s="300"/>
      <c r="E420" s="300"/>
      <c r="F420" s="300"/>
      <c r="G420" s="300"/>
      <c r="H420" s="300"/>
      <c r="I420" s="300"/>
      <c r="J420" s="300"/>
      <c r="K420" s="300"/>
      <c r="L420" s="300"/>
      <c r="M420" s="300"/>
      <c r="N420" s="300"/>
      <c r="O420" s="300"/>
      <c r="P420" s="300"/>
      <c r="Q420" s="300"/>
      <c r="R420" s="300"/>
      <c r="S420" s="300"/>
      <c r="T420" s="300"/>
      <c r="U420" s="300"/>
      <c r="V420" s="300"/>
      <c r="W420" s="300"/>
      <c r="X420" s="300"/>
      <c r="Y420" s="300"/>
      <c r="Z420" s="300"/>
    </row>
    <row r="421" spans="1:26" x14ac:dyDescent="0.25">
      <c r="A421" s="300" t="s">
        <v>599</v>
      </c>
      <c r="B421" s="300"/>
      <c r="C421" s="300"/>
      <c r="D421" s="300">
        <v>10.4802904129028</v>
      </c>
      <c r="E421" s="300">
        <v>12.6793832778931</v>
      </c>
      <c r="F421" s="300">
        <v>14.632154464721699</v>
      </c>
      <c r="G421" s="300">
        <v>15.3235988616943</v>
      </c>
      <c r="H421" s="300">
        <v>14.4384679794312</v>
      </c>
      <c r="I421" s="300">
        <v>13.4501142501831</v>
      </c>
      <c r="J421" s="300">
        <v>12.7189273834229</v>
      </c>
      <c r="K421" s="300">
        <v>11.9810342788696</v>
      </c>
      <c r="L421" s="300">
        <v>11.338329315185501</v>
      </c>
      <c r="M421" s="300">
        <v>10.8460388183594</v>
      </c>
      <c r="N421" s="300">
        <v>10.667523384094199</v>
      </c>
      <c r="O421" s="300">
        <v>10.728004455566399</v>
      </c>
      <c r="P421" s="300">
        <v>10.8701782226563</v>
      </c>
      <c r="Q421" s="300">
        <v>10.9251909255981</v>
      </c>
      <c r="R421" s="300">
        <v>11.0219278335571</v>
      </c>
      <c r="S421" s="300">
        <v>11.292310714721699</v>
      </c>
      <c r="T421" s="300">
        <v>11.349814414978001</v>
      </c>
      <c r="U421" s="300">
        <v>11.461010932922401</v>
      </c>
      <c r="V421" s="300">
        <v>11.6882877349854</v>
      </c>
      <c r="W421" s="300">
        <v>11.5126600265503</v>
      </c>
      <c r="X421" s="300">
        <v>11.6838274002075</v>
      </c>
      <c r="Y421" s="300">
        <v>11.8503408432007</v>
      </c>
      <c r="Z421" s="300">
        <v>11.857501029968301</v>
      </c>
    </row>
    <row r="422" spans="1:26" ht="51" customHeight="1" x14ac:dyDescent="0.25">
      <c r="A422" s="300" t="s">
        <v>600</v>
      </c>
      <c r="B422" s="300"/>
      <c r="C422" s="300"/>
      <c r="D422" s="300">
        <v>6.2490105628967303</v>
      </c>
      <c r="E422" s="300">
        <v>8.4144115447997994</v>
      </c>
      <c r="F422" s="300">
        <v>10.1003465652466</v>
      </c>
      <c r="G422" s="300">
        <v>7.8816242218017596</v>
      </c>
      <c r="H422" s="300">
        <v>7.7979149818420401</v>
      </c>
      <c r="I422" s="300">
        <v>7.67907810211182</v>
      </c>
      <c r="J422" s="300">
        <v>7.5374598503112802</v>
      </c>
      <c r="K422" s="300">
        <v>7.0601482391357404</v>
      </c>
      <c r="L422" s="300">
        <v>6.9191079139709499</v>
      </c>
      <c r="M422" s="300">
        <v>5.9906802177429199</v>
      </c>
      <c r="N422" s="300">
        <v>6.31249952316284</v>
      </c>
      <c r="O422" s="300">
        <v>6.4941840171814</v>
      </c>
      <c r="P422" s="300">
        <v>6.4476203918456996</v>
      </c>
      <c r="Q422" s="300">
        <v>6.5857205390930202</v>
      </c>
      <c r="R422" s="300">
        <v>6.7015118598937997</v>
      </c>
      <c r="S422" s="300">
        <v>6.98899221420288</v>
      </c>
      <c r="T422" s="300">
        <v>7.0690569877624503</v>
      </c>
      <c r="U422" s="300">
        <v>7.2425847053527797</v>
      </c>
      <c r="V422" s="300">
        <v>7.4012169837951696</v>
      </c>
      <c r="W422" s="300">
        <v>7.2363023757934597</v>
      </c>
      <c r="X422" s="300">
        <v>7.3775544166564897</v>
      </c>
      <c r="Y422" s="300">
        <v>7.1704416275024396</v>
      </c>
      <c r="Z422" s="300">
        <v>7.2997760772705096</v>
      </c>
    </row>
    <row r="423" spans="1:26" ht="30.75" customHeight="1" x14ac:dyDescent="0.25">
      <c r="A423" s="302" t="s">
        <v>500</v>
      </c>
      <c r="B423" s="302"/>
      <c r="C423" s="302"/>
      <c r="D423" s="300">
        <v>9.4024562835693395</v>
      </c>
      <c r="E423" s="300">
        <v>11.2028198242188</v>
      </c>
      <c r="F423" s="300">
        <v>11.3786783218384</v>
      </c>
      <c r="G423" s="300">
        <v>10.2688541412354</v>
      </c>
      <c r="H423" s="300">
        <v>10.157588958740201</v>
      </c>
      <c r="I423" s="300">
        <v>9.6297473907470703</v>
      </c>
      <c r="J423" s="300">
        <v>9.3356885910034197</v>
      </c>
      <c r="K423" s="300">
        <v>8.9214458465576207</v>
      </c>
      <c r="L423" s="300">
        <v>8.7509040832519496</v>
      </c>
      <c r="M423" s="300">
        <v>8.5351839065551793</v>
      </c>
      <c r="N423" s="300">
        <v>8.5524559020996094</v>
      </c>
      <c r="O423" s="300">
        <v>8.47686672210693</v>
      </c>
      <c r="P423" s="300">
        <v>8.5459880828857404</v>
      </c>
      <c r="Q423" s="300">
        <v>8.7391986846923793</v>
      </c>
      <c r="R423" s="300">
        <v>8.6564092636108398</v>
      </c>
      <c r="S423" s="300">
        <v>8.5963792800903303</v>
      </c>
      <c r="T423" s="300">
        <v>8.6742591857910192</v>
      </c>
      <c r="U423" s="300">
        <v>8.6351099014282209</v>
      </c>
      <c r="V423" s="300">
        <v>8.7470979690551793</v>
      </c>
      <c r="W423" s="300">
        <v>8.8685941696166992</v>
      </c>
      <c r="X423" s="300">
        <v>8.9716949462890607</v>
      </c>
      <c r="Y423" s="300">
        <v>8.9597854614257795</v>
      </c>
      <c r="Z423" s="300">
        <v>8.9777603149414098</v>
      </c>
    </row>
    <row r="424" spans="1:26" x14ac:dyDescent="0.25">
      <c r="A424" s="301" t="s">
        <v>469</v>
      </c>
      <c r="B424" s="301"/>
      <c r="C424" s="301"/>
      <c r="D424" s="300">
        <v>24.591539382934599</v>
      </c>
      <c r="E424" s="300">
        <v>25.251781463623001</v>
      </c>
      <c r="F424" s="300">
        <v>25.738388061523398</v>
      </c>
      <c r="G424" s="300">
        <v>25.3376979827881</v>
      </c>
      <c r="H424" s="300">
        <v>25.268539428710898</v>
      </c>
      <c r="I424" s="300">
        <v>24.918291091918899</v>
      </c>
      <c r="J424" s="300">
        <v>24.500482559204102</v>
      </c>
      <c r="K424" s="300">
        <v>23.8594665527344</v>
      </c>
      <c r="L424" s="300">
        <v>23.593626022338899</v>
      </c>
      <c r="M424" s="300">
        <v>23.443479537963899</v>
      </c>
      <c r="N424" s="300">
        <v>23.311824798583999</v>
      </c>
      <c r="O424" s="300">
        <v>23.328050613403299</v>
      </c>
      <c r="P424" s="300">
        <v>23.4844055175781</v>
      </c>
      <c r="Q424" s="300">
        <v>23.749778747558601</v>
      </c>
      <c r="R424" s="300">
        <v>23.944339752197301</v>
      </c>
      <c r="S424" s="300">
        <v>23.889307022094702</v>
      </c>
      <c r="T424" s="300">
        <v>23.952335357666001</v>
      </c>
      <c r="U424" s="300">
        <v>24.000473022460898</v>
      </c>
      <c r="V424" s="300">
        <v>24.006351470947301</v>
      </c>
      <c r="W424" s="300">
        <v>24.077814102172901</v>
      </c>
      <c r="X424" s="300">
        <v>24.1955890655518</v>
      </c>
      <c r="Y424" s="300">
        <v>24.23095703125</v>
      </c>
      <c r="Z424" s="300">
        <v>24.1812038421631</v>
      </c>
    </row>
    <row r="425" spans="1:26" x14ac:dyDescent="0.25">
      <c r="A425" s="300" t="s">
        <v>601</v>
      </c>
      <c r="B425" s="300"/>
      <c r="C425" s="300"/>
      <c r="D425" s="300"/>
      <c r="E425" s="300"/>
      <c r="F425" s="300"/>
      <c r="G425" s="300"/>
      <c r="H425" s="300"/>
      <c r="I425" s="300"/>
      <c r="J425" s="300"/>
      <c r="K425" s="300"/>
      <c r="L425" s="300"/>
      <c r="M425" s="300"/>
      <c r="N425" s="300"/>
      <c r="O425" s="300"/>
      <c r="P425" s="300"/>
      <c r="Q425" s="300"/>
      <c r="R425" s="300"/>
      <c r="S425" s="300"/>
      <c r="T425" s="300"/>
      <c r="U425" s="300"/>
      <c r="V425" s="300"/>
      <c r="W425" s="300"/>
      <c r="X425" s="300"/>
      <c r="Y425" s="300"/>
      <c r="Z425" s="300"/>
    </row>
    <row r="426" spans="1:26" x14ac:dyDescent="0.25">
      <c r="A426" s="300" t="s">
        <v>598</v>
      </c>
      <c r="B426" s="300"/>
      <c r="C426" s="300"/>
      <c r="D426" s="300">
        <v>11.1755380630493</v>
      </c>
      <c r="E426" s="300">
        <v>16.959981918335</v>
      </c>
      <c r="F426" s="300">
        <v>18.9578742980957</v>
      </c>
      <c r="G426" s="300">
        <v>17.513134002685501</v>
      </c>
      <c r="H426" s="300">
        <v>17.389408111572301</v>
      </c>
      <c r="I426" s="300">
        <v>16.750247955322301</v>
      </c>
      <c r="J426" s="300">
        <v>16.423851013183601</v>
      </c>
      <c r="K426" s="300">
        <v>15.943309783935501</v>
      </c>
      <c r="L426" s="300">
        <v>15.769355773925801</v>
      </c>
      <c r="M426" s="300">
        <v>15.620997428894</v>
      </c>
      <c r="N426" s="300">
        <v>15.627494812011699</v>
      </c>
      <c r="O426" s="300">
        <v>15.565483093261699</v>
      </c>
      <c r="P426" s="300">
        <v>15.6823263168335</v>
      </c>
      <c r="Q426" s="300">
        <v>15.8655786514282</v>
      </c>
      <c r="R426" s="300">
        <v>15.8662757873535</v>
      </c>
      <c r="S426" s="300">
        <v>15.8647546768188</v>
      </c>
      <c r="T426" s="300">
        <v>15.9073581695557</v>
      </c>
      <c r="U426" s="300">
        <v>15.883088111877401</v>
      </c>
      <c r="V426" s="300">
        <v>15.994482994079601</v>
      </c>
      <c r="W426" s="300">
        <v>16.1067924499512</v>
      </c>
      <c r="X426" s="300">
        <v>16.2546577453613</v>
      </c>
      <c r="Y426" s="300">
        <v>16.219263076782202</v>
      </c>
      <c r="Z426" s="300">
        <v>16.2301216125488</v>
      </c>
    </row>
    <row r="427" spans="1:26" x14ac:dyDescent="0.25">
      <c r="A427" s="300" t="s">
        <v>599</v>
      </c>
      <c r="B427" s="300"/>
      <c r="C427" s="300"/>
      <c r="D427" s="300">
        <v>10.9898891448975</v>
      </c>
      <c r="E427" s="300">
        <v>13.0814533233643</v>
      </c>
      <c r="F427" s="300">
        <v>15.1407413482666</v>
      </c>
      <c r="G427" s="300">
        <v>15.435567855835</v>
      </c>
      <c r="H427" s="300">
        <v>14.2919836044312</v>
      </c>
      <c r="I427" s="300">
        <v>13.4232997894287</v>
      </c>
      <c r="J427" s="300">
        <v>12.948052406311</v>
      </c>
      <c r="K427" s="300">
        <v>12.4780015945435</v>
      </c>
      <c r="L427" s="300">
        <v>11.882830619811999</v>
      </c>
      <c r="M427" s="300">
        <v>11.641848564147899</v>
      </c>
      <c r="N427" s="300">
        <v>11.349123954772899</v>
      </c>
      <c r="O427" s="300">
        <v>11.401933670043899</v>
      </c>
      <c r="P427" s="300">
        <v>11.6324548721313</v>
      </c>
      <c r="Q427" s="300">
        <v>11.632493019104</v>
      </c>
      <c r="R427" s="300">
        <v>11.737724304199199</v>
      </c>
      <c r="S427" s="300">
        <v>12.060711860656699</v>
      </c>
      <c r="T427" s="300">
        <v>12.0405569076538</v>
      </c>
      <c r="U427" s="300">
        <v>12.1396341323853</v>
      </c>
      <c r="V427" s="300">
        <v>12.421196937561</v>
      </c>
      <c r="W427" s="300">
        <v>12.169375419616699</v>
      </c>
      <c r="X427" s="300">
        <v>12.3622283935547</v>
      </c>
      <c r="Y427" s="300">
        <v>12.619636535644499</v>
      </c>
      <c r="Z427" s="300">
        <v>12.5786838531494</v>
      </c>
    </row>
    <row r="428" spans="1:26" x14ac:dyDescent="0.25">
      <c r="A428" s="300" t="s">
        <v>600</v>
      </c>
      <c r="B428" s="300"/>
      <c r="C428" s="300"/>
      <c r="D428" s="300">
        <v>5.7738895416259801</v>
      </c>
      <c r="E428" s="300">
        <v>7.7708010673522896</v>
      </c>
      <c r="F428" s="300">
        <v>9.3422021865844709</v>
      </c>
      <c r="G428" s="300">
        <v>9.8767166137695295</v>
      </c>
      <c r="H428" s="300">
        <v>10.084191322326699</v>
      </c>
      <c r="I428" s="300">
        <v>9.7906637191772496</v>
      </c>
      <c r="J428" s="300">
        <v>9.5023155212402308</v>
      </c>
      <c r="K428" s="300">
        <v>8.7792091369628906</v>
      </c>
      <c r="L428" s="300">
        <v>8.4676847457885707</v>
      </c>
      <c r="M428" s="300">
        <v>8.0373468399047905</v>
      </c>
      <c r="N428" s="300">
        <v>7.9767365455627397</v>
      </c>
      <c r="O428" s="300">
        <v>8.2131023406982404</v>
      </c>
      <c r="P428" s="300">
        <v>8.4110374450683594</v>
      </c>
      <c r="Q428" s="300">
        <v>8.5568304061889595</v>
      </c>
      <c r="R428" s="300">
        <v>8.6100654602050799</v>
      </c>
      <c r="S428" s="300">
        <v>8.8084278106689506</v>
      </c>
      <c r="T428" s="300">
        <v>8.9135255813598597</v>
      </c>
      <c r="U428" s="300">
        <v>9.0664196014404297</v>
      </c>
      <c r="V428" s="300">
        <v>9.2084608078002894</v>
      </c>
      <c r="W428" s="300">
        <v>9.1494617462158203</v>
      </c>
      <c r="X428" s="300">
        <v>9.2910699844360405</v>
      </c>
      <c r="Y428" s="300">
        <v>9.2583961486816406</v>
      </c>
      <c r="Z428" s="300">
        <v>9.38494873046875</v>
      </c>
    </row>
    <row r="429" spans="1:26" x14ac:dyDescent="0.25">
      <c r="A429" s="302" t="s">
        <v>602</v>
      </c>
      <c r="B429" s="302"/>
      <c r="C429" s="302"/>
      <c r="D429" s="300">
        <v>6.4688553810119602</v>
      </c>
      <c r="E429" s="300">
        <v>8.1627740859985405</v>
      </c>
      <c r="F429" s="300">
        <v>7.4494204521179199</v>
      </c>
      <c r="G429" s="300">
        <v>7.3632249832153303</v>
      </c>
      <c r="H429" s="300">
        <v>7.2901554107665998</v>
      </c>
      <c r="I429" s="300">
        <v>6.7422003746032697</v>
      </c>
      <c r="J429" s="300">
        <v>6.4267692565918004</v>
      </c>
      <c r="K429" s="300">
        <v>6.0213589668273899</v>
      </c>
      <c r="L429" s="300">
        <v>5.8671450614929199</v>
      </c>
      <c r="M429" s="300">
        <v>5.6813068389892596</v>
      </c>
      <c r="N429" s="300">
        <v>5.6900143623352104</v>
      </c>
      <c r="O429" s="300">
        <v>5.6504640579223597</v>
      </c>
      <c r="P429" s="300">
        <v>5.7415480613708496</v>
      </c>
      <c r="Q429" s="300">
        <v>5.91982173919678</v>
      </c>
      <c r="R429" s="300">
        <v>5.8755149841308603</v>
      </c>
      <c r="S429" s="300">
        <v>5.8359832763671902</v>
      </c>
      <c r="T429" s="300">
        <v>5.9000439643859899</v>
      </c>
      <c r="U429" s="300">
        <v>5.8858833312988299</v>
      </c>
      <c r="V429" s="300">
        <v>6.0041050910949698</v>
      </c>
      <c r="W429" s="300">
        <v>6.1238050460815403</v>
      </c>
      <c r="X429" s="300">
        <v>6.2412667274475098</v>
      </c>
      <c r="Y429" s="300">
        <v>6.2102909088134801</v>
      </c>
      <c r="Z429" s="300">
        <v>6.2538614273071298</v>
      </c>
    </row>
    <row r="430" spans="1:26" x14ac:dyDescent="0.25">
      <c r="A430" s="300" t="s">
        <v>603</v>
      </c>
      <c r="B430" s="300"/>
      <c r="C430" s="300"/>
      <c r="D430" s="300">
        <v>2.3078472614288299</v>
      </c>
      <c r="E430" s="300">
        <v>3.0599997043609601</v>
      </c>
      <c r="F430" s="300">
        <v>3.2548489570617698</v>
      </c>
      <c r="G430" s="300">
        <v>3.2975256443023699</v>
      </c>
      <c r="H430" s="300">
        <v>3.2872827053070099</v>
      </c>
      <c r="I430" s="300">
        <v>3.1889374256134002</v>
      </c>
      <c r="J430" s="300">
        <v>3.0940959453582799</v>
      </c>
      <c r="K430" s="300">
        <v>2.9914577007293701</v>
      </c>
      <c r="L430" s="300">
        <v>2.8927016258239702</v>
      </c>
      <c r="M430" s="300">
        <v>2.78926348686218</v>
      </c>
      <c r="N430" s="300">
        <v>2.7408642768859899</v>
      </c>
      <c r="O430" s="300">
        <v>2.7166485786438002</v>
      </c>
      <c r="P430" s="300">
        <v>2.7061200141906698</v>
      </c>
      <c r="Q430" s="300">
        <v>2.7063503265380899</v>
      </c>
      <c r="R430" s="300">
        <v>2.7045123577117902</v>
      </c>
      <c r="S430" s="300">
        <v>2.68979120254517</v>
      </c>
      <c r="T430" s="300">
        <v>2.7072892189025901</v>
      </c>
      <c r="U430" s="300">
        <v>2.71812868118286</v>
      </c>
      <c r="V430" s="300">
        <v>2.7191135883331299</v>
      </c>
      <c r="W430" s="300">
        <v>2.7064330577850302</v>
      </c>
      <c r="X430" s="300">
        <v>2.68589544296265</v>
      </c>
      <c r="Y430" s="300">
        <v>2.69574999809265</v>
      </c>
      <c r="Z430" s="300">
        <v>2.7049932479858398</v>
      </c>
    </row>
    <row r="431" spans="1:26" x14ac:dyDescent="0.25">
      <c r="A431" s="300" t="s">
        <v>604</v>
      </c>
      <c r="B431" s="300"/>
      <c r="C431" s="300"/>
      <c r="D431" s="300">
        <v>1.80300605297089</v>
      </c>
      <c r="E431" s="300">
        <v>2.1500017642974898</v>
      </c>
      <c r="F431" s="300">
        <v>2.2005796432495099</v>
      </c>
      <c r="G431" s="300">
        <v>2.2392640113830602</v>
      </c>
      <c r="H431" s="300">
        <v>2.2450914382934601</v>
      </c>
      <c r="I431" s="300">
        <v>2.2358458042144802</v>
      </c>
      <c r="J431" s="300">
        <v>2.2614977359771702</v>
      </c>
      <c r="K431" s="300">
        <v>2.2480733394622798</v>
      </c>
      <c r="L431" s="300">
        <v>2.2308864593505899</v>
      </c>
      <c r="M431" s="300">
        <v>2.2124359607696502</v>
      </c>
      <c r="N431" s="300">
        <v>2.2059276103973402</v>
      </c>
      <c r="O431" s="300">
        <v>2.1967613697052002</v>
      </c>
      <c r="P431" s="300">
        <v>2.18912577629089</v>
      </c>
      <c r="Q431" s="300">
        <v>2.1856777667999299</v>
      </c>
      <c r="R431" s="300">
        <v>2.1763286590576199</v>
      </c>
      <c r="S431" s="300">
        <v>2.1755278110504199</v>
      </c>
      <c r="T431" s="300">
        <v>2.18182468414307</v>
      </c>
      <c r="U431" s="300">
        <v>2.19542455673218</v>
      </c>
      <c r="V431" s="300">
        <v>2.2050869464874299</v>
      </c>
      <c r="W431" s="300">
        <v>2.2089655399322501</v>
      </c>
      <c r="X431" s="300">
        <v>2.2187693119049099</v>
      </c>
      <c r="Y431" s="300">
        <v>2.2309319972991899</v>
      </c>
      <c r="Z431" s="300">
        <v>2.2423520088195801</v>
      </c>
    </row>
    <row r="432" spans="1:26" x14ac:dyDescent="0.25">
      <c r="A432" s="300" t="s">
        <v>605</v>
      </c>
      <c r="B432" s="300"/>
      <c r="C432" s="300"/>
      <c r="D432" s="300" t="s">
        <v>1064</v>
      </c>
      <c r="E432" s="300" t="s">
        <v>1064</v>
      </c>
      <c r="F432" s="300" t="s">
        <v>1064</v>
      </c>
      <c r="G432" s="300" t="s">
        <v>1064</v>
      </c>
      <c r="H432" s="300" t="s">
        <v>1064</v>
      </c>
      <c r="I432" s="300" t="s">
        <v>1064</v>
      </c>
      <c r="J432" s="300" t="s">
        <v>1064</v>
      </c>
      <c r="K432" s="300">
        <v>0.88956671953201305</v>
      </c>
      <c r="L432" s="300">
        <v>0.881245017051697</v>
      </c>
      <c r="M432" s="300">
        <v>0.88442194461822499</v>
      </c>
      <c r="N432" s="300">
        <v>0.89085346460342396</v>
      </c>
      <c r="O432" s="300">
        <v>0.88840740919113204</v>
      </c>
      <c r="P432" s="300">
        <v>0.89322775602340698</v>
      </c>
      <c r="Q432" s="300">
        <v>0.90440875291824296</v>
      </c>
      <c r="R432" s="300">
        <v>0.91453087329864502</v>
      </c>
      <c r="S432" s="300">
        <v>0.95469778776168801</v>
      </c>
      <c r="T432" s="300">
        <v>0.96978461742401101</v>
      </c>
      <c r="U432" s="300">
        <v>1.01334369182587</v>
      </c>
      <c r="V432" s="300">
        <v>1.02781510353088</v>
      </c>
      <c r="W432" s="300">
        <v>1.0294380187988299</v>
      </c>
      <c r="X432" s="300">
        <v>1.1219843626022299</v>
      </c>
      <c r="Y432" s="300">
        <v>1.2297383546829199</v>
      </c>
      <c r="Z432" s="300">
        <v>1.26935982704163</v>
      </c>
    </row>
    <row r="433" spans="1:26" x14ac:dyDescent="0.25">
      <c r="A433" s="301" t="s">
        <v>469</v>
      </c>
      <c r="B433" s="301"/>
      <c r="C433" s="301"/>
      <c r="D433" s="300">
        <v>15.8847751617432</v>
      </c>
      <c r="E433" s="300">
        <v>16.691057205200199</v>
      </c>
      <c r="F433" s="300">
        <v>18.258220672607401</v>
      </c>
      <c r="G433" s="300">
        <v>18.768579483032202</v>
      </c>
      <c r="H433" s="300">
        <v>18.8538303375244</v>
      </c>
      <c r="I433" s="300">
        <v>18.518165588378899</v>
      </c>
      <c r="J433" s="300">
        <v>18.014034271240199</v>
      </c>
      <c r="K433" s="300">
        <v>17.2542610168457</v>
      </c>
      <c r="L433" s="300">
        <v>16.790317535400401</v>
      </c>
      <c r="M433" s="300">
        <v>16.590124130248999</v>
      </c>
      <c r="N433" s="300">
        <v>16.466903686523398</v>
      </c>
      <c r="O433" s="300">
        <v>16.461626052856399</v>
      </c>
      <c r="P433" s="300">
        <v>16.6055717468262</v>
      </c>
      <c r="Q433" s="300">
        <v>16.851476669311499</v>
      </c>
      <c r="R433" s="300">
        <v>17.021175384521499</v>
      </c>
      <c r="S433" s="300">
        <v>17.000881195068398</v>
      </c>
      <c r="T433" s="300">
        <v>17.070917129516602</v>
      </c>
      <c r="U433" s="300">
        <v>17.1260585784912</v>
      </c>
      <c r="V433" s="300">
        <v>17.140884399414102</v>
      </c>
      <c r="W433" s="300">
        <v>17.206485748291001</v>
      </c>
      <c r="X433" s="300">
        <v>17.3262729644775</v>
      </c>
      <c r="Y433" s="300">
        <v>17.353824615478501</v>
      </c>
      <c r="Z433" s="300">
        <v>17.310489654541001</v>
      </c>
    </row>
    <row r="434" spans="1:26" x14ac:dyDescent="0.25">
      <c r="A434" s="300" t="s">
        <v>477</v>
      </c>
      <c r="B434" s="300"/>
      <c r="C434" s="300"/>
      <c r="D434" s="300"/>
      <c r="E434" s="300"/>
      <c r="F434" s="300"/>
      <c r="G434" s="300"/>
      <c r="H434" s="300"/>
      <c r="I434" s="300"/>
      <c r="J434" s="300"/>
      <c r="K434" s="300"/>
      <c r="L434" s="300"/>
      <c r="M434" s="300"/>
      <c r="N434" s="300"/>
      <c r="O434" s="300"/>
      <c r="P434" s="300"/>
      <c r="Q434" s="300"/>
      <c r="R434" s="300"/>
      <c r="S434" s="300"/>
      <c r="T434" s="300"/>
      <c r="U434" s="300"/>
      <c r="V434" s="300"/>
      <c r="W434" s="300"/>
      <c r="X434" s="300"/>
      <c r="Y434" s="300"/>
      <c r="Z434" s="300"/>
    </row>
    <row r="435" spans="1:26" x14ac:dyDescent="0.25">
      <c r="A435" s="300" t="s">
        <v>606</v>
      </c>
      <c r="B435" s="300"/>
      <c r="C435" s="300"/>
      <c r="D435" s="300">
        <v>19.6766357421875</v>
      </c>
      <c r="E435" s="300">
        <v>23.9161167144775</v>
      </c>
      <c r="F435" s="300">
        <v>26.805564880371101</v>
      </c>
      <c r="G435" s="300">
        <v>22.710954666137699</v>
      </c>
      <c r="H435" s="300">
        <v>22.759067535400401</v>
      </c>
      <c r="I435" s="300">
        <v>22.268846511840799</v>
      </c>
      <c r="J435" s="300">
        <v>24.343835830688501</v>
      </c>
      <c r="K435" s="300">
        <v>23.932544708251999</v>
      </c>
      <c r="L435" s="300">
        <v>23.763250350952099</v>
      </c>
      <c r="M435" s="300">
        <v>23.536403656005898</v>
      </c>
      <c r="N435" s="300">
        <v>23.5618801116943</v>
      </c>
      <c r="O435" s="300">
        <v>23.4868278503418</v>
      </c>
      <c r="P435" s="300">
        <v>23.560710906982401</v>
      </c>
      <c r="Q435" s="300">
        <v>23.7542419433594</v>
      </c>
      <c r="R435" s="300">
        <v>23.654756546020501</v>
      </c>
      <c r="S435" s="300">
        <v>23.5774955749512</v>
      </c>
      <c r="T435" s="300">
        <v>23.664421081543001</v>
      </c>
      <c r="U435" s="300">
        <v>23.6253147125244</v>
      </c>
      <c r="V435" s="300">
        <v>23.741106033325199</v>
      </c>
      <c r="W435" s="300">
        <v>23.8700561523438</v>
      </c>
      <c r="X435" s="300">
        <v>23.973831176757798</v>
      </c>
      <c r="Y435" s="300">
        <v>23.953416824340799</v>
      </c>
      <c r="Z435" s="300">
        <v>23.9759330749512</v>
      </c>
    </row>
    <row r="436" spans="1:26" x14ac:dyDescent="0.25">
      <c r="A436" s="304" t="s">
        <v>607</v>
      </c>
      <c r="B436" s="304"/>
      <c r="C436" s="304"/>
      <c r="D436" s="300">
        <v>20.914932250976602</v>
      </c>
      <c r="E436" s="300">
        <v>23.101913452148398</v>
      </c>
      <c r="F436" s="300">
        <v>24.811454772949201</v>
      </c>
      <c r="G436" s="300">
        <v>27.774848937988299</v>
      </c>
      <c r="H436" s="300">
        <v>25.9952602386475</v>
      </c>
      <c r="I436" s="300">
        <v>24.2666110992432</v>
      </c>
      <c r="J436" s="300">
        <v>21.291254043579102</v>
      </c>
      <c r="K436" s="300">
        <v>20.525190353393601</v>
      </c>
      <c r="L436" s="300">
        <v>20.3361301422119</v>
      </c>
      <c r="M436" s="300">
        <v>20.197395324706999</v>
      </c>
      <c r="N436" s="300">
        <v>20.009881973266602</v>
      </c>
      <c r="O436" s="300">
        <v>20.093305587768601</v>
      </c>
      <c r="P436" s="300">
        <v>20.196292877197301</v>
      </c>
      <c r="Q436" s="300">
        <v>20.4327602386475</v>
      </c>
      <c r="R436" s="300">
        <v>20.4076957702637</v>
      </c>
      <c r="S436" s="300">
        <v>20.624263763427699</v>
      </c>
      <c r="T436" s="300">
        <v>20.610368728637699</v>
      </c>
      <c r="U436" s="300">
        <v>20.617734909057599</v>
      </c>
      <c r="V436" s="300">
        <v>21.067132949829102</v>
      </c>
      <c r="W436" s="300">
        <v>20.970218658447301</v>
      </c>
      <c r="X436" s="300">
        <v>20.962213516235401</v>
      </c>
      <c r="Y436" s="300">
        <v>21.257926940918001</v>
      </c>
      <c r="Z436" s="300">
        <v>21.098123550415</v>
      </c>
    </row>
    <row r="437" spans="1:26" x14ac:dyDescent="0.25">
      <c r="A437" s="303" t="s">
        <v>608</v>
      </c>
      <c r="B437" s="303"/>
      <c r="C437" s="303"/>
      <c r="D437" s="300">
        <v>15.721848487854</v>
      </c>
      <c r="E437" s="300">
        <v>18.644901275634801</v>
      </c>
      <c r="F437" s="300">
        <v>21.1534824371338</v>
      </c>
      <c r="G437" s="300">
        <v>20.964454650878899</v>
      </c>
      <c r="H437" s="300">
        <v>19.721015930175799</v>
      </c>
      <c r="I437" s="300">
        <v>18.6920680999756</v>
      </c>
      <c r="J437" s="300">
        <v>17.902309417724599</v>
      </c>
      <c r="K437" s="300">
        <v>17.232242584228501</v>
      </c>
      <c r="L437" s="300">
        <v>16.863773345947301</v>
      </c>
      <c r="M437" s="300">
        <v>16.565891265869102</v>
      </c>
      <c r="N437" s="300">
        <v>16.0857257843018</v>
      </c>
      <c r="O437" s="300">
        <v>16.063297271728501</v>
      </c>
      <c r="P437" s="300">
        <v>16.111997604370099</v>
      </c>
      <c r="Q437" s="300">
        <v>16.240406036376999</v>
      </c>
      <c r="R437" s="300">
        <v>16.3247375488281</v>
      </c>
      <c r="S437" s="300">
        <v>16.6728916168213</v>
      </c>
      <c r="T437" s="300">
        <v>16.6320400238037</v>
      </c>
      <c r="U437" s="300">
        <v>16.751285552978501</v>
      </c>
      <c r="V437" s="300">
        <v>17.051519393920898</v>
      </c>
      <c r="W437" s="300">
        <v>16.920253753662099</v>
      </c>
      <c r="X437" s="300">
        <v>17.1026096343994</v>
      </c>
      <c r="Y437" s="300">
        <v>17.3232307434082</v>
      </c>
      <c r="Z437" s="300">
        <v>17.144313812255898</v>
      </c>
    </row>
    <row r="438" spans="1:26" x14ac:dyDescent="0.25">
      <c r="A438" s="300" t="s">
        <v>609</v>
      </c>
      <c r="B438" s="300"/>
      <c r="C438" s="300"/>
      <c r="D438" s="300">
        <v>9.2184209823608398</v>
      </c>
      <c r="E438" s="300">
        <v>13.1439361572266</v>
      </c>
      <c r="F438" s="300">
        <v>14.9574270248413</v>
      </c>
      <c r="G438" s="300">
        <v>12.9907026290894</v>
      </c>
      <c r="H438" s="300">
        <v>11.722384452819799</v>
      </c>
      <c r="I438" s="300">
        <v>11.2624855041504</v>
      </c>
      <c r="J438" s="300">
        <v>10.9056959152222</v>
      </c>
      <c r="K438" s="300">
        <v>10.3720808029175</v>
      </c>
      <c r="L438" s="300">
        <v>10.059165954589799</v>
      </c>
      <c r="M438" s="300">
        <v>10.0335283279419</v>
      </c>
      <c r="N438" s="300">
        <v>9.8430700302124006</v>
      </c>
      <c r="O438" s="300">
        <v>9.8874025344848597</v>
      </c>
      <c r="P438" s="300">
        <v>10.0322532653809</v>
      </c>
      <c r="Q438" s="300">
        <v>10.087176322936999</v>
      </c>
      <c r="R438" s="300">
        <v>10.2108345031738</v>
      </c>
      <c r="S438" s="300">
        <v>10.523097038269</v>
      </c>
      <c r="T438" s="300">
        <v>10.506872177124</v>
      </c>
      <c r="U438" s="300">
        <v>10.5880041122437</v>
      </c>
      <c r="V438" s="300">
        <v>10.8930578231812</v>
      </c>
      <c r="W438" s="300">
        <v>10.788450241088899</v>
      </c>
      <c r="X438" s="300">
        <v>10.9106340408325</v>
      </c>
      <c r="Y438" s="300">
        <v>11.0979099273682</v>
      </c>
      <c r="Z438" s="300">
        <v>11.0487413406372</v>
      </c>
    </row>
    <row r="439" spans="1:26" x14ac:dyDescent="0.25">
      <c r="A439" s="303" t="s">
        <v>610</v>
      </c>
      <c r="B439" s="303"/>
      <c r="C439" s="303"/>
      <c r="D439" s="300">
        <v>13.583283424377401</v>
      </c>
      <c r="E439" s="300">
        <v>17.522464752197301</v>
      </c>
      <c r="F439" s="300">
        <v>19.7921543121338</v>
      </c>
      <c r="G439" s="300">
        <v>19.706336975097699</v>
      </c>
      <c r="H439" s="300">
        <v>18.211244583129901</v>
      </c>
      <c r="I439" s="300">
        <v>17.3085613250732</v>
      </c>
      <c r="J439" s="300">
        <v>16.8088684082031</v>
      </c>
      <c r="K439" s="300">
        <v>16.001249313354499</v>
      </c>
      <c r="L439" s="300">
        <v>15.3922462463379</v>
      </c>
      <c r="M439" s="300">
        <v>15.213009834289601</v>
      </c>
      <c r="N439" s="300">
        <v>14.822114944458001</v>
      </c>
      <c r="O439" s="300">
        <v>14.859941482543899</v>
      </c>
      <c r="P439" s="300">
        <v>15.1213598251343</v>
      </c>
      <c r="Q439" s="300">
        <v>15.075839042663601</v>
      </c>
      <c r="R439" s="300">
        <v>15.158118247985801</v>
      </c>
      <c r="S439" s="300">
        <v>15.4795846939087</v>
      </c>
      <c r="T439" s="300">
        <v>15.4157457351685</v>
      </c>
      <c r="U439" s="300">
        <v>15.4886207580566</v>
      </c>
      <c r="V439" s="300">
        <v>15.773143768310501</v>
      </c>
      <c r="W439" s="300">
        <v>15.4716739654541</v>
      </c>
      <c r="X439" s="300">
        <v>15.639728546142599</v>
      </c>
      <c r="Y439" s="300">
        <v>15.912574768066399</v>
      </c>
      <c r="Z439" s="300">
        <v>15.834021568298301</v>
      </c>
    </row>
    <row r="440" spans="1:26" x14ac:dyDescent="0.25">
      <c r="A440" s="300" t="s">
        <v>600</v>
      </c>
      <c r="B440" s="300"/>
      <c r="C440" s="300"/>
      <c r="D440" s="300">
        <v>4.8536195755004901</v>
      </c>
      <c r="E440" s="300">
        <v>5.5067763328552202</v>
      </c>
      <c r="F440" s="300">
        <v>7.1623473167419398</v>
      </c>
      <c r="G440" s="300">
        <v>8.8221101760864293</v>
      </c>
      <c r="H440" s="300">
        <v>9.0483112335205096</v>
      </c>
      <c r="I440" s="300">
        <v>8.6029233932495099</v>
      </c>
      <c r="J440" s="300">
        <v>8.0481967926025408</v>
      </c>
      <c r="K440" s="300">
        <v>7.6902847290039098</v>
      </c>
      <c r="L440" s="300">
        <v>7.3429737091064498</v>
      </c>
      <c r="M440" s="300">
        <v>7.1018238067626998</v>
      </c>
      <c r="N440" s="300">
        <v>6.97245073318481</v>
      </c>
      <c r="O440" s="300">
        <v>7.0413579940795898</v>
      </c>
      <c r="P440" s="300">
        <v>7.0324416160583496</v>
      </c>
      <c r="Q440" s="300">
        <v>7.12284135818481</v>
      </c>
      <c r="R440" s="300">
        <v>7.14320993423462</v>
      </c>
      <c r="S440" s="300">
        <v>7.1685328483581499</v>
      </c>
      <c r="T440" s="300">
        <v>7.3589744567871103</v>
      </c>
      <c r="U440" s="300">
        <v>7.4886426925659197</v>
      </c>
      <c r="V440" s="300">
        <v>7.6476154327392596</v>
      </c>
      <c r="W440" s="300">
        <v>7.6766633987426802</v>
      </c>
      <c r="X440" s="300">
        <v>7.8515577316284197</v>
      </c>
      <c r="Y440" s="300">
        <v>7.8973522186279297</v>
      </c>
      <c r="Z440" s="300">
        <v>8.0370302200317401</v>
      </c>
    </row>
    <row r="441" spans="1:26" x14ac:dyDescent="0.25">
      <c r="A441" s="300" t="s">
        <v>611</v>
      </c>
      <c r="B441" s="300"/>
      <c r="C441" s="300"/>
      <c r="D441" s="300">
        <v>11.913727760314901</v>
      </c>
      <c r="E441" s="300">
        <v>14.761161804199199</v>
      </c>
      <c r="F441" s="300">
        <v>11.981869697570801</v>
      </c>
      <c r="G441" s="300">
        <v>12.283256530761699</v>
      </c>
      <c r="H441" s="300">
        <v>12.1389265060425</v>
      </c>
      <c r="I441" s="300">
        <v>12.3170175552368</v>
      </c>
      <c r="J441" s="300">
        <v>13.965456008911101</v>
      </c>
      <c r="K441" s="300">
        <v>13.507596015930201</v>
      </c>
      <c r="L441" s="300">
        <v>13.291357994079601</v>
      </c>
      <c r="M441" s="300">
        <v>13.0437335968018</v>
      </c>
      <c r="N441" s="300">
        <v>12.940827369689901</v>
      </c>
      <c r="O441" s="300">
        <v>12.861621856689499</v>
      </c>
      <c r="P441" s="300">
        <v>12.894752502441399</v>
      </c>
      <c r="Q441" s="300">
        <v>13.0291633605957</v>
      </c>
      <c r="R441" s="300">
        <v>12.9489841461182</v>
      </c>
      <c r="S441" s="300">
        <v>12.946153640747101</v>
      </c>
      <c r="T441" s="300">
        <v>12.9756631851196</v>
      </c>
      <c r="U441" s="300">
        <v>12.953050613403301</v>
      </c>
      <c r="V441" s="300">
        <v>13.079764366149901</v>
      </c>
      <c r="W441" s="300">
        <v>13.110743522644</v>
      </c>
      <c r="X441" s="300">
        <v>13.198463439941399</v>
      </c>
      <c r="Y441" s="300">
        <v>13.2244005203247</v>
      </c>
      <c r="Z441" s="300">
        <v>13.175202369689901</v>
      </c>
    </row>
    <row r="442" spans="1:26" x14ac:dyDescent="0.25">
      <c r="A442" s="300" t="s">
        <v>469</v>
      </c>
      <c r="B442" s="300"/>
      <c r="C442" s="300"/>
      <c r="D442" s="300">
        <v>26.1035976409912</v>
      </c>
      <c r="E442" s="300">
        <v>25.216188430786101</v>
      </c>
      <c r="F442" s="300">
        <v>26.121034622192401</v>
      </c>
      <c r="G442" s="300">
        <v>25.629154205322301</v>
      </c>
      <c r="H442" s="300">
        <v>25.7473449707031</v>
      </c>
      <c r="I442" s="300">
        <v>25.392839431762699</v>
      </c>
      <c r="J442" s="300">
        <v>24.861566543579102</v>
      </c>
      <c r="K442" s="300">
        <v>24.317947387695298</v>
      </c>
      <c r="L442" s="300">
        <v>24.125808715820298</v>
      </c>
      <c r="M442" s="300">
        <v>23.980707168579102</v>
      </c>
      <c r="N442" s="300">
        <v>23.787378311157202</v>
      </c>
      <c r="O442" s="300">
        <v>23.809650421142599</v>
      </c>
      <c r="P442" s="300">
        <v>23.876377105712901</v>
      </c>
      <c r="Q442" s="300">
        <v>24.074831008911101</v>
      </c>
      <c r="R442" s="300">
        <v>24.262081146240199</v>
      </c>
      <c r="S442" s="300">
        <v>24.183790206909201</v>
      </c>
      <c r="T442" s="300">
        <v>24.2170009613037</v>
      </c>
      <c r="U442" s="300">
        <v>24.245899200439499</v>
      </c>
      <c r="V442" s="300">
        <v>24.2234077453613</v>
      </c>
      <c r="W442" s="300">
        <v>24.307447433471701</v>
      </c>
      <c r="X442" s="300">
        <v>24.4279899597168</v>
      </c>
      <c r="Y442" s="300">
        <v>24.465734481811499</v>
      </c>
      <c r="Z442" s="300">
        <v>24.386825561523398</v>
      </c>
    </row>
    <row r="443" spans="1:26" x14ac:dyDescent="0.25">
      <c r="A443" s="300" t="s">
        <v>612</v>
      </c>
      <c r="B443" s="300"/>
      <c r="C443" s="300"/>
      <c r="D443" s="300"/>
      <c r="E443" s="300"/>
      <c r="F443" s="300"/>
      <c r="G443" s="300"/>
      <c r="H443" s="300"/>
      <c r="I443" s="300"/>
      <c r="J443" s="300"/>
      <c r="K443" s="300"/>
      <c r="L443" s="300"/>
      <c r="M443" s="300"/>
      <c r="N443" s="300"/>
      <c r="O443" s="300"/>
      <c r="P443" s="300"/>
      <c r="Q443" s="300"/>
      <c r="R443" s="300"/>
      <c r="S443" s="300"/>
      <c r="T443" s="300"/>
      <c r="U443" s="300"/>
      <c r="V443" s="300"/>
      <c r="W443" s="300"/>
      <c r="X443" s="300"/>
      <c r="Y443" s="300"/>
      <c r="Z443" s="300"/>
    </row>
    <row r="444" spans="1:26" x14ac:dyDescent="0.25">
      <c r="A444" s="300" t="s">
        <v>599</v>
      </c>
      <c r="B444" s="300"/>
      <c r="C444" s="300"/>
      <c r="D444" s="300">
        <v>9.5153579711914098</v>
      </c>
      <c r="E444" s="300">
        <v>11.3847246170044</v>
      </c>
      <c r="F444" s="300">
        <v>13.235827445983899</v>
      </c>
      <c r="G444" s="300">
        <v>14.263434410095201</v>
      </c>
      <c r="H444" s="300">
        <v>13.7692108154297</v>
      </c>
      <c r="I444" s="300">
        <v>12.704180717468301</v>
      </c>
      <c r="J444" s="300">
        <v>11.7051839828491</v>
      </c>
      <c r="K444" s="300">
        <v>10.7794647216797</v>
      </c>
      <c r="L444" s="300">
        <v>10.0299482345581</v>
      </c>
      <c r="M444" s="300">
        <v>9.2896862030029297</v>
      </c>
      <c r="N444" s="300">
        <v>9.1972703933715803</v>
      </c>
      <c r="O444" s="300">
        <v>9.2599020004272496</v>
      </c>
      <c r="P444" s="300">
        <v>9.2775526046752894</v>
      </c>
      <c r="Q444" s="300">
        <v>9.4403448104858398</v>
      </c>
      <c r="R444" s="300">
        <v>9.5352287292480504</v>
      </c>
      <c r="S444" s="300">
        <v>9.7515039443969709</v>
      </c>
      <c r="T444" s="300">
        <v>9.8428487777709996</v>
      </c>
      <c r="U444" s="300">
        <v>9.9595317840576207</v>
      </c>
      <c r="V444" s="300">
        <v>10.1106100082397</v>
      </c>
      <c r="W444" s="300">
        <v>10.0771369934082</v>
      </c>
      <c r="X444" s="300">
        <v>10.217479705810501</v>
      </c>
      <c r="Y444" s="300">
        <v>10.254093170166</v>
      </c>
      <c r="Z444" s="300">
        <v>10.318883895874</v>
      </c>
    </row>
    <row r="445" spans="1:26" x14ac:dyDescent="0.25">
      <c r="A445" s="300" t="s">
        <v>600</v>
      </c>
      <c r="B445" s="300"/>
      <c r="C445" s="300"/>
      <c r="D445" s="300">
        <v>4.9909768104553196</v>
      </c>
      <c r="E445" s="300">
        <v>6.9611043930053702</v>
      </c>
      <c r="F445" s="300">
        <v>7.8457942008972203</v>
      </c>
      <c r="G445" s="300">
        <v>7.1943798065185502</v>
      </c>
      <c r="H445" s="300">
        <v>7.2948379516601598</v>
      </c>
      <c r="I445" s="300">
        <v>6.9926204681396502</v>
      </c>
      <c r="J445" s="300">
        <v>6.5808119773864702</v>
      </c>
      <c r="K445" s="300">
        <v>6.2065305709838903</v>
      </c>
      <c r="L445" s="300">
        <v>5.9029440879821804</v>
      </c>
      <c r="M445" s="300">
        <v>5.45705270767212</v>
      </c>
      <c r="N445" s="300">
        <v>5.4534096717834499</v>
      </c>
      <c r="O445" s="300">
        <v>5.5995068550109899</v>
      </c>
      <c r="P445" s="300">
        <v>5.6287369728088397</v>
      </c>
      <c r="Q445" s="300">
        <v>5.7370648384094203</v>
      </c>
      <c r="R445" s="300">
        <v>5.8140759468078604</v>
      </c>
      <c r="S445" s="300">
        <v>6.0071105957031303</v>
      </c>
      <c r="T445" s="300">
        <v>6.0822205543518102</v>
      </c>
      <c r="U445" s="300">
        <v>6.22955322265625</v>
      </c>
      <c r="V445" s="300">
        <v>6.4186983108520499</v>
      </c>
      <c r="W445" s="300">
        <v>6.3188004493713397</v>
      </c>
      <c r="X445" s="300">
        <v>6.5342454910278303</v>
      </c>
      <c r="Y445" s="300">
        <v>6.5804891586303702</v>
      </c>
      <c r="Z445" s="300">
        <v>6.6370191574096697</v>
      </c>
    </row>
    <row r="446" spans="1:26" x14ac:dyDescent="0.25">
      <c r="A446" s="302" t="s">
        <v>500</v>
      </c>
      <c r="B446" s="302"/>
      <c r="C446" s="302"/>
      <c r="D446" s="300">
        <v>6.1140975952148402</v>
      </c>
      <c r="E446" s="300">
        <v>8.1813249588012695</v>
      </c>
      <c r="F446" s="300">
        <v>6.9707522392272896</v>
      </c>
      <c r="G446" s="300">
        <v>7.1151452064514196</v>
      </c>
      <c r="H446" s="300">
        <v>7.0668158531189</v>
      </c>
      <c r="I446" s="300">
        <v>6.5265731811523402</v>
      </c>
      <c r="J446" s="300">
        <v>6.2202811241149902</v>
      </c>
      <c r="K446" s="300">
        <v>5.8298497200012198</v>
      </c>
      <c r="L446" s="300">
        <v>5.6925516128540004</v>
      </c>
      <c r="M446" s="300">
        <v>5.4995698928832999</v>
      </c>
      <c r="N446" s="300">
        <v>5.54103326797485</v>
      </c>
      <c r="O446" s="300">
        <v>5.5007095336914098</v>
      </c>
      <c r="P446" s="300">
        <v>5.59739446640015</v>
      </c>
      <c r="Q446" s="300">
        <v>5.7880721092224103</v>
      </c>
      <c r="R446" s="300">
        <v>5.7225790023803702</v>
      </c>
      <c r="S446" s="300">
        <v>5.6709170341491699</v>
      </c>
      <c r="T446" s="300">
        <v>5.7639327049255398</v>
      </c>
      <c r="U446" s="300">
        <v>5.72597312927246</v>
      </c>
      <c r="V446" s="300">
        <v>5.8378243446350098</v>
      </c>
      <c r="W446" s="300">
        <v>5.9462161064147896</v>
      </c>
      <c r="X446" s="300">
        <v>6.05735063552856</v>
      </c>
      <c r="Y446" s="300">
        <v>6.0477237701415998</v>
      </c>
      <c r="Z446" s="300">
        <v>6.0664491653442401</v>
      </c>
    </row>
    <row r="447" spans="1:26" x14ac:dyDescent="0.25">
      <c r="A447" s="305" t="s">
        <v>613</v>
      </c>
      <c r="B447" s="305"/>
      <c r="C447" s="305"/>
      <c r="D447" s="300">
        <v>1.4011929035186801</v>
      </c>
      <c r="E447" s="300">
        <v>1.5299999713897701</v>
      </c>
      <c r="F447" s="300">
        <v>1.6714243888855</v>
      </c>
      <c r="G447" s="300">
        <v>1.69177293777466</v>
      </c>
      <c r="H447" s="300">
        <v>1.70398998260498</v>
      </c>
      <c r="I447" s="300">
        <v>1.7000321149826001</v>
      </c>
      <c r="J447" s="300">
        <v>1.7052028179168699</v>
      </c>
      <c r="K447" s="300">
        <v>1.66678094863892</v>
      </c>
      <c r="L447" s="300">
        <v>1.63700723648071</v>
      </c>
      <c r="M447" s="300">
        <v>1.6199716329574601</v>
      </c>
      <c r="N447" s="300">
        <v>1.61296951770782</v>
      </c>
      <c r="O447" s="300">
        <v>1.59987056255341</v>
      </c>
      <c r="P447" s="300">
        <v>1.59190189838409</v>
      </c>
      <c r="Q447" s="300">
        <v>1.5892090797424301</v>
      </c>
      <c r="R447" s="300">
        <v>1.57604885101318</v>
      </c>
      <c r="S447" s="300">
        <v>1.5779995918273899</v>
      </c>
      <c r="T447" s="300">
        <v>1.5809644460678101</v>
      </c>
      <c r="U447" s="300">
        <v>1.5890377759933501</v>
      </c>
      <c r="V447" s="300">
        <v>1.59825491905212</v>
      </c>
      <c r="W447" s="300">
        <v>1.6020262241363501</v>
      </c>
      <c r="X447" s="300">
        <v>1.6148724555969201</v>
      </c>
      <c r="Y447" s="300">
        <v>1.62832856178284</v>
      </c>
      <c r="Z447" s="300">
        <v>1.63934326171875</v>
      </c>
    </row>
    <row r="448" spans="1:26" x14ac:dyDescent="0.25">
      <c r="A448" s="300" t="s">
        <v>614</v>
      </c>
      <c r="B448" s="300"/>
      <c r="C448" s="300"/>
      <c r="D448" s="300"/>
      <c r="E448" s="300"/>
      <c r="F448" s="300"/>
      <c r="G448" s="300"/>
      <c r="H448" s="300"/>
      <c r="I448" s="300"/>
      <c r="J448" s="300"/>
      <c r="K448" s="300"/>
      <c r="L448" s="300"/>
      <c r="M448" s="300"/>
      <c r="N448" s="300"/>
      <c r="O448" s="300"/>
      <c r="P448" s="300"/>
      <c r="Q448" s="300"/>
      <c r="R448" s="300"/>
      <c r="S448" s="300"/>
      <c r="T448" s="300"/>
      <c r="U448" s="300"/>
      <c r="V448" s="300"/>
      <c r="W448" s="300"/>
      <c r="X448" s="300"/>
      <c r="Y448" s="300"/>
      <c r="Z448" s="300"/>
    </row>
    <row r="449" spans="1:70" x14ac:dyDescent="0.25">
      <c r="A449" s="300" t="s">
        <v>598</v>
      </c>
      <c r="B449" s="300"/>
      <c r="C449" s="300"/>
      <c r="D449" s="300">
        <v>12.6906900405884</v>
      </c>
      <c r="E449" s="300">
        <v>17.482444763183601</v>
      </c>
      <c r="F449" s="300">
        <v>19.464084625244102</v>
      </c>
      <c r="G449" s="300">
        <v>18.995626449585</v>
      </c>
      <c r="H449" s="300">
        <v>18.880571365356399</v>
      </c>
      <c r="I449" s="300">
        <v>18.286575317382798</v>
      </c>
      <c r="J449" s="300">
        <v>18.020065307617202</v>
      </c>
      <c r="K449" s="300">
        <v>17.571559906005898</v>
      </c>
      <c r="L449" s="300">
        <v>17.417589187622099</v>
      </c>
      <c r="M449" s="300">
        <v>17.2678737640381</v>
      </c>
      <c r="N449" s="300">
        <v>17.291303634643601</v>
      </c>
      <c r="O449" s="300">
        <v>17.241743087768601</v>
      </c>
      <c r="P449" s="300">
        <v>17.364793777465799</v>
      </c>
      <c r="Q449" s="300">
        <v>17.562221527099599</v>
      </c>
      <c r="R449" s="300">
        <v>17.562810897827099</v>
      </c>
      <c r="S449" s="300">
        <v>17.558799743652301</v>
      </c>
      <c r="T449" s="300">
        <v>17.620630264282202</v>
      </c>
      <c r="U449" s="300">
        <v>17.599321365356399</v>
      </c>
      <c r="V449" s="300">
        <v>17.721448898315401</v>
      </c>
      <c r="W449" s="300">
        <v>17.8418064117432</v>
      </c>
      <c r="X449" s="300">
        <v>17.9907836914063</v>
      </c>
      <c r="Y449" s="300">
        <v>17.9618225097656</v>
      </c>
      <c r="Z449" s="300">
        <v>17.988685607910199</v>
      </c>
    </row>
    <row r="450" spans="1:70" x14ac:dyDescent="0.25">
      <c r="A450" s="300" t="s">
        <v>607</v>
      </c>
      <c r="B450" s="300"/>
      <c r="C450" s="300"/>
      <c r="D450" s="300">
        <v>20.914932250976602</v>
      </c>
      <c r="E450" s="300">
        <v>23.101913452148398</v>
      </c>
      <c r="F450" s="300">
        <v>24.811454772949201</v>
      </c>
      <c r="G450" s="300">
        <v>27.774848937988299</v>
      </c>
      <c r="H450" s="300">
        <v>25.9952602386475</v>
      </c>
      <c r="I450" s="300">
        <v>24.2666110992432</v>
      </c>
      <c r="J450" s="300">
        <v>21.291254043579102</v>
      </c>
      <c r="K450" s="300">
        <v>20.525190353393601</v>
      </c>
      <c r="L450" s="300">
        <v>20.3361301422119</v>
      </c>
      <c r="M450" s="300">
        <v>20.197395324706999</v>
      </c>
      <c r="N450" s="300">
        <v>20.009881973266602</v>
      </c>
      <c r="O450" s="300">
        <v>20.093305587768601</v>
      </c>
      <c r="P450" s="300">
        <v>20.196292877197301</v>
      </c>
      <c r="Q450" s="300">
        <v>20.4327602386475</v>
      </c>
      <c r="R450" s="300">
        <v>20.4076957702637</v>
      </c>
      <c r="S450" s="300">
        <v>20.624263763427699</v>
      </c>
      <c r="T450" s="300">
        <v>20.610368728637699</v>
      </c>
      <c r="U450" s="300">
        <v>20.617734909057599</v>
      </c>
      <c r="V450" s="300">
        <v>21.067132949829102</v>
      </c>
      <c r="W450" s="300">
        <v>20.970218658447301</v>
      </c>
      <c r="X450" s="300">
        <v>20.962213516235401</v>
      </c>
      <c r="Y450" s="300">
        <v>21.257926940918001</v>
      </c>
      <c r="Z450" s="300">
        <v>21.098123550415</v>
      </c>
    </row>
    <row r="451" spans="1:70" x14ac:dyDescent="0.25">
      <c r="A451" s="300" t="s">
        <v>608</v>
      </c>
      <c r="B451" s="300"/>
      <c r="C451" s="300"/>
      <c r="D451" s="300">
        <v>15.706001281738301</v>
      </c>
      <c r="E451" s="300">
        <v>18.602125167846701</v>
      </c>
      <c r="F451" s="300">
        <v>21.1080112457275</v>
      </c>
      <c r="G451" s="300">
        <v>20.962741851806602</v>
      </c>
      <c r="H451" s="300">
        <v>19.720066070556602</v>
      </c>
      <c r="I451" s="300">
        <v>18.690637588501001</v>
      </c>
      <c r="J451" s="300">
        <v>17.900485992431602</v>
      </c>
      <c r="K451" s="300">
        <v>17.230388641357401</v>
      </c>
      <c r="L451" s="300">
        <v>16.861814498901399</v>
      </c>
      <c r="M451" s="300">
        <v>16.564214706420898</v>
      </c>
      <c r="N451" s="300">
        <v>16.0839519500732</v>
      </c>
      <c r="O451" s="300">
        <v>16.0615749359131</v>
      </c>
      <c r="P451" s="300">
        <v>16.110080718994102</v>
      </c>
      <c r="Q451" s="300">
        <v>16.238643646240199</v>
      </c>
      <c r="R451" s="300">
        <v>16.322971343994102</v>
      </c>
      <c r="S451" s="300">
        <v>16.671089172363299</v>
      </c>
      <c r="T451" s="300">
        <v>16.630247116088899</v>
      </c>
      <c r="U451" s="300">
        <v>16.7495441436768</v>
      </c>
      <c r="V451" s="300">
        <v>17.049686431884801</v>
      </c>
      <c r="W451" s="300">
        <v>16.918500900268601</v>
      </c>
      <c r="X451" s="300">
        <v>17.100944519043001</v>
      </c>
      <c r="Y451" s="300">
        <v>17.321361541748001</v>
      </c>
      <c r="Z451" s="300">
        <v>17.142530441284201</v>
      </c>
    </row>
    <row r="452" spans="1:70" x14ac:dyDescent="0.25">
      <c r="A452" s="300" t="s">
        <v>615</v>
      </c>
      <c r="B452" s="300"/>
      <c r="C452" s="300"/>
      <c r="D452" s="300">
        <v>9.2184209823608398</v>
      </c>
      <c r="E452" s="300">
        <v>13.1439361572266</v>
      </c>
      <c r="F452" s="300">
        <v>14.9574270248413</v>
      </c>
      <c r="G452" s="300">
        <v>12.9907026290894</v>
      </c>
      <c r="H452" s="300">
        <v>11.722384452819799</v>
      </c>
      <c r="I452" s="300">
        <v>11.2624855041504</v>
      </c>
      <c r="J452" s="300">
        <v>10.9056959152222</v>
      </c>
      <c r="K452" s="300">
        <v>10.3720808029175</v>
      </c>
      <c r="L452" s="300">
        <v>10.059165954589799</v>
      </c>
      <c r="M452" s="300">
        <v>10.0335283279419</v>
      </c>
      <c r="N452" s="300">
        <v>9.8430700302124006</v>
      </c>
      <c r="O452" s="300">
        <v>9.8874025344848597</v>
      </c>
      <c r="P452" s="300">
        <v>10.0322532653809</v>
      </c>
      <c r="Q452" s="300">
        <v>10.087176322936999</v>
      </c>
      <c r="R452" s="300">
        <v>10.2108345031738</v>
      </c>
      <c r="S452" s="300">
        <v>10.523097038269</v>
      </c>
      <c r="T452" s="300">
        <v>10.506872177124</v>
      </c>
      <c r="U452" s="300">
        <v>10.5880041122437</v>
      </c>
      <c r="V452" s="300">
        <v>10.8930578231812</v>
      </c>
      <c r="W452" s="300">
        <v>10.788450241088899</v>
      </c>
      <c r="X452" s="300">
        <v>10.9106340408325</v>
      </c>
      <c r="Y452" s="300">
        <v>11.0979099273682</v>
      </c>
      <c r="Z452" s="300">
        <v>11.0487413406372</v>
      </c>
    </row>
    <row r="453" spans="1:70" x14ac:dyDescent="0.25">
      <c r="A453" s="300" t="s">
        <v>599</v>
      </c>
      <c r="B453" s="300"/>
      <c r="C453" s="300"/>
      <c r="D453" s="300">
        <v>12.9106340408325</v>
      </c>
      <c r="E453" s="300">
        <v>16.217037200927699</v>
      </c>
      <c r="F453" s="300">
        <v>18.421550750732401</v>
      </c>
      <c r="G453" s="300">
        <v>18.437913894653299</v>
      </c>
      <c r="H453" s="300">
        <v>17.199058532714801</v>
      </c>
      <c r="I453" s="300">
        <v>16.296318054199201</v>
      </c>
      <c r="J453" s="300">
        <v>15.704516410827599</v>
      </c>
      <c r="K453" s="300">
        <v>14.921827316284199</v>
      </c>
      <c r="L453" s="300">
        <v>14.360170364379901</v>
      </c>
      <c r="M453" s="300">
        <v>14.182985305786101</v>
      </c>
      <c r="N453" s="300">
        <v>13.862556457519499</v>
      </c>
      <c r="O453" s="300">
        <v>13.915904045105</v>
      </c>
      <c r="P453" s="300">
        <v>14.153459548950201</v>
      </c>
      <c r="Q453" s="300">
        <v>14.1445617675781</v>
      </c>
      <c r="R453" s="300">
        <v>14.2399711608887</v>
      </c>
      <c r="S453" s="300">
        <v>14.558382987976101</v>
      </c>
      <c r="T453" s="300">
        <v>14.527869224548301</v>
      </c>
      <c r="U453" s="300">
        <v>14.6189737319946</v>
      </c>
      <c r="V453" s="300">
        <v>14.9021968841553</v>
      </c>
      <c r="W453" s="300">
        <v>14.6463842391968</v>
      </c>
      <c r="X453" s="300">
        <v>14.8252000808716</v>
      </c>
      <c r="Y453" s="300">
        <v>15.0819444656372</v>
      </c>
      <c r="Z453" s="300">
        <v>15.031323432922401</v>
      </c>
    </row>
    <row r="454" spans="1:70" x14ac:dyDescent="0.25">
      <c r="A454" s="300" t="s">
        <v>600</v>
      </c>
      <c r="B454" s="300"/>
      <c r="C454" s="300"/>
      <c r="D454" s="300">
        <v>5.0985417366027797</v>
      </c>
      <c r="E454" s="300">
        <v>6.5886197090148899</v>
      </c>
      <c r="F454" s="300">
        <v>7.9185199737548801</v>
      </c>
      <c r="G454" s="300">
        <v>8.2529850006103498</v>
      </c>
      <c r="H454" s="300">
        <v>8.4050197601318395</v>
      </c>
      <c r="I454" s="300">
        <v>8.0572872161865199</v>
      </c>
      <c r="J454" s="300">
        <v>7.6087560653686497</v>
      </c>
      <c r="K454" s="300">
        <v>7.1943945884704599</v>
      </c>
      <c r="L454" s="300">
        <v>6.8676166534423801</v>
      </c>
      <c r="M454" s="300">
        <v>6.4547815322876003</v>
      </c>
      <c r="N454" s="300">
        <v>6.4073238372802699</v>
      </c>
      <c r="O454" s="300">
        <v>6.54701900482178</v>
      </c>
      <c r="P454" s="300">
        <v>6.5695567131042498</v>
      </c>
      <c r="Q454" s="300">
        <v>6.6816062927246103</v>
      </c>
      <c r="R454" s="300">
        <v>6.7372307777404803</v>
      </c>
      <c r="S454" s="300">
        <v>6.86507225036621</v>
      </c>
      <c r="T454" s="300">
        <v>6.9956922531127903</v>
      </c>
      <c r="U454" s="300">
        <v>7.1396765708923304</v>
      </c>
      <c r="V454" s="300">
        <v>7.3088741302490199</v>
      </c>
      <c r="W454" s="300">
        <v>7.2670574188232404</v>
      </c>
      <c r="X454" s="300">
        <v>7.4510564804077104</v>
      </c>
      <c r="Y454" s="300">
        <v>7.4737396240234402</v>
      </c>
      <c r="Z454" s="300">
        <v>7.5808291435241699</v>
      </c>
    </row>
    <row r="455" spans="1:70" x14ac:dyDescent="0.25">
      <c r="A455" s="300" t="s">
        <v>500</v>
      </c>
      <c r="B455" s="300"/>
      <c r="C455" s="300"/>
      <c r="D455" s="300">
        <v>7.8259296417236301</v>
      </c>
      <c r="E455" s="300">
        <v>9.6487970352172905</v>
      </c>
      <c r="F455" s="300">
        <v>9.1377601623535192</v>
      </c>
      <c r="G455" s="300">
        <v>8.7611961364746094</v>
      </c>
      <c r="H455" s="300">
        <v>8.6626396179199201</v>
      </c>
      <c r="I455" s="300">
        <v>8.1270828247070295</v>
      </c>
      <c r="J455" s="300">
        <v>7.8336372375488299</v>
      </c>
      <c r="K455" s="300">
        <v>7.4448304176330602</v>
      </c>
      <c r="L455" s="300">
        <v>7.2887372970581099</v>
      </c>
      <c r="M455" s="300">
        <v>7.0927038192748997</v>
      </c>
      <c r="N455" s="300">
        <v>7.1150150299072301</v>
      </c>
      <c r="O455" s="300">
        <v>7.0641679763793901</v>
      </c>
      <c r="P455" s="300">
        <v>7.1520218849182102</v>
      </c>
      <c r="Q455" s="300">
        <v>7.3469972610473597</v>
      </c>
      <c r="R455" s="300">
        <v>7.2896466255187997</v>
      </c>
      <c r="S455" s="300">
        <v>7.2448530197143599</v>
      </c>
      <c r="T455" s="300">
        <v>7.3207983970642099</v>
      </c>
      <c r="U455" s="300">
        <v>7.3070926666259801</v>
      </c>
      <c r="V455" s="300">
        <v>7.4372458457946804</v>
      </c>
      <c r="W455" s="300">
        <v>7.5700182914733896</v>
      </c>
      <c r="X455" s="300">
        <v>7.6924967765808097</v>
      </c>
      <c r="Y455" s="300">
        <v>7.6794857978820801</v>
      </c>
      <c r="Z455" s="300">
        <v>7.7304539680481001</v>
      </c>
    </row>
    <row r="456" spans="1:70" x14ac:dyDescent="0.25">
      <c r="A456" s="300" t="s">
        <v>603</v>
      </c>
      <c r="B456" s="300"/>
      <c r="C456" s="300"/>
      <c r="D456" s="300">
        <v>2.3078472614288299</v>
      </c>
      <c r="E456" s="300">
        <v>3.0599997043609601</v>
      </c>
      <c r="F456" s="300">
        <v>3.2548489570617698</v>
      </c>
      <c r="G456" s="300">
        <v>3.2975256443023699</v>
      </c>
      <c r="H456" s="300">
        <v>3.2872827053070099</v>
      </c>
      <c r="I456" s="300">
        <v>3.1889374256134002</v>
      </c>
      <c r="J456" s="300">
        <v>3.0940959453582799</v>
      </c>
      <c r="K456" s="300">
        <v>2.9914577007293701</v>
      </c>
      <c r="L456" s="300">
        <v>2.8927016258239702</v>
      </c>
      <c r="M456" s="300">
        <v>2.78926348686218</v>
      </c>
      <c r="N456" s="300">
        <v>2.7408642768859899</v>
      </c>
      <c r="O456" s="300">
        <v>2.7166485786438002</v>
      </c>
      <c r="P456" s="300">
        <v>2.7061200141906698</v>
      </c>
      <c r="Q456" s="300">
        <v>2.7063503265380899</v>
      </c>
      <c r="R456" s="300">
        <v>2.7045123577117902</v>
      </c>
      <c r="S456" s="300">
        <v>2.68979120254517</v>
      </c>
      <c r="T456" s="300">
        <v>2.7072892189025901</v>
      </c>
      <c r="U456" s="300">
        <v>2.71812868118286</v>
      </c>
      <c r="V456" s="300">
        <v>2.7191135883331299</v>
      </c>
      <c r="W456" s="300">
        <v>2.7064330577850302</v>
      </c>
      <c r="X456" s="300">
        <v>2.68589544296265</v>
      </c>
      <c r="Y456" s="300">
        <v>2.69574999809265</v>
      </c>
      <c r="Z456" s="300">
        <v>2.7049932479858398</v>
      </c>
      <c r="AA456">
        <v>2027</v>
      </c>
      <c r="AB456">
        <v>2028</v>
      </c>
      <c r="AC456">
        <v>2029</v>
      </c>
      <c r="AD456">
        <v>2030</v>
      </c>
      <c r="AE456">
        <v>2031</v>
      </c>
      <c r="AF456">
        <v>2032</v>
      </c>
      <c r="AG456">
        <v>2033</v>
      </c>
      <c r="AH456">
        <v>2034</v>
      </c>
      <c r="AI456">
        <v>2035</v>
      </c>
      <c r="AJ456">
        <v>2036</v>
      </c>
      <c r="AK456">
        <v>2037</v>
      </c>
      <c r="AL456">
        <v>2038</v>
      </c>
      <c r="AM456">
        <v>2039</v>
      </c>
      <c r="AN456">
        <v>2040</v>
      </c>
      <c r="AO456">
        <v>2041</v>
      </c>
      <c r="AP456">
        <v>2042</v>
      </c>
      <c r="AQ456">
        <v>2043</v>
      </c>
      <c r="AR456">
        <v>2044</v>
      </c>
      <c r="AS456">
        <v>2045</v>
      </c>
      <c r="AT456">
        <v>2046</v>
      </c>
      <c r="AU456">
        <v>2047</v>
      </c>
      <c r="AV456">
        <v>2048</v>
      </c>
      <c r="AW456">
        <v>2049</v>
      </c>
      <c r="AX456">
        <v>2050</v>
      </c>
      <c r="AY456">
        <v>2051</v>
      </c>
      <c r="AZ456">
        <v>2052</v>
      </c>
      <c r="BA456">
        <v>2053</v>
      </c>
      <c r="BB456">
        <v>2054</v>
      </c>
      <c r="BC456">
        <v>2055</v>
      </c>
      <c r="BD456">
        <v>2056</v>
      </c>
      <c r="BE456">
        <v>2057</v>
      </c>
      <c r="BF456">
        <v>2058</v>
      </c>
      <c r="BG456">
        <v>2059</v>
      </c>
      <c r="BH456">
        <v>2060</v>
      </c>
      <c r="BI456">
        <v>2061</v>
      </c>
      <c r="BJ456">
        <v>2062</v>
      </c>
      <c r="BK456">
        <v>2063</v>
      </c>
      <c r="BL456">
        <v>2064</v>
      </c>
      <c r="BM456">
        <v>2065</v>
      </c>
      <c r="BN456">
        <v>2066</v>
      </c>
      <c r="BO456">
        <v>2067</v>
      </c>
      <c r="BP456">
        <v>2068</v>
      </c>
      <c r="BQ456">
        <v>2069</v>
      </c>
      <c r="BR456">
        <v>2070</v>
      </c>
    </row>
    <row r="457" spans="1:70" x14ac:dyDescent="0.25">
      <c r="A457" s="300" t="s">
        <v>616</v>
      </c>
      <c r="B457" s="300"/>
      <c r="C457" s="300"/>
      <c r="D457" s="300">
        <v>1.43066883087158</v>
      </c>
      <c r="E457" s="300">
        <v>1.5706532001495399</v>
      </c>
      <c r="F457" s="300">
        <v>1.7059867382049601</v>
      </c>
      <c r="G457" s="300">
        <v>1.7268872261047401</v>
      </c>
      <c r="H457" s="300">
        <v>1.7392324209213299</v>
      </c>
      <c r="I457" s="300">
        <v>1.7345312833786</v>
      </c>
      <c r="J457" s="300">
        <v>1.7401528358459499</v>
      </c>
      <c r="K457" s="300">
        <v>1.7026997804641699</v>
      </c>
      <c r="L457" s="300">
        <v>1.67319643497467</v>
      </c>
      <c r="M457" s="300">
        <v>1.6556009054184</v>
      </c>
      <c r="N457" s="300">
        <v>1.6479283571243299</v>
      </c>
      <c r="O457" s="300">
        <v>1.63474309444427</v>
      </c>
      <c r="P457" s="300">
        <v>1.6263667345046999</v>
      </c>
      <c r="Q457" s="300">
        <v>1.6231272220611599</v>
      </c>
      <c r="R457" s="300">
        <v>1.60980331897736</v>
      </c>
      <c r="S457" s="300">
        <v>1.6111264228820801</v>
      </c>
      <c r="T457" s="300">
        <v>1.61373710632324</v>
      </c>
      <c r="U457" s="300">
        <v>1.6214674711227399</v>
      </c>
      <c r="V457" s="300">
        <v>1.6300570964813199</v>
      </c>
      <c r="W457" s="300">
        <v>1.6331868171691899</v>
      </c>
      <c r="X457" s="300">
        <v>1.6452817916870099</v>
      </c>
      <c r="Y457" s="300">
        <v>1.6581670045852701</v>
      </c>
      <c r="Z457" s="300">
        <v>1.6686607599258401</v>
      </c>
    </row>
    <row r="458" spans="1:70" x14ac:dyDescent="0.25">
      <c r="A458" s="300" t="s">
        <v>605</v>
      </c>
      <c r="B458" s="300"/>
      <c r="C458" s="300"/>
      <c r="D458" s="300" t="s">
        <v>1064</v>
      </c>
      <c r="E458" s="300" t="s">
        <v>1064</v>
      </c>
      <c r="F458" s="300" t="s">
        <v>1064</v>
      </c>
      <c r="G458" s="300" t="s">
        <v>1064</v>
      </c>
      <c r="H458" s="300" t="s">
        <v>1064</v>
      </c>
      <c r="I458" s="300" t="s">
        <v>1064</v>
      </c>
      <c r="J458" s="300" t="s">
        <v>1064</v>
      </c>
      <c r="K458" s="300">
        <v>0.88956671953201305</v>
      </c>
      <c r="L458" s="300">
        <v>0.881245017051697</v>
      </c>
      <c r="M458" s="300">
        <v>0.88442194461822499</v>
      </c>
      <c r="N458" s="300">
        <v>0.89085346460342396</v>
      </c>
      <c r="O458" s="300">
        <v>0.88840740919113204</v>
      </c>
      <c r="P458" s="300">
        <v>0.89322775602340698</v>
      </c>
      <c r="Q458" s="300">
        <v>0.90440875291824296</v>
      </c>
      <c r="R458" s="300">
        <v>0.91453087329864502</v>
      </c>
      <c r="S458" s="300">
        <v>0.95469778776168801</v>
      </c>
      <c r="T458" s="300">
        <v>0.96978461742401101</v>
      </c>
      <c r="U458" s="300">
        <v>1.01334369182587</v>
      </c>
      <c r="V458" s="300">
        <v>1.02781510353088</v>
      </c>
      <c r="W458" s="300">
        <v>1.0294380187988299</v>
      </c>
      <c r="X458" s="300">
        <v>1.1219843626022299</v>
      </c>
      <c r="Y458" s="300">
        <v>1.2297383546829199</v>
      </c>
      <c r="Z458" s="300">
        <v>1.26935982704163</v>
      </c>
    </row>
    <row r="459" spans="1:70" x14ac:dyDescent="0.25">
      <c r="A459" s="300" t="s">
        <v>469</v>
      </c>
      <c r="B459" s="300"/>
      <c r="C459" s="300"/>
      <c r="D459" s="300">
        <v>23.009492874145501</v>
      </c>
      <c r="E459" s="300">
        <v>23.734071731567401</v>
      </c>
      <c r="F459" s="300">
        <v>24.3845615386963</v>
      </c>
      <c r="G459" s="300">
        <v>24.318822860717798</v>
      </c>
      <c r="H459" s="300">
        <v>24.297929763793899</v>
      </c>
      <c r="I459" s="300">
        <v>24.022377014160199</v>
      </c>
      <c r="J459" s="300">
        <v>23.662025451660199</v>
      </c>
      <c r="K459" s="300">
        <v>23.093143463134801</v>
      </c>
      <c r="L459" s="300">
        <v>22.802413940429702</v>
      </c>
      <c r="M459" s="300">
        <v>22.663448333740199</v>
      </c>
      <c r="N459" s="300">
        <v>22.5459308624268</v>
      </c>
      <c r="O459" s="300">
        <v>22.5456428527832</v>
      </c>
      <c r="P459" s="300">
        <v>22.688844680786101</v>
      </c>
      <c r="Q459" s="300">
        <v>22.9480895996094</v>
      </c>
      <c r="R459" s="300">
        <v>23.136041641235401</v>
      </c>
      <c r="S459" s="300">
        <v>23.0899753570557</v>
      </c>
      <c r="T459" s="300">
        <v>23.154170989990199</v>
      </c>
      <c r="U459" s="300">
        <v>23.213594436645501</v>
      </c>
      <c r="V459" s="300">
        <v>23.230543136596701</v>
      </c>
      <c r="W459" s="300">
        <v>23.3047065734863</v>
      </c>
      <c r="X459" s="300">
        <v>23.429094314575199</v>
      </c>
      <c r="Y459" s="300">
        <v>23.4709377288818</v>
      </c>
      <c r="Z459" s="300">
        <v>23.433801651001001</v>
      </c>
    </row>
    <row r="460" spans="1:70" x14ac:dyDescent="0.25">
      <c r="A460" s="300" t="s">
        <v>503</v>
      </c>
      <c r="B460" s="300"/>
      <c r="C460" s="300"/>
      <c r="D460" s="300"/>
      <c r="E460" s="300"/>
      <c r="F460" s="300"/>
      <c r="G460" s="300"/>
      <c r="H460" s="300"/>
      <c r="I460" s="300"/>
      <c r="J460" s="300"/>
      <c r="K460" s="300"/>
      <c r="L460" s="300"/>
      <c r="M460" s="300"/>
      <c r="N460" s="300"/>
      <c r="O460" s="300"/>
      <c r="P460" s="300"/>
      <c r="Q460" s="300"/>
      <c r="R460" s="300"/>
      <c r="S460" s="300"/>
      <c r="T460" s="300"/>
      <c r="U460" s="300"/>
      <c r="V460" s="300"/>
      <c r="W460" s="300"/>
      <c r="X460" s="300"/>
      <c r="Y460" s="300"/>
      <c r="Z460" s="300"/>
    </row>
    <row r="461" spans="1:70" x14ac:dyDescent="0.25">
      <c r="A461" s="300" t="s">
        <v>617</v>
      </c>
      <c r="B461" s="300"/>
      <c r="C461" s="300"/>
      <c r="D461" s="300"/>
      <c r="E461" s="300"/>
      <c r="F461" s="300"/>
      <c r="G461" s="300"/>
      <c r="H461" s="300"/>
      <c r="I461" s="300"/>
      <c r="J461" s="300"/>
      <c r="K461" s="300"/>
      <c r="L461" s="300"/>
      <c r="M461" s="300"/>
      <c r="N461" s="300"/>
      <c r="O461" s="300"/>
      <c r="P461" s="300"/>
      <c r="Q461" s="300"/>
      <c r="R461" s="300"/>
      <c r="S461" s="300"/>
      <c r="T461" s="300"/>
      <c r="U461" s="300"/>
      <c r="V461" s="300"/>
      <c r="W461" s="300"/>
      <c r="X461" s="300"/>
      <c r="Y461" s="300"/>
      <c r="Z461" s="300"/>
    </row>
    <row r="462" spans="1:70" x14ac:dyDescent="0.25">
      <c r="A462" s="300" t="s">
        <v>463</v>
      </c>
      <c r="B462" s="300"/>
      <c r="C462" s="300"/>
      <c r="D462" s="300">
        <v>195.98880004882801</v>
      </c>
      <c r="E462" s="300">
        <v>215.13366699218801</v>
      </c>
      <c r="F462" s="300">
        <v>218.80557250976599</v>
      </c>
      <c r="G462" s="300">
        <v>221.29866027832</v>
      </c>
      <c r="H462" s="300">
        <v>223.50036621093801</v>
      </c>
      <c r="I462" s="300">
        <v>221.10458374023401</v>
      </c>
      <c r="J462" s="300">
        <v>220.438400268555</v>
      </c>
      <c r="K462" s="300">
        <v>218.08479309082</v>
      </c>
      <c r="L462" s="300">
        <v>218.45701599121099</v>
      </c>
      <c r="M462" s="300">
        <v>217.84970092773401</v>
      </c>
      <c r="N462" s="300">
        <v>219.40165710449199</v>
      </c>
      <c r="O462" s="300">
        <v>221.00289916992199</v>
      </c>
      <c r="P462" s="300">
        <v>224.59239196777301</v>
      </c>
      <c r="Q462" s="300">
        <v>228.53056335449199</v>
      </c>
      <c r="R462" s="300">
        <v>230.97148132324199</v>
      </c>
      <c r="S462" s="300">
        <v>232.57162475585901</v>
      </c>
      <c r="T462" s="300">
        <v>236.03457641601599</v>
      </c>
      <c r="U462" s="300">
        <v>237.58020019531301</v>
      </c>
      <c r="V462" s="300">
        <v>240.43632507324199</v>
      </c>
      <c r="W462" s="300">
        <v>243.39186096191401</v>
      </c>
      <c r="X462" s="300">
        <v>247.24427795410199</v>
      </c>
      <c r="Y462" s="300">
        <v>248.98767089843801</v>
      </c>
      <c r="Z462" s="300">
        <v>251.02548217773401</v>
      </c>
    </row>
    <row r="463" spans="1:70" x14ac:dyDescent="0.25">
      <c r="A463" s="300" t="s">
        <v>470</v>
      </c>
      <c r="B463" s="300"/>
      <c r="C463" s="300"/>
      <c r="D463" s="300">
        <v>141.77845764160199</v>
      </c>
      <c r="E463" s="300">
        <v>154.38449096679699</v>
      </c>
      <c r="F463" s="300">
        <v>157.84999084472699</v>
      </c>
      <c r="G463" s="300">
        <v>156.06527709960901</v>
      </c>
      <c r="H463" s="300">
        <v>159.312088012695</v>
      </c>
      <c r="I463" s="300">
        <v>158.53677368164099</v>
      </c>
      <c r="J463" s="300">
        <v>157.966796875</v>
      </c>
      <c r="K463" s="300">
        <v>156.350173950195</v>
      </c>
      <c r="L463" s="300">
        <v>157.31393432617199</v>
      </c>
      <c r="M463" s="300">
        <v>158.58882141113301</v>
      </c>
      <c r="N463" s="300">
        <v>160.74195861816401</v>
      </c>
      <c r="O463" s="300">
        <v>163.37489318847699</v>
      </c>
      <c r="P463" s="300">
        <v>167.20817565918</v>
      </c>
      <c r="Q463" s="300">
        <v>172.04411315918</v>
      </c>
      <c r="R463" s="300">
        <v>175.58262634277301</v>
      </c>
      <c r="S463" s="300">
        <v>178.093505859375</v>
      </c>
      <c r="T463" s="300">
        <v>181.73991394043</v>
      </c>
      <c r="U463" s="300">
        <v>185.01341247558599</v>
      </c>
      <c r="V463" s="300">
        <v>188.79048156738301</v>
      </c>
      <c r="W463" s="300">
        <v>192.86947631835901</v>
      </c>
      <c r="X463" s="300">
        <v>197.36026000976599</v>
      </c>
      <c r="Y463" s="300">
        <v>201.10684204101599</v>
      </c>
      <c r="Z463" s="300">
        <v>204.49230957031301</v>
      </c>
    </row>
    <row r="464" spans="1:70" x14ac:dyDescent="0.25">
      <c r="A464" s="300" t="s">
        <v>505</v>
      </c>
      <c r="B464" s="300"/>
      <c r="C464" s="300"/>
      <c r="D464" s="300">
        <v>184.22943115234401</v>
      </c>
      <c r="E464" s="300">
        <v>196.07313537597699</v>
      </c>
      <c r="F464" s="300">
        <v>205.39855957031301</v>
      </c>
      <c r="G464" s="300">
        <v>217.87611389160199</v>
      </c>
      <c r="H464" s="300">
        <v>214.14784240722699</v>
      </c>
      <c r="I464" s="300">
        <v>207.11370849609401</v>
      </c>
      <c r="J464" s="300">
        <v>200.48422241210901</v>
      </c>
      <c r="K464" s="300">
        <v>191.81477355957</v>
      </c>
      <c r="L464" s="300">
        <v>187.29217529296901</v>
      </c>
      <c r="M464" s="300">
        <v>184.91578674316401</v>
      </c>
      <c r="N464" s="300">
        <v>184.25204467773401</v>
      </c>
      <c r="O464" s="300">
        <v>184.11447143554699</v>
      </c>
      <c r="P464" s="300">
        <v>186.80691528320301</v>
      </c>
      <c r="Q464" s="300">
        <v>189.66255187988301</v>
      </c>
      <c r="R464" s="300">
        <v>190.49990844726599</v>
      </c>
      <c r="S464" s="300">
        <v>192.03105163574199</v>
      </c>
      <c r="T464" s="300">
        <v>194.88296508789099</v>
      </c>
      <c r="U464" s="300">
        <v>196.87213134765599</v>
      </c>
      <c r="V464" s="300">
        <v>200.07191467285199</v>
      </c>
      <c r="W464" s="300">
        <v>202.13279724121099</v>
      </c>
      <c r="X464" s="300">
        <v>205.48814392089801</v>
      </c>
      <c r="Y464" s="300">
        <v>206.97822570800801</v>
      </c>
      <c r="Z464" s="300">
        <v>209.30905151367199</v>
      </c>
    </row>
    <row r="465" spans="1:70" x14ac:dyDescent="0.25">
      <c r="A465" s="300" t="s">
        <v>477</v>
      </c>
      <c r="B465" s="300"/>
      <c r="C465" s="300"/>
      <c r="D465" s="300">
        <v>385.00112915039102</v>
      </c>
      <c r="E465" s="300">
        <v>474.66281127929699</v>
      </c>
      <c r="F465" s="300">
        <v>545.7236328125</v>
      </c>
      <c r="G465" s="300">
        <v>538.79211425781295</v>
      </c>
      <c r="H465" s="300">
        <v>508.11019897460898</v>
      </c>
      <c r="I465" s="300">
        <v>488.44781494140602</v>
      </c>
      <c r="J465" s="300">
        <v>476.37777709960898</v>
      </c>
      <c r="K465" s="300">
        <v>463.41403198242199</v>
      </c>
      <c r="L465" s="300">
        <v>458.16046142578102</v>
      </c>
      <c r="M465" s="300">
        <v>458.57275390625</v>
      </c>
      <c r="N465" s="300">
        <v>452.78533935546898</v>
      </c>
      <c r="O465" s="300">
        <v>459.41848754882801</v>
      </c>
      <c r="P465" s="300">
        <v>469.74392700195301</v>
      </c>
      <c r="Q465" s="300">
        <v>478.67190551757801</v>
      </c>
      <c r="R465" s="300">
        <v>487.87078857421898</v>
      </c>
      <c r="S465" s="300">
        <v>505.29348754882801</v>
      </c>
      <c r="T465" s="300">
        <v>511.07485961914102</v>
      </c>
      <c r="U465" s="300">
        <v>521.646240234375</v>
      </c>
      <c r="V465" s="300">
        <v>538.77532958984398</v>
      </c>
      <c r="W465" s="300">
        <v>540.642822265625</v>
      </c>
      <c r="X465" s="300">
        <v>554.21173095703102</v>
      </c>
      <c r="Y465" s="300">
        <v>570.280029296875</v>
      </c>
      <c r="Z465" s="300">
        <v>574.30035400390602</v>
      </c>
    </row>
    <row r="466" spans="1:70" x14ac:dyDescent="0.25">
      <c r="A466" s="300" t="s">
        <v>506</v>
      </c>
      <c r="B466" s="300"/>
      <c r="C466" s="300"/>
      <c r="D466" s="300">
        <v>906.997802734375</v>
      </c>
      <c r="E466" s="300">
        <v>1040.25415039063</v>
      </c>
      <c r="F466" s="300">
        <v>1127.77770996094</v>
      </c>
      <c r="G466" s="300">
        <v>1134.0322265625</v>
      </c>
      <c r="H466" s="300">
        <v>1105.07055664063</v>
      </c>
      <c r="I466" s="300">
        <v>1075.20288085938</v>
      </c>
      <c r="J466" s="300">
        <v>1055.26721191406</v>
      </c>
      <c r="K466" s="300">
        <v>1029.66381835938</v>
      </c>
      <c r="L466" s="300">
        <v>1021.22357177734</v>
      </c>
      <c r="M466" s="300">
        <v>1019.92706298828</v>
      </c>
      <c r="N466" s="300">
        <v>1017.18103027344</v>
      </c>
      <c r="O466" s="300">
        <v>1027.91076660156</v>
      </c>
      <c r="P466" s="300">
        <v>1048.35144042969</v>
      </c>
      <c r="Q466" s="300">
        <v>1068.9091796875</v>
      </c>
      <c r="R466" s="300">
        <v>1084.9248046875</v>
      </c>
      <c r="S466" s="300">
        <v>1107.98962402344</v>
      </c>
      <c r="T466" s="300">
        <v>1123.73229980469</v>
      </c>
      <c r="U466" s="300">
        <v>1141.11193847656</v>
      </c>
      <c r="V466" s="300">
        <v>1168.07409667969</v>
      </c>
      <c r="W466" s="300">
        <v>1179.03698730469</v>
      </c>
      <c r="X466" s="300">
        <v>1204.30444335938</v>
      </c>
      <c r="Y466" s="300">
        <v>1227.35278320313</v>
      </c>
      <c r="Z466" s="300">
        <v>1239.12719726563</v>
      </c>
    </row>
    <row r="467" spans="1:70" x14ac:dyDescent="0.25">
      <c r="A467" s="300" t="s">
        <v>618</v>
      </c>
      <c r="B467" s="300"/>
      <c r="C467" s="300"/>
      <c r="D467" s="300">
        <v>2.27928571403027E-2</v>
      </c>
      <c r="E467" s="300">
        <v>3.3822253346443197E-2</v>
      </c>
      <c r="F467" s="300">
        <v>4.68330308794975E-2</v>
      </c>
      <c r="G467" s="300">
        <v>4.2311083525419201E-2</v>
      </c>
      <c r="H467" s="300">
        <v>4.6379543840885197E-2</v>
      </c>
      <c r="I467" s="300">
        <v>5.0339180976152399E-2</v>
      </c>
      <c r="J467" s="300">
        <v>6.3796535134315505E-2</v>
      </c>
      <c r="K467" s="300">
        <v>7.1353547275066403E-2</v>
      </c>
      <c r="L467" s="300">
        <v>7.5695373117923695E-2</v>
      </c>
      <c r="M467" s="300">
        <v>8.06071981787682E-2</v>
      </c>
      <c r="N467" s="300">
        <v>8.2480475306510898E-2</v>
      </c>
      <c r="O467" s="300">
        <v>8.9031867682933793E-2</v>
      </c>
      <c r="P467" s="300">
        <v>9.6231654286384596E-2</v>
      </c>
      <c r="Q467" s="300">
        <v>0.10344713926315301</v>
      </c>
      <c r="R467" s="300">
        <v>0.112680315971375</v>
      </c>
      <c r="S467" s="300">
        <v>0.13150542974471999</v>
      </c>
      <c r="T467" s="300">
        <v>0.15408998727798501</v>
      </c>
      <c r="U467" s="300">
        <v>0.18660007417201999</v>
      </c>
      <c r="V467" s="300">
        <v>0.21707823872566201</v>
      </c>
      <c r="W467" s="300">
        <v>0.243339464068413</v>
      </c>
      <c r="X467" s="300">
        <v>0.28575915098190302</v>
      </c>
      <c r="Y467" s="300">
        <v>0.31987324357032798</v>
      </c>
      <c r="Z467" s="300">
        <v>0.34808513522148099</v>
      </c>
    </row>
    <row r="468" spans="1:70" x14ac:dyDescent="0.25">
      <c r="A468" s="300" t="s">
        <v>508</v>
      </c>
      <c r="B468" s="300"/>
      <c r="C468" s="300"/>
      <c r="D468" s="300">
        <v>907.02056884765602</v>
      </c>
      <c r="E468" s="300">
        <v>1040.28796386719</v>
      </c>
      <c r="F468" s="300">
        <v>1127.82458496094</v>
      </c>
      <c r="G468" s="300">
        <v>1134.07458496094</v>
      </c>
      <c r="H468" s="300">
        <v>1105.11694335938</v>
      </c>
      <c r="I468" s="300">
        <v>1075.25317382813</v>
      </c>
      <c r="J468" s="300">
        <v>1055.3310546875</v>
      </c>
      <c r="K468" s="300">
        <v>1029.73522949219</v>
      </c>
      <c r="L468" s="300">
        <v>1021.29925537109</v>
      </c>
      <c r="M468" s="300">
        <v>1020.00769042969</v>
      </c>
      <c r="N468" s="300">
        <v>1017.26348876953</v>
      </c>
      <c r="O468" s="300">
        <v>1027.99975585938</v>
      </c>
      <c r="P468" s="300">
        <v>1048.44763183594</v>
      </c>
      <c r="Q468" s="300">
        <v>1069.01257324219</v>
      </c>
      <c r="R468" s="300">
        <v>1085.03747558594</v>
      </c>
      <c r="S468" s="300">
        <v>1108.12109375</v>
      </c>
      <c r="T468" s="300">
        <v>1123.88635253906</v>
      </c>
      <c r="U468" s="300">
        <v>1141.29858398438</v>
      </c>
      <c r="V468" s="300">
        <v>1168.29113769531</v>
      </c>
      <c r="W468" s="300">
        <v>1179.2802734375</v>
      </c>
      <c r="X468" s="300">
        <v>1204.59020996094</v>
      </c>
      <c r="Y468" s="300">
        <v>1227.67260742188</v>
      </c>
      <c r="Z468" s="300">
        <v>1239.47534179688</v>
      </c>
    </row>
    <row r="469" spans="1:70" x14ac:dyDescent="0.25">
      <c r="A469" s="287" t="s">
        <v>1063</v>
      </c>
      <c r="B469" s="247" t="s">
        <v>582</v>
      </c>
      <c r="C469" s="300"/>
      <c r="D469" s="300"/>
      <c r="E469" s="300"/>
      <c r="F469" s="300"/>
      <c r="G469" s="300"/>
      <c r="H469" s="300"/>
      <c r="I469" s="300"/>
      <c r="J469" s="300"/>
      <c r="K469" s="300"/>
      <c r="L469" s="300"/>
      <c r="M469" s="300"/>
      <c r="N469" s="300"/>
      <c r="O469" s="300"/>
      <c r="P469" s="300"/>
      <c r="Q469" s="300"/>
      <c r="R469" s="300"/>
      <c r="S469" s="300"/>
      <c r="T469" s="300"/>
      <c r="U469" s="300"/>
      <c r="V469" s="300"/>
      <c r="W469" s="300"/>
      <c r="X469" s="300"/>
      <c r="Y469" s="300"/>
      <c r="Z469" s="300"/>
    </row>
    <row r="470" spans="1:70" ht="13.8" thickBot="1" x14ac:dyDescent="0.3">
      <c r="A470" s="276" t="s">
        <v>310</v>
      </c>
      <c r="B470" s="247" t="s">
        <v>582</v>
      </c>
      <c r="C470" s="300"/>
      <c r="D470" s="300"/>
      <c r="E470" s="300"/>
      <c r="F470" s="300"/>
      <c r="G470" s="300"/>
      <c r="H470" s="300"/>
      <c r="I470" s="300"/>
      <c r="J470" s="300"/>
      <c r="K470" s="300"/>
      <c r="L470" s="300"/>
      <c r="M470" s="300"/>
      <c r="N470" s="300"/>
      <c r="O470" s="300"/>
      <c r="P470" s="300"/>
      <c r="Q470" s="300"/>
      <c r="R470" s="300"/>
      <c r="S470" s="300"/>
      <c r="T470" s="300"/>
      <c r="U470" s="300"/>
      <c r="V470" s="300"/>
      <c r="W470" s="300"/>
      <c r="X470" s="300"/>
      <c r="Y470" s="300"/>
      <c r="Z470" s="300"/>
    </row>
    <row r="471" spans="1:70" ht="13.8" thickBot="1" x14ac:dyDescent="0.3">
      <c r="A471" s="300" t="s">
        <v>959</v>
      </c>
      <c r="B471" s="300"/>
      <c r="C471" s="300"/>
      <c r="D471" s="300"/>
      <c r="E471" s="300"/>
      <c r="F471" s="300"/>
      <c r="G471" s="300"/>
      <c r="H471" s="300"/>
      <c r="I471" s="300"/>
      <c r="J471" s="300"/>
      <c r="K471" s="300"/>
      <c r="L471" s="300"/>
      <c r="M471" s="300"/>
      <c r="N471" s="300"/>
      <c r="O471" s="300"/>
      <c r="P471" s="300"/>
      <c r="Q471" s="300"/>
      <c r="R471" s="300"/>
      <c r="S471" s="300"/>
      <c r="T471" s="300"/>
      <c r="U471" s="300"/>
      <c r="V471" s="300"/>
      <c r="W471" s="300"/>
      <c r="X471" s="300"/>
      <c r="Y471" s="300"/>
      <c r="Z471" s="300"/>
      <c r="AA471" s="277">
        <f>Z641+($AI$471-$Y$641)/10</f>
        <v>8.1072037368774854</v>
      </c>
      <c r="AB471" s="277">
        <f t="shared" ref="AB471:AH471" si="48">AA471+($AI$471-$Y$641)/10</f>
        <v>8.1552847846985532</v>
      </c>
      <c r="AC471" s="277">
        <f t="shared" si="48"/>
        <v>8.203365832519621</v>
      </c>
      <c r="AD471" s="277">
        <f t="shared" si="48"/>
        <v>8.2514468803406888</v>
      </c>
      <c r="AE471" s="277">
        <f t="shared" si="48"/>
        <v>8.2995279281617567</v>
      </c>
      <c r="AF471" s="277">
        <f t="shared" si="48"/>
        <v>8.3476089759828245</v>
      </c>
      <c r="AG471" s="277">
        <f t="shared" si="48"/>
        <v>8.3956900238038923</v>
      </c>
      <c r="AH471" s="277">
        <f t="shared" si="48"/>
        <v>8.4437710716249601</v>
      </c>
      <c r="AI471" s="278">
        <f>T641*$E$742</f>
        <v>8.4918521194460261</v>
      </c>
      <c r="AJ471" s="277">
        <f>AI471+($AX$471-$AI$471)/15</f>
        <v>8.5879736457897184</v>
      </c>
      <c r="AK471" s="277">
        <f t="shared" ref="AK471:AW471" si="49">AJ471+($AX$471-$AI$471)/15</f>
        <v>8.6840951721334108</v>
      </c>
      <c r="AL471" s="277">
        <f t="shared" si="49"/>
        <v>8.7802166984771031</v>
      </c>
      <c r="AM471" s="277">
        <f t="shared" si="49"/>
        <v>8.8763382248207954</v>
      </c>
      <c r="AN471" s="277">
        <f t="shared" si="49"/>
        <v>8.9724597511644877</v>
      </c>
      <c r="AO471" s="277">
        <f t="shared" si="49"/>
        <v>9.06858127750818</v>
      </c>
      <c r="AP471" s="277">
        <f t="shared" si="49"/>
        <v>9.1647028038518723</v>
      </c>
      <c r="AQ471" s="277">
        <f t="shared" si="49"/>
        <v>9.2608243301955646</v>
      </c>
      <c r="AR471" s="277">
        <f t="shared" si="49"/>
        <v>9.3569458565392569</v>
      </c>
      <c r="AS471" s="277">
        <f t="shared" si="49"/>
        <v>9.4530673828829492</v>
      </c>
      <c r="AT471" s="277">
        <f t="shared" si="49"/>
        <v>9.5491889092266415</v>
      </c>
      <c r="AU471" s="277">
        <f t="shared" si="49"/>
        <v>9.6453104355703339</v>
      </c>
      <c r="AV471" s="277">
        <f t="shared" si="49"/>
        <v>9.7414319619140262</v>
      </c>
      <c r="AW471" s="277">
        <f t="shared" si="49"/>
        <v>9.8375534882577185</v>
      </c>
      <c r="AX471" s="278">
        <f>AI471*$B$742</f>
        <v>9.9336750146014001</v>
      </c>
      <c r="AY471" s="277">
        <f>AX471+($BM$471-$AX$471)/15</f>
        <v>10.032035813725209</v>
      </c>
      <c r="AZ471" s="277">
        <f t="shared" ref="AZ471:BL471" si="50">AY471+($BM$471-$AX$471)/15</f>
        <v>10.130396612849017</v>
      </c>
      <c r="BA471" s="277">
        <f t="shared" si="50"/>
        <v>10.228757411972826</v>
      </c>
      <c r="BB471" s="277">
        <f t="shared" si="50"/>
        <v>10.327118211096634</v>
      </c>
      <c r="BC471" s="277">
        <f t="shared" si="50"/>
        <v>10.425479010220442</v>
      </c>
      <c r="BD471" s="277">
        <f t="shared" si="50"/>
        <v>10.523839809344251</v>
      </c>
      <c r="BE471" s="277">
        <f t="shared" si="50"/>
        <v>10.622200608468059</v>
      </c>
      <c r="BF471" s="277">
        <f t="shared" si="50"/>
        <v>10.720561407591868</v>
      </c>
      <c r="BG471" s="277">
        <f t="shared" si="50"/>
        <v>10.818922206715676</v>
      </c>
      <c r="BH471" s="277">
        <f t="shared" si="50"/>
        <v>10.917283005839485</v>
      </c>
      <c r="BI471" s="277">
        <f t="shared" si="50"/>
        <v>11.015643804963293</v>
      </c>
      <c r="BJ471" s="277">
        <f t="shared" si="50"/>
        <v>11.114004604087102</v>
      </c>
      <c r="BK471" s="277">
        <f t="shared" si="50"/>
        <v>11.21236540321091</v>
      </c>
      <c r="BL471" s="277">
        <f t="shared" si="50"/>
        <v>11.310726202334719</v>
      </c>
      <c r="BM471" s="278">
        <f>AX471*$C$742</f>
        <v>11.409087001458516</v>
      </c>
      <c r="BN471" s="277">
        <f>BM471+($BR$471-$BM$471)/5</f>
        <v>11.522056966057418</v>
      </c>
      <c r="BO471" s="277">
        <f>BN471+($BR$471-$BM$471)/5</f>
        <v>11.63502693065632</v>
      </c>
      <c r="BP471" s="277">
        <f>BO471+($BR$471-$BM$471)/5</f>
        <v>11.747996895255222</v>
      </c>
      <c r="BQ471" s="277">
        <f>BP471+($BR$471-$BM$471)/5</f>
        <v>11.860966859854123</v>
      </c>
      <c r="BR471" s="278">
        <f>BM471*$D$742</f>
        <v>11.973936824453022</v>
      </c>
    </row>
    <row r="472" spans="1:70" ht="13.8" thickBot="1" x14ac:dyDescent="0.3">
      <c r="A472" s="300" t="s">
        <v>619</v>
      </c>
      <c r="B472" s="300"/>
      <c r="C472" s="300"/>
      <c r="D472" s="300"/>
      <c r="E472" s="300"/>
      <c r="F472" s="300"/>
      <c r="G472" s="300"/>
      <c r="H472" s="300"/>
      <c r="I472" s="300"/>
      <c r="J472" s="300"/>
      <c r="K472" s="300"/>
      <c r="L472" s="300"/>
      <c r="M472" s="300"/>
      <c r="N472" s="300"/>
      <c r="O472" s="300"/>
      <c r="P472" s="300"/>
      <c r="Q472" s="300"/>
      <c r="R472" s="300"/>
      <c r="S472" s="300"/>
      <c r="T472" s="300"/>
      <c r="U472" s="300"/>
      <c r="V472" s="300"/>
      <c r="W472" s="300"/>
      <c r="X472" s="300"/>
      <c r="Y472" s="300"/>
      <c r="Z472" s="300"/>
      <c r="AA472" s="279">
        <f>Z642+($AI$472-$Y$642)/10</f>
        <v>22.490795032640289</v>
      </c>
      <c r="AB472" s="279">
        <f t="shared" ref="AB472:AH472" si="51">AA472+($AI$472-$Y$642)/10</f>
        <v>22.394891584604984</v>
      </c>
      <c r="AC472" s="279">
        <f t="shared" si="51"/>
        <v>22.29898813656968</v>
      </c>
      <c r="AD472" s="279">
        <f t="shared" si="51"/>
        <v>22.203084688534375</v>
      </c>
      <c r="AE472" s="279">
        <f t="shared" si="51"/>
        <v>22.10718124049907</v>
      </c>
      <c r="AF472" s="279">
        <f t="shared" si="51"/>
        <v>22.011277792463765</v>
      </c>
      <c r="AG472" s="279">
        <f t="shared" si="51"/>
        <v>21.915374344428461</v>
      </c>
      <c r="AH472" s="279">
        <f t="shared" si="51"/>
        <v>21.819470896393156</v>
      </c>
      <c r="AI472" s="280">
        <f>T642*$E$745</f>
        <v>21.723567448357841</v>
      </c>
      <c r="AJ472" s="279">
        <f>AI472+($AX$472-$AI$472)/15</f>
        <v>21.715027463671497</v>
      </c>
      <c r="AK472" s="279">
        <f t="shared" ref="AK472:AW472" si="52">AJ472+($AX$472-$AI$472)/15</f>
        <v>21.706487478985153</v>
      </c>
      <c r="AL472" s="279">
        <f t="shared" si="52"/>
        <v>21.697947494298809</v>
      </c>
      <c r="AM472" s="279">
        <f t="shared" si="52"/>
        <v>21.689407509612465</v>
      </c>
      <c r="AN472" s="279">
        <f t="shared" si="52"/>
        <v>21.680867524926121</v>
      </c>
      <c r="AO472" s="279">
        <f t="shared" si="52"/>
        <v>21.672327540239777</v>
      </c>
      <c r="AP472" s="279">
        <f t="shared" si="52"/>
        <v>21.663787555553434</v>
      </c>
      <c r="AQ472" s="279">
        <f t="shared" si="52"/>
        <v>21.65524757086709</v>
      </c>
      <c r="AR472" s="279">
        <f t="shared" si="52"/>
        <v>21.646707586180746</v>
      </c>
      <c r="AS472" s="279">
        <f t="shared" si="52"/>
        <v>21.638167601494402</v>
      </c>
      <c r="AT472" s="279">
        <f t="shared" si="52"/>
        <v>21.629627616808058</v>
      </c>
      <c r="AU472" s="279">
        <f t="shared" si="52"/>
        <v>21.621087632121714</v>
      </c>
      <c r="AV472" s="279">
        <f t="shared" si="52"/>
        <v>21.61254764743537</v>
      </c>
      <c r="AW472" s="279">
        <f t="shared" si="52"/>
        <v>21.604007662749027</v>
      </c>
      <c r="AX472" s="280">
        <f>AI472*$B$745</f>
        <v>21.595467678062693</v>
      </c>
      <c r="AY472" s="279">
        <f>AX472+($BM$472-$AX$472)/15</f>
        <v>21.609186144316791</v>
      </c>
      <c r="AZ472" s="279">
        <f t="shared" ref="AZ472:BL472" si="53">AY472+($BM$472-$AX$472)/15</f>
        <v>21.622904610570888</v>
      </c>
      <c r="BA472" s="279">
        <f t="shared" si="53"/>
        <v>21.636623076824986</v>
      </c>
      <c r="BB472" s="279">
        <f t="shared" si="53"/>
        <v>21.650341543079083</v>
      </c>
      <c r="BC472" s="279">
        <f t="shared" si="53"/>
        <v>21.664060009333181</v>
      </c>
      <c r="BD472" s="279">
        <f t="shared" si="53"/>
        <v>21.677778475587278</v>
      </c>
      <c r="BE472" s="279">
        <f t="shared" si="53"/>
        <v>21.691496941841375</v>
      </c>
      <c r="BF472" s="279">
        <f t="shared" si="53"/>
        <v>21.705215408095473</v>
      </c>
      <c r="BG472" s="279">
        <f t="shared" si="53"/>
        <v>21.71893387434957</v>
      </c>
      <c r="BH472" s="279">
        <f t="shared" si="53"/>
        <v>21.732652340603668</v>
      </c>
      <c r="BI472" s="279">
        <f t="shared" si="53"/>
        <v>21.746370806857765</v>
      </c>
      <c r="BJ472" s="279">
        <f t="shared" si="53"/>
        <v>21.760089273111863</v>
      </c>
      <c r="BK472" s="279">
        <f t="shared" si="53"/>
        <v>21.77380773936596</v>
      </c>
      <c r="BL472" s="279">
        <f t="shared" si="53"/>
        <v>21.787526205620058</v>
      </c>
      <c r="BM472" s="280">
        <f>AX472*$C$745</f>
        <v>21.801244671874137</v>
      </c>
      <c r="BN472" s="279">
        <f>BM472+($BR$472-$BM$472)/5</f>
        <v>21.815093857443394</v>
      </c>
      <c r="BO472" s="279">
        <f>BN472+($BR$472-$BM$472)/5</f>
        <v>21.82894304301265</v>
      </c>
      <c r="BP472" s="279">
        <f>BO472+($BR$472-$BM$472)/5</f>
        <v>21.842792228581906</v>
      </c>
      <c r="BQ472" s="279">
        <f>BP472+($BR$472-$BM$472)/5</f>
        <v>21.856641414151163</v>
      </c>
      <c r="BR472" s="280">
        <f>BM472*$D$745</f>
        <v>21.870490599720426</v>
      </c>
    </row>
    <row r="473" spans="1:70" x14ac:dyDescent="0.25">
      <c r="A473" s="300" t="s">
        <v>620</v>
      </c>
      <c r="B473" s="300"/>
      <c r="C473" s="300"/>
      <c r="D473" s="300"/>
      <c r="E473" s="300"/>
      <c r="F473" s="300"/>
      <c r="G473" s="300"/>
      <c r="H473" s="300"/>
      <c r="I473" s="300"/>
      <c r="J473" s="300"/>
      <c r="K473" s="300"/>
      <c r="L473" s="300"/>
      <c r="M473" s="300"/>
      <c r="N473" s="300"/>
      <c r="O473" s="300"/>
      <c r="P473" s="300"/>
      <c r="Q473" s="300"/>
      <c r="R473" s="300"/>
      <c r="S473" s="300"/>
      <c r="T473" s="300"/>
      <c r="U473" s="300"/>
      <c r="V473" s="300"/>
      <c r="W473" s="300"/>
      <c r="X473" s="300"/>
      <c r="Y473" s="300"/>
      <c r="Z473" s="300"/>
    </row>
    <row r="474" spans="1:70" x14ac:dyDescent="0.25">
      <c r="A474" s="300" t="s">
        <v>621</v>
      </c>
      <c r="B474" s="300"/>
      <c r="C474" s="300"/>
      <c r="D474" s="300"/>
      <c r="E474" s="300"/>
      <c r="F474" s="300"/>
      <c r="G474" s="300"/>
      <c r="H474" s="300"/>
      <c r="I474" s="300"/>
      <c r="J474" s="300"/>
      <c r="K474" s="300"/>
      <c r="L474" s="300"/>
      <c r="M474" s="300"/>
      <c r="N474" s="300"/>
      <c r="O474" s="300"/>
      <c r="P474" s="300"/>
      <c r="Q474" s="300"/>
      <c r="R474" s="300"/>
      <c r="S474" s="300"/>
      <c r="T474" s="300"/>
      <c r="U474" s="300"/>
      <c r="V474" s="300"/>
      <c r="W474" s="300"/>
      <c r="X474" s="300"/>
      <c r="Y474" s="300"/>
      <c r="Z474" s="300"/>
    </row>
    <row r="475" spans="1:70" x14ac:dyDescent="0.25">
      <c r="A475" s="300" t="s">
        <v>637</v>
      </c>
      <c r="B475" s="300"/>
      <c r="C475" s="300"/>
      <c r="D475" s="300"/>
      <c r="E475" s="300"/>
      <c r="F475" s="300"/>
      <c r="G475" s="300"/>
      <c r="H475" s="300"/>
      <c r="I475" s="300"/>
      <c r="J475" s="300"/>
      <c r="K475" s="300"/>
      <c r="L475" s="300"/>
      <c r="M475" s="300"/>
      <c r="N475" s="300"/>
      <c r="O475" s="300"/>
      <c r="P475" s="300"/>
      <c r="Q475" s="300"/>
      <c r="R475" s="300"/>
      <c r="S475" s="300"/>
      <c r="T475" s="300"/>
      <c r="U475" s="300"/>
      <c r="V475" s="300"/>
      <c r="W475" s="300"/>
      <c r="X475" s="300"/>
      <c r="Y475" s="300"/>
      <c r="Z475" s="300"/>
    </row>
    <row r="476" spans="1:70" x14ac:dyDescent="0.25">
      <c r="A476" s="300" t="s">
        <v>532</v>
      </c>
      <c r="B476" s="300"/>
      <c r="C476" s="300"/>
      <c r="D476" s="300"/>
      <c r="E476" s="300"/>
      <c r="F476" s="300"/>
      <c r="G476" s="300"/>
      <c r="H476" s="300"/>
      <c r="I476" s="300"/>
      <c r="J476" s="300"/>
      <c r="K476" s="300"/>
      <c r="L476" s="300"/>
      <c r="M476" s="300"/>
      <c r="N476" s="300"/>
      <c r="O476" s="300"/>
      <c r="P476" s="300"/>
      <c r="Q476" s="300"/>
      <c r="R476" s="300"/>
      <c r="S476" s="300"/>
      <c r="T476" s="300"/>
      <c r="U476" s="300"/>
      <c r="V476" s="300"/>
      <c r="W476" s="300"/>
      <c r="X476" s="300"/>
      <c r="Y476" s="300"/>
      <c r="Z476" s="300"/>
    </row>
    <row r="477" spans="1:70" ht="52.5" customHeight="1" x14ac:dyDescent="0.25">
      <c r="A477" s="300" t="s">
        <v>638</v>
      </c>
      <c r="B477" s="300"/>
      <c r="C477" s="300"/>
      <c r="D477" s="300"/>
      <c r="E477" s="300"/>
      <c r="F477" s="300"/>
      <c r="G477" s="300"/>
      <c r="H477" s="300"/>
      <c r="I477" s="300"/>
      <c r="J477" s="300"/>
      <c r="K477" s="300"/>
      <c r="L477" s="300"/>
      <c r="M477" s="300"/>
      <c r="N477" s="300"/>
      <c r="O477" s="300"/>
      <c r="P477" s="300"/>
      <c r="Q477" s="300"/>
      <c r="R477" s="300"/>
      <c r="S477" s="300"/>
      <c r="T477" s="300"/>
      <c r="U477" s="300"/>
      <c r="V477" s="300"/>
      <c r="W477" s="300"/>
      <c r="X477" s="300"/>
      <c r="Y477" s="300"/>
      <c r="Z477" s="300"/>
    </row>
    <row r="478" spans="1:70" x14ac:dyDescent="0.25">
      <c r="A478" s="300" t="s">
        <v>639</v>
      </c>
      <c r="B478" s="300"/>
      <c r="C478" s="300"/>
      <c r="D478" s="300"/>
      <c r="E478" s="300"/>
      <c r="F478" s="300"/>
      <c r="G478" s="300"/>
      <c r="H478" s="300"/>
      <c r="I478" s="300"/>
      <c r="J478" s="300"/>
      <c r="K478" s="300"/>
      <c r="L478" s="300"/>
      <c r="M478" s="300"/>
      <c r="N478" s="300"/>
      <c r="O478" s="300"/>
      <c r="P478" s="300"/>
      <c r="Q478" s="300"/>
      <c r="R478" s="300"/>
      <c r="S478" s="300"/>
      <c r="T478" s="300"/>
      <c r="U478" s="300"/>
      <c r="V478" s="300"/>
      <c r="W478" s="300"/>
      <c r="X478" s="300"/>
      <c r="Y478" s="300"/>
      <c r="Z478" s="300"/>
    </row>
    <row r="479" spans="1:70" ht="13.8" thickBot="1" x14ac:dyDescent="0.3">
      <c r="A479" s="300" t="s">
        <v>640</v>
      </c>
      <c r="B479" s="300"/>
      <c r="C479" s="300"/>
      <c r="D479" s="300"/>
      <c r="E479" s="300"/>
      <c r="F479" s="300"/>
      <c r="G479" s="300"/>
      <c r="H479" s="300"/>
      <c r="I479" s="300"/>
      <c r="J479" s="300"/>
      <c r="K479" s="300"/>
      <c r="L479" s="300"/>
      <c r="M479" s="300"/>
      <c r="N479" s="300"/>
      <c r="O479" s="300"/>
      <c r="P479" s="300"/>
      <c r="Q479" s="300"/>
      <c r="R479" s="300"/>
      <c r="S479" s="300"/>
      <c r="T479" s="300"/>
      <c r="U479" s="300"/>
      <c r="V479" s="300"/>
      <c r="W479" s="300"/>
      <c r="X479" s="300"/>
      <c r="Y479" s="300"/>
      <c r="Z479" s="300"/>
    </row>
    <row r="480" spans="1:70" ht="13.8" thickBot="1" x14ac:dyDescent="0.3">
      <c r="A480" s="300" t="s">
        <v>641</v>
      </c>
      <c r="B480" s="300"/>
      <c r="C480" s="300"/>
      <c r="D480" s="300"/>
      <c r="E480" s="300"/>
      <c r="F480" s="300"/>
      <c r="G480" s="300"/>
      <c r="H480" s="300"/>
      <c r="I480" s="300"/>
      <c r="J480" s="300"/>
      <c r="K480" s="300"/>
      <c r="L480" s="300"/>
      <c r="M480" s="300"/>
      <c r="N480" s="300"/>
      <c r="O480" s="300"/>
      <c r="P480" s="300"/>
      <c r="Q480" s="300"/>
      <c r="R480" s="300"/>
      <c r="S480" s="300"/>
      <c r="T480" s="300"/>
      <c r="U480" s="300"/>
      <c r="V480" s="300"/>
      <c r="W480" s="300"/>
      <c r="X480" s="300"/>
      <c r="Y480" s="300"/>
      <c r="Z480" s="300"/>
      <c r="AA480" s="277">
        <f>Z650+($AI$480-$Y$650)/10</f>
        <v>5.5873463921161282</v>
      </c>
      <c r="AB480" s="277">
        <f t="shared" ref="AB480:AH480" si="54">AA480+($AI$480-$Y$650)/10</f>
        <v>5.6146233040707969</v>
      </c>
      <c r="AC480" s="277">
        <f t="shared" si="54"/>
        <v>5.6419002160254657</v>
      </c>
      <c r="AD480" s="277">
        <f t="shared" si="54"/>
        <v>5.6691771279801344</v>
      </c>
      <c r="AE480" s="277">
        <f t="shared" si="54"/>
        <v>5.6964540399348031</v>
      </c>
      <c r="AF480" s="277">
        <f t="shared" si="54"/>
        <v>5.7237309518894719</v>
      </c>
      <c r="AG480" s="277">
        <f t="shared" si="54"/>
        <v>5.7510078638441406</v>
      </c>
      <c r="AH480" s="277">
        <f t="shared" si="54"/>
        <v>5.7782847757988094</v>
      </c>
      <c r="AI480" s="278">
        <f>T650*$E$742</f>
        <v>5.8055616877534817</v>
      </c>
      <c r="AJ480" s="277">
        <f>AI480+($AX$480-$AI$480)/15</f>
        <v>5.8712763802445851</v>
      </c>
      <c r="AK480" s="277">
        <f t="shared" ref="AK480:AW480" si="55">AJ480+($AX$480-$AI$480)/15</f>
        <v>5.9369910727356885</v>
      </c>
      <c r="AL480" s="277">
        <f t="shared" si="55"/>
        <v>6.0027057652267919</v>
      </c>
      <c r="AM480" s="277">
        <f t="shared" si="55"/>
        <v>6.0684204577178953</v>
      </c>
      <c r="AN480" s="277">
        <f t="shared" si="55"/>
        <v>6.1341351502089987</v>
      </c>
      <c r="AO480" s="277">
        <f t="shared" si="55"/>
        <v>6.1998498427001021</v>
      </c>
      <c r="AP480" s="277">
        <f t="shared" si="55"/>
        <v>6.2655645351912055</v>
      </c>
      <c r="AQ480" s="277">
        <f t="shared" si="55"/>
        <v>6.3312792276823089</v>
      </c>
      <c r="AR480" s="277">
        <f t="shared" si="55"/>
        <v>6.3969939201734123</v>
      </c>
      <c r="AS480" s="277">
        <f t="shared" si="55"/>
        <v>6.4627086126645157</v>
      </c>
      <c r="AT480" s="277">
        <f t="shared" si="55"/>
        <v>6.5284233051556191</v>
      </c>
      <c r="AU480" s="277">
        <f t="shared" si="55"/>
        <v>6.5941379976467225</v>
      </c>
      <c r="AV480" s="277">
        <f t="shared" si="55"/>
        <v>6.6598526901378259</v>
      </c>
      <c r="AW480" s="277">
        <f t="shared" si="55"/>
        <v>6.7255673826289293</v>
      </c>
      <c r="AX480" s="278">
        <f>AI480*$B$742</f>
        <v>6.791282075120038</v>
      </c>
      <c r="AY480" s="277">
        <f>AX480+($BM$480-$AX$480)/15</f>
        <v>6.858527674659193</v>
      </c>
      <c r="AZ480" s="277">
        <f t="shared" ref="AZ480:BL480" si="56">AY480+($BM$480-$AX$480)/15</f>
        <v>6.925773274198348</v>
      </c>
      <c r="BA480" s="277">
        <f t="shared" si="56"/>
        <v>6.993018873737503</v>
      </c>
      <c r="BB480" s="277">
        <f t="shared" si="56"/>
        <v>7.060264473276658</v>
      </c>
      <c r="BC480" s="277">
        <f t="shared" si="56"/>
        <v>7.1275100728158129</v>
      </c>
      <c r="BD480" s="277">
        <f t="shared" si="56"/>
        <v>7.1947556723549679</v>
      </c>
      <c r="BE480" s="277">
        <f t="shared" si="56"/>
        <v>7.2620012718941229</v>
      </c>
      <c r="BF480" s="277">
        <f t="shared" si="56"/>
        <v>7.3292468714332779</v>
      </c>
      <c r="BG480" s="277">
        <f t="shared" si="56"/>
        <v>7.3964924709724329</v>
      </c>
      <c r="BH480" s="277">
        <f t="shared" si="56"/>
        <v>7.4637380705115879</v>
      </c>
      <c r="BI480" s="277">
        <f t="shared" si="56"/>
        <v>7.5309836700507429</v>
      </c>
      <c r="BJ480" s="277">
        <f t="shared" si="56"/>
        <v>7.5982292695898979</v>
      </c>
      <c r="BK480" s="277">
        <f t="shared" si="56"/>
        <v>7.6654748691290528</v>
      </c>
      <c r="BL480" s="277">
        <f t="shared" si="56"/>
        <v>7.7327204686682078</v>
      </c>
      <c r="BM480" s="278">
        <f>AX480*$C$742</f>
        <v>7.7999660682073682</v>
      </c>
      <c r="BN480" s="277">
        <f>BM480+($BR$480-$BM$480)/5</f>
        <v>7.8771994077800587</v>
      </c>
      <c r="BO480" s="277">
        <f>BN480+($BR$480-$BM$480)/5</f>
        <v>7.9544327473527492</v>
      </c>
      <c r="BP480" s="277">
        <f>BO480+($BR$480-$BM$480)/5</f>
        <v>8.0316660869254388</v>
      </c>
      <c r="BQ480" s="277">
        <f>BP480+($BR$480-$BM$480)/5</f>
        <v>8.1088994264981284</v>
      </c>
      <c r="BR480" s="278">
        <f>BM480*$D$742</f>
        <v>8.1861327660708199</v>
      </c>
    </row>
    <row r="481" spans="1:70" x14ac:dyDescent="0.25">
      <c r="A481" s="300" t="s">
        <v>642</v>
      </c>
      <c r="B481" s="300"/>
      <c r="C481" s="300"/>
      <c r="D481" s="300"/>
      <c r="E481" s="300"/>
      <c r="F481" s="300"/>
      <c r="G481" s="300"/>
      <c r="H481" s="300"/>
      <c r="I481" s="300"/>
      <c r="J481" s="300"/>
      <c r="K481" s="300"/>
      <c r="L481" s="300"/>
      <c r="M481" s="300"/>
      <c r="N481" s="300"/>
      <c r="O481" s="300"/>
      <c r="P481" s="300"/>
      <c r="Q481" s="300"/>
      <c r="R481" s="300"/>
      <c r="S481" s="300"/>
      <c r="T481" s="300"/>
      <c r="U481" s="300"/>
      <c r="V481" s="300"/>
      <c r="W481" s="300"/>
      <c r="X481" s="300"/>
      <c r="Y481" s="300"/>
      <c r="Z481" s="300"/>
    </row>
    <row r="482" spans="1:70" ht="13.8" thickBot="1" x14ac:dyDescent="0.3">
      <c r="A482" s="300" t="s">
        <v>643</v>
      </c>
      <c r="B482" s="300"/>
      <c r="C482" s="300"/>
      <c r="D482" s="300"/>
      <c r="E482" s="300"/>
      <c r="F482" s="300"/>
      <c r="G482" s="300"/>
      <c r="H482" s="300"/>
      <c r="I482" s="300"/>
      <c r="J482" s="300"/>
      <c r="K482" s="300"/>
      <c r="L482" s="300"/>
      <c r="M482" s="300"/>
      <c r="N482" s="300"/>
      <c r="O482" s="300"/>
      <c r="P482" s="300"/>
      <c r="Q482" s="300"/>
      <c r="R482" s="300"/>
      <c r="S482" s="300"/>
      <c r="T482" s="300"/>
      <c r="U482" s="300"/>
      <c r="V482" s="300"/>
      <c r="W482" s="300"/>
      <c r="X482" s="300"/>
      <c r="Y482" s="300"/>
      <c r="Z482" s="300"/>
    </row>
    <row r="483" spans="1:70" ht="13.8" thickBot="1" x14ac:dyDescent="0.3">
      <c r="A483" s="300" t="s">
        <v>535</v>
      </c>
      <c r="B483" s="300"/>
      <c r="C483" s="300"/>
      <c r="D483" s="300"/>
      <c r="E483" s="300"/>
      <c r="F483" s="300"/>
      <c r="G483" s="300"/>
      <c r="H483" s="300"/>
      <c r="I483" s="300"/>
      <c r="J483" s="300"/>
      <c r="K483" s="300"/>
      <c r="L483" s="300"/>
      <c r="M483" s="300"/>
      <c r="N483" s="300"/>
      <c r="O483" s="300"/>
      <c r="P483" s="300"/>
      <c r="Q483" s="300"/>
      <c r="R483" s="300"/>
      <c r="S483" s="300"/>
      <c r="T483" s="300"/>
      <c r="U483" s="300"/>
      <c r="V483" s="300"/>
      <c r="W483" s="300"/>
      <c r="X483" s="300"/>
      <c r="Y483" s="300"/>
      <c r="Z483" s="300"/>
      <c r="AA483" s="279">
        <f>Z653+($AI$483-$Y$653)/10</f>
        <v>15.747041087587585</v>
      </c>
      <c r="AB483" s="279">
        <f t="shared" ref="AB483:AH483" si="57">AA483+($AI$483-$Y$653)/10</f>
        <v>15.673905881106727</v>
      </c>
      <c r="AC483" s="279">
        <f t="shared" si="57"/>
        <v>15.600770674625869</v>
      </c>
      <c r="AD483" s="279">
        <f t="shared" si="57"/>
        <v>15.527635468145011</v>
      </c>
      <c r="AE483" s="279">
        <f t="shared" si="57"/>
        <v>15.454500261664153</v>
      </c>
      <c r="AF483" s="279">
        <f t="shared" si="57"/>
        <v>15.381365055183295</v>
      </c>
      <c r="AG483" s="279">
        <f t="shared" si="57"/>
        <v>15.308229848702437</v>
      </c>
      <c r="AH483" s="279">
        <f t="shared" si="57"/>
        <v>15.235094642221579</v>
      </c>
      <c r="AI483" s="280">
        <f>T653*$E$745</f>
        <v>15.161959435740725</v>
      </c>
      <c r="AJ483" s="279">
        <f>AI483+($AX$483-$AI$483)/15</f>
        <v>15.155998955184113</v>
      </c>
      <c r="AK483" s="279">
        <f t="shared" ref="AK483:AW483" si="58">AJ483+($AX$483-$AI$483)/15</f>
        <v>15.150038474627502</v>
      </c>
      <c r="AL483" s="279">
        <f t="shared" si="58"/>
        <v>15.144077994070891</v>
      </c>
      <c r="AM483" s="279">
        <f t="shared" si="58"/>
        <v>15.138117513514279</v>
      </c>
      <c r="AN483" s="279">
        <f t="shared" si="58"/>
        <v>15.132157032957668</v>
      </c>
      <c r="AO483" s="279">
        <f t="shared" si="58"/>
        <v>15.126196552401057</v>
      </c>
      <c r="AP483" s="279">
        <f t="shared" si="58"/>
        <v>15.120236071844445</v>
      </c>
      <c r="AQ483" s="279">
        <f t="shared" si="58"/>
        <v>15.114275591287834</v>
      </c>
      <c r="AR483" s="279">
        <f t="shared" si="58"/>
        <v>15.108315110731223</v>
      </c>
      <c r="AS483" s="279">
        <f t="shared" si="58"/>
        <v>15.102354630174611</v>
      </c>
      <c r="AT483" s="279">
        <f t="shared" si="58"/>
        <v>15.096394149618</v>
      </c>
      <c r="AU483" s="279">
        <f t="shared" si="58"/>
        <v>15.090433669061388</v>
      </c>
      <c r="AV483" s="279">
        <f t="shared" si="58"/>
        <v>15.084473188504777</v>
      </c>
      <c r="AW483" s="279">
        <f t="shared" si="58"/>
        <v>15.078512707948166</v>
      </c>
      <c r="AX483" s="280">
        <f>AI483*$B$745</f>
        <v>15.072552227391549</v>
      </c>
      <c r="AY483" s="279">
        <f>AX483+($BM$483-$AX$483)/15</f>
        <v>15.082127028094042</v>
      </c>
      <c r="AZ483" s="279">
        <f t="shared" ref="AZ483:BL483" si="59">AY483+($BM$483-$AX$483)/15</f>
        <v>15.091701828796536</v>
      </c>
      <c r="BA483" s="279">
        <f t="shared" si="59"/>
        <v>15.101276629499029</v>
      </c>
      <c r="BB483" s="279">
        <f t="shared" si="59"/>
        <v>15.110851430201523</v>
      </c>
      <c r="BC483" s="279">
        <f t="shared" si="59"/>
        <v>15.120426230904016</v>
      </c>
      <c r="BD483" s="279">
        <f t="shared" si="59"/>
        <v>15.130001031606509</v>
      </c>
      <c r="BE483" s="279">
        <f t="shared" si="59"/>
        <v>15.139575832309003</v>
      </c>
      <c r="BF483" s="279">
        <f t="shared" si="59"/>
        <v>15.149150633011496</v>
      </c>
      <c r="BG483" s="279">
        <f t="shared" si="59"/>
        <v>15.15872543371399</v>
      </c>
      <c r="BH483" s="279">
        <f t="shared" si="59"/>
        <v>15.168300234416483</v>
      </c>
      <c r="BI483" s="279">
        <f t="shared" si="59"/>
        <v>15.177875035118976</v>
      </c>
      <c r="BJ483" s="279">
        <f t="shared" si="59"/>
        <v>15.18744983582147</v>
      </c>
      <c r="BK483" s="279">
        <f t="shared" si="59"/>
        <v>15.197024636523963</v>
      </c>
      <c r="BL483" s="279">
        <f t="shared" si="59"/>
        <v>15.206599437226457</v>
      </c>
      <c r="BM483" s="280">
        <f>AX483*$C$745</f>
        <v>15.216174237928941</v>
      </c>
      <c r="BN483" s="279">
        <f>BM483+($BR$483-$BM$483)/5</f>
        <v>15.225840274150585</v>
      </c>
      <c r="BO483" s="279">
        <f>BN483+($BR$483-$BM$483)/5</f>
        <v>15.235506310372228</v>
      </c>
      <c r="BP483" s="279">
        <f>BO483+($BR$483-$BM$483)/5</f>
        <v>15.245172346593872</v>
      </c>
      <c r="BQ483" s="279">
        <f>BP483+($BR$483-$BM$483)/5</f>
        <v>15.254838382815516</v>
      </c>
      <c r="BR483" s="280">
        <f>BM483*$D$745</f>
        <v>15.264504419037157</v>
      </c>
    </row>
    <row r="484" spans="1:70" x14ac:dyDescent="0.25">
      <c r="A484" s="300" t="s">
        <v>644</v>
      </c>
      <c r="B484" s="300"/>
      <c r="C484" s="300"/>
      <c r="D484" s="300"/>
      <c r="E484" s="300"/>
      <c r="F484" s="300"/>
      <c r="G484" s="300"/>
      <c r="H484" s="300"/>
      <c r="I484" s="300"/>
      <c r="J484" s="300"/>
      <c r="K484" s="300"/>
      <c r="L484" s="300"/>
      <c r="M484" s="300"/>
      <c r="N484" s="300"/>
      <c r="O484" s="300"/>
      <c r="P484" s="300"/>
      <c r="Q484" s="300"/>
      <c r="R484" s="300"/>
      <c r="S484" s="300"/>
      <c r="T484" s="300"/>
      <c r="U484" s="300"/>
      <c r="V484" s="300"/>
      <c r="W484" s="300"/>
      <c r="X484" s="300"/>
      <c r="Y484" s="300"/>
      <c r="Z484" s="300"/>
    </row>
    <row r="485" spans="1:70" x14ac:dyDescent="0.25">
      <c r="A485" s="300" t="s">
        <v>645</v>
      </c>
      <c r="B485" s="300"/>
      <c r="C485" s="300"/>
      <c r="D485" s="300"/>
      <c r="E485" s="300"/>
      <c r="F485" s="300"/>
      <c r="G485" s="300"/>
      <c r="H485" s="300"/>
      <c r="I485" s="300"/>
      <c r="J485" s="300"/>
      <c r="K485" s="300"/>
      <c r="L485" s="300"/>
      <c r="M485" s="300"/>
      <c r="N485" s="300"/>
      <c r="O485" s="300"/>
      <c r="P485" s="300"/>
      <c r="Q485" s="300"/>
      <c r="R485" s="300"/>
      <c r="S485" s="300"/>
      <c r="T485" s="300"/>
      <c r="U485" s="300"/>
      <c r="V485" s="300"/>
      <c r="W485" s="300"/>
      <c r="X485" s="300"/>
      <c r="Y485" s="300"/>
      <c r="Z485" s="300"/>
    </row>
    <row r="486" spans="1:70" x14ac:dyDescent="0.25">
      <c r="A486" s="300" t="s">
        <v>646</v>
      </c>
      <c r="B486" s="300"/>
      <c r="C486" s="300"/>
      <c r="D486" s="300"/>
      <c r="E486" s="300"/>
      <c r="F486" s="300"/>
      <c r="G486" s="300"/>
      <c r="H486" s="300"/>
      <c r="I486" s="300"/>
      <c r="J486" s="300"/>
      <c r="K486" s="300"/>
      <c r="L486" s="300"/>
      <c r="M486" s="300"/>
      <c r="N486" s="300"/>
      <c r="O486" s="300"/>
      <c r="P486" s="300"/>
      <c r="Q486" s="300"/>
      <c r="R486" s="300"/>
      <c r="S486" s="300"/>
      <c r="T486" s="300"/>
      <c r="U486" s="300"/>
      <c r="V486" s="300"/>
      <c r="W486" s="300"/>
      <c r="X486" s="300"/>
      <c r="Y486" s="300"/>
      <c r="Z486" s="300"/>
    </row>
    <row r="487" spans="1:70" ht="13.8" thickBot="1" x14ac:dyDescent="0.3">
      <c r="A487" s="300" t="s">
        <v>647</v>
      </c>
      <c r="B487" s="300"/>
      <c r="C487" s="300"/>
      <c r="D487" s="300"/>
      <c r="E487" s="300"/>
      <c r="F487" s="300"/>
      <c r="G487" s="300"/>
      <c r="H487" s="300"/>
      <c r="I487" s="300"/>
      <c r="J487" s="300"/>
      <c r="K487" s="300"/>
      <c r="L487" s="300"/>
      <c r="M487" s="300"/>
      <c r="N487" s="300"/>
      <c r="O487" s="300"/>
      <c r="P487" s="300"/>
      <c r="Q487" s="300"/>
      <c r="R487" s="300"/>
      <c r="S487" s="300"/>
      <c r="T487" s="300"/>
      <c r="U487" s="300"/>
      <c r="V487" s="300"/>
      <c r="W487" s="300"/>
      <c r="X487" s="300"/>
      <c r="Y487" s="300"/>
      <c r="Z487" s="300"/>
    </row>
    <row r="488" spans="1:70" ht="13.8" thickBot="1" x14ac:dyDescent="0.3">
      <c r="A488" s="300" t="s">
        <v>648</v>
      </c>
      <c r="B488" s="300"/>
      <c r="C488" s="300"/>
      <c r="D488" s="300"/>
      <c r="E488" s="300"/>
      <c r="F488" s="300"/>
      <c r="G488" s="300"/>
      <c r="H488" s="300"/>
      <c r="I488" s="300"/>
      <c r="J488" s="300"/>
      <c r="K488" s="300"/>
      <c r="L488" s="300"/>
      <c r="M488" s="300"/>
      <c r="N488" s="300"/>
      <c r="O488" s="300"/>
      <c r="P488" s="300"/>
      <c r="Q488" s="300"/>
      <c r="R488" s="300"/>
      <c r="S488" s="300"/>
      <c r="T488" s="300"/>
      <c r="U488" s="300"/>
      <c r="V488" s="300"/>
      <c r="W488" s="300"/>
      <c r="X488" s="300"/>
      <c r="Y488" s="300"/>
      <c r="Z488" s="300"/>
      <c r="AA488" s="281">
        <f>Z658+($AI$488-$Y$658)/10</f>
        <v>13.224797394153365</v>
      </c>
      <c r="AB488" s="281">
        <f t="shared" ref="AB488:AH488" si="60">AA488+($AI$488-$Y$658)/10</f>
        <v>13.589441040570847</v>
      </c>
      <c r="AC488" s="281">
        <f t="shared" si="60"/>
        <v>13.954084686988329</v>
      </c>
      <c r="AD488" s="281">
        <f t="shared" si="60"/>
        <v>14.318728333405812</v>
      </c>
      <c r="AE488" s="281">
        <f t="shared" si="60"/>
        <v>14.683371979823294</v>
      </c>
      <c r="AF488" s="281">
        <f t="shared" si="60"/>
        <v>15.048015626240776</v>
      </c>
      <c r="AG488" s="281">
        <f t="shared" si="60"/>
        <v>15.412659272658258</v>
      </c>
      <c r="AH488" s="281">
        <f t="shared" si="60"/>
        <v>15.777302919075741</v>
      </c>
      <c r="AI488" s="282">
        <f>T658*$E$744</f>
        <v>16.141946565493228</v>
      </c>
      <c r="AJ488" s="281">
        <f>AI488+($AX$488-$AI$488)/15</f>
        <v>16.312798018423909</v>
      </c>
      <c r="AK488" s="281">
        <f t="shared" ref="AK488:AW488" si="61">AJ488+($AX$488-$AI$488)/15</f>
        <v>16.483649471354589</v>
      </c>
      <c r="AL488" s="281">
        <f t="shared" si="61"/>
        <v>16.654500924285269</v>
      </c>
      <c r="AM488" s="281">
        <f t="shared" si="61"/>
        <v>16.82535237721595</v>
      </c>
      <c r="AN488" s="281">
        <f t="shared" si="61"/>
        <v>16.99620383014663</v>
      </c>
      <c r="AO488" s="281">
        <f t="shared" si="61"/>
        <v>17.16705528307731</v>
      </c>
      <c r="AP488" s="281">
        <f t="shared" si="61"/>
        <v>17.337906736007991</v>
      </c>
      <c r="AQ488" s="281">
        <f t="shared" si="61"/>
        <v>17.508758188938671</v>
      </c>
      <c r="AR488" s="281">
        <f t="shared" si="61"/>
        <v>17.679609641869352</v>
      </c>
      <c r="AS488" s="281">
        <f t="shared" si="61"/>
        <v>17.850461094800032</v>
      </c>
      <c r="AT488" s="281">
        <f t="shared" si="61"/>
        <v>18.021312547730712</v>
      </c>
      <c r="AU488" s="281">
        <f t="shared" si="61"/>
        <v>18.192164000661393</v>
      </c>
      <c r="AV488" s="281">
        <f t="shared" si="61"/>
        <v>18.363015453592073</v>
      </c>
      <c r="AW488" s="281">
        <f t="shared" si="61"/>
        <v>18.533866906522753</v>
      </c>
      <c r="AX488" s="282">
        <f>AI488*$B$744</f>
        <v>18.704718359453445</v>
      </c>
      <c r="AY488" s="281">
        <f>AX488+($BM$488-$AX$488)/15</f>
        <v>18.811222625087144</v>
      </c>
      <c r="AZ488" s="281">
        <f t="shared" ref="AZ488:BL488" si="62">AY488+($BM$488-$AX$488)/15</f>
        <v>18.917726890720843</v>
      </c>
      <c r="BA488" s="281">
        <f t="shared" si="62"/>
        <v>19.024231156354542</v>
      </c>
      <c r="BB488" s="281">
        <f t="shared" si="62"/>
        <v>19.130735421988241</v>
      </c>
      <c r="BC488" s="281">
        <f t="shared" si="62"/>
        <v>19.23723968762194</v>
      </c>
      <c r="BD488" s="281">
        <f t="shared" si="62"/>
        <v>19.34374395325564</v>
      </c>
      <c r="BE488" s="281">
        <f t="shared" si="62"/>
        <v>19.450248218889339</v>
      </c>
      <c r="BF488" s="281">
        <f t="shared" si="62"/>
        <v>19.556752484523038</v>
      </c>
      <c r="BG488" s="281">
        <f t="shared" si="62"/>
        <v>19.663256750156737</v>
      </c>
      <c r="BH488" s="281">
        <f t="shared" si="62"/>
        <v>19.769761015790436</v>
      </c>
      <c r="BI488" s="281">
        <f t="shared" si="62"/>
        <v>19.876265281424136</v>
      </c>
      <c r="BJ488" s="281">
        <f t="shared" si="62"/>
        <v>19.982769547057835</v>
      </c>
      <c r="BK488" s="281">
        <f t="shared" si="62"/>
        <v>20.089273812691534</v>
      </c>
      <c r="BL488" s="281">
        <f t="shared" si="62"/>
        <v>20.195778078325233</v>
      </c>
      <c r="BM488" s="282">
        <f>AX488*$C$744</f>
        <v>20.302282343958908</v>
      </c>
      <c r="BN488" s="281">
        <f>BM488+($BR$488-$BM$488)/5</f>
        <v>20.417883104696291</v>
      </c>
      <c r="BO488" s="281">
        <f>BN488+($BR$488-$BM$488)/5</f>
        <v>20.533483865433674</v>
      </c>
      <c r="BP488" s="281">
        <f>BO488+($BR$488-$BM$488)/5</f>
        <v>20.649084626171057</v>
      </c>
      <c r="BQ488" s="281">
        <f>BP488+($BR$488-$BM$488)/5</f>
        <v>20.76468538690844</v>
      </c>
      <c r="BR488" s="282">
        <f>BM488*$D$744</f>
        <v>20.880286147645826</v>
      </c>
    </row>
    <row r="489" spans="1:70" ht="13.8" thickBot="1" x14ac:dyDescent="0.3">
      <c r="A489" s="300" t="s">
        <v>649</v>
      </c>
      <c r="B489" s="300"/>
      <c r="C489" s="300"/>
      <c r="D489" s="300"/>
      <c r="E489" s="300"/>
      <c r="F489" s="300"/>
      <c r="G489" s="300"/>
      <c r="H489" s="300"/>
      <c r="I489" s="300"/>
      <c r="J489" s="300"/>
      <c r="K489" s="300"/>
      <c r="L489" s="300"/>
      <c r="M489" s="300"/>
      <c r="N489" s="300"/>
      <c r="O489" s="300"/>
      <c r="P489" s="300"/>
      <c r="Q489" s="300"/>
      <c r="R489" s="300"/>
      <c r="S489" s="300"/>
      <c r="T489" s="300"/>
      <c r="U489" s="300"/>
      <c r="V489" s="300"/>
      <c r="W489" s="300"/>
      <c r="X489" s="300"/>
      <c r="Y489" s="300"/>
      <c r="Z489" s="300"/>
    </row>
    <row r="490" spans="1:70" ht="13.8" thickBot="1" x14ac:dyDescent="0.3">
      <c r="A490" s="300" t="s">
        <v>650</v>
      </c>
      <c r="B490" s="300"/>
      <c r="C490" s="300"/>
      <c r="D490" s="300"/>
      <c r="E490" s="300"/>
      <c r="F490" s="300"/>
      <c r="G490" s="300"/>
      <c r="H490" s="300"/>
      <c r="I490" s="300"/>
      <c r="J490" s="300"/>
      <c r="K490" s="300"/>
      <c r="L490" s="300"/>
      <c r="M490" s="300"/>
      <c r="N490" s="300"/>
      <c r="O490" s="300"/>
      <c r="P490" s="300"/>
      <c r="Q490" s="300"/>
      <c r="R490" s="300"/>
      <c r="S490" s="300"/>
      <c r="T490" s="300"/>
      <c r="U490" s="300"/>
      <c r="V490" s="300"/>
      <c r="W490" s="300"/>
      <c r="X490" s="300"/>
      <c r="Y490" s="300"/>
      <c r="Z490" s="300"/>
      <c r="AA490" s="281">
        <f>Z660+($AI$490-$Y$660)/10</f>
        <v>15.4577980437679</v>
      </c>
      <c r="AB490" s="281">
        <f t="shared" ref="AB490:AH490" si="63">AA490+($AI$490-$Y$660)/10</f>
        <v>15.88385635596555</v>
      </c>
      <c r="AC490" s="281">
        <f t="shared" si="63"/>
        <v>16.309914668163202</v>
      </c>
      <c r="AD490" s="281">
        <f t="shared" si="63"/>
        <v>16.735972980360852</v>
      </c>
      <c r="AE490" s="281">
        <f t="shared" si="63"/>
        <v>17.162031292558503</v>
      </c>
      <c r="AF490" s="281">
        <f t="shared" si="63"/>
        <v>17.588089604756153</v>
      </c>
      <c r="AG490" s="281">
        <f t="shared" si="63"/>
        <v>18.014147916953803</v>
      </c>
      <c r="AH490" s="281">
        <f t="shared" si="63"/>
        <v>18.440206229151453</v>
      </c>
      <c r="AI490" s="282">
        <f>T660*$E$744</f>
        <v>18.866264541349103</v>
      </c>
      <c r="AJ490" s="281">
        <f>AI490+($AX$490-$AI$490)/15</f>
        <v>19.065951034869943</v>
      </c>
      <c r="AK490" s="281">
        <f t="shared" ref="AK490:AW490" si="64">AJ490+($AX$490-$AI$490)/15</f>
        <v>19.265637528390783</v>
      </c>
      <c r="AL490" s="281">
        <f t="shared" si="64"/>
        <v>19.465324021911623</v>
      </c>
      <c r="AM490" s="281">
        <f t="shared" si="64"/>
        <v>19.665010515432463</v>
      </c>
      <c r="AN490" s="281">
        <f t="shared" si="64"/>
        <v>19.864697008953303</v>
      </c>
      <c r="AO490" s="281">
        <f t="shared" si="64"/>
        <v>20.064383502474143</v>
      </c>
      <c r="AP490" s="281">
        <f t="shared" si="64"/>
        <v>20.264069995994983</v>
      </c>
      <c r="AQ490" s="281">
        <f t="shared" si="64"/>
        <v>20.463756489515823</v>
      </c>
      <c r="AR490" s="281">
        <f t="shared" si="64"/>
        <v>20.663442983036663</v>
      </c>
      <c r="AS490" s="281">
        <f t="shared" si="64"/>
        <v>20.863129476557503</v>
      </c>
      <c r="AT490" s="281">
        <f t="shared" si="64"/>
        <v>21.062815970078343</v>
      </c>
      <c r="AU490" s="281">
        <f t="shared" si="64"/>
        <v>21.262502463599183</v>
      </c>
      <c r="AV490" s="281">
        <f t="shared" si="64"/>
        <v>21.462188957120024</v>
      </c>
      <c r="AW490" s="281">
        <f t="shared" si="64"/>
        <v>21.661875450640864</v>
      </c>
      <c r="AX490" s="282">
        <f>AI490*$B$744</f>
        <v>21.861561944161682</v>
      </c>
      <c r="AY490" s="281">
        <f>AX490+($BM$490-$AX$490)/15</f>
        <v>21.986041209538687</v>
      </c>
      <c r="AZ490" s="281">
        <f t="shared" ref="AZ490:BL490" si="65">AY490+($BM$490-$AX$490)/15</f>
        <v>22.110520474915692</v>
      </c>
      <c r="BA490" s="281">
        <f t="shared" si="65"/>
        <v>22.234999740292697</v>
      </c>
      <c r="BB490" s="281">
        <f t="shared" si="65"/>
        <v>22.359479005669701</v>
      </c>
      <c r="BC490" s="281">
        <f t="shared" si="65"/>
        <v>22.483958271046706</v>
      </c>
      <c r="BD490" s="281">
        <f t="shared" si="65"/>
        <v>22.608437536423711</v>
      </c>
      <c r="BE490" s="281">
        <f t="shared" si="65"/>
        <v>22.732916801800716</v>
      </c>
      <c r="BF490" s="281">
        <f t="shared" si="65"/>
        <v>22.857396067177721</v>
      </c>
      <c r="BG490" s="281">
        <f t="shared" si="65"/>
        <v>22.981875332554726</v>
      </c>
      <c r="BH490" s="281">
        <f t="shared" si="65"/>
        <v>23.10635459793173</v>
      </c>
      <c r="BI490" s="281">
        <f t="shared" si="65"/>
        <v>23.230833863308735</v>
      </c>
      <c r="BJ490" s="281">
        <f t="shared" si="65"/>
        <v>23.35531312868574</v>
      </c>
      <c r="BK490" s="281">
        <f t="shared" si="65"/>
        <v>23.479792394062745</v>
      </c>
      <c r="BL490" s="281">
        <f t="shared" si="65"/>
        <v>23.60427165943975</v>
      </c>
      <c r="BM490" s="282">
        <f>AX490*$C$744</f>
        <v>23.728750924816747</v>
      </c>
      <c r="BN490" s="281">
        <f>BM490+($BR$490-$BM$490)/5</f>
        <v>23.863861924249427</v>
      </c>
      <c r="BO490" s="281">
        <f>BN490+($BR$490-$BM$490)/5</f>
        <v>23.998972923682107</v>
      </c>
      <c r="BP490" s="281">
        <f>BO490+($BR$490-$BM$490)/5</f>
        <v>24.134083923114787</v>
      </c>
      <c r="BQ490" s="281">
        <f>BP490+($BR$490-$BM$490)/5</f>
        <v>24.269194922547467</v>
      </c>
      <c r="BR490" s="282">
        <f>BM490*$D$744</f>
        <v>24.404305921980139</v>
      </c>
    </row>
    <row r="491" spans="1:70" x14ac:dyDescent="0.25">
      <c r="A491" s="300" t="s">
        <v>652</v>
      </c>
      <c r="B491" s="300"/>
      <c r="C491" s="300"/>
      <c r="D491" s="300"/>
      <c r="E491" s="300"/>
      <c r="F491" s="300"/>
      <c r="G491" s="300"/>
      <c r="H491" s="300"/>
      <c r="I491" s="300"/>
      <c r="J491" s="300"/>
      <c r="K491" s="300"/>
      <c r="L491" s="300"/>
      <c r="M491" s="300"/>
      <c r="N491" s="300"/>
      <c r="O491" s="300"/>
      <c r="P491" s="300"/>
      <c r="Q491" s="300"/>
      <c r="R491" s="300"/>
      <c r="S491" s="300"/>
      <c r="T491" s="300"/>
      <c r="U491" s="300"/>
      <c r="V491" s="300"/>
      <c r="W491" s="300"/>
      <c r="X491" s="300"/>
      <c r="Y491" s="300"/>
      <c r="Z491" s="300"/>
    </row>
    <row r="492" spans="1:70" x14ac:dyDescent="0.25">
      <c r="A492" s="300" t="s">
        <v>913</v>
      </c>
      <c r="B492" s="300"/>
      <c r="C492" s="300"/>
      <c r="D492" s="300"/>
      <c r="E492" s="300"/>
      <c r="F492" s="300"/>
      <c r="G492" s="300"/>
      <c r="H492" s="300"/>
      <c r="I492" s="300"/>
      <c r="J492" s="300"/>
      <c r="K492" s="300"/>
      <c r="L492" s="300"/>
      <c r="M492" s="300"/>
      <c r="N492" s="300"/>
      <c r="O492" s="300"/>
      <c r="P492" s="300"/>
      <c r="Q492" s="300"/>
      <c r="R492" s="300"/>
      <c r="S492" s="300"/>
      <c r="T492" s="300"/>
      <c r="U492" s="300"/>
      <c r="V492" s="300"/>
      <c r="W492" s="300"/>
      <c r="X492" s="300"/>
      <c r="Y492" s="300"/>
      <c r="Z492" s="300"/>
    </row>
    <row r="493" spans="1:70" ht="13.8" thickBot="1" x14ac:dyDescent="0.3">
      <c r="A493" s="300" t="s">
        <v>914</v>
      </c>
      <c r="B493" s="300"/>
      <c r="C493" s="300"/>
      <c r="D493" s="300"/>
      <c r="E493" s="300"/>
      <c r="F493" s="300"/>
      <c r="G493" s="300"/>
      <c r="H493" s="300"/>
      <c r="I493" s="300"/>
      <c r="J493" s="300"/>
      <c r="K493" s="300"/>
      <c r="L493" s="300"/>
      <c r="M493" s="300"/>
      <c r="N493" s="300"/>
      <c r="O493" s="300"/>
      <c r="P493" s="300"/>
      <c r="Q493" s="300"/>
      <c r="R493" s="300"/>
      <c r="S493" s="300"/>
      <c r="T493" s="300"/>
      <c r="U493" s="300"/>
      <c r="V493" s="300"/>
      <c r="W493" s="300"/>
      <c r="X493" s="300"/>
      <c r="Y493" s="300"/>
      <c r="Z493" s="300"/>
    </row>
    <row r="494" spans="1:70" ht="13.8" thickBot="1" x14ac:dyDescent="0.3">
      <c r="A494" s="300" t="s">
        <v>936</v>
      </c>
      <c r="B494" s="300"/>
      <c r="C494" s="300"/>
      <c r="D494" s="300"/>
      <c r="E494" s="300"/>
      <c r="F494" s="300"/>
      <c r="G494" s="300"/>
      <c r="H494" s="300"/>
      <c r="I494" s="300"/>
      <c r="J494" s="300"/>
      <c r="K494" s="300"/>
      <c r="L494" s="300"/>
      <c r="M494" s="300"/>
      <c r="N494" s="300"/>
      <c r="O494" s="300"/>
      <c r="P494" s="300"/>
      <c r="Q494" s="300"/>
      <c r="R494" s="300"/>
      <c r="S494" s="300"/>
      <c r="T494" s="300"/>
      <c r="U494" s="300"/>
      <c r="V494" s="300"/>
      <c r="W494" s="300"/>
      <c r="X494" s="300"/>
      <c r="Y494" s="300"/>
      <c r="Z494" s="300"/>
      <c r="AA494" s="283">
        <f>Z664+($AI$494-$Y$664)/10</f>
        <v>19.493346965415647</v>
      </c>
      <c r="AB494" s="283">
        <f t="shared" ref="AB494:AH494" si="66">AA494+($AI$494-$Y$664)/10</f>
        <v>19.39274662152437</v>
      </c>
      <c r="AC494" s="283">
        <f t="shared" si="66"/>
        <v>19.292146277633094</v>
      </c>
      <c r="AD494" s="283">
        <f t="shared" si="66"/>
        <v>19.191545933741818</v>
      </c>
      <c r="AE494" s="283">
        <f t="shared" si="66"/>
        <v>19.090945589850541</v>
      </c>
      <c r="AF494" s="283">
        <f t="shared" si="66"/>
        <v>18.990345245959265</v>
      </c>
      <c r="AG494" s="283">
        <f t="shared" si="66"/>
        <v>18.889744902067989</v>
      </c>
      <c r="AH494" s="283">
        <f t="shared" si="66"/>
        <v>18.789144558176712</v>
      </c>
      <c r="AI494" s="284">
        <f>T664*$E$747</f>
        <v>18.68854421428545</v>
      </c>
      <c r="AJ494" s="283">
        <f>AI494+($AX$494-$AI$494)/15</f>
        <v>18.700972398006513</v>
      </c>
      <c r="AK494" s="283">
        <f t="shared" ref="AK494:AW494" si="67">AJ494+($AX$494-$AI$494)/15</f>
        <v>18.713400581727576</v>
      </c>
      <c r="AL494" s="283">
        <f t="shared" si="67"/>
        <v>18.72582876544864</v>
      </c>
      <c r="AM494" s="283">
        <f t="shared" si="67"/>
        <v>18.738256949169703</v>
      </c>
      <c r="AN494" s="283">
        <f t="shared" si="67"/>
        <v>18.750685132890766</v>
      </c>
      <c r="AO494" s="283">
        <f t="shared" si="67"/>
        <v>18.763113316611829</v>
      </c>
      <c r="AP494" s="283">
        <f t="shared" si="67"/>
        <v>18.775541500332892</v>
      </c>
      <c r="AQ494" s="283">
        <f t="shared" si="67"/>
        <v>18.787969684053955</v>
      </c>
      <c r="AR494" s="283">
        <f t="shared" si="67"/>
        <v>18.800397867775018</v>
      </c>
      <c r="AS494" s="283">
        <f t="shared" si="67"/>
        <v>18.812826051496081</v>
      </c>
      <c r="AT494" s="283">
        <f t="shared" si="67"/>
        <v>18.825254235217145</v>
      </c>
      <c r="AU494" s="283">
        <f t="shared" si="67"/>
        <v>18.837682418938208</v>
      </c>
      <c r="AV494" s="283">
        <f t="shared" si="67"/>
        <v>18.850110602659271</v>
      </c>
      <c r="AW494" s="283">
        <f t="shared" si="67"/>
        <v>18.862538786380334</v>
      </c>
      <c r="AX494" s="284">
        <f>AI494*$B$747</f>
        <v>18.874966970101411</v>
      </c>
      <c r="AY494" s="283">
        <f>AX494+($BM$494-$AX$494)/15</f>
        <v>18.881381252955478</v>
      </c>
      <c r="AZ494" s="283">
        <f t="shared" ref="AZ494:BL494" si="68">AY494+($BM$494-$AX$494)/15</f>
        <v>18.887795535809545</v>
      </c>
      <c r="BA494" s="283">
        <f t="shared" si="68"/>
        <v>18.894209818663612</v>
      </c>
      <c r="BB494" s="283">
        <f t="shared" si="68"/>
        <v>18.900624101517678</v>
      </c>
      <c r="BC494" s="283">
        <f t="shared" si="68"/>
        <v>18.907038384371745</v>
      </c>
      <c r="BD494" s="283">
        <f t="shared" si="68"/>
        <v>18.913452667225812</v>
      </c>
      <c r="BE494" s="283">
        <f t="shared" si="68"/>
        <v>18.919866950079879</v>
      </c>
      <c r="BF494" s="283">
        <f t="shared" si="68"/>
        <v>18.926281232933945</v>
      </c>
      <c r="BG494" s="283">
        <f t="shared" si="68"/>
        <v>18.932695515788012</v>
      </c>
      <c r="BH494" s="283">
        <f t="shared" si="68"/>
        <v>18.939109798642079</v>
      </c>
      <c r="BI494" s="283">
        <f t="shared" si="68"/>
        <v>18.945524081496146</v>
      </c>
      <c r="BJ494" s="283">
        <f t="shared" si="68"/>
        <v>18.951938364350212</v>
      </c>
      <c r="BK494" s="283">
        <f t="shared" si="68"/>
        <v>18.958352647204279</v>
      </c>
      <c r="BL494" s="283">
        <f t="shared" si="68"/>
        <v>18.964766930058346</v>
      </c>
      <c r="BM494" s="284">
        <f>AX494*$C$747</f>
        <v>18.971181212912409</v>
      </c>
      <c r="BN494" s="283">
        <f>BM494+($BR$494-$BM$494)/5</f>
        <v>18.97762819226703</v>
      </c>
      <c r="BO494" s="283">
        <f>BN494+($BR$494-$BM$494)/5</f>
        <v>18.984075171621651</v>
      </c>
      <c r="BP494" s="283">
        <f>BO494+($BR$494-$BM$494)/5</f>
        <v>18.990522150976272</v>
      </c>
      <c r="BQ494" s="283">
        <f>BP494+($BR$494-$BM$494)/5</f>
        <v>18.996969130330893</v>
      </c>
      <c r="BR494" s="284">
        <f>BM494*$D$747</f>
        <v>19.003416109685507</v>
      </c>
    </row>
    <row r="495" spans="1:70" x14ac:dyDescent="0.25">
      <c r="A495" s="300" t="s">
        <v>937</v>
      </c>
      <c r="B495" s="300"/>
      <c r="C495" s="300"/>
      <c r="D495" s="300"/>
      <c r="E495" s="300"/>
      <c r="F495" s="300"/>
      <c r="G495" s="300"/>
      <c r="H495" s="300"/>
      <c r="I495" s="300"/>
      <c r="J495" s="300"/>
      <c r="K495" s="300"/>
      <c r="L495" s="300"/>
      <c r="M495" s="300"/>
      <c r="N495" s="300"/>
      <c r="O495" s="300"/>
      <c r="P495" s="300"/>
      <c r="Q495" s="300"/>
      <c r="R495" s="300"/>
      <c r="S495" s="300"/>
      <c r="T495" s="300"/>
      <c r="U495" s="300"/>
      <c r="V495" s="300"/>
      <c r="W495" s="300"/>
      <c r="X495" s="300"/>
      <c r="Y495" s="300"/>
      <c r="Z495" s="300"/>
    </row>
    <row r="496" spans="1:70" x14ac:dyDescent="0.25">
      <c r="A496" s="300" t="s">
        <v>958</v>
      </c>
      <c r="B496" s="300"/>
      <c r="C496" s="300"/>
      <c r="D496" s="300"/>
      <c r="E496" s="300"/>
      <c r="F496" s="300"/>
      <c r="G496" s="300"/>
      <c r="H496" s="300"/>
      <c r="I496" s="300"/>
      <c r="J496" s="300"/>
      <c r="K496" s="300"/>
      <c r="L496" s="300"/>
      <c r="M496" s="300"/>
      <c r="N496" s="300"/>
      <c r="O496" s="300"/>
      <c r="P496" s="300"/>
      <c r="Q496" s="300"/>
      <c r="R496" s="300"/>
      <c r="S496" s="300"/>
      <c r="T496" s="300"/>
      <c r="U496" s="300"/>
      <c r="V496" s="300"/>
      <c r="W496" s="300"/>
      <c r="X496" s="300"/>
      <c r="Y496" s="300"/>
      <c r="Z496" s="300"/>
    </row>
    <row r="499" spans="1:70" ht="13.8" thickBot="1" x14ac:dyDescent="0.3"/>
    <row r="500" spans="1:70" x14ac:dyDescent="0.25">
      <c r="A500" s="240" t="s">
        <v>432</v>
      </c>
      <c r="B500" s="241"/>
      <c r="C500" s="241"/>
      <c r="D500" s="242"/>
      <c r="E500" s="241"/>
      <c r="F500" s="241"/>
      <c r="G500" s="241"/>
      <c r="H500" s="241"/>
      <c r="I500" s="241"/>
      <c r="J500" s="241"/>
      <c r="K500" s="241"/>
      <c r="L500" s="241"/>
      <c r="M500" s="241"/>
      <c r="N500" s="241"/>
      <c r="O500" s="241"/>
      <c r="P500" s="241"/>
      <c r="Q500" s="241"/>
      <c r="R500" s="241"/>
      <c r="S500" s="241"/>
      <c r="T500" s="241"/>
      <c r="U500" s="241"/>
      <c r="V500" s="241"/>
      <c r="W500" s="241"/>
      <c r="X500" s="241"/>
      <c r="Y500" s="241"/>
    </row>
    <row r="501" spans="1:70" x14ac:dyDescent="0.25">
      <c r="A501" s="243" t="s">
        <v>433</v>
      </c>
      <c r="B501" s="244"/>
      <c r="C501" s="244"/>
      <c r="D501" s="244"/>
      <c r="E501" s="244"/>
      <c r="F501" s="244"/>
      <c r="G501" s="244"/>
      <c r="H501" s="244"/>
      <c r="I501" s="244"/>
      <c r="J501" s="244"/>
      <c r="K501" s="244"/>
      <c r="L501" s="244"/>
      <c r="M501" s="244"/>
      <c r="N501" s="244"/>
      <c r="O501" s="244"/>
      <c r="P501" s="244"/>
      <c r="Q501" s="244"/>
      <c r="R501" s="244"/>
      <c r="S501" s="244"/>
      <c r="T501" s="244"/>
      <c r="U501" s="244"/>
      <c r="V501" s="244"/>
      <c r="W501" s="244"/>
      <c r="X501" s="244"/>
      <c r="Y501" s="244"/>
    </row>
    <row r="502" spans="1:70" x14ac:dyDescent="0.25">
      <c r="A502" s="243" t="s">
        <v>846</v>
      </c>
      <c r="B502" s="244"/>
      <c r="C502" s="244"/>
      <c r="D502" s="244"/>
      <c r="E502" s="244"/>
      <c r="F502" s="244"/>
      <c r="G502" s="244"/>
      <c r="H502" s="244"/>
      <c r="I502" s="244"/>
      <c r="J502" s="244"/>
      <c r="K502" s="244"/>
      <c r="L502" s="244"/>
      <c r="M502" s="244"/>
      <c r="N502" s="244"/>
      <c r="O502" s="244"/>
      <c r="P502" s="244"/>
      <c r="Q502" s="244"/>
      <c r="R502" s="244"/>
      <c r="S502" s="244"/>
      <c r="T502" s="244"/>
      <c r="U502" s="244"/>
      <c r="V502" s="244"/>
      <c r="W502" s="244"/>
      <c r="X502" s="244"/>
      <c r="Y502" s="244"/>
    </row>
    <row r="503" spans="1:70" x14ac:dyDescent="0.25">
      <c r="A503" s="243" t="s">
        <v>847</v>
      </c>
      <c r="B503" s="244"/>
      <c r="C503" s="244"/>
      <c r="D503" s="244"/>
      <c r="E503" s="244"/>
      <c r="F503" s="244"/>
      <c r="G503" s="244"/>
      <c r="H503" s="244"/>
      <c r="I503" s="244"/>
      <c r="J503" s="244"/>
      <c r="K503" s="244"/>
      <c r="L503" s="244"/>
      <c r="M503" s="244"/>
      <c r="N503" s="244"/>
      <c r="O503" s="244"/>
      <c r="P503" s="244"/>
      <c r="Q503" s="244"/>
      <c r="R503" s="244"/>
      <c r="S503" s="244"/>
      <c r="T503" s="244"/>
      <c r="U503" s="244"/>
      <c r="V503" s="244"/>
      <c r="W503" s="244"/>
      <c r="X503" s="244"/>
      <c r="Y503" s="244"/>
    </row>
    <row r="504" spans="1:70" x14ac:dyDescent="0.25">
      <c r="A504" s="243" t="s">
        <v>434</v>
      </c>
      <c r="B504" s="244"/>
      <c r="C504" s="244"/>
      <c r="D504" s="244"/>
      <c r="E504" s="244"/>
      <c r="F504" s="244"/>
      <c r="G504" s="244"/>
      <c r="H504" s="244"/>
      <c r="I504" s="244"/>
      <c r="J504" s="244"/>
      <c r="K504" s="244"/>
      <c r="L504" s="244"/>
      <c r="M504" s="244"/>
      <c r="N504" s="244"/>
      <c r="O504" s="244"/>
      <c r="P504" s="244"/>
      <c r="Q504" s="244"/>
      <c r="R504" s="244"/>
      <c r="S504" s="244"/>
      <c r="T504" s="244"/>
      <c r="U504" s="244"/>
      <c r="V504" s="244"/>
      <c r="W504" s="244"/>
      <c r="X504" s="244"/>
      <c r="Y504" s="244"/>
    </row>
    <row r="505" spans="1:70" ht="13.8" thickBot="1" x14ac:dyDescent="0.3">
      <c r="A505" s="243" t="s">
        <v>435</v>
      </c>
      <c r="B505" s="244"/>
      <c r="C505" s="244"/>
      <c r="D505" s="244"/>
      <c r="E505" s="244"/>
      <c r="F505" s="244"/>
      <c r="G505" s="244"/>
      <c r="H505" s="244"/>
      <c r="I505" s="244"/>
      <c r="J505" s="244"/>
      <c r="K505" s="244"/>
      <c r="L505" s="244"/>
      <c r="M505" s="244"/>
      <c r="N505" s="244"/>
      <c r="O505" s="244"/>
      <c r="P505" s="244"/>
      <c r="Q505" s="244"/>
      <c r="R505" s="244"/>
      <c r="S505" s="244"/>
      <c r="T505" s="244"/>
      <c r="U505" s="244"/>
      <c r="V505" s="244"/>
      <c r="W505" s="244"/>
      <c r="X505" s="244"/>
      <c r="Y505" s="244"/>
    </row>
    <row r="506" spans="1:70" ht="13.8" thickBot="1" x14ac:dyDescent="0.3">
      <c r="A506" s="245" t="s">
        <v>436</v>
      </c>
      <c r="B506" s="244"/>
      <c r="C506" s="244"/>
      <c r="D506" s="244"/>
      <c r="E506" s="244"/>
      <c r="F506" s="244"/>
      <c r="G506" s="244"/>
      <c r="H506" s="244"/>
      <c r="I506" s="244"/>
      <c r="J506" s="244"/>
      <c r="K506" s="244"/>
      <c r="L506" s="244"/>
      <c r="M506" s="244"/>
      <c r="N506" s="244"/>
      <c r="O506" s="244"/>
      <c r="P506" s="244"/>
      <c r="Q506" s="244"/>
      <c r="R506" s="244"/>
      <c r="S506" s="244"/>
      <c r="T506" s="244"/>
      <c r="U506" s="244"/>
      <c r="V506" s="244"/>
      <c r="W506" s="244"/>
      <c r="X506" s="244"/>
      <c r="Y506" s="244"/>
      <c r="AA506" s="277">
        <f>Z676+($AI$506-$Y$676)/10</f>
        <v>5.5529965108452508</v>
      </c>
      <c r="AB506" s="277">
        <f t="shared" ref="AB506:AH506" si="69">AA506+($AI$506-$Y$676)/10</f>
        <v>5.5809474506703411</v>
      </c>
      <c r="AC506" s="277">
        <f t="shared" si="69"/>
        <v>5.6088983904954315</v>
      </c>
      <c r="AD506" s="277">
        <f t="shared" si="69"/>
        <v>5.6368493303205218</v>
      </c>
      <c r="AE506" s="277">
        <f t="shared" si="69"/>
        <v>5.6648002701456122</v>
      </c>
      <c r="AF506" s="277">
        <f t="shared" si="69"/>
        <v>5.6927512099707025</v>
      </c>
      <c r="AG506" s="277">
        <f t="shared" si="69"/>
        <v>5.7207021497957928</v>
      </c>
      <c r="AH506" s="277">
        <f t="shared" si="69"/>
        <v>5.7486530896208832</v>
      </c>
      <c r="AI506" s="278">
        <f>T676*$E$742</f>
        <v>5.77660402944597</v>
      </c>
      <c r="AJ506" s="277">
        <f>AI506+($AX$506-$AI$506)/15</f>
        <v>5.8419909425225587</v>
      </c>
      <c r="AK506" s="277">
        <f t="shared" ref="AK506:AW506" si="70">AJ506+($AX$506-$AI$506)/15</f>
        <v>5.9073778555991474</v>
      </c>
      <c r="AL506" s="277">
        <f t="shared" si="70"/>
        <v>5.9727647686757361</v>
      </c>
      <c r="AM506" s="277">
        <f t="shared" si="70"/>
        <v>6.0381516817523249</v>
      </c>
      <c r="AN506" s="277">
        <f t="shared" si="70"/>
        <v>6.1035385948289136</v>
      </c>
      <c r="AO506" s="277">
        <f t="shared" si="70"/>
        <v>6.1689255079055023</v>
      </c>
      <c r="AP506" s="277">
        <f t="shared" si="70"/>
        <v>6.234312420982091</v>
      </c>
      <c r="AQ506" s="277">
        <f t="shared" si="70"/>
        <v>6.2996993340586798</v>
      </c>
      <c r="AR506" s="277">
        <f t="shared" si="70"/>
        <v>6.3650862471352685</v>
      </c>
      <c r="AS506" s="277">
        <f t="shared" si="70"/>
        <v>6.4304731602118572</v>
      </c>
      <c r="AT506" s="277">
        <f t="shared" si="70"/>
        <v>6.4958600732884459</v>
      </c>
      <c r="AU506" s="277">
        <f t="shared" si="70"/>
        <v>6.5612469863650347</v>
      </c>
      <c r="AV506" s="277">
        <f t="shared" si="70"/>
        <v>6.6266338994416234</v>
      </c>
      <c r="AW506" s="277">
        <f t="shared" si="70"/>
        <v>6.6920208125182121</v>
      </c>
      <c r="AX506" s="278">
        <f>AI506*$B$742</f>
        <v>6.7574077255948062</v>
      </c>
      <c r="AY506" s="277">
        <f>AX506+($BM$506-$AX$506)/15</f>
        <v>6.8243179096825601</v>
      </c>
      <c r="AZ506" s="277">
        <f t="shared" ref="AZ506:BL506" si="71">AY506+($BM$506-$AX$506)/15</f>
        <v>6.8912280937703141</v>
      </c>
      <c r="BA506" s="277">
        <f t="shared" si="71"/>
        <v>6.958138277858068</v>
      </c>
      <c r="BB506" s="277">
        <f t="shared" si="71"/>
        <v>7.025048461945822</v>
      </c>
      <c r="BC506" s="277">
        <f t="shared" si="71"/>
        <v>7.091958646033576</v>
      </c>
      <c r="BD506" s="277">
        <f t="shared" si="71"/>
        <v>7.1588688301213299</v>
      </c>
      <c r="BE506" s="277">
        <f t="shared" si="71"/>
        <v>7.2257790142090839</v>
      </c>
      <c r="BF506" s="277">
        <f t="shared" si="71"/>
        <v>7.2926891982968378</v>
      </c>
      <c r="BG506" s="277">
        <f t="shared" si="71"/>
        <v>7.3595993823845918</v>
      </c>
      <c r="BH506" s="277">
        <f t="shared" si="71"/>
        <v>7.4265095664723457</v>
      </c>
      <c r="BI506" s="277">
        <f t="shared" si="71"/>
        <v>7.4934197505600997</v>
      </c>
      <c r="BJ506" s="277">
        <f t="shared" si="71"/>
        <v>7.5603299346478536</v>
      </c>
      <c r="BK506" s="277">
        <f t="shared" si="71"/>
        <v>7.6272401187356076</v>
      </c>
      <c r="BL506" s="277">
        <f t="shared" si="71"/>
        <v>7.6941503028233615</v>
      </c>
      <c r="BM506" s="278">
        <f>AX506*$C$742</f>
        <v>7.7610604869111093</v>
      </c>
      <c r="BN506" s="277">
        <f>BM506+($BR$506-$BM$506)/5</f>
        <v>7.8379085930167243</v>
      </c>
      <c r="BO506" s="277">
        <f>BN506+($BR$506-$BM$506)/5</f>
        <v>7.9147566991223393</v>
      </c>
      <c r="BP506" s="277">
        <f>BO506+($BR$506-$BM$506)/5</f>
        <v>7.9916048052279542</v>
      </c>
      <c r="BQ506" s="277">
        <f>BP506+($BR$506-$BM$506)/5</f>
        <v>8.0684529113335692</v>
      </c>
      <c r="BR506" s="278">
        <f>BM506*$D$742</f>
        <v>8.1453010174391842</v>
      </c>
    </row>
    <row r="507" spans="1:70" ht="13.8" thickBot="1" x14ac:dyDescent="0.3">
      <c r="A507" s="243"/>
      <c r="B507" s="244"/>
      <c r="C507" s="244"/>
      <c r="D507" s="244"/>
      <c r="E507" s="244"/>
      <c r="F507" s="244"/>
      <c r="G507" s="244"/>
      <c r="H507" s="244"/>
      <c r="I507" s="244"/>
      <c r="J507" s="244"/>
      <c r="K507" s="244"/>
      <c r="L507" s="244"/>
      <c r="M507" s="244"/>
      <c r="N507" s="244"/>
      <c r="O507" s="244"/>
      <c r="P507" s="244"/>
      <c r="Q507" s="244"/>
      <c r="R507" s="244"/>
      <c r="S507" s="244"/>
      <c r="T507" s="244"/>
      <c r="U507" s="244"/>
      <c r="V507" s="244"/>
      <c r="W507" s="244"/>
      <c r="X507" s="244"/>
      <c r="Y507" s="244"/>
      <c r="AA507" s="285">
        <f>Z677+($AI$507-$Y$677)/10</f>
        <v>1.3364941226202385</v>
      </c>
      <c r="AB507" s="285">
        <f t="shared" ref="AB507:AH507" si="72">AA507+($AI$507-$Y$677)/10</f>
        <v>1.3402060190972878</v>
      </c>
      <c r="AC507" s="285">
        <f t="shared" si="72"/>
        <v>1.343917915574337</v>
      </c>
      <c r="AD507" s="285">
        <f t="shared" si="72"/>
        <v>1.3476298120513863</v>
      </c>
      <c r="AE507" s="285">
        <f t="shared" si="72"/>
        <v>1.3513417085284356</v>
      </c>
      <c r="AF507" s="285">
        <f t="shared" si="72"/>
        <v>1.3550536050054849</v>
      </c>
      <c r="AG507" s="285">
        <f t="shared" si="72"/>
        <v>1.3587655014825342</v>
      </c>
      <c r="AH507" s="285">
        <f t="shared" si="72"/>
        <v>1.3624773979595834</v>
      </c>
      <c r="AI507" s="286">
        <f>T677*$E$740</f>
        <v>1.3661892944366323</v>
      </c>
      <c r="AJ507" s="285">
        <f>AI507+($AX$507-$AI$507)/15</f>
        <v>1.3701947313799723</v>
      </c>
      <c r="AK507" s="285">
        <f t="shared" ref="AK507:AW507" si="73">AJ507+($AX$507-$AI$507)/15</f>
        <v>1.3742001683233123</v>
      </c>
      <c r="AL507" s="285">
        <f t="shared" si="73"/>
        <v>1.3782056052666523</v>
      </c>
      <c r="AM507" s="285">
        <f t="shared" si="73"/>
        <v>1.3822110422099922</v>
      </c>
      <c r="AN507" s="285">
        <f t="shared" si="73"/>
        <v>1.3862164791533322</v>
      </c>
      <c r="AO507" s="285">
        <f t="shared" si="73"/>
        <v>1.3902219160966722</v>
      </c>
      <c r="AP507" s="285">
        <f t="shared" si="73"/>
        <v>1.3942273530400122</v>
      </c>
      <c r="AQ507" s="285">
        <f t="shared" si="73"/>
        <v>1.3982327899833522</v>
      </c>
      <c r="AR507" s="285">
        <f t="shared" si="73"/>
        <v>1.4022382269266922</v>
      </c>
      <c r="AS507" s="285">
        <f t="shared" si="73"/>
        <v>1.4062436638700322</v>
      </c>
      <c r="AT507" s="285">
        <f t="shared" si="73"/>
        <v>1.4102491008133722</v>
      </c>
      <c r="AU507" s="285">
        <f t="shared" si="73"/>
        <v>1.4142545377567122</v>
      </c>
      <c r="AV507" s="285">
        <f t="shared" si="73"/>
        <v>1.4182599747000522</v>
      </c>
      <c r="AW507" s="285">
        <f t="shared" si="73"/>
        <v>1.4222654116433922</v>
      </c>
      <c r="AX507" s="286">
        <f>AI507*$B$740</f>
        <v>1.4262708485867317</v>
      </c>
      <c r="AY507" s="285">
        <f>AX507+($BM$507-$AX$507)/15</f>
        <v>1.428975877834666</v>
      </c>
      <c r="AZ507" s="285">
        <f t="shared" ref="AZ507:BL507" si="74">AY507+($BM$507-$AX$507)/15</f>
        <v>1.4316809070826002</v>
      </c>
      <c r="BA507" s="285">
        <f t="shared" si="74"/>
        <v>1.4343859363305345</v>
      </c>
      <c r="BB507" s="285">
        <f t="shared" si="74"/>
        <v>1.4370909655784687</v>
      </c>
      <c r="BC507" s="285">
        <f t="shared" si="74"/>
        <v>1.439795994826403</v>
      </c>
      <c r="BD507" s="285">
        <f t="shared" si="74"/>
        <v>1.4425010240743372</v>
      </c>
      <c r="BE507" s="285">
        <f t="shared" si="74"/>
        <v>1.4452060533222715</v>
      </c>
      <c r="BF507" s="285">
        <f t="shared" si="74"/>
        <v>1.4479110825702057</v>
      </c>
      <c r="BG507" s="285">
        <f t="shared" si="74"/>
        <v>1.45061611181814</v>
      </c>
      <c r="BH507" s="285">
        <f t="shared" si="74"/>
        <v>1.4533211410660742</v>
      </c>
      <c r="BI507" s="285">
        <f t="shared" si="74"/>
        <v>1.4560261703140085</v>
      </c>
      <c r="BJ507" s="285">
        <f t="shared" si="74"/>
        <v>1.4587311995619427</v>
      </c>
      <c r="BK507" s="285">
        <f t="shared" si="74"/>
        <v>1.461436228809877</v>
      </c>
      <c r="BL507" s="285">
        <f t="shared" si="74"/>
        <v>1.4641412580578113</v>
      </c>
      <c r="BM507" s="286">
        <f>AX507*$C$740</f>
        <v>1.4668462873057471</v>
      </c>
      <c r="BN507" s="285">
        <f>BM507+($BR$507-$BM$507)/5</f>
        <v>1.4696282709053681</v>
      </c>
      <c r="BO507" s="285">
        <f>BN507+($BR$507-$BM$507)/5</f>
        <v>1.4724102545049891</v>
      </c>
      <c r="BP507" s="285">
        <f>BO507+($BR$507-$BM$507)/5</f>
        <v>1.4751922381046101</v>
      </c>
      <c r="BQ507" s="285">
        <f>BP507+($BR$507-$BM$507)/5</f>
        <v>1.4779742217042311</v>
      </c>
      <c r="BR507" s="286">
        <f>BM507*$D$740</f>
        <v>1.4807562053038525</v>
      </c>
    </row>
    <row r="508" spans="1:70" x14ac:dyDescent="0.25">
      <c r="A508" s="246" t="s">
        <v>437</v>
      </c>
      <c r="B508" s="244"/>
      <c r="C508" s="244"/>
      <c r="D508" s="244"/>
      <c r="E508" s="244"/>
      <c r="F508" s="244"/>
      <c r="G508" s="244"/>
      <c r="H508" s="244"/>
      <c r="I508" s="244"/>
      <c r="J508" s="244"/>
      <c r="K508" s="244"/>
      <c r="L508" s="244"/>
      <c r="M508" s="244"/>
      <c r="N508" s="244"/>
      <c r="O508" s="244"/>
      <c r="P508" s="244"/>
      <c r="Q508" s="244"/>
      <c r="R508" s="244"/>
      <c r="S508" s="244"/>
      <c r="T508" s="244"/>
      <c r="U508" s="244"/>
      <c r="V508" s="244"/>
      <c r="W508" s="244"/>
      <c r="X508" s="244"/>
      <c r="Y508" s="244"/>
    </row>
    <row r="509" spans="1:70" x14ac:dyDescent="0.25">
      <c r="A509" s="246" t="s">
        <v>438</v>
      </c>
      <c r="B509" s="244"/>
      <c r="C509" s="244"/>
      <c r="D509" s="244"/>
      <c r="E509" s="244"/>
      <c r="F509" s="244"/>
      <c r="G509" s="244"/>
      <c r="H509" s="244"/>
      <c r="I509" s="244"/>
      <c r="J509" s="244"/>
      <c r="K509" s="244"/>
      <c r="L509" s="244"/>
      <c r="M509" s="244"/>
      <c r="N509" s="244"/>
      <c r="O509" s="244"/>
      <c r="P509" s="244"/>
      <c r="Q509" s="244"/>
      <c r="R509" s="244"/>
      <c r="S509" s="244"/>
      <c r="T509" s="244"/>
      <c r="U509" s="244"/>
      <c r="V509" s="244"/>
      <c r="W509" s="244"/>
      <c r="X509" s="244"/>
      <c r="Y509" s="244"/>
    </row>
    <row r="510" spans="1:70" x14ac:dyDescent="0.25">
      <c r="A510" s="246"/>
      <c r="B510" s="244"/>
      <c r="C510" s="244"/>
      <c r="D510" s="244"/>
      <c r="E510" s="244"/>
      <c r="F510" s="244"/>
      <c r="G510" s="244"/>
      <c r="H510" s="244"/>
      <c r="I510" s="244"/>
      <c r="J510" s="244"/>
      <c r="K510" s="244"/>
      <c r="L510" s="244"/>
      <c r="M510" s="244"/>
      <c r="N510" s="244"/>
      <c r="O510" s="244"/>
      <c r="P510" s="244"/>
      <c r="Q510" s="244"/>
      <c r="R510" s="244"/>
      <c r="S510" s="244"/>
      <c r="T510" s="244"/>
      <c r="U510" s="244"/>
      <c r="V510" s="244"/>
      <c r="W510" s="244"/>
      <c r="X510" s="244"/>
      <c r="Y510" s="244"/>
    </row>
    <row r="511" spans="1:70" x14ac:dyDescent="0.25">
      <c r="A511" s="243" t="s">
        <v>430</v>
      </c>
      <c r="B511" s="244" t="s">
        <v>439</v>
      </c>
      <c r="C511" s="244" t="s">
        <v>440</v>
      </c>
      <c r="D511" s="244" t="s">
        <v>441</v>
      </c>
      <c r="E511" s="244" t="s">
        <v>442</v>
      </c>
      <c r="F511" s="244" t="s">
        <v>443</v>
      </c>
      <c r="G511" s="244" t="s">
        <v>444</v>
      </c>
      <c r="H511" s="244" t="s">
        <v>445</v>
      </c>
      <c r="I511" s="244" t="s">
        <v>446</v>
      </c>
      <c r="J511" s="244" t="s">
        <v>447</v>
      </c>
      <c r="K511" s="244" t="s">
        <v>448</v>
      </c>
      <c r="L511" s="244" t="s">
        <v>449</v>
      </c>
      <c r="M511" s="244" t="s">
        <v>450</v>
      </c>
      <c r="N511" s="244" t="s">
        <v>451</v>
      </c>
      <c r="O511" s="244" t="s">
        <v>452</v>
      </c>
      <c r="P511" s="244" t="s">
        <v>453</v>
      </c>
      <c r="Q511" s="244" t="s">
        <v>454</v>
      </c>
      <c r="R511" s="244" t="s">
        <v>455</v>
      </c>
      <c r="S511" s="244" t="s">
        <v>456</v>
      </c>
      <c r="T511" s="244" t="s">
        <v>457</v>
      </c>
      <c r="U511" s="244" t="s">
        <v>458</v>
      </c>
      <c r="V511" s="244" t="s">
        <v>459</v>
      </c>
      <c r="W511" s="244" t="s">
        <v>460</v>
      </c>
      <c r="X511" s="244" t="s">
        <v>461</v>
      </c>
      <c r="Y511" s="244" t="s">
        <v>462</v>
      </c>
      <c r="Z511">
        <v>2026</v>
      </c>
    </row>
    <row r="512" spans="1:70" x14ac:dyDescent="0.25">
      <c r="A512" s="243" t="s">
        <v>430</v>
      </c>
      <c r="B512" s="244" t="s">
        <v>430</v>
      </c>
      <c r="C512" s="244" t="s">
        <v>430</v>
      </c>
      <c r="D512" s="244" t="s">
        <v>430</v>
      </c>
      <c r="E512" s="244" t="s">
        <v>430</v>
      </c>
      <c r="F512" s="244" t="s">
        <v>430</v>
      </c>
      <c r="G512" s="244" t="s">
        <v>430</v>
      </c>
      <c r="H512" s="244" t="s">
        <v>430</v>
      </c>
      <c r="I512" s="244" t="s">
        <v>430</v>
      </c>
      <c r="J512" s="244" t="s">
        <v>430</v>
      </c>
      <c r="K512" s="244" t="s">
        <v>430</v>
      </c>
      <c r="L512" s="244" t="s">
        <v>430</v>
      </c>
      <c r="M512" s="244" t="s">
        <v>430</v>
      </c>
      <c r="N512" s="244" t="s">
        <v>430</v>
      </c>
      <c r="O512" s="244" t="s">
        <v>430</v>
      </c>
      <c r="P512" s="244" t="s">
        <v>430</v>
      </c>
      <c r="Q512" s="244" t="s">
        <v>430</v>
      </c>
      <c r="R512" s="244" t="s">
        <v>430</v>
      </c>
      <c r="S512" s="244" t="s">
        <v>430</v>
      </c>
      <c r="T512" s="244" t="s">
        <v>430</v>
      </c>
      <c r="U512" s="244" t="s">
        <v>430</v>
      </c>
      <c r="V512" s="244" t="s">
        <v>430</v>
      </c>
      <c r="W512" s="244" t="s">
        <v>430</v>
      </c>
      <c r="X512" s="244" t="s">
        <v>430</v>
      </c>
      <c r="Y512" s="244" t="s">
        <v>430</v>
      </c>
    </row>
    <row r="513" spans="1:26" x14ac:dyDescent="0.25">
      <c r="A513" s="243" t="s">
        <v>430</v>
      </c>
      <c r="B513" s="244" t="s">
        <v>430</v>
      </c>
      <c r="C513" s="244" t="s">
        <v>430</v>
      </c>
      <c r="D513" s="244" t="s">
        <v>430</v>
      </c>
      <c r="E513" s="244" t="s">
        <v>430</v>
      </c>
      <c r="F513" s="244" t="s">
        <v>430</v>
      </c>
      <c r="G513" s="244" t="s">
        <v>430</v>
      </c>
      <c r="H513" s="244" t="s">
        <v>430</v>
      </c>
      <c r="I513" s="244" t="s">
        <v>430</v>
      </c>
      <c r="J513" s="244" t="s">
        <v>430</v>
      </c>
      <c r="K513" s="244" t="s">
        <v>430</v>
      </c>
      <c r="L513" s="244" t="s">
        <v>430</v>
      </c>
      <c r="M513" s="244" t="s">
        <v>430</v>
      </c>
      <c r="N513" s="244" t="s">
        <v>430</v>
      </c>
      <c r="O513" s="244" t="s">
        <v>430</v>
      </c>
      <c r="P513" s="244" t="s">
        <v>430</v>
      </c>
      <c r="Q513" s="244" t="s">
        <v>430</v>
      </c>
      <c r="R513" s="244" t="s">
        <v>430</v>
      </c>
      <c r="S513" s="244" t="s">
        <v>430</v>
      </c>
      <c r="T513" s="244" t="s">
        <v>430</v>
      </c>
      <c r="U513" s="244" t="s">
        <v>430</v>
      </c>
      <c r="V513" s="244" t="s">
        <v>430</v>
      </c>
      <c r="W513" s="244" t="s">
        <v>430</v>
      </c>
      <c r="X513" s="244" t="s">
        <v>430</v>
      </c>
      <c r="Y513" s="244" t="s">
        <v>430</v>
      </c>
    </row>
    <row r="514" spans="1:26" x14ac:dyDescent="0.25">
      <c r="A514" s="243" t="s">
        <v>463</v>
      </c>
      <c r="B514" s="247">
        <v>15.0220499038696</v>
      </c>
      <c r="C514" s="247">
        <v>15.811363220214799</v>
      </c>
      <c r="D514" s="247">
        <v>16.4251308441162</v>
      </c>
      <c r="E514" s="247">
        <v>16.464759826660199</v>
      </c>
      <c r="F514" s="247">
        <v>15.680528640747101</v>
      </c>
      <c r="G514" s="247">
        <v>15.0112085342407</v>
      </c>
      <c r="H514" s="247">
        <v>14.5817928314209</v>
      </c>
      <c r="I514" s="247">
        <v>14.458288192749</v>
      </c>
      <c r="J514" s="247">
        <v>14.326377868652299</v>
      </c>
      <c r="K514" s="247">
        <v>14.293612480163601</v>
      </c>
      <c r="L514" s="247">
        <v>14.4205980300903</v>
      </c>
      <c r="M514" s="247">
        <v>14.6031141281128</v>
      </c>
      <c r="N514" s="247">
        <v>14.8352861404419</v>
      </c>
      <c r="O514" s="247">
        <v>14.979790687561</v>
      </c>
      <c r="P514" s="247">
        <v>15.0010738372803</v>
      </c>
      <c r="Q514" s="247">
        <v>15.073490142822299</v>
      </c>
      <c r="R514" s="247">
        <v>15.2468109130859</v>
      </c>
      <c r="S514" s="247">
        <v>15.482013702392599</v>
      </c>
      <c r="T514" s="247">
        <v>15.6422672271729</v>
      </c>
      <c r="U514" s="247">
        <v>15.809124946594199</v>
      </c>
      <c r="V514" s="247">
        <v>15.869408607482899</v>
      </c>
      <c r="W514" s="247">
        <v>15.910493850708001</v>
      </c>
      <c r="X514" s="247">
        <v>16.000511169433601</v>
      </c>
      <c r="Y514" s="247">
        <v>16.127393722534201</v>
      </c>
    </row>
    <row r="515" spans="1:26" x14ac:dyDescent="0.25">
      <c r="A515" s="243" t="s">
        <v>464</v>
      </c>
      <c r="B515" s="247">
        <v>8.3285751342773402</v>
      </c>
      <c r="C515" s="247">
        <v>9.67810153961182</v>
      </c>
      <c r="D515" s="247">
        <v>10.6516561508179</v>
      </c>
      <c r="E515" s="247">
        <v>10.5737972259521</v>
      </c>
      <c r="F515" s="247">
        <v>9.7301187515258807</v>
      </c>
      <c r="G515" s="247">
        <v>9.2126417160034197</v>
      </c>
      <c r="H515" s="247">
        <v>8.7946681976318395</v>
      </c>
      <c r="I515" s="247">
        <v>8.5506849288940394</v>
      </c>
      <c r="J515" s="247">
        <v>8.3542766571044904</v>
      </c>
      <c r="K515" s="247">
        <v>8.2684001922607404</v>
      </c>
      <c r="L515" s="247">
        <v>8.3419942855834996</v>
      </c>
      <c r="M515" s="247">
        <v>8.4596767425537092</v>
      </c>
      <c r="N515" s="247">
        <v>8.6078786849975604</v>
      </c>
      <c r="O515" s="247">
        <v>8.7398357391357404</v>
      </c>
      <c r="P515" s="247">
        <v>8.7483062744140607</v>
      </c>
      <c r="Q515" s="247">
        <v>8.7686567306518608</v>
      </c>
      <c r="R515" s="247">
        <v>8.8867673873901403</v>
      </c>
      <c r="S515" s="247">
        <v>9.0631914138793892</v>
      </c>
      <c r="T515" s="247">
        <v>9.2055320739746094</v>
      </c>
      <c r="U515" s="247">
        <v>9.3421277999877894</v>
      </c>
      <c r="V515" s="247">
        <v>9.4150266647338903</v>
      </c>
      <c r="W515" s="247">
        <v>9.4582109451293892</v>
      </c>
      <c r="X515" s="247">
        <v>9.5390539169311506</v>
      </c>
      <c r="Y515" s="247">
        <v>9.6245632171630895</v>
      </c>
    </row>
    <row r="516" spans="1:26" x14ac:dyDescent="0.25">
      <c r="A516" s="243" t="s">
        <v>465</v>
      </c>
      <c r="B516" s="247">
        <v>10.0436496734619</v>
      </c>
      <c r="C516" s="247">
        <v>11.266843795776399</v>
      </c>
      <c r="D516" s="247">
        <v>13.0600261688232</v>
      </c>
      <c r="E516" s="247">
        <v>12.5262813568115</v>
      </c>
      <c r="F516" s="247">
        <v>11.260459899902299</v>
      </c>
      <c r="G516" s="247">
        <v>10.814398765564</v>
      </c>
      <c r="H516" s="247">
        <v>10.6458578109741</v>
      </c>
      <c r="I516" s="247">
        <v>10.453662872314499</v>
      </c>
      <c r="J516" s="247">
        <v>10.443992614746101</v>
      </c>
      <c r="K516" s="247">
        <v>10.420529365539601</v>
      </c>
      <c r="L516" s="247">
        <v>10.4911556243896</v>
      </c>
      <c r="M516" s="247">
        <v>10.5971431732178</v>
      </c>
      <c r="N516" s="247">
        <v>10.650529861450201</v>
      </c>
      <c r="O516" s="247">
        <v>10.7566242218018</v>
      </c>
      <c r="P516" s="247">
        <v>10.8697347640991</v>
      </c>
      <c r="Q516" s="247">
        <v>10.955939292907701</v>
      </c>
      <c r="R516" s="247">
        <v>11.0780487060547</v>
      </c>
      <c r="S516" s="247">
        <v>11.222780227661101</v>
      </c>
      <c r="T516" s="247">
        <v>11.364427566528301</v>
      </c>
      <c r="U516" s="247">
        <v>11.5109758377075</v>
      </c>
      <c r="V516" s="247">
        <v>11.6184797286987</v>
      </c>
      <c r="W516" s="247">
        <v>11.7467203140259</v>
      </c>
      <c r="X516" s="247">
        <v>11.8437652587891</v>
      </c>
      <c r="Y516" s="247">
        <v>11.9311771392822</v>
      </c>
    </row>
    <row r="517" spans="1:26" x14ac:dyDescent="0.25">
      <c r="A517" s="243" t="s">
        <v>466</v>
      </c>
      <c r="B517" s="247">
        <v>8.3698368072509801</v>
      </c>
      <c r="C517" s="247">
        <v>9.5702075958252006</v>
      </c>
      <c r="D517" s="247">
        <v>10.537187576293899</v>
      </c>
      <c r="E517" s="247">
        <v>10.120927810668899</v>
      </c>
      <c r="F517" s="247">
        <v>9.0704116821289098</v>
      </c>
      <c r="G517" s="247">
        <v>8.6811342239379901</v>
      </c>
      <c r="H517" s="247">
        <v>8.4951152801513707</v>
      </c>
      <c r="I517" s="247">
        <v>8.3145399093627894</v>
      </c>
      <c r="J517" s="247">
        <v>8.2864685058593803</v>
      </c>
      <c r="K517" s="247">
        <v>8.2537784576415998</v>
      </c>
      <c r="L517" s="247">
        <v>8.2966070175170898</v>
      </c>
      <c r="M517" s="247">
        <v>8.3739995956420898</v>
      </c>
      <c r="N517" s="247">
        <v>8.4385089874267596</v>
      </c>
      <c r="O517" s="247">
        <v>8.4884243011474592</v>
      </c>
      <c r="P517" s="247">
        <v>8.5346355438232404</v>
      </c>
      <c r="Q517" s="247">
        <v>8.5863618850708008</v>
      </c>
      <c r="R517" s="247">
        <v>8.7058753967285192</v>
      </c>
      <c r="S517" s="247">
        <v>8.7835302352905291</v>
      </c>
      <c r="T517" s="247">
        <v>8.8462095260620099</v>
      </c>
      <c r="U517" s="247">
        <v>8.9105930328369105</v>
      </c>
      <c r="V517" s="247">
        <v>8.9716310501098597</v>
      </c>
      <c r="W517" s="247">
        <v>9.0270709991455096</v>
      </c>
      <c r="X517" s="247">
        <v>9.0740833282470703</v>
      </c>
      <c r="Y517" s="247">
        <v>9.1169166564941406</v>
      </c>
    </row>
    <row r="518" spans="1:26" x14ac:dyDescent="0.25">
      <c r="A518" s="243" t="s">
        <v>467</v>
      </c>
      <c r="B518" s="247">
        <v>12.976583480835</v>
      </c>
      <c r="C518" s="247">
        <v>14.582922935485801</v>
      </c>
      <c r="D518" s="247">
        <v>17.5701904296875</v>
      </c>
      <c r="E518" s="247">
        <v>17.073207855224599</v>
      </c>
      <c r="F518" s="247">
        <v>15.3619232177734</v>
      </c>
      <c r="G518" s="247">
        <v>14.740796089172401</v>
      </c>
      <c r="H518" s="247">
        <v>14.555371284484901</v>
      </c>
      <c r="I518" s="247">
        <v>14.281338691711399</v>
      </c>
      <c r="J518" s="247">
        <v>14.253823280334499</v>
      </c>
      <c r="K518" s="247">
        <v>14.190848350524901</v>
      </c>
      <c r="L518" s="247">
        <v>14.252662658691399</v>
      </c>
      <c r="M518" s="247">
        <v>14.348473548889199</v>
      </c>
      <c r="N518" s="247">
        <v>14.316626548767101</v>
      </c>
      <c r="O518" s="247">
        <v>14.447472572326699</v>
      </c>
      <c r="P518" s="247">
        <v>14.6025552749634</v>
      </c>
      <c r="Q518" s="247">
        <v>14.6705665588379</v>
      </c>
      <c r="R518" s="247">
        <v>14.712552070617701</v>
      </c>
      <c r="S518" s="247">
        <v>14.8757133483887</v>
      </c>
      <c r="T518" s="247">
        <v>15.056845664978001</v>
      </c>
      <c r="U518" s="247">
        <v>15.2477731704712</v>
      </c>
      <c r="V518" s="247">
        <v>15.3445425033569</v>
      </c>
      <c r="W518" s="247">
        <v>15.4947566986084</v>
      </c>
      <c r="X518" s="247">
        <v>15.580441474914601</v>
      </c>
      <c r="Y518" s="247">
        <v>15.645468711853001</v>
      </c>
    </row>
    <row r="519" spans="1:26" x14ac:dyDescent="0.25">
      <c r="A519" s="243" t="s">
        <v>468</v>
      </c>
      <c r="B519" s="247">
        <v>7.8179483413696298</v>
      </c>
      <c r="C519" s="247">
        <v>9.2187824249267596</v>
      </c>
      <c r="D519" s="247">
        <v>9.9373922348022496</v>
      </c>
      <c r="E519" s="247">
        <v>10.0359506607056</v>
      </c>
      <c r="F519" s="247">
        <v>9.3121318817138707</v>
      </c>
      <c r="G519" s="247">
        <v>8.7750911712646502</v>
      </c>
      <c r="H519" s="247">
        <v>8.2899227142334002</v>
      </c>
      <c r="I519" s="247">
        <v>8.0357856750488299</v>
      </c>
      <c r="J519" s="247">
        <v>7.7935147285461399</v>
      </c>
      <c r="K519" s="247">
        <v>7.6957306861877397</v>
      </c>
      <c r="L519" s="247">
        <v>7.7737927436828604</v>
      </c>
      <c r="M519" s="247">
        <v>7.89709520339966</v>
      </c>
      <c r="N519" s="247">
        <v>8.0722961425781303</v>
      </c>
      <c r="O519" s="247">
        <v>8.21258449554443</v>
      </c>
      <c r="P519" s="247">
        <v>8.1957035064697301</v>
      </c>
      <c r="Q519" s="247">
        <v>8.2030982971191406</v>
      </c>
      <c r="R519" s="247">
        <v>8.3247480392456108</v>
      </c>
      <c r="S519" s="247">
        <v>8.5131444931030291</v>
      </c>
      <c r="T519" s="247">
        <v>8.6595201492309606</v>
      </c>
      <c r="U519" s="247">
        <v>8.7975921630859393</v>
      </c>
      <c r="V519" s="247">
        <v>8.8660669326782209</v>
      </c>
      <c r="W519" s="247">
        <v>8.8930187225341797</v>
      </c>
      <c r="X519" s="247">
        <v>8.9751634597778303</v>
      </c>
      <c r="Y519" s="247">
        <v>9.0651559829711896</v>
      </c>
    </row>
    <row r="520" spans="1:26" x14ac:dyDescent="0.25">
      <c r="A520" s="243" t="s">
        <v>469</v>
      </c>
      <c r="B520" s="247">
        <v>25.222642898559599</v>
      </c>
      <c r="C520" s="247">
        <v>25.415189743041999</v>
      </c>
      <c r="D520" s="247">
        <v>25.1893119812012</v>
      </c>
      <c r="E520" s="247">
        <v>25.147850036621101</v>
      </c>
      <c r="F520" s="247">
        <v>24.3894958496094</v>
      </c>
      <c r="G520" s="247">
        <v>23.460399627685501</v>
      </c>
      <c r="H520" s="247">
        <v>22.990982055664102</v>
      </c>
      <c r="I520" s="247">
        <v>23.018142700195298</v>
      </c>
      <c r="J520" s="247">
        <v>22.960025787353501</v>
      </c>
      <c r="K520" s="247">
        <v>22.974227905273398</v>
      </c>
      <c r="L520" s="247">
        <v>23.1215305328369</v>
      </c>
      <c r="M520" s="247">
        <v>23.312740325927699</v>
      </c>
      <c r="N520" s="247">
        <v>23.5714206695557</v>
      </c>
      <c r="O520" s="247">
        <v>23.632020950317401</v>
      </c>
      <c r="P520" s="247">
        <v>23.589054107666001</v>
      </c>
      <c r="Q520" s="247">
        <v>23.650138854980501</v>
      </c>
      <c r="R520" s="247">
        <v>23.8146667480469</v>
      </c>
      <c r="S520" s="247">
        <v>24.0346794128418</v>
      </c>
      <c r="T520" s="247">
        <v>24.122148513793899</v>
      </c>
      <c r="U520" s="247">
        <v>24.230636596679702</v>
      </c>
      <c r="V520" s="247">
        <v>24.181154251098601</v>
      </c>
      <c r="W520" s="247">
        <v>24.130558013916001</v>
      </c>
      <c r="X520" s="247">
        <v>24.148235321044901</v>
      </c>
      <c r="Y520" s="247">
        <v>24.238166809081999</v>
      </c>
    </row>
    <row r="521" spans="1:26" x14ac:dyDescent="0.25">
      <c r="A521" s="243" t="s">
        <v>430</v>
      </c>
      <c r="B521" s="247" t="s">
        <v>430</v>
      </c>
      <c r="C521" s="247" t="s">
        <v>430</v>
      </c>
      <c r="D521" s="247" t="s">
        <v>430</v>
      </c>
      <c r="E521" s="247" t="s">
        <v>430</v>
      </c>
      <c r="F521" s="247" t="s">
        <v>430</v>
      </c>
      <c r="G521" s="247" t="s">
        <v>430</v>
      </c>
      <c r="H521" s="247" t="s">
        <v>430</v>
      </c>
      <c r="I521" s="247" t="s">
        <v>430</v>
      </c>
      <c r="J521" s="247" t="s">
        <v>430</v>
      </c>
      <c r="K521" s="247" t="s">
        <v>430</v>
      </c>
      <c r="L521" s="247" t="s">
        <v>430</v>
      </c>
      <c r="M521" s="247" t="s">
        <v>430</v>
      </c>
      <c r="N521" s="247" t="s">
        <v>430</v>
      </c>
      <c r="O521" s="247" t="s">
        <v>430</v>
      </c>
      <c r="P521" s="247" t="s">
        <v>430</v>
      </c>
      <c r="Q521" s="247" t="s">
        <v>430</v>
      </c>
      <c r="R521" s="247" t="s">
        <v>430</v>
      </c>
      <c r="S521" s="247" t="s">
        <v>430</v>
      </c>
      <c r="T521" s="247" t="s">
        <v>430</v>
      </c>
      <c r="U521" s="247" t="s">
        <v>430</v>
      </c>
      <c r="V521" s="247" t="s">
        <v>430</v>
      </c>
      <c r="W521" s="247" t="s">
        <v>430</v>
      </c>
      <c r="X521" s="247" t="s">
        <v>430</v>
      </c>
      <c r="Y521" s="247" t="s">
        <v>430</v>
      </c>
    </row>
    <row r="522" spans="1:26" x14ac:dyDescent="0.25">
      <c r="A522" s="243" t="s">
        <v>470</v>
      </c>
      <c r="B522" s="247">
        <v>15.064169883728001</v>
      </c>
      <c r="C522" s="247">
        <v>15.629265785217299</v>
      </c>
      <c r="D522" s="247">
        <v>15.835299491882299</v>
      </c>
      <c r="E522" s="247">
        <v>15.918291091918899</v>
      </c>
      <c r="F522" s="247">
        <v>15.0829524993896</v>
      </c>
      <c r="G522" s="247">
        <v>14.3196773529053</v>
      </c>
      <c r="H522" s="247">
        <v>13.910519599914601</v>
      </c>
      <c r="I522" s="247">
        <v>13.8424997329712</v>
      </c>
      <c r="J522" s="247">
        <v>13.762632369995099</v>
      </c>
      <c r="K522" s="247">
        <v>13.8186712265015</v>
      </c>
      <c r="L522" s="247">
        <v>14.058515548706101</v>
      </c>
      <c r="M522" s="247">
        <v>14.316973686218301</v>
      </c>
      <c r="N522" s="247">
        <v>14.661353111267101</v>
      </c>
      <c r="O522" s="247">
        <v>14.869439125061</v>
      </c>
      <c r="P522" s="247">
        <v>14.9301090240479</v>
      </c>
      <c r="Q522" s="247">
        <v>15.044508934021</v>
      </c>
      <c r="R522" s="247">
        <v>15.2485342025757</v>
      </c>
      <c r="S522" s="247">
        <v>15.517853736877401</v>
      </c>
      <c r="T522" s="247">
        <v>15.7009220123291</v>
      </c>
      <c r="U522" s="247">
        <v>15.889198303222701</v>
      </c>
      <c r="V522" s="247">
        <v>15.933961868286101</v>
      </c>
      <c r="W522" s="247">
        <v>15.975202560424799</v>
      </c>
      <c r="X522" s="247">
        <v>16.0630493164063</v>
      </c>
      <c r="Y522" s="247">
        <v>16.195989608764599</v>
      </c>
    </row>
    <row r="523" spans="1:26" x14ac:dyDescent="0.25">
      <c r="A523" s="243" t="s">
        <v>464</v>
      </c>
      <c r="B523" s="247">
        <v>6.5697088241577104</v>
      </c>
      <c r="C523" s="247">
        <v>7.9157042503356898</v>
      </c>
      <c r="D523" s="247">
        <v>8.3734645843505895</v>
      </c>
      <c r="E523" s="247">
        <v>8.3683490753173793</v>
      </c>
      <c r="F523" s="247">
        <v>7.7444124221801802</v>
      </c>
      <c r="G523" s="247">
        <v>7.3380589485168501</v>
      </c>
      <c r="H523" s="247">
        <v>7.0368156433105504</v>
      </c>
      <c r="I523" s="247">
        <v>6.9020848274231001</v>
      </c>
      <c r="J523" s="247">
        <v>6.8100509643554696</v>
      </c>
      <c r="K523" s="247">
        <v>6.84179735183716</v>
      </c>
      <c r="L523" s="247">
        <v>6.8974781036376998</v>
      </c>
      <c r="M523" s="247">
        <v>6.9808845520019496</v>
      </c>
      <c r="N523" s="247">
        <v>7.1057710647582999</v>
      </c>
      <c r="O523" s="247">
        <v>7.20139837265015</v>
      </c>
      <c r="P523" s="247">
        <v>7.18692874908447</v>
      </c>
      <c r="Q523" s="247">
        <v>7.1932849884033203</v>
      </c>
      <c r="R523" s="247">
        <v>7.2944316864013699</v>
      </c>
      <c r="S523" s="247">
        <v>7.4377117156982404</v>
      </c>
      <c r="T523" s="247">
        <v>7.5399260520935103</v>
      </c>
      <c r="U523" s="247">
        <v>7.6392593383789098</v>
      </c>
      <c r="V523" s="247">
        <v>7.6873850822448704</v>
      </c>
      <c r="W523" s="247">
        <v>7.6958703994751003</v>
      </c>
      <c r="X523" s="247">
        <v>7.7559337615966797</v>
      </c>
      <c r="Y523" s="247">
        <v>7.8220491409301802</v>
      </c>
    </row>
    <row r="524" spans="1:26" x14ac:dyDescent="0.25">
      <c r="A524" s="243" t="s">
        <v>465</v>
      </c>
      <c r="B524" s="247">
        <v>6.9482707977294904</v>
      </c>
      <c r="C524" s="247">
        <v>8.0266513824462908</v>
      </c>
      <c r="D524" s="247">
        <v>8.9197750091552699</v>
      </c>
      <c r="E524" s="247">
        <v>8.6532449722290004</v>
      </c>
      <c r="F524" s="247">
        <v>7.9109911918640101</v>
      </c>
      <c r="G524" s="247">
        <v>7.48618364334106</v>
      </c>
      <c r="H524" s="247">
        <v>7.32971286773682</v>
      </c>
      <c r="I524" s="247">
        <v>7.1282916069030797</v>
      </c>
      <c r="J524" s="247">
        <v>7.1344366073608398</v>
      </c>
      <c r="K524" s="247">
        <v>7.2035880088806197</v>
      </c>
      <c r="L524" s="247">
        <v>7.21549415588379</v>
      </c>
      <c r="M524" s="247">
        <v>7.2433881759643599</v>
      </c>
      <c r="N524" s="247">
        <v>7.2548027038574201</v>
      </c>
      <c r="O524" s="247">
        <v>7.2826437950134304</v>
      </c>
      <c r="P524" s="247">
        <v>7.3254833221435502</v>
      </c>
      <c r="Q524" s="247">
        <v>7.3667011260986301</v>
      </c>
      <c r="R524" s="247">
        <v>7.4382300376892099</v>
      </c>
      <c r="S524" s="247">
        <v>7.5099358558654803</v>
      </c>
      <c r="T524" s="247">
        <v>7.5474686622619602</v>
      </c>
      <c r="U524" s="247">
        <v>7.6315479278564498</v>
      </c>
      <c r="V524" s="247">
        <v>7.69354152679443</v>
      </c>
      <c r="W524" s="247">
        <v>7.7161302566528303</v>
      </c>
      <c r="X524" s="247">
        <v>7.7569241523742702</v>
      </c>
      <c r="Y524" s="247">
        <v>7.8363184928893999</v>
      </c>
    </row>
    <row r="525" spans="1:26" x14ac:dyDescent="0.25">
      <c r="A525" s="243" t="s">
        <v>466</v>
      </c>
      <c r="B525" s="247">
        <v>6.1493649482727104</v>
      </c>
      <c r="C525" s="247">
        <v>7.03082323074341</v>
      </c>
      <c r="D525" s="247">
        <v>7.7272844314575204</v>
      </c>
      <c r="E525" s="247">
        <v>7.4210705757141104</v>
      </c>
      <c r="F525" s="247">
        <v>6.8826036453247097</v>
      </c>
      <c r="G525" s="247">
        <v>6.5409913063049299</v>
      </c>
      <c r="H525" s="247">
        <v>6.4167842864990199</v>
      </c>
      <c r="I525" s="247">
        <v>6.2535924911498997</v>
      </c>
      <c r="J525" s="247">
        <v>6.2965154647827104</v>
      </c>
      <c r="K525" s="247">
        <v>6.4007697105407697</v>
      </c>
      <c r="L525" s="247">
        <v>6.4218788146972701</v>
      </c>
      <c r="M525" s="247">
        <v>6.4483299255371103</v>
      </c>
      <c r="N525" s="247">
        <v>6.4679012298584002</v>
      </c>
      <c r="O525" s="247">
        <v>6.4912290573120099</v>
      </c>
      <c r="P525" s="247">
        <v>6.52826023101807</v>
      </c>
      <c r="Q525" s="247">
        <v>6.5738272666931197</v>
      </c>
      <c r="R525" s="247">
        <v>6.6604804992675799</v>
      </c>
      <c r="S525" s="247">
        <v>6.7330570220947301</v>
      </c>
      <c r="T525" s="247">
        <v>6.75683689117432</v>
      </c>
      <c r="U525" s="247">
        <v>6.8434348106384304</v>
      </c>
      <c r="V525" s="247">
        <v>6.9099073410034197</v>
      </c>
      <c r="W525" s="247">
        <v>6.9186587333679199</v>
      </c>
      <c r="X525" s="247">
        <v>6.9633812904357901</v>
      </c>
      <c r="Y525" s="247">
        <v>7.0585165023803702</v>
      </c>
    </row>
    <row r="526" spans="1:26" x14ac:dyDescent="0.25">
      <c r="A526" s="243" t="s">
        <v>471</v>
      </c>
      <c r="B526" s="247">
        <v>4.2683343887329102</v>
      </c>
      <c r="C526" s="247">
        <v>4.9646224975585902</v>
      </c>
      <c r="D526" s="247">
        <v>5.0606441497802699</v>
      </c>
      <c r="E526" s="247">
        <v>5.3499689102172896</v>
      </c>
      <c r="F526" s="247">
        <v>5.0606269836425799</v>
      </c>
      <c r="G526" s="247">
        <v>4.6454811096191397</v>
      </c>
      <c r="H526" s="247">
        <v>4.44089698791504</v>
      </c>
      <c r="I526" s="247">
        <v>4.3064308166503897</v>
      </c>
      <c r="J526" s="247">
        <v>4.2577414512634304</v>
      </c>
      <c r="K526" s="247">
        <v>4.3118896484375</v>
      </c>
      <c r="L526" s="247">
        <v>4.3638815879821804</v>
      </c>
      <c r="M526" s="247">
        <v>4.4166550636291504</v>
      </c>
      <c r="N526" s="247">
        <v>4.4711151123046902</v>
      </c>
      <c r="O526" s="247">
        <v>4.5238728523254403</v>
      </c>
      <c r="P526" s="247">
        <v>4.5756058692932102</v>
      </c>
      <c r="Q526" s="247">
        <v>4.6275658607482901</v>
      </c>
      <c r="R526" s="247">
        <v>4.6890521049499503</v>
      </c>
      <c r="S526" s="247">
        <v>4.7516570091247603</v>
      </c>
      <c r="T526" s="247">
        <v>4.8052668571472203</v>
      </c>
      <c r="U526" s="247">
        <v>4.8599562644958496</v>
      </c>
      <c r="V526" s="247">
        <v>4.9139251708984402</v>
      </c>
      <c r="W526" s="247">
        <v>4.9674754142761204</v>
      </c>
      <c r="X526" s="247">
        <v>5.0218071937561</v>
      </c>
      <c r="Y526" s="247">
        <v>5.0773591995239302</v>
      </c>
    </row>
    <row r="527" spans="1:26" x14ac:dyDescent="0.25">
      <c r="A527" s="268" t="s">
        <v>468</v>
      </c>
      <c r="B527" s="247">
        <v>6.6170339584350604</v>
      </c>
      <c r="C527" s="247">
        <v>8.0769119262695295</v>
      </c>
      <c r="D527" s="247">
        <v>8.4474086761474592</v>
      </c>
      <c r="E527" s="247">
        <v>8.5042705535888707</v>
      </c>
      <c r="F527" s="247">
        <v>7.8856530189514196</v>
      </c>
      <c r="G527" s="247">
        <v>7.4673976898193404</v>
      </c>
      <c r="H527" s="247">
        <v>7.1177520751953098</v>
      </c>
      <c r="I527" s="247">
        <v>6.9923906326293901</v>
      </c>
      <c r="J527" s="247">
        <v>6.8716683387756303</v>
      </c>
      <c r="K527" s="247">
        <v>6.8934268951415998</v>
      </c>
      <c r="L527" s="247">
        <v>6.9598770141601598</v>
      </c>
      <c r="M527" s="247">
        <v>7.0576272010803196</v>
      </c>
      <c r="N527" s="247">
        <v>7.21203565597534</v>
      </c>
      <c r="O527" s="247">
        <v>7.32529544830322</v>
      </c>
      <c r="P527" s="247">
        <v>7.2944836616516104</v>
      </c>
      <c r="Q527" s="247">
        <v>7.2903637886047399</v>
      </c>
      <c r="R527" s="247">
        <v>7.3995337486267099</v>
      </c>
      <c r="S527" s="247">
        <v>7.56237888336182</v>
      </c>
      <c r="T527" s="247">
        <v>7.6814393997192401</v>
      </c>
      <c r="U527" s="247">
        <v>7.78521823883057</v>
      </c>
      <c r="V527" s="247">
        <v>7.8287162780761701</v>
      </c>
      <c r="W527" s="247">
        <v>7.8313083648681596</v>
      </c>
      <c r="X527" s="247">
        <v>7.8953433036804199</v>
      </c>
      <c r="Y527" s="247">
        <v>7.9576945304870597</v>
      </c>
      <c r="Z527" s="277">
        <f>Y527+($AI$357-$Y$527)/10</f>
        <v>8.0099991534203383</v>
      </c>
    </row>
    <row r="528" spans="1:26" x14ac:dyDescent="0.25">
      <c r="A528" s="270" t="s">
        <v>469</v>
      </c>
      <c r="B528" s="247">
        <v>23.353584289550799</v>
      </c>
      <c r="C528" s="247">
        <v>23.2374382019043</v>
      </c>
      <c r="D528" s="247">
        <v>23.0415229797363</v>
      </c>
      <c r="E528" s="247">
        <v>22.938554763793899</v>
      </c>
      <c r="F528" s="247">
        <v>21.8424968719482</v>
      </c>
      <c r="G528" s="247">
        <v>20.6924953460693</v>
      </c>
      <c r="H528" s="247">
        <v>20.1292018890381</v>
      </c>
      <c r="I528" s="247">
        <v>20.063879013061499</v>
      </c>
      <c r="J528" s="247">
        <v>19.9343872070313</v>
      </c>
      <c r="K528" s="247">
        <v>19.938108444213899</v>
      </c>
      <c r="L528" s="247">
        <v>20.262083053588899</v>
      </c>
      <c r="M528" s="247">
        <v>20.589830398559599</v>
      </c>
      <c r="N528" s="247">
        <v>21.038742065429702</v>
      </c>
      <c r="O528" s="247">
        <v>21.2544975280762</v>
      </c>
      <c r="P528" s="247">
        <v>21.300868988037099</v>
      </c>
      <c r="Q528" s="247">
        <v>21.4323215484619</v>
      </c>
      <c r="R528" s="247">
        <v>21.647081375122099</v>
      </c>
      <c r="S528" s="247">
        <v>21.937980651855501</v>
      </c>
      <c r="T528" s="247">
        <v>22.104045867919901</v>
      </c>
      <c r="U528" s="247">
        <v>22.281753540039102</v>
      </c>
      <c r="V528" s="247">
        <v>22.24875831604</v>
      </c>
      <c r="W528" s="247">
        <v>22.2471523284912</v>
      </c>
      <c r="X528" s="247">
        <v>22.287950515747099</v>
      </c>
      <c r="Y528" s="247">
        <v>22.4030246734619</v>
      </c>
      <c r="Z528" s="279">
        <f>Y528+($AI$358-$Y$528)/10</f>
        <v>22.313820934181763</v>
      </c>
    </row>
    <row r="529" spans="1:71" x14ac:dyDescent="0.25">
      <c r="A529" s="243" t="s">
        <v>430</v>
      </c>
      <c r="B529" s="247" t="s">
        <v>430</v>
      </c>
      <c r="C529" s="247" t="s">
        <v>430</v>
      </c>
      <c r="D529" s="247" t="s">
        <v>430</v>
      </c>
      <c r="E529" s="247" t="s">
        <v>430</v>
      </c>
      <c r="F529" s="247" t="s">
        <v>430</v>
      </c>
      <c r="G529" s="247" t="s">
        <v>430</v>
      </c>
      <c r="H529" s="247" t="s">
        <v>430</v>
      </c>
      <c r="I529" s="247" t="s">
        <v>430</v>
      </c>
      <c r="J529" s="247" t="s">
        <v>430</v>
      </c>
      <c r="K529" s="247" t="s">
        <v>430</v>
      </c>
      <c r="L529" s="247" t="s">
        <v>430</v>
      </c>
      <c r="M529" s="247" t="s">
        <v>430</v>
      </c>
      <c r="N529" s="247" t="s">
        <v>430</v>
      </c>
      <c r="O529" s="247" t="s">
        <v>430</v>
      </c>
      <c r="P529" s="247" t="s">
        <v>430</v>
      </c>
      <c r="Q529" s="247" t="s">
        <v>430</v>
      </c>
      <c r="R529" s="247" t="s">
        <v>430</v>
      </c>
      <c r="S529" s="247" t="s">
        <v>430</v>
      </c>
      <c r="T529" s="247" t="s">
        <v>430</v>
      </c>
      <c r="U529" s="247" t="s">
        <v>430</v>
      </c>
      <c r="V529" s="247" t="s">
        <v>430</v>
      </c>
      <c r="W529" s="247" t="s">
        <v>430</v>
      </c>
      <c r="X529" s="247" t="s">
        <v>430</v>
      </c>
      <c r="Y529" s="247" t="s">
        <v>430</v>
      </c>
    </row>
    <row r="530" spans="1:71" ht="13.8" thickBot="1" x14ac:dyDescent="0.3">
      <c r="A530" s="243" t="s">
        <v>472</v>
      </c>
      <c r="B530" s="247">
        <v>6.3922061920165998</v>
      </c>
      <c r="C530" s="247">
        <v>7.7839651107788104</v>
      </c>
      <c r="D530" s="247">
        <v>8.7301359176635707</v>
      </c>
      <c r="E530" s="247">
        <v>8.5276689529418892</v>
      </c>
      <c r="F530" s="247">
        <v>7.7321057319641104</v>
      </c>
      <c r="G530" s="247">
        <v>7.2916359901428196</v>
      </c>
      <c r="H530" s="247">
        <v>7.0938224792480504</v>
      </c>
      <c r="I530" s="247">
        <v>6.9649901390075701</v>
      </c>
      <c r="J530" s="247">
        <v>6.8520793914794904</v>
      </c>
      <c r="K530" s="247">
        <v>6.8315567970275897</v>
      </c>
      <c r="L530" s="247">
        <v>6.8953166007995597</v>
      </c>
      <c r="M530" s="247">
        <v>6.99013376235962</v>
      </c>
      <c r="N530" s="247">
        <v>7.1103782653808603</v>
      </c>
      <c r="O530" s="247">
        <v>7.2379879951477104</v>
      </c>
      <c r="P530" s="247">
        <v>7.276611328125</v>
      </c>
      <c r="Q530" s="247">
        <v>7.3343372344970703</v>
      </c>
      <c r="R530" s="247">
        <v>7.4634890556335396</v>
      </c>
      <c r="S530" s="247">
        <v>7.6215224266052202</v>
      </c>
      <c r="T530" s="247">
        <v>7.7529444694518999</v>
      </c>
      <c r="U530" s="247">
        <v>7.8803434371948198</v>
      </c>
      <c r="V530" s="247">
        <v>7.9471721649169904</v>
      </c>
      <c r="W530" s="247">
        <v>7.99715328216553</v>
      </c>
      <c r="X530" s="247">
        <v>8.05676174163818</v>
      </c>
      <c r="Y530" s="247">
        <v>8.1260271072387695</v>
      </c>
    </row>
    <row r="531" spans="1:71" ht="13.8" thickBot="1" x14ac:dyDescent="0.3">
      <c r="A531" s="243" t="s">
        <v>473</v>
      </c>
      <c r="B531" s="247">
        <v>4.9298634529113796</v>
      </c>
      <c r="C531" s="247">
        <v>6.4939708709716797</v>
      </c>
      <c r="D531" s="247">
        <v>7.4592456817626998</v>
      </c>
      <c r="E531" s="247">
        <v>7.2321572303771999</v>
      </c>
      <c r="F531" s="247">
        <v>6.3973078727722203</v>
      </c>
      <c r="G531" s="247">
        <v>5.9808039665222203</v>
      </c>
      <c r="H531" s="247">
        <v>5.7940292358398402</v>
      </c>
      <c r="I531" s="247">
        <v>5.64864206314087</v>
      </c>
      <c r="J531" s="247">
        <v>5.54791307449341</v>
      </c>
      <c r="K531" s="247">
        <v>5.5448842048645002</v>
      </c>
      <c r="L531" s="247">
        <v>5.5862631797790501</v>
      </c>
      <c r="M531" s="247">
        <v>5.6484580039978001</v>
      </c>
      <c r="N531" s="247">
        <v>5.7157526016235396</v>
      </c>
      <c r="O531" s="247">
        <v>5.8273496627807599</v>
      </c>
      <c r="P531" s="247">
        <v>5.8644676208496103</v>
      </c>
      <c r="Q531" s="247">
        <v>5.9049983024597203</v>
      </c>
      <c r="R531" s="247">
        <v>6.0105843544006303</v>
      </c>
      <c r="S531" s="247">
        <v>6.1420850753784197</v>
      </c>
      <c r="T531" s="247">
        <v>6.2661328315734899</v>
      </c>
      <c r="U531" s="247">
        <v>6.3902029991149902</v>
      </c>
      <c r="V531" s="247">
        <v>6.4639844894409197</v>
      </c>
      <c r="W531" s="247">
        <v>6.5222811698913601</v>
      </c>
      <c r="X531" s="247">
        <v>6.5781168937683097</v>
      </c>
      <c r="Y531" s="247">
        <v>6.6401424407959002</v>
      </c>
      <c r="AA531" s="290">
        <f>Z701+($AI$531-$Y$701)/10</f>
        <v>1.6707610713595051</v>
      </c>
      <c r="AB531" s="290">
        <f t="shared" ref="AB531:AH531" si="75">AA531+($AI$531-$Y$701)/10</f>
        <v>1.7872284374395671</v>
      </c>
      <c r="AC531" s="290">
        <f t="shared" si="75"/>
        <v>1.903695803519629</v>
      </c>
      <c r="AD531" s="290">
        <f t="shared" si="75"/>
        <v>2.0201631695996909</v>
      </c>
      <c r="AE531" s="290">
        <f t="shared" si="75"/>
        <v>2.1366305356797528</v>
      </c>
      <c r="AF531" s="290">
        <f t="shared" si="75"/>
        <v>2.2530979017598147</v>
      </c>
      <c r="AG531" s="290">
        <f t="shared" si="75"/>
        <v>2.3695652678398766</v>
      </c>
      <c r="AH531" s="290">
        <f t="shared" si="75"/>
        <v>2.4860326339199386</v>
      </c>
      <c r="AI531" s="295">
        <v>2.6025</v>
      </c>
      <c r="AJ531" s="290">
        <f>AI531+($BM$531-$AI$531)/30</f>
        <v>2.6824166666666667</v>
      </c>
      <c r="AK531" s="290">
        <f t="shared" ref="AK531:BR531" si="76">AJ531+($BM$531-$AI$531)/30</f>
        <v>2.7623333333333333</v>
      </c>
      <c r="AL531" s="290">
        <f t="shared" si="76"/>
        <v>2.8422499999999999</v>
      </c>
      <c r="AM531" s="290">
        <f t="shared" si="76"/>
        <v>2.9221666666666666</v>
      </c>
      <c r="AN531" s="290">
        <f t="shared" si="76"/>
        <v>3.0020833333333332</v>
      </c>
      <c r="AO531" s="290">
        <f t="shared" si="76"/>
        <v>3.0819999999999999</v>
      </c>
      <c r="AP531" s="290">
        <f t="shared" si="76"/>
        <v>3.1619166666666665</v>
      </c>
      <c r="AQ531" s="290">
        <f t="shared" si="76"/>
        <v>3.2418333333333331</v>
      </c>
      <c r="AR531" s="290">
        <f t="shared" si="76"/>
        <v>3.3217499999999998</v>
      </c>
      <c r="AS531" s="290">
        <f t="shared" si="76"/>
        <v>3.4016666666666664</v>
      </c>
      <c r="AT531" s="290">
        <f t="shared" si="76"/>
        <v>3.481583333333333</v>
      </c>
      <c r="AU531" s="290">
        <f t="shared" si="76"/>
        <v>3.5614999999999997</v>
      </c>
      <c r="AV531" s="290">
        <f t="shared" si="76"/>
        <v>3.6414166666666663</v>
      </c>
      <c r="AW531" s="290">
        <f t="shared" si="76"/>
        <v>3.7213333333333329</v>
      </c>
      <c r="AX531" s="290">
        <f t="shared" si="76"/>
        <v>3.8012499999999996</v>
      </c>
      <c r="AY531" s="290">
        <f t="shared" si="76"/>
        <v>3.8811666666666662</v>
      </c>
      <c r="AZ531" s="290">
        <f t="shared" si="76"/>
        <v>3.9610833333333328</v>
      </c>
      <c r="BA531" s="290">
        <f t="shared" si="76"/>
        <v>4.0409999999999995</v>
      </c>
      <c r="BB531" s="290">
        <f t="shared" si="76"/>
        <v>4.1209166666666661</v>
      </c>
      <c r="BC531" s="290">
        <f t="shared" si="76"/>
        <v>4.2008333333333328</v>
      </c>
      <c r="BD531" s="290">
        <f t="shared" si="76"/>
        <v>4.2807499999999994</v>
      </c>
      <c r="BE531" s="290">
        <f t="shared" si="76"/>
        <v>4.360666666666666</v>
      </c>
      <c r="BF531" s="290">
        <f t="shared" si="76"/>
        <v>4.4405833333333327</v>
      </c>
      <c r="BG531" s="290">
        <f t="shared" si="76"/>
        <v>4.5204999999999993</v>
      </c>
      <c r="BH531" s="290">
        <f t="shared" si="76"/>
        <v>4.6004166666666659</v>
      </c>
      <c r="BI531" s="290">
        <f t="shared" si="76"/>
        <v>4.6803333333333326</v>
      </c>
      <c r="BJ531" s="290">
        <f t="shared" si="76"/>
        <v>4.7602499999999992</v>
      </c>
      <c r="BK531" s="290">
        <f t="shared" si="76"/>
        <v>4.8401666666666658</v>
      </c>
      <c r="BL531" s="290">
        <f t="shared" si="76"/>
        <v>4.9200833333333325</v>
      </c>
      <c r="BM531" s="293">
        <v>5</v>
      </c>
      <c r="BN531" s="290">
        <f t="shared" si="76"/>
        <v>5.0799166666666666</v>
      </c>
      <c r="BO531" s="290">
        <f t="shared" si="76"/>
        <v>5.1598333333333333</v>
      </c>
      <c r="BP531" s="290">
        <f t="shared" si="76"/>
        <v>5.2397499999999999</v>
      </c>
      <c r="BQ531" s="290">
        <f t="shared" si="76"/>
        <v>5.3196666666666665</v>
      </c>
      <c r="BR531" s="290">
        <f t="shared" si="76"/>
        <v>5.3995833333333332</v>
      </c>
    </row>
    <row r="532" spans="1:71" x14ac:dyDescent="0.25">
      <c r="A532" s="243" t="s">
        <v>465</v>
      </c>
      <c r="B532" s="247">
        <v>6.5291514396667498</v>
      </c>
      <c r="C532" s="247">
        <v>8.2850980758666992</v>
      </c>
      <c r="D532" s="247">
        <v>9.8001232147216797</v>
      </c>
      <c r="E532" s="247">
        <v>9.3072748184204102</v>
      </c>
      <c r="F532" s="247">
        <v>8.1255960464477504</v>
      </c>
      <c r="G532" s="247">
        <v>7.6394152641296396</v>
      </c>
      <c r="H532" s="247">
        <v>7.5353851318359402</v>
      </c>
      <c r="I532" s="247">
        <v>7.29905128479004</v>
      </c>
      <c r="J532" s="247">
        <v>7.2437157630920401</v>
      </c>
      <c r="K532" s="247">
        <v>7.2615475654602104</v>
      </c>
      <c r="L532" s="247">
        <v>7.28952884674072</v>
      </c>
      <c r="M532" s="247">
        <v>7.3323044776916504</v>
      </c>
      <c r="N532" s="247">
        <v>7.3129158020019496</v>
      </c>
      <c r="O532" s="247">
        <v>7.4180650711059597</v>
      </c>
      <c r="P532" s="247">
        <v>7.5101509094238299</v>
      </c>
      <c r="Q532" s="247">
        <v>7.5518846511840803</v>
      </c>
      <c r="R532" s="247">
        <v>7.6326026916503897</v>
      </c>
      <c r="S532" s="247">
        <v>7.7444272041320801</v>
      </c>
      <c r="T532" s="247">
        <v>7.8752341270446804</v>
      </c>
      <c r="U532" s="247">
        <v>8.0334920883178693</v>
      </c>
      <c r="V532" s="247">
        <v>8.1469945907592791</v>
      </c>
      <c r="W532" s="247">
        <v>8.2539978027343803</v>
      </c>
      <c r="X532" s="247">
        <v>8.3047761917114293</v>
      </c>
      <c r="Y532" s="247">
        <v>8.3638219833374006</v>
      </c>
      <c r="AA532" s="293">
        <v>8.7353999999999985</v>
      </c>
      <c r="AB532" s="293">
        <v>8.7353999999999985</v>
      </c>
      <c r="AC532" s="293">
        <v>8.7353999999999985</v>
      </c>
      <c r="AD532" s="293">
        <v>8.7353999999999985</v>
      </c>
      <c r="AE532" s="293">
        <v>8.7353999999999985</v>
      </c>
      <c r="AF532" s="293">
        <v>8.7353999999999985</v>
      </c>
      <c r="AG532" s="293">
        <v>8.7353999999999985</v>
      </c>
      <c r="AH532" s="293">
        <v>8.2799999999999994</v>
      </c>
      <c r="AI532" s="293">
        <v>8.2799999999999994</v>
      </c>
      <c r="AJ532" s="283">
        <f>AI532+($AX$532-$AI$532)/15</f>
        <v>8.2855063337213686</v>
      </c>
      <c r="AK532" s="283">
        <f t="shared" ref="AK532:AW532" si="77">AJ532+($AX$532-$AI$532)/15</f>
        <v>8.2910126674427378</v>
      </c>
      <c r="AL532" s="283">
        <f t="shared" si="77"/>
        <v>8.296519001164107</v>
      </c>
      <c r="AM532" s="283">
        <f t="shared" si="77"/>
        <v>8.3020253348854762</v>
      </c>
      <c r="AN532" s="283">
        <f t="shared" si="77"/>
        <v>8.3075316686068454</v>
      </c>
      <c r="AO532" s="283">
        <f t="shared" si="77"/>
        <v>8.3130380023282147</v>
      </c>
      <c r="AP532" s="283">
        <f t="shared" si="77"/>
        <v>8.3185443360495839</v>
      </c>
      <c r="AQ532" s="283">
        <f t="shared" si="77"/>
        <v>8.3240506697709531</v>
      </c>
      <c r="AR532" s="283">
        <f t="shared" si="77"/>
        <v>8.3295570034923223</v>
      </c>
      <c r="AS532" s="283">
        <f t="shared" si="77"/>
        <v>8.3350633372136915</v>
      </c>
      <c r="AT532" s="283">
        <f t="shared" si="77"/>
        <v>8.3405696709350607</v>
      </c>
      <c r="AU532" s="283">
        <f t="shared" si="77"/>
        <v>8.34607600465643</v>
      </c>
      <c r="AV532" s="283">
        <f t="shared" si="77"/>
        <v>8.3515823383777992</v>
      </c>
      <c r="AW532" s="283">
        <f t="shared" si="77"/>
        <v>8.3570886720991684</v>
      </c>
      <c r="AX532" s="288">
        <f>AI532*$B$747</f>
        <v>8.3625950058205305</v>
      </c>
      <c r="AY532" s="283">
        <f>AX532+($BM$532-$AX$532)/15</f>
        <v>8.3654368677345836</v>
      </c>
      <c r="AZ532" s="283">
        <f t="shared" ref="AZ532:BL532" si="78">AY532+($BM$532-$AX$532)/15</f>
        <v>8.3682787296486367</v>
      </c>
      <c r="BA532" s="283">
        <f t="shared" si="78"/>
        <v>8.3711205915626898</v>
      </c>
      <c r="BB532" s="283">
        <f t="shared" si="78"/>
        <v>8.373962453476743</v>
      </c>
      <c r="BC532" s="283">
        <f t="shared" si="78"/>
        <v>8.3768043153907961</v>
      </c>
      <c r="BD532" s="283">
        <f t="shared" si="78"/>
        <v>8.3796461773048492</v>
      </c>
      <c r="BE532" s="283">
        <f t="shared" si="78"/>
        <v>8.3824880392189023</v>
      </c>
      <c r="BF532" s="283">
        <f t="shared" si="78"/>
        <v>8.3853299011329554</v>
      </c>
      <c r="BG532" s="283">
        <f t="shared" si="78"/>
        <v>8.3881717630470085</v>
      </c>
      <c r="BH532" s="283">
        <f t="shared" si="78"/>
        <v>8.3910136249610616</v>
      </c>
      <c r="BI532" s="283">
        <f t="shared" si="78"/>
        <v>8.3938554868751147</v>
      </c>
      <c r="BJ532" s="283">
        <f t="shared" si="78"/>
        <v>8.3966973487891678</v>
      </c>
      <c r="BK532" s="283">
        <f t="shared" si="78"/>
        <v>8.399539210703221</v>
      </c>
      <c r="BL532" s="283">
        <f t="shared" si="78"/>
        <v>8.4023810726172741</v>
      </c>
      <c r="BM532" s="288">
        <f>AX532*$C$747</f>
        <v>8.4052229345313236</v>
      </c>
      <c r="BN532" s="283">
        <f>BM532+($BR$532-$BM$532)/5</f>
        <v>8.4080792827007791</v>
      </c>
      <c r="BO532" s="283">
        <f>BN532+($BR$532-$BM$532)/5</f>
        <v>8.4109356308702345</v>
      </c>
      <c r="BP532" s="283">
        <f>BO532+($BR$532-$BM$532)/5</f>
        <v>8.41379197903969</v>
      </c>
      <c r="BQ532" s="283">
        <f>BP532+($BR$532-$BM$532)/5</f>
        <v>8.4166483272091455</v>
      </c>
      <c r="BR532" s="288">
        <f>BM532*$D$747</f>
        <v>8.4195046753785974</v>
      </c>
    </row>
    <row r="533" spans="1:71" x14ac:dyDescent="0.25">
      <c r="A533" s="243" t="s">
        <v>466</v>
      </c>
      <c r="B533" s="247">
        <v>6.3323707580566397</v>
      </c>
      <c r="C533" s="247">
        <v>7.2384452819824201</v>
      </c>
      <c r="D533" s="247">
        <v>7.96527099609375</v>
      </c>
      <c r="E533" s="247">
        <v>7.6527137756347701</v>
      </c>
      <c r="F533" s="247">
        <v>7.15256595611572</v>
      </c>
      <c r="G533" s="247">
        <v>6.8207654953002903</v>
      </c>
      <c r="H533" s="247">
        <v>6.8779778480529803</v>
      </c>
      <c r="I533" s="247">
        <v>6.7174663543701199</v>
      </c>
      <c r="J533" s="247">
        <v>6.78255271911621</v>
      </c>
      <c r="K533" s="247">
        <v>7.1339807510376003</v>
      </c>
      <c r="L533" s="247">
        <v>7.1601362228393599</v>
      </c>
      <c r="M533" s="247">
        <v>7.1876134872436497</v>
      </c>
      <c r="N533" s="247">
        <v>7.1760501861572301</v>
      </c>
      <c r="O533" s="247">
        <v>7.19400835037231</v>
      </c>
      <c r="P533" s="247">
        <v>7.2192950248718297</v>
      </c>
      <c r="Q533" s="247">
        <v>7.2771706581115696</v>
      </c>
      <c r="R533" s="247">
        <v>7.32332468032837</v>
      </c>
      <c r="S533" s="247">
        <v>7.37906789779663</v>
      </c>
      <c r="T533" s="247">
        <v>7.3721222877502397</v>
      </c>
      <c r="U533" s="247">
        <v>7.4461221694946298</v>
      </c>
      <c r="V533" s="247">
        <v>7.5145907402038601</v>
      </c>
      <c r="W533" s="247">
        <v>7.4954967498779297</v>
      </c>
      <c r="X533" s="247">
        <v>7.5633401870727504</v>
      </c>
      <c r="Y533" s="247">
        <v>7.7325506210327104</v>
      </c>
      <c r="AA533" s="294">
        <v>4.78</v>
      </c>
      <c r="AB533" s="294">
        <v>4.78</v>
      </c>
      <c r="AC533" s="294">
        <v>4.78</v>
      </c>
      <c r="AD533" s="294">
        <v>4.78</v>
      </c>
      <c r="AE533" s="294">
        <v>4.78</v>
      </c>
      <c r="AF533" s="294">
        <v>4.78</v>
      </c>
      <c r="AG533" s="294">
        <v>4.78</v>
      </c>
      <c r="AH533" s="294">
        <v>4.78</v>
      </c>
      <c r="AI533" s="294">
        <v>4.78</v>
      </c>
      <c r="AJ533" s="294">
        <v>4.78</v>
      </c>
      <c r="AK533" s="294">
        <v>4.78</v>
      </c>
      <c r="AL533" s="294">
        <v>4.78</v>
      </c>
      <c r="AM533" s="294">
        <v>4.78</v>
      </c>
      <c r="AN533" s="294">
        <v>4.78</v>
      </c>
      <c r="AO533" s="294">
        <v>4.78</v>
      </c>
      <c r="AP533" s="294">
        <v>4.78</v>
      </c>
      <c r="AQ533" s="294">
        <v>4.78</v>
      </c>
      <c r="AR533" s="294">
        <v>4.78</v>
      </c>
      <c r="AS533" s="294">
        <v>4.78</v>
      </c>
      <c r="AT533" s="294">
        <v>4.78</v>
      </c>
      <c r="AU533" s="294">
        <v>4.78</v>
      </c>
      <c r="AV533" s="294">
        <v>4.78</v>
      </c>
      <c r="AW533" s="294">
        <v>4.78</v>
      </c>
      <c r="AX533" s="294">
        <v>4.78</v>
      </c>
      <c r="AY533" s="294">
        <v>4.78</v>
      </c>
      <c r="AZ533" s="294">
        <v>4.78</v>
      </c>
      <c r="BA533" s="294">
        <v>4.78</v>
      </c>
      <c r="BB533" s="294">
        <v>4.78</v>
      </c>
      <c r="BC533" s="294">
        <v>4.78</v>
      </c>
      <c r="BD533" s="294">
        <v>4.78</v>
      </c>
      <c r="BE533" s="294">
        <v>4.78</v>
      </c>
      <c r="BF533" s="294">
        <v>4.78</v>
      </c>
      <c r="BG533" s="294">
        <v>4.78</v>
      </c>
      <c r="BH533" s="294">
        <v>4.78</v>
      </c>
      <c r="BI533" s="294">
        <v>4.78</v>
      </c>
      <c r="BJ533" s="294">
        <v>4.78</v>
      </c>
      <c r="BK533" s="294">
        <v>4.78</v>
      </c>
      <c r="BL533" s="294">
        <v>4.78</v>
      </c>
      <c r="BM533" s="294">
        <v>4.78</v>
      </c>
      <c r="BN533" s="294">
        <v>4.78</v>
      </c>
      <c r="BO533" s="294">
        <v>4.78</v>
      </c>
      <c r="BP533" s="294">
        <v>4.78</v>
      </c>
      <c r="BQ533" s="294">
        <v>4.78</v>
      </c>
      <c r="BR533" s="294">
        <v>4.78</v>
      </c>
      <c r="BS533" s="220"/>
    </row>
    <row r="534" spans="1:71" x14ac:dyDescent="0.25">
      <c r="A534" s="243" t="s">
        <v>467</v>
      </c>
      <c r="B534" s="247">
        <v>8.4833917617797905</v>
      </c>
      <c r="C534" s="247">
        <v>12.566796302795399</v>
      </c>
      <c r="D534" s="247">
        <v>15.1470994949341</v>
      </c>
      <c r="E534" s="247">
        <v>13.2375335693359</v>
      </c>
      <c r="F534" s="247">
        <v>11.1595468521118</v>
      </c>
      <c r="G534" s="247">
        <v>10.509430885314901</v>
      </c>
      <c r="H534" s="247">
        <v>10.3245944976807</v>
      </c>
      <c r="I534" s="247">
        <v>10.044970512390099</v>
      </c>
      <c r="J534" s="247">
        <v>10.0157480239868</v>
      </c>
      <c r="K534" s="247">
        <v>9.9449577331543004</v>
      </c>
      <c r="L534" s="247">
        <v>10.002993583679199</v>
      </c>
      <c r="M534" s="247">
        <v>10.097089767456101</v>
      </c>
      <c r="N534" s="247">
        <v>10.020875930786101</v>
      </c>
      <c r="O534" s="247">
        <v>10.2241611480713</v>
      </c>
      <c r="P534" s="247">
        <v>10.3367824554443</v>
      </c>
      <c r="Q534" s="247">
        <v>10.319104194641101</v>
      </c>
      <c r="R534" s="247">
        <v>10.409514427185099</v>
      </c>
      <c r="S534" s="247">
        <v>10.552604675293001</v>
      </c>
      <c r="T534" s="247">
        <v>10.737306594848601</v>
      </c>
      <c r="U534" s="247">
        <v>10.9299325942993</v>
      </c>
      <c r="V534" s="247">
        <v>11.0452260971069</v>
      </c>
      <c r="W534" s="247">
        <v>11.198148727416999</v>
      </c>
      <c r="X534" s="247">
        <v>11.303442955017101</v>
      </c>
      <c r="Y534" s="247">
        <v>11.352322578430201</v>
      </c>
      <c r="AA534" s="293" t="e">
        <f t="shared" ref="AA534:AG534" si="79">AA533*GJ_p_MMBtu</f>
        <v>#NAME?</v>
      </c>
      <c r="AB534" s="293" t="e">
        <f t="shared" si="79"/>
        <v>#NAME?</v>
      </c>
      <c r="AC534" s="293" t="e">
        <f t="shared" si="79"/>
        <v>#NAME?</v>
      </c>
      <c r="AD534" s="293" t="e">
        <f t="shared" si="79"/>
        <v>#NAME?</v>
      </c>
      <c r="AE534" s="293" t="e">
        <f t="shared" si="79"/>
        <v>#NAME?</v>
      </c>
      <c r="AF534" s="293" t="e">
        <f t="shared" si="79"/>
        <v>#NAME?</v>
      </c>
      <c r="AG534" s="293" t="e">
        <f t="shared" si="79"/>
        <v>#NAME?</v>
      </c>
      <c r="AH534" s="293" t="e">
        <f t="shared" ref="AH534:BM534" si="80">AH533*GJ_p_MMBtu</f>
        <v>#NAME?</v>
      </c>
      <c r="AI534" s="293" t="e">
        <f t="shared" si="80"/>
        <v>#NAME?</v>
      </c>
      <c r="AJ534" s="293" t="e">
        <f t="shared" si="80"/>
        <v>#NAME?</v>
      </c>
      <c r="AK534" s="293" t="e">
        <f t="shared" si="80"/>
        <v>#NAME?</v>
      </c>
      <c r="AL534" s="293" t="e">
        <f t="shared" si="80"/>
        <v>#NAME?</v>
      </c>
      <c r="AM534" s="293" t="e">
        <f t="shared" si="80"/>
        <v>#NAME?</v>
      </c>
      <c r="AN534" s="293" t="e">
        <f t="shared" si="80"/>
        <v>#NAME?</v>
      </c>
      <c r="AO534" s="293" t="e">
        <f t="shared" si="80"/>
        <v>#NAME?</v>
      </c>
      <c r="AP534" s="293" t="e">
        <f t="shared" si="80"/>
        <v>#NAME?</v>
      </c>
      <c r="AQ534" s="293" t="e">
        <f t="shared" si="80"/>
        <v>#NAME?</v>
      </c>
      <c r="AR534" s="293" t="e">
        <f t="shared" si="80"/>
        <v>#NAME?</v>
      </c>
      <c r="AS534" s="293" t="e">
        <f t="shared" si="80"/>
        <v>#NAME?</v>
      </c>
      <c r="AT534" s="293" t="e">
        <f t="shared" si="80"/>
        <v>#NAME?</v>
      </c>
      <c r="AU534" s="293" t="e">
        <f t="shared" si="80"/>
        <v>#NAME?</v>
      </c>
      <c r="AV534" s="293" t="e">
        <f t="shared" si="80"/>
        <v>#NAME?</v>
      </c>
      <c r="AW534" s="293" t="e">
        <f t="shared" si="80"/>
        <v>#NAME?</v>
      </c>
      <c r="AX534" s="293" t="e">
        <f t="shared" si="80"/>
        <v>#NAME?</v>
      </c>
      <c r="AY534" s="293" t="e">
        <f t="shared" si="80"/>
        <v>#NAME?</v>
      </c>
      <c r="AZ534" s="293" t="e">
        <f t="shared" si="80"/>
        <v>#NAME?</v>
      </c>
      <c r="BA534" s="293" t="e">
        <f t="shared" si="80"/>
        <v>#NAME?</v>
      </c>
      <c r="BB534" s="293" t="e">
        <f t="shared" si="80"/>
        <v>#NAME?</v>
      </c>
      <c r="BC534" s="293" t="e">
        <f t="shared" si="80"/>
        <v>#NAME?</v>
      </c>
      <c r="BD534" s="293" t="e">
        <f t="shared" si="80"/>
        <v>#NAME?</v>
      </c>
      <c r="BE534" s="293" t="e">
        <f t="shared" si="80"/>
        <v>#NAME?</v>
      </c>
      <c r="BF534" s="293" t="e">
        <f t="shared" si="80"/>
        <v>#NAME?</v>
      </c>
      <c r="BG534" s="293" t="e">
        <f t="shared" si="80"/>
        <v>#NAME?</v>
      </c>
      <c r="BH534" s="293" t="e">
        <f t="shared" si="80"/>
        <v>#NAME?</v>
      </c>
      <c r="BI534" s="293" t="e">
        <f t="shared" si="80"/>
        <v>#NAME?</v>
      </c>
      <c r="BJ534" s="293" t="e">
        <f t="shared" si="80"/>
        <v>#NAME?</v>
      </c>
      <c r="BK534" s="293" t="e">
        <f t="shared" si="80"/>
        <v>#NAME?</v>
      </c>
      <c r="BL534" s="293" t="e">
        <f t="shared" si="80"/>
        <v>#NAME?</v>
      </c>
      <c r="BM534" s="293" t="e">
        <f t="shared" si="80"/>
        <v>#NAME?</v>
      </c>
      <c r="BN534" s="293" t="e">
        <f>BN533*GJ_p_MMBtu</f>
        <v>#NAME?</v>
      </c>
      <c r="BO534" s="293" t="e">
        <f>BO533*GJ_p_MMBtu</f>
        <v>#NAME?</v>
      </c>
      <c r="BP534" s="293" t="e">
        <f>BP533*GJ_p_MMBtu</f>
        <v>#NAME?</v>
      </c>
      <c r="BQ534" s="293" t="e">
        <f>BQ533*GJ_p_MMBtu</f>
        <v>#NAME?</v>
      </c>
      <c r="BR534" s="293" t="e">
        <f>BR533*GJ_p_MMBtu</f>
        <v>#NAME?</v>
      </c>
    </row>
    <row r="535" spans="1:71" ht="51" customHeight="1" x14ac:dyDescent="0.25">
      <c r="A535" s="243" t="s">
        <v>471</v>
      </c>
      <c r="B535" s="247">
        <v>3.9384419918060298</v>
      </c>
      <c r="C535" s="247">
        <v>4.5867881774902299</v>
      </c>
      <c r="D535" s="247">
        <v>4.6800308227539098</v>
      </c>
      <c r="E535" s="247">
        <v>4.9388971328735396</v>
      </c>
      <c r="F535" s="247">
        <v>4.6724338531494096</v>
      </c>
      <c r="G535" s="247">
        <v>4.2573971748352104</v>
      </c>
      <c r="H535" s="247">
        <v>4.0660681724548304</v>
      </c>
      <c r="I535" s="247">
        <v>3.9201312065124498</v>
      </c>
      <c r="J535" s="247">
        <v>3.8699574470520002</v>
      </c>
      <c r="K535" s="247">
        <v>3.9242179393768302</v>
      </c>
      <c r="L535" s="247">
        <v>3.9701111316680899</v>
      </c>
      <c r="M535" s="247">
        <v>4.0123748779296902</v>
      </c>
      <c r="N535" s="247">
        <v>4.03127193450928</v>
      </c>
      <c r="O535" s="247">
        <v>4.0987625122070304</v>
      </c>
      <c r="P535" s="247">
        <v>4.1393604278564498</v>
      </c>
      <c r="Q535" s="247">
        <v>4.1877317428588903</v>
      </c>
      <c r="R535" s="247">
        <v>4.2278647422790501</v>
      </c>
      <c r="S535" s="247">
        <v>4.2813539505004901</v>
      </c>
      <c r="T535" s="247">
        <v>4.3376803398132298</v>
      </c>
      <c r="U535" s="247">
        <v>4.4096555709838903</v>
      </c>
      <c r="V535" s="247">
        <v>4.4638853073120099</v>
      </c>
      <c r="W535" s="247">
        <v>4.5156707763671902</v>
      </c>
      <c r="X535" s="247">
        <v>4.5648870468139604</v>
      </c>
      <c r="Y535" s="247">
        <v>4.6165790557861301</v>
      </c>
      <c r="AA535" s="247"/>
      <c r="AB535" s="247"/>
      <c r="AC535" s="247"/>
      <c r="AD535" s="247"/>
      <c r="AE535" s="247"/>
      <c r="AF535" s="247"/>
      <c r="AG535" s="247"/>
      <c r="AH535" s="247"/>
    </row>
    <row r="536" spans="1:71" x14ac:dyDescent="0.25">
      <c r="A536" s="268" t="s">
        <v>474</v>
      </c>
      <c r="B536" s="247">
        <v>3.88655662536621</v>
      </c>
      <c r="C536" s="247">
        <v>5.55936574935913</v>
      </c>
      <c r="D536" s="247">
        <v>6.0491561889648402</v>
      </c>
      <c r="E536" s="247">
        <v>6.0767245292663601</v>
      </c>
      <c r="F536" s="247">
        <v>5.4288315773010298</v>
      </c>
      <c r="G536" s="247">
        <v>4.9784579277038601</v>
      </c>
      <c r="H536" s="247">
        <v>4.6095819473266602</v>
      </c>
      <c r="I536" s="247">
        <v>4.5152282714843803</v>
      </c>
      <c r="J536" s="247">
        <v>4.3734540939331099</v>
      </c>
      <c r="K536" s="247">
        <v>4.3719940185546902</v>
      </c>
      <c r="L536" s="247">
        <v>4.4435229301452601</v>
      </c>
      <c r="M536" s="247">
        <v>4.5411396026611301</v>
      </c>
      <c r="N536" s="247">
        <v>4.7005810737609899</v>
      </c>
      <c r="O536" s="247">
        <v>4.81768798828125</v>
      </c>
      <c r="P536" s="247">
        <v>4.7900476455688503</v>
      </c>
      <c r="Q536" s="247">
        <v>4.8231658935546902</v>
      </c>
      <c r="R536" s="247">
        <v>4.9558763504028303</v>
      </c>
      <c r="S536" s="247">
        <v>5.1147346496581996</v>
      </c>
      <c r="T536" s="247">
        <v>5.2329874038696298</v>
      </c>
      <c r="U536" s="247">
        <v>5.3250308036804199</v>
      </c>
      <c r="V536" s="247">
        <v>5.3559622764587402</v>
      </c>
      <c r="W536" s="247">
        <v>5.3499736785888699</v>
      </c>
      <c r="X536" s="247">
        <v>5.4079699516296396</v>
      </c>
      <c r="Y536" s="247">
        <v>5.4724006652831996</v>
      </c>
      <c r="Z536" s="277">
        <f>Y536+($AI$366-$Y$536)/10</f>
        <v>5.502911815190215</v>
      </c>
    </row>
    <row r="537" spans="1:71" x14ac:dyDescent="0.25">
      <c r="A537" s="243" t="s">
        <v>475</v>
      </c>
      <c r="B537" s="247">
        <v>1.88388228416443</v>
      </c>
      <c r="C537" s="247">
        <v>1.8499996662139899</v>
      </c>
      <c r="D537" s="247">
        <v>1.9631321430206301</v>
      </c>
      <c r="E537" s="247">
        <v>1.9065624475479099</v>
      </c>
      <c r="F537" s="247">
        <v>1.8876701593398999</v>
      </c>
      <c r="G537" s="247">
        <v>1.8568421602249101</v>
      </c>
      <c r="H537" s="247">
        <v>1.8503668308258101</v>
      </c>
      <c r="I537" s="247">
        <v>1.8461718559265099</v>
      </c>
      <c r="J537" s="247">
        <v>1.81827020645142</v>
      </c>
      <c r="K537" s="247">
        <v>1.79229772090912</v>
      </c>
      <c r="L537" s="247">
        <v>1.7775920629501301</v>
      </c>
      <c r="M537" s="247">
        <v>1.7720992565155</v>
      </c>
      <c r="N537" s="247">
        <v>1.7673192024230999</v>
      </c>
      <c r="O537" s="247">
        <v>1.76388168334961</v>
      </c>
      <c r="P537" s="247">
        <v>1.7582092285156301</v>
      </c>
      <c r="Q537" s="247">
        <v>1.7531107664108301</v>
      </c>
      <c r="R537" s="247">
        <v>1.7537478208541899</v>
      </c>
      <c r="S537" s="247">
        <v>1.7550060749053999</v>
      </c>
      <c r="T537" s="247">
        <v>1.75110328197479</v>
      </c>
      <c r="U537" s="247">
        <v>1.741095662117</v>
      </c>
      <c r="V537" s="247">
        <v>1.72283828258514</v>
      </c>
      <c r="W537" s="247">
        <v>1.7066173553466799</v>
      </c>
      <c r="X537" s="247">
        <v>1.6973831653595</v>
      </c>
      <c r="Y537" s="247">
        <v>1.68216860294342</v>
      </c>
    </row>
    <row r="538" spans="1:71" x14ac:dyDescent="0.25">
      <c r="A538" s="243" t="s">
        <v>476</v>
      </c>
      <c r="B538" s="247">
        <v>1.5976041555404701</v>
      </c>
      <c r="C538" s="247">
        <v>1.5543407201767001</v>
      </c>
      <c r="D538" s="247">
        <v>1.5665656328201301</v>
      </c>
      <c r="E538" s="247">
        <v>1.6037170886993399</v>
      </c>
      <c r="F538" s="247">
        <v>1.59409379959106</v>
      </c>
      <c r="G538" s="247">
        <v>1.5766631364822401</v>
      </c>
      <c r="H538" s="247">
        <v>1.5775339603424099</v>
      </c>
      <c r="I538" s="247">
        <v>1.5708864927291899</v>
      </c>
      <c r="J538" s="247">
        <v>1.5649564266204801</v>
      </c>
      <c r="K538" s="247">
        <v>1.56413578987122</v>
      </c>
      <c r="L538" s="247">
        <v>1.5547889471054099</v>
      </c>
      <c r="M538" s="247">
        <v>1.54732978343964</v>
      </c>
      <c r="N538" s="247">
        <v>1.54787278175354</v>
      </c>
      <c r="O538" s="247">
        <v>1.5495419502258301</v>
      </c>
      <c r="P538" s="247">
        <v>1.5494637489318801</v>
      </c>
      <c r="Q538" s="247">
        <v>1.5568271875381501</v>
      </c>
      <c r="R538" s="247">
        <v>1.55967605113983</v>
      </c>
      <c r="S538" s="247">
        <v>1.5613601207733201</v>
      </c>
      <c r="T538" s="247">
        <v>1.5625598430633501</v>
      </c>
      <c r="U538" s="247">
        <v>1.5681461095809901</v>
      </c>
      <c r="V538" s="247">
        <v>1.5708984136581401</v>
      </c>
      <c r="W538" s="247">
        <v>1.6035954952239999</v>
      </c>
      <c r="X538" s="247">
        <v>1.60524129867554</v>
      </c>
      <c r="Y538" s="247">
        <v>1.6024739742279099</v>
      </c>
    </row>
    <row r="539" spans="1:71" x14ac:dyDescent="0.25">
      <c r="A539" s="270" t="s">
        <v>469</v>
      </c>
      <c r="B539" s="247">
        <v>14.734835624694799</v>
      </c>
      <c r="C539" s="247">
        <v>15.0261535644531</v>
      </c>
      <c r="D539" s="247">
        <v>15.7151737213135</v>
      </c>
      <c r="E539" s="247">
        <v>15.5977983474731</v>
      </c>
      <c r="F539" s="247">
        <v>15.0554456710815</v>
      </c>
      <c r="G539" s="247">
        <v>14.415571212768601</v>
      </c>
      <c r="H539" s="247">
        <v>14.123340606689499</v>
      </c>
      <c r="I539" s="247">
        <v>14.033378601074199</v>
      </c>
      <c r="J539" s="247">
        <v>13.8423414230347</v>
      </c>
      <c r="K539" s="247">
        <v>13.6992740631104</v>
      </c>
      <c r="L539" s="247">
        <v>13.8484916687012</v>
      </c>
      <c r="M539" s="247">
        <v>14.089280128479</v>
      </c>
      <c r="N539" s="247">
        <v>14.438159942626999</v>
      </c>
      <c r="O539" s="247">
        <v>14.622407913208001</v>
      </c>
      <c r="P539" s="247">
        <v>14.680962562561</v>
      </c>
      <c r="Q539" s="247">
        <v>14.817166328430201</v>
      </c>
      <c r="R539" s="247">
        <v>15.035754203796399</v>
      </c>
      <c r="S539" s="247">
        <v>15.3131446838379</v>
      </c>
      <c r="T539" s="247">
        <v>15.467190742492701</v>
      </c>
      <c r="U539" s="247">
        <v>15.608844757080099</v>
      </c>
      <c r="V539" s="247">
        <v>15.623446464538601</v>
      </c>
      <c r="W539" s="247">
        <v>15.6070909500122</v>
      </c>
      <c r="X539" s="247">
        <v>15.6627254486084</v>
      </c>
      <c r="Y539" s="247">
        <v>15.7515544891357</v>
      </c>
      <c r="Z539" s="279">
        <f>Y539+($AI$369-$Y$539)/10</f>
        <v>15.681619149325263</v>
      </c>
    </row>
    <row r="540" spans="1:71" x14ac:dyDescent="0.25">
      <c r="A540" s="243" t="s">
        <v>430</v>
      </c>
      <c r="B540" s="247" t="s">
        <v>430</v>
      </c>
      <c r="C540" s="247" t="s">
        <v>430</v>
      </c>
      <c r="D540" s="247" t="s">
        <v>430</v>
      </c>
      <c r="E540" s="247" t="s">
        <v>430</v>
      </c>
      <c r="F540" s="247" t="s">
        <v>430</v>
      </c>
      <c r="G540" s="247" t="s">
        <v>430</v>
      </c>
      <c r="H540" s="247" t="s">
        <v>430</v>
      </c>
      <c r="I540" s="247" t="s">
        <v>430</v>
      </c>
      <c r="J540" s="247" t="s">
        <v>430</v>
      </c>
      <c r="K540" s="247" t="s">
        <v>430</v>
      </c>
      <c r="L540" s="247" t="s">
        <v>430</v>
      </c>
      <c r="M540" s="247" t="s">
        <v>430</v>
      </c>
      <c r="N540" s="247" t="s">
        <v>430</v>
      </c>
      <c r="O540" s="247" t="s">
        <v>430</v>
      </c>
      <c r="P540" s="247" t="s">
        <v>430</v>
      </c>
      <c r="Q540" s="247" t="s">
        <v>430</v>
      </c>
      <c r="R540" s="247" t="s">
        <v>430</v>
      </c>
      <c r="S540" s="247" t="s">
        <v>430</v>
      </c>
      <c r="T540" s="247" t="s">
        <v>430</v>
      </c>
      <c r="U540" s="247" t="s">
        <v>430</v>
      </c>
      <c r="V540" s="247" t="s">
        <v>430</v>
      </c>
      <c r="W540" s="247" t="s">
        <v>430</v>
      </c>
      <c r="X540" s="247" t="s">
        <v>430</v>
      </c>
      <c r="Y540" s="247" t="s">
        <v>430</v>
      </c>
    </row>
    <row r="541" spans="1:71" x14ac:dyDescent="0.25">
      <c r="A541" s="243" t="s">
        <v>477</v>
      </c>
      <c r="B541" s="247">
        <v>10.068477630615201</v>
      </c>
      <c r="C541" s="247">
        <v>11.4567165374756</v>
      </c>
      <c r="D541" s="247">
        <v>12.984972000122101</v>
      </c>
      <c r="E541" s="247">
        <v>12.646059036254901</v>
      </c>
      <c r="F541" s="247">
        <v>12.0215864181519</v>
      </c>
      <c r="G541" s="247">
        <v>11.451254844665501</v>
      </c>
      <c r="H541" s="247">
        <v>11.2903280258179</v>
      </c>
      <c r="I541" s="247">
        <v>11.054517745971699</v>
      </c>
      <c r="J541" s="247">
        <v>10.953487396240201</v>
      </c>
      <c r="K541" s="247">
        <v>10.9616088867188</v>
      </c>
      <c r="L541" s="247">
        <v>10.9120273590088</v>
      </c>
      <c r="M541" s="247">
        <v>10.9370317459106</v>
      </c>
      <c r="N541" s="247">
        <v>10.932166099548301</v>
      </c>
      <c r="O541" s="247">
        <v>10.949841499328601</v>
      </c>
      <c r="P541" s="247">
        <v>10.9948740005493</v>
      </c>
      <c r="Q541" s="247">
        <v>11.046938896179199</v>
      </c>
      <c r="R541" s="247">
        <v>11.074780464172401</v>
      </c>
      <c r="S541" s="247">
        <v>11.117128372192401</v>
      </c>
      <c r="T541" s="247">
        <v>11.155697822570801</v>
      </c>
      <c r="U541" s="247">
        <v>11.209436416626</v>
      </c>
      <c r="V541" s="247">
        <v>11.2737817764282</v>
      </c>
      <c r="W541" s="247">
        <v>11.3331050872803</v>
      </c>
      <c r="X541" s="247">
        <v>11.350456237793001</v>
      </c>
      <c r="Y541" s="247">
        <v>11.462995529174799</v>
      </c>
    </row>
    <row r="542" spans="1:71" x14ac:dyDescent="0.25">
      <c r="A542" s="243" t="s">
        <v>473</v>
      </c>
      <c r="B542" s="247">
        <v>10.0396184921265</v>
      </c>
      <c r="C542" s="247">
        <v>11.4297380447388</v>
      </c>
      <c r="D542" s="247">
        <v>12.961000442504901</v>
      </c>
      <c r="E542" s="247">
        <v>12.6219329833984</v>
      </c>
      <c r="F542" s="247">
        <v>11.9984340667725</v>
      </c>
      <c r="G542" s="247">
        <v>11.4290685653687</v>
      </c>
      <c r="H542" s="247">
        <v>11.2685947418213</v>
      </c>
      <c r="I542" s="247">
        <v>11.0320892333984</v>
      </c>
      <c r="J542" s="247">
        <v>10.930870056152299</v>
      </c>
      <c r="K542" s="247">
        <v>10.938961982727101</v>
      </c>
      <c r="L542" s="247">
        <v>10.8886499404907</v>
      </c>
      <c r="M542" s="247">
        <v>10.913072586059601</v>
      </c>
      <c r="N542" s="247">
        <v>10.9073333740234</v>
      </c>
      <c r="O542" s="247">
        <v>10.9247722625732</v>
      </c>
      <c r="P542" s="247">
        <v>10.969937324523899</v>
      </c>
      <c r="Q542" s="247">
        <v>11.021965980529799</v>
      </c>
      <c r="R542" s="247">
        <v>11.049379348754901</v>
      </c>
      <c r="S542" s="247">
        <v>11.0911350250244</v>
      </c>
      <c r="T542" s="247">
        <v>11.129392623901399</v>
      </c>
      <c r="U542" s="247">
        <v>11.182910919189499</v>
      </c>
      <c r="V542" s="247">
        <v>11.247509956359901</v>
      </c>
      <c r="W542" s="247">
        <v>11.307147026061999</v>
      </c>
      <c r="X542" s="247">
        <v>11.324338912963899</v>
      </c>
      <c r="Y542" s="247">
        <v>11.436959266662599</v>
      </c>
    </row>
    <row r="543" spans="1:71" x14ac:dyDescent="0.25">
      <c r="A543" s="243" t="s">
        <v>465</v>
      </c>
      <c r="B543" s="247">
        <v>10.0409812927246</v>
      </c>
      <c r="C543" s="247">
        <v>11.431476593017599</v>
      </c>
      <c r="D543" s="247">
        <v>12.9638833999634</v>
      </c>
      <c r="E543" s="247">
        <v>12.6248769760132</v>
      </c>
      <c r="F543" s="247">
        <v>12.0015964508057</v>
      </c>
      <c r="G543" s="247">
        <v>11.432228088378899</v>
      </c>
      <c r="H543" s="247">
        <v>11.2722625732422</v>
      </c>
      <c r="I543" s="247">
        <v>11.0358724594116</v>
      </c>
      <c r="J543" s="247">
        <v>10.934929847717299</v>
      </c>
      <c r="K543" s="247">
        <v>10.9432172775269</v>
      </c>
      <c r="L543" s="247">
        <v>10.892875671386699</v>
      </c>
      <c r="M543" s="247">
        <v>10.9173030853271</v>
      </c>
      <c r="N543" s="247">
        <v>10.911340713501</v>
      </c>
      <c r="O543" s="247">
        <v>10.928663253784199</v>
      </c>
      <c r="P543" s="247">
        <v>10.9740562438965</v>
      </c>
      <c r="Q543" s="247">
        <v>11.026309967041</v>
      </c>
      <c r="R543" s="247">
        <v>11.0536193847656</v>
      </c>
      <c r="S543" s="247">
        <v>11.0952548980713</v>
      </c>
      <c r="T543" s="247">
        <v>11.1333513259888</v>
      </c>
      <c r="U543" s="247">
        <v>11.1867895126343</v>
      </c>
      <c r="V543" s="247">
        <v>11.251508712768601</v>
      </c>
      <c r="W543" s="247">
        <v>11.3113117218018</v>
      </c>
      <c r="X543" s="247">
        <v>11.328408241271999</v>
      </c>
      <c r="Y543" s="247">
        <v>11.4412240982056</v>
      </c>
    </row>
    <row r="544" spans="1:71" x14ac:dyDescent="0.25">
      <c r="A544" s="274" t="s">
        <v>478</v>
      </c>
      <c r="B544" s="247">
        <v>9.5535230636596697</v>
      </c>
      <c r="C544" s="247">
        <v>10.9202365875244</v>
      </c>
      <c r="D544" s="247">
        <v>12.0208587646484</v>
      </c>
      <c r="E544" s="247">
        <v>11.5461339950562</v>
      </c>
      <c r="F544" s="247">
        <v>11.286841392517101</v>
      </c>
      <c r="G544" s="247">
        <v>11.003821372985801</v>
      </c>
      <c r="H544" s="247">
        <v>10.8476676940918</v>
      </c>
      <c r="I544" s="247">
        <v>10.675346374511699</v>
      </c>
      <c r="J544" s="247">
        <v>10.7599039077759</v>
      </c>
      <c r="K544" s="247">
        <v>10.8244476318359</v>
      </c>
      <c r="L544" s="247">
        <v>10.807107925415</v>
      </c>
      <c r="M544" s="247">
        <v>10.788902282714799</v>
      </c>
      <c r="N544" s="247">
        <v>10.7359352111816</v>
      </c>
      <c r="O544" s="247">
        <v>10.7108716964722</v>
      </c>
      <c r="P544" s="247">
        <v>10.6978845596313</v>
      </c>
      <c r="Q544" s="247">
        <v>10.720422744751</v>
      </c>
      <c r="R544" s="247">
        <v>10.715018272399901</v>
      </c>
      <c r="S544" s="247">
        <v>10.7237329483032</v>
      </c>
      <c r="T544" s="247">
        <v>10.658562660217299</v>
      </c>
      <c r="U544" s="247">
        <v>10.6896152496338</v>
      </c>
      <c r="V544" s="247">
        <v>10.7133436203003</v>
      </c>
      <c r="W544" s="247">
        <v>10.6396188735962</v>
      </c>
      <c r="X544" s="247">
        <v>10.6814889907837</v>
      </c>
      <c r="Y544" s="247">
        <v>10.8466644287109</v>
      </c>
      <c r="Z544" s="281">
        <f>Y544+($AI$374-$Y$544)/10</f>
        <v>11.215393895691953</v>
      </c>
    </row>
    <row r="545" spans="1:26" x14ac:dyDescent="0.25">
      <c r="A545" s="243" t="s">
        <v>479</v>
      </c>
      <c r="B545" s="247">
        <v>6.0538434982299796</v>
      </c>
      <c r="C545" s="247">
        <v>6.4578518867492702</v>
      </c>
      <c r="D545" s="247">
        <v>8.1168746948242205</v>
      </c>
      <c r="E545" s="247">
        <v>7.6875572204589799</v>
      </c>
      <c r="F545" s="247">
        <v>7.0150871276855504</v>
      </c>
      <c r="G545" s="247">
        <v>6.5790328979492196</v>
      </c>
      <c r="H545" s="247">
        <v>6.5712537765502903</v>
      </c>
      <c r="I545" s="247">
        <v>6.42602443695068</v>
      </c>
      <c r="J545" s="247">
        <v>6.2476048469543501</v>
      </c>
      <c r="K545" s="247">
        <v>6.2184038162231401</v>
      </c>
      <c r="L545" s="247">
        <v>6.2436552047729501</v>
      </c>
      <c r="M545" s="247">
        <v>6.2858424186706499</v>
      </c>
      <c r="N545" s="247">
        <v>6.2737250328064</v>
      </c>
      <c r="O545" s="247">
        <v>6.2926135063171396</v>
      </c>
      <c r="P545" s="247">
        <v>6.3336305618286097</v>
      </c>
      <c r="Q545" s="247">
        <v>6.3623290061950701</v>
      </c>
      <c r="R545" s="247">
        <v>6.4419050216674796</v>
      </c>
      <c r="S545" s="247">
        <v>6.5377755165100098</v>
      </c>
      <c r="T545" s="247">
        <v>6.5789065361022896</v>
      </c>
      <c r="U545" s="247">
        <v>6.7034192085266104</v>
      </c>
      <c r="V545" s="247">
        <v>6.8036813735961896</v>
      </c>
      <c r="W545" s="247">
        <v>6.8691210746765101</v>
      </c>
      <c r="X545" s="247">
        <v>6.8930430412292498</v>
      </c>
      <c r="Y545" s="247">
        <v>6.9258189201354998</v>
      </c>
    </row>
    <row r="546" spans="1:26" x14ac:dyDescent="0.25">
      <c r="A546" s="274" t="s">
        <v>480</v>
      </c>
      <c r="B546" s="247">
        <v>11.3207235336304</v>
      </c>
      <c r="C546" s="247">
        <v>12.9284992218018</v>
      </c>
      <c r="D546" s="247">
        <v>14.6530704498291</v>
      </c>
      <c r="E546" s="247">
        <v>14.346965789794901</v>
      </c>
      <c r="F546" s="247">
        <v>13.634911537170399</v>
      </c>
      <c r="G546" s="247">
        <v>12.9354457855225</v>
      </c>
      <c r="H546" s="247">
        <v>12.7248182296753</v>
      </c>
      <c r="I546" s="247">
        <v>12.444727897644</v>
      </c>
      <c r="J546" s="247">
        <v>12.3216390609741</v>
      </c>
      <c r="K546" s="247">
        <v>12.333900451660201</v>
      </c>
      <c r="L546" s="247">
        <v>12.228641510009799</v>
      </c>
      <c r="M546" s="247">
        <v>12.2244319915771</v>
      </c>
      <c r="N546" s="247">
        <v>12.232741355896</v>
      </c>
      <c r="O546" s="247">
        <v>12.2594261169434</v>
      </c>
      <c r="P546" s="247">
        <v>12.3207359313965</v>
      </c>
      <c r="Q546" s="247">
        <v>12.3872022628784</v>
      </c>
      <c r="R546" s="247">
        <v>12.4125566482544</v>
      </c>
      <c r="S546" s="247">
        <v>12.451280593872101</v>
      </c>
      <c r="T546" s="247">
        <v>12.520702362060501</v>
      </c>
      <c r="U546" s="247">
        <v>12.5581102371216</v>
      </c>
      <c r="V546" s="247">
        <v>12.622034072876</v>
      </c>
      <c r="W546" s="247">
        <v>12.7203483581543</v>
      </c>
      <c r="X546" s="247">
        <v>12.7153625488281</v>
      </c>
      <c r="Y546" s="247">
        <v>12.8139133453369</v>
      </c>
      <c r="Z546" s="281">
        <f>Y546+($AI$376-$Y$546)/10</f>
        <v>13.239838295522954</v>
      </c>
    </row>
    <row r="547" spans="1:26" x14ac:dyDescent="0.25">
      <c r="A547" s="243" t="s">
        <v>471</v>
      </c>
      <c r="B547" s="247">
        <v>3.83150410652161</v>
      </c>
      <c r="C547" s="247">
        <v>4.4939312934875497</v>
      </c>
      <c r="D547" s="247">
        <v>4.5839381217956499</v>
      </c>
      <c r="E547" s="247">
        <v>4.8374905586242702</v>
      </c>
      <c r="F547" s="247">
        <v>4.5451078414917001</v>
      </c>
      <c r="G547" s="247">
        <v>4.1204147338867196</v>
      </c>
      <c r="H547" s="247">
        <v>3.9213058948516801</v>
      </c>
      <c r="I547" s="247">
        <v>3.7859048843383798</v>
      </c>
      <c r="J547" s="247">
        <v>3.7380118370056201</v>
      </c>
      <c r="K547" s="247">
        <v>3.79148626327515</v>
      </c>
      <c r="L547" s="247">
        <v>3.8454215526580802</v>
      </c>
      <c r="M547" s="247">
        <v>3.8996179103851301</v>
      </c>
      <c r="N547" s="247">
        <v>3.9557838439941402</v>
      </c>
      <c r="O547" s="247">
        <v>4.0096635818481401</v>
      </c>
      <c r="P547" s="247">
        <v>4.0587000846862802</v>
      </c>
      <c r="Q547" s="247">
        <v>4.1115031242370597</v>
      </c>
      <c r="R547" s="247">
        <v>4.1679596900939897</v>
      </c>
      <c r="S547" s="247">
        <v>4.2270021438598597</v>
      </c>
      <c r="T547" s="247">
        <v>4.2823433876037598</v>
      </c>
      <c r="U547" s="247">
        <v>4.3368558883667001</v>
      </c>
      <c r="V547" s="247">
        <v>4.3924484252929696</v>
      </c>
      <c r="W547" s="247">
        <v>4.4465680122375497</v>
      </c>
      <c r="X547" s="247">
        <v>4.5027370452880904</v>
      </c>
      <c r="Y547" s="247">
        <v>4.5619544982910201</v>
      </c>
    </row>
    <row r="548" spans="1:26" x14ac:dyDescent="0.25">
      <c r="A548" s="243" t="s">
        <v>481</v>
      </c>
      <c r="B548" s="247">
        <v>15.146578788757299</v>
      </c>
      <c r="C548" s="247">
        <v>16.654964447021499</v>
      </c>
      <c r="D548" s="247">
        <v>20.603065490722699</v>
      </c>
      <c r="E548" s="247">
        <v>20.419296264648398</v>
      </c>
      <c r="F548" s="247">
        <v>16.382719039916999</v>
      </c>
      <c r="G548" s="247">
        <v>15.8189392089844</v>
      </c>
      <c r="H548" s="247">
        <v>15.6014108657837</v>
      </c>
      <c r="I548" s="247">
        <v>15.311073303222701</v>
      </c>
      <c r="J548" s="247">
        <v>15.2448682785034</v>
      </c>
      <c r="K548" s="247">
        <v>15.179443359375</v>
      </c>
      <c r="L548" s="247">
        <v>15.2014074325562</v>
      </c>
      <c r="M548" s="247">
        <v>15.2481698989868</v>
      </c>
      <c r="N548" s="247">
        <v>15.181710243225099</v>
      </c>
      <c r="O548" s="247">
        <v>15.278540611267101</v>
      </c>
      <c r="P548" s="247">
        <v>15.3825387954712</v>
      </c>
      <c r="Q548" s="247">
        <v>15.370577812194799</v>
      </c>
      <c r="R548" s="247">
        <v>15.3893880844116</v>
      </c>
      <c r="S548" s="247">
        <v>15.510032653808601</v>
      </c>
      <c r="T548" s="247">
        <v>15.6597127914429</v>
      </c>
      <c r="U548" s="247">
        <v>15.774450302124</v>
      </c>
      <c r="V548" s="247">
        <v>15.847083091735801</v>
      </c>
      <c r="W548" s="247">
        <v>16.037206649780298</v>
      </c>
      <c r="X548" s="247">
        <v>16.107362747192401</v>
      </c>
      <c r="Y548" s="247">
        <v>16.244932174682599</v>
      </c>
    </row>
    <row r="549" spans="1:26" x14ac:dyDescent="0.25">
      <c r="A549" s="243" t="s">
        <v>482</v>
      </c>
      <c r="B549" s="247">
        <v>7.2317700386047399</v>
      </c>
      <c r="C549" s="247">
        <v>9.0444478988647496</v>
      </c>
      <c r="D549" s="247">
        <v>9.7142534255981392</v>
      </c>
      <c r="E549" s="247">
        <v>9.7951860427856392</v>
      </c>
      <c r="F549" s="247">
        <v>9.2951183319091797</v>
      </c>
      <c r="G549" s="247">
        <v>8.9833269119262695</v>
      </c>
      <c r="H549" s="247">
        <v>8.7195968627929705</v>
      </c>
      <c r="I549" s="247">
        <v>8.6326360702514595</v>
      </c>
      <c r="J549" s="247">
        <v>8.5613536834716797</v>
      </c>
      <c r="K549" s="247">
        <v>8.6190090179443395</v>
      </c>
      <c r="L549" s="247">
        <v>8.7080965042114293</v>
      </c>
      <c r="M549" s="247">
        <v>8.8271207809448207</v>
      </c>
      <c r="N549" s="247">
        <v>8.9910020828247106</v>
      </c>
      <c r="O549" s="247">
        <v>9.1132879257202095</v>
      </c>
      <c r="P549" s="247">
        <v>9.1042909622192401</v>
      </c>
      <c r="Q549" s="247">
        <v>9.1039905548095703</v>
      </c>
      <c r="R549" s="247">
        <v>9.2009325027465803</v>
      </c>
      <c r="S549" s="247">
        <v>9.3432521820068395</v>
      </c>
      <c r="T549" s="247">
        <v>9.4465293884277308</v>
      </c>
      <c r="U549" s="247">
        <v>9.5402717590331996</v>
      </c>
      <c r="V549" s="247">
        <v>9.5791873931884801</v>
      </c>
      <c r="W549" s="247">
        <v>9.5845136642456108</v>
      </c>
      <c r="X549" s="247">
        <v>9.6436891555786097</v>
      </c>
      <c r="Y549" s="247">
        <v>9.694091796875</v>
      </c>
    </row>
    <row r="550" spans="1:26" x14ac:dyDescent="0.25">
      <c r="A550" s="276" t="s">
        <v>487</v>
      </c>
      <c r="B550" s="247">
        <v>14.6543264389038</v>
      </c>
      <c r="C550" s="247">
        <v>16.232709884643601</v>
      </c>
      <c r="D550" s="247">
        <v>19.6646022796631</v>
      </c>
      <c r="E550" s="247">
        <v>19.5902194976807</v>
      </c>
      <c r="F550" s="247">
        <v>19.473403930664102</v>
      </c>
      <c r="G550" s="247">
        <v>18.312351226806602</v>
      </c>
      <c r="H550" s="247">
        <v>18.154972076416001</v>
      </c>
      <c r="I550" s="247">
        <v>17.744245529174801</v>
      </c>
      <c r="J550" s="247">
        <v>17.108533859252901</v>
      </c>
      <c r="K550" s="247">
        <v>16.985416412353501</v>
      </c>
      <c r="L550" s="247">
        <v>16.891477584838899</v>
      </c>
      <c r="M550" s="247">
        <v>17.106473922729499</v>
      </c>
      <c r="N550" s="247">
        <v>17.298709869384801</v>
      </c>
      <c r="O550" s="247">
        <v>17.370653152465799</v>
      </c>
      <c r="P550" s="247">
        <v>17.404756546020501</v>
      </c>
      <c r="Q550" s="247">
        <v>17.4316711425781</v>
      </c>
      <c r="R550" s="247">
        <v>17.495216369628899</v>
      </c>
      <c r="S550" s="247">
        <v>17.111986160278299</v>
      </c>
      <c r="T550" s="247">
        <v>17.221326828002901</v>
      </c>
      <c r="U550" s="247">
        <v>17.6731853485107</v>
      </c>
      <c r="V550" s="247">
        <v>17.676996231079102</v>
      </c>
      <c r="W550" s="247">
        <v>17.866504669189499</v>
      </c>
      <c r="X550" s="247">
        <v>17.993064880371101</v>
      </c>
      <c r="Y550" s="247">
        <v>18.128524780273398</v>
      </c>
      <c r="Z550" s="283">
        <f>Y550+($AI$380-$Y$550)/10</f>
        <v>18.036478922002154</v>
      </c>
    </row>
    <row r="551" spans="1:26" x14ac:dyDescent="0.25">
      <c r="A551" s="243" t="s">
        <v>469</v>
      </c>
      <c r="B551" s="247">
        <v>20.034517288208001</v>
      </c>
      <c r="C551" s="247">
        <v>20.636144638061499</v>
      </c>
      <c r="D551" s="247">
        <v>21.1998176574707</v>
      </c>
      <c r="E551" s="247">
        <v>20.923387527465799</v>
      </c>
      <c r="F551" s="247">
        <v>19.967187881469702</v>
      </c>
      <c r="G551" s="247">
        <v>19.089002609252901</v>
      </c>
      <c r="H551" s="247">
        <v>18.799640655517599</v>
      </c>
      <c r="I551" s="247">
        <v>18.828804016113299</v>
      </c>
      <c r="J551" s="247">
        <v>18.807792663574201</v>
      </c>
      <c r="K551" s="247">
        <v>18.831340789794901</v>
      </c>
      <c r="L551" s="247">
        <v>19.0241508483887</v>
      </c>
      <c r="M551" s="247">
        <v>19.232509613037099</v>
      </c>
      <c r="N551" s="247">
        <v>19.521226882934599</v>
      </c>
      <c r="O551" s="247">
        <v>19.590469360351602</v>
      </c>
      <c r="P551" s="247">
        <v>19.544775009155298</v>
      </c>
      <c r="Q551" s="247">
        <v>19.5792236328125</v>
      </c>
      <c r="R551" s="247">
        <v>19.706111907958999</v>
      </c>
      <c r="S551" s="247">
        <v>19.899772644043001</v>
      </c>
      <c r="T551" s="247">
        <v>19.988050460815401</v>
      </c>
      <c r="U551" s="247">
        <v>20.054973602294901</v>
      </c>
      <c r="V551" s="247">
        <v>19.979206085205099</v>
      </c>
      <c r="W551" s="247">
        <v>19.890190124511701</v>
      </c>
      <c r="X551" s="247">
        <v>19.9172687530518</v>
      </c>
      <c r="Y551" s="247">
        <v>19.9590148925781</v>
      </c>
    </row>
    <row r="552" spans="1:26" x14ac:dyDescent="0.25">
      <c r="A552" s="243" t="s">
        <v>430</v>
      </c>
      <c r="B552" s="247" t="s">
        <v>430</v>
      </c>
      <c r="C552" s="247" t="s">
        <v>430</v>
      </c>
      <c r="D552" s="247" t="s">
        <v>430</v>
      </c>
      <c r="E552" s="247" t="s">
        <v>430</v>
      </c>
      <c r="F552" s="247" t="s">
        <v>430</v>
      </c>
      <c r="G552" s="247" t="s">
        <v>430</v>
      </c>
      <c r="H552" s="247" t="s">
        <v>430</v>
      </c>
      <c r="I552" s="247" t="s">
        <v>430</v>
      </c>
      <c r="J552" s="247" t="s">
        <v>430</v>
      </c>
      <c r="K552" s="247" t="s">
        <v>430</v>
      </c>
      <c r="L552" s="247" t="s">
        <v>430</v>
      </c>
      <c r="M552" s="247" t="s">
        <v>430</v>
      </c>
      <c r="N552" s="247" t="s">
        <v>430</v>
      </c>
      <c r="O552" s="247" t="s">
        <v>430</v>
      </c>
      <c r="P552" s="247" t="s">
        <v>430</v>
      </c>
      <c r="Q552" s="247" t="s">
        <v>430</v>
      </c>
      <c r="R552" s="247" t="s">
        <v>430</v>
      </c>
      <c r="S552" s="247" t="s">
        <v>430</v>
      </c>
      <c r="T552" s="247" t="s">
        <v>430</v>
      </c>
      <c r="U552" s="247" t="s">
        <v>430</v>
      </c>
      <c r="V552" s="247" t="s">
        <v>430</v>
      </c>
      <c r="W552" s="247" t="s">
        <v>430</v>
      </c>
      <c r="X552" s="247" t="s">
        <v>430</v>
      </c>
      <c r="Y552" s="247" t="s">
        <v>430</v>
      </c>
    </row>
    <row r="553" spans="1:26" x14ac:dyDescent="0.25">
      <c r="A553" s="243" t="s">
        <v>488</v>
      </c>
      <c r="B553" s="247">
        <v>10.2607097625732</v>
      </c>
      <c r="C553" s="247">
        <v>11.4965677261353</v>
      </c>
      <c r="D553" s="247">
        <v>12.498481750488301</v>
      </c>
      <c r="E553" s="247">
        <v>12.3126974105835</v>
      </c>
      <c r="F553" s="247">
        <v>11.5857706069946</v>
      </c>
      <c r="G553" s="247">
        <v>11.0374755859375</v>
      </c>
      <c r="H553" s="247">
        <v>10.8027191162109</v>
      </c>
      <c r="I553" s="247">
        <v>10.6485815048218</v>
      </c>
      <c r="J553" s="247">
        <v>10.5555610656738</v>
      </c>
      <c r="K553" s="247">
        <v>10.564617156982401</v>
      </c>
      <c r="L553" s="247">
        <v>10.6249675750732</v>
      </c>
      <c r="M553" s="247">
        <v>10.7333173751831</v>
      </c>
      <c r="N553" s="247">
        <v>10.851320266723601</v>
      </c>
      <c r="O553" s="247">
        <v>10.9544372558594</v>
      </c>
      <c r="P553" s="247">
        <v>11.0046529769897</v>
      </c>
      <c r="Q553" s="247">
        <v>11.070010185241699</v>
      </c>
      <c r="R553" s="247">
        <v>11.175311088561999</v>
      </c>
      <c r="S553" s="247">
        <v>11.313448905944799</v>
      </c>
      <c r="T553" s="247">
        <v>11.4217777252197</v>
      </c>
      <c r="U553" s="247">
        <v>11.534593582153301</v>
      </c>
      <c r="V553" s="247">
        <v>11.6029949188232</v>
      </c>
      <c r="W553" s="247">
        <v>11.660957336425801</v>
      </c>
      <c r="X553" s="247">
        <v>11.7183265686035</v>
      </c>
      <c r="Y553" s="247">
        <v>11.827390670776399</v>
      </c>
    </row>
    <row r="554" spans="1:26" x14ac:dyDescent="0.25">
      <c r="A554" s="243" t="s">
        <v>473</v>
      </c>
      <c r="B554" s="247">
        <v>7.8488264083862296</v>
      </c>
      <c r="C554" s="247">
        <v>9.3171482086181605</v>
      </c>
      <c r="D554" s="247">
        <v>10.5270042419434</v>
      </c>
      <c r="E554" s="247">
        <v>10.2914838790894</v>
      </c>
      <c r="F554" s="247">
        <v>9.5772314071655291</v>
      </c>
      <c r="G554" s="247">
        <v>9.0944671630859393</v>
      </c>
      <c r="H554" s="247">
        <v>8.8957033157348597</v>
      </c>
      <c r="I554" s="247">
        <v>8.7092790603637695</v>
      </c>
      <c r="J554" s="247">
        <v>8.6138839721679705</v>
      </c>
      <c r="K554" s="247">
        <v>8.6225843429565394</v>
      </c>
      <c r="L554" s="247">
        <v>8.6363019943237305</v>
      </c>
      <c r="M554" s="247">
        <v>8.7009534835815394</v>
      </c>
      <c r="N554" s="247">
        <v>8.7555856704711896</v>
      </c>
      <c r="O554" s="247">
        <v>8.8331260681152308</v>
      </c>
      <c r="P554" s="247">
        <v>8.8750228881835902</v>
      </c>
      <c r="Q554" s="247">
        <v>8.9212465286254901</v>
      </c>
      <c r="R554" s="247">
        <v>8.9933633804321307</v>
      </c>
      <c r="S554" s="247">
        <v>9.0904560089111293</v>
      </c>
      <c r="T554" s="247">
        <v>9.1763067245483398</v>
      </c>
      <c r="U554" s="247">
        <v>9.2688179016113299</v>
      </c>
      <c r="V554" s="247">
        <v>9.3425512313842791</v>
      </c>
      <c r="W554" s="247">
        <v>9.4030828475952095</v>
      </c>
      <c r="X554" s="247">
        <v>9.4481410980224592</v>
      </c>
      <c r="Y554" s="247">
        <v>9.5455484390258807</v>
      </c>
    </row>
    <row r="555" spans="1:26" x14ac:dyDescent="0.25">
      <c r="A555" s="243" t="s">
        <v>469</v>
      </c>
      <c r="B555" s="247">
        <v>21.599882125854499</v>
      </c>
      <c r="C555" s="247">
        <v>21.735733032226602</v>
      </c>
      <c r="D555" s="247">
        <v>21.728578567504901</v>
      </c>
      <c r="E555" s="247">
        <v>21.659519195556602</v>
      </c>
      <c r="F555" s="247">
        <v>20.859115600585898</v>
      </c>
      <c r="G555" s="247">
        <v>19.947565078735401</v>
      </c>
      <c r="H555" s="247">
        <v>19.5044040679932</v>
      </c>
      <c r="I555" s="247">
        <v>19.468164443969702</v>
      </c>
      <c r="J555" s="247">
        <v>19.363897323608398</v>
      </c>
      <c r="K555" s="247">
        <v>19.340778350830099</v>
      </c>
      <c r="L555" s="247">
        <v>19.565423965454102</v>
      </c>
      <c r="M555" s="247">
        <v>19.829431533813501</v>
      </c>
      <c r="N555" s="247">
        <v>20.184032440185501</v>
      </c>
      <c r="O555" s="247">
        <v>20.348131179809599</v>
      </c>
      <c r="P555" s="247">
        <v>20.384618759155298</v>
      </c>
      <c r="Q555" s="247">
        <v>20.4941310882568</v>
      </c>
      <c r="R555" s="247">
        <v>20.6934413909912</v>
      </c>
      <c r="S555" s="247">
        <v>20.961088180541999</v>
      </c>
      <c r="T555" s="247">
        <v>21.1064147949219</v>
      </c>
      <c r="U555" s="247">
        <v>21.2582683563232</v>
      </c>
      <c r="V555" s="247">
        <v>21.2429523468018</v>
      </c>
      <c r="W555" s="247">
        <v>21.2300205230713</v>
      </c>
      <c r="X555" s="247">
        <v>21.277418136596701</v>
      </c>
      <c r="Y555" s="247">
        <v>21.3841457366943</v>
      </c>
    </row>
    <row r="556" spans="1:26" x14ac:dyDescent="0.25">
      <c r="A556" s="243" t="s">
        <v>430</v>
      </c>
      <c r="B556" s="247" t="s">
        <v>430</v>
      </c>
      <c r="C556" s="247" t="s">
        <v>430</v>
      </c>
      <c r="D556" s="247" t="s">
        <v>430</v>
      </c>
      <c r="E556" s="247" t="s">
        <v>430</v>
      </c>
      <c r="F556" s="247" t="s">
        <v>430</v>
      </c>
      <c r="G556" s="247" t="s">
        <v>430</v>
      </c>
      <c r="H556" s="247" t="s">
        <v>430</v>
      </c>
      <c r="I556" s="247" t="s">
        <v>430</v>
      </c>
      <c r="J556" s="247" t="s">
        <v>430</v>
      </c>
      <c r="K556" s="247" t="s">
        <v>430</v>
      </c>
      <c r="L556" s="247" t="s">
        <v>430</v>
      </c>
      <c r="M556" s="247" t="s">
        <v>430</v>
      </c>
      <c r="N556" s="247" t="s">
        <v>430</v>
      </c>
      <c r="O556" s="247" t="s">
        <v>430</v>
      </c>
      <c r="P556" s="247" t="s">
        <v>430</v>
      </c>
      <c r="Q556" s="247" t="s">
        <v>430</v>
      </c>
      <c r="R556" s="247" t="s">
        <v>430</v>
      </c>
      <c r="S556" s="247" t="s">
        <v>430</v>
      </c>
      <c r="T556" s="247" t="s">
        <v>430</v>
      </c>
      <c r="U556" s="247" t="s">
        <v>430</v>
      </c>
      <c r="V556" s="247" t="s">
        <v>430</v>
      </c>
      <c r="W556" s="247" t="s">
        <v>430</v>
      </c>
      <c r="X556" s="247" t="s">
        <v>430</v>
      </c>
      <c r="Y556" s="247" t="s">
        <v>430</v>
      </c>
    </row>
    <row r="557" spans="1:26" x14ac:dyDescent="0.25">
      <c r="A557" s="243" t="s">
        <v>489</v>
      </c>
      <c r="B557" s="247" t="s">
        <v>430</v>
      </c>
      <c r="C557" s="247" t="s">
        <v>430</v>
      </c>
      <c r="D557" s="247" t="s">
        <v>430</v>
      </c>
      <c r="E557" s="247" t="s">
        <v>430</v>
      </c>
      <c r="F557" s="247" t="s">
        <v>430</v>
      </c>
      <c r="G557" s="247" t="s">
        <v>430</v>
      </c>
      <c r="H557" s="247" t="s">
        <v>430</v>
      </c>
      <c r="I557" s="247" t="s">
        <v>430</v>
      </c>
      <c r="J557" s="247" t="s">
        <v>430</v>
      </c>
      <c r="K557" s="247" t="s">
        <v>430</v>
      </c>
      <c r="L557" s="247" t="s">
        <v>430</v>
      </c>
      <c r="M557" s="247" t="s">
        <v>430</v>
      </c>
      <c r="N557" s="247" t="s">
        <v>430</v>
      </c>
      <c r="O557" s="247" t="s">
        <v>430</v>
      </c>
      <c r="P557" s="247" t="s">
        <v>430</v>
      </c>
      <c r="Q557" s="247" t="s">
        <v>430</v>
      </c>
      <c r="R557" s="247" t="s">
        <v>430</v>
      </c>
      <c r="S557" s="247" t="s">
        <v>430</v>
      </c>
      <c r="T557" s="247" t="s">
        <v>430</v>
      </c>
      <c r="U557" s="247" t="s">
        <v>430</v>
      </c>
      <c r="V557" s="247" t="s">
        <v>430</v>
      </c>
      <c r="W557" s="247" t="s">
        <v>430</v>
      </c>
      <c r="X557" s="247" t="s">
        <v>430</v>
      </c>
      <c r="Y557" s="247" t="s">
        <v>430</v>
      </c>
    </row>
    <row r="558" spans="1:26" x14ac:dyDescent="0.25">
      <c r="A558" s="243" t="s">
        <v>490</v>
      </c>
      <c r="B558" s="247">
        <v>1.8996955156326301</v>
      </c>
      <c r="C558" s="247">
        <v>2.2409727573394802</v>
      </c>
      <c r="D558" s="247">
        <v>2.4238619804382302</v>
      </c>
      <c r="E558" s="247">
        <v>2.3792355060577401</v>
      </c>
      <c r="F558" s="247">
        <v>2.2243471145629901</v>
      </c>
      <c r="G558" s="247">
        <v>2.11745405197144</v>
      </c>
      <c r="H558" s="247">
        <v>2.0720956325531001</v>
      </c>
      <c r="I558" s="247">
        <v>2.06648945808411</v>
      </c>
      <c r="J558" s="247">
        <v>2.0576293468475302</v>
      </c>
      <c r="K558" s="247">
        <v>2.0898380279540998</v>
      </c>
      <c r="L558" s="247">
        <v>2.13185787200928</v>
      </c>
      <c r="M558" s="247">
        <v>2.1827101707458501</v>
      </c>
      <c r="N558" s="247">
        <v>2.2442750930786102</v>
      </c>
      <c r="O558" s="247">
        <v>2.2846662998199498</v>
      </c>
      <c r="P558" s="247">
        <v>2.2886507511138898</v>
      </c>
      <c r="Q558" s="247">
        <v>2.31255102157593</v>
      </c>
      <c r="R558" s="247">
        <v>2.3658699989318799</v>
      </c>
      <c r="S558" s="247">
        <v>2.41897773742676</v>
      </c>
      <c r="T558" s="247">
        <v>2.4451649188995401</v>
      </c>
      <c r="U558" s="247">
        <v>2.4616906642913801</v>
      </c>
      <c r="V558" s="247">
        <v>2.4596512317657502</v>
      </c>
      <c r="W558" s="247">
        <v>2.4499151706695601</v>
      </c>
      <c r="X558" s="247">
        <v>2.46315670013428</v>
      </c>
      <c r="Y558" s="247">
        <v>2.4591720104217498</v>
      </c>
    </row>
    <row r="559" spans="1:26" x14ac:dyDescent="0.25">
      <c r="A559" s="243" t="s">
        <v>492</v>
      </c>
      <c r="B559" s="247">
        <v>4.3748912811279297</v>
      </c>
      <c r="C559" s="247">
        <v>5.2786889076232901</v>
      </c>
      <c r="D559" s="247">
        <v>5.9517397880554199</v>
      </c>
      <c r="E559" s="247">
        <v>5.8145914077758798</v>
      </c>
      <c r="F559" s="247">
        <v>5.36482858657837</v>
      </c>
      <c r="G559" s="247">
        <v>4.9555935859680202</v>
      </c>
      <c r="H559" s="247">
        <v>4.76583051681519</v>
      </c>
      <c r="I559" s="247">
        <v>4.6106519699096697</v>
      </c>
      <c r="J559" s="247">
        <v>4.5544371604919398</v>
      </c>
      <c r="K559" s="247">
        <v>4.5760931968689</v>
      </c>
      <c r="L559" s="247">
        <v>4.6005949974060103</v>
      </c>
      <c r="M559" s="247">
        <v>4.65545606613159</v>
      </c>
      <c r="N559" s="247">
        <v>4.7050404548645002</v>
      </c>
      <c r="O559" s="247">
        <v>4.76641750335693</v>
      </c>
      <c r="P559" s="247">
        <v>4.8219771385192898</v>
      </c>
      <c r="Q559" s="247">
        <v>4.8744759559631303</v>
      </c>
      <c r="R559" s="247">
        <v>4.9555630683898899</v>
      </c>
      <c r="S559" s="247">
        <v>5.0235657691955602</v>
      </c>
      <c r="T559" s="247">
        <v>5.0990805625915501</v>
      </c>
      <c r="U559" s="247">
        <v>5.1768889427185103</v>
      </c>
      <c r="V559" s="247">
        <v>5.2447147369384801</v>
      </c>
      <c r="W559" s="247">
        <v>5.3197603225707999</v>
      </c>
      <c r="X559" s="247">
        <v>5.3696103096008301</v>
      </c>
      <c r="Y559" s="247">
        <v>5.4173326492309597</v>
      </c>
    </row>
    <row r="560" spans="1:26" x14ac:dyDescent="0.25">
      <c r="A560" s="243" t="s">
        <v>466</v>
      </c>
      <c r="B560" s="247">
        <v>5.6938004493713397</v>
      </c>
      <c r="C560" s="247">
        <v>6.4773354530334499</v>
      </c>
      <c r="D560" s="247">
        <v>7.1750502586364702</v>
      </c>
      <c r="E560" s="247">
        <v>6.8899459838867196</v>
      </c>
      <c r="F560" s="247">
        <v>6.2672758102417001</v>
      </c>
      <c r="G560" s="247">
        <v>5.8609590530395499</v>
      </c>
      <c r="H560" s="247">
        <v>5.6430783271789604</v>
      </c>
      <c r="I560" s="247">
        <v>5.4534807205200204</v>
      </c>
      <c r="J560" s="247">
        <v>5.3617582321167001</v>
      </c>
      <c r="K560" s="247">
        <v>5.3288640975952104</v>
      </c>
      <c r="L560" s="247">
        <v>5.3712139129638699</v>
      </c>
      <c r="M560" s="247">
        <v>5.41644287109375</v>
      </c>
      <c r="N560" s="247">
        <v>5.4747476577758798</v>
      </c>
      <c r="O560" s="247">
        <v>5.5268063545227104</v>
      </c>
      <c r="P560" s="247">
        <v>5.5894103050231898</v>
      </c>
      <c r="Q560" s="247">
        <v>5.6297807693481401</v>
      </c>
      <c r="R560" s="247">
        <v>5.7926478385925302</v>
      </c>
      <c r="S560" s="247">
        <v>5.9167857170104998</v>
      </c>
      <c r="T560" s="247">
        <v>6.0082931518554696</v>
      </c>
      <c r="U560" s="247">
        <v>6.11431789398193</v>
      </c>
      <c r="V560" s="247">
        <v>6.21482229232788</v>
      </c>
      <c r="W560" s="247">
        <v>6.2930455207824698</v>
      </c>
      <c r="X560" s="247">
        <v>6.3174986839294398</v>
      </c>
      <c r="Y560" s="247">
        <v>6.3298768997192401</v>
      </c>
    </row>
    <row r="561" spans="1:26" x14ac:dyDescent="0.25">
      <c r="A561" s="243" t="s">
        <v>471</v>
      </c>
      <c r="B561" s="247">
        <v>3.9850425720214799</v>
      </c>
      <c r="C561" s="247">
        <v>4.7911210060119602</v>
      </c>
      <c r="D561" s="247">
        <v>5.5054435729980504</v>
      </c>
      <c r="E561" s="247">
        <v>5.3836607933044398</v>
      </c>
      <c r="F561" s="247">
        <v>4.9928164482116699</v>
      </c>
      <c r="G561" s="247">
        <v>4.5735058784484899</v>
      </c>
      <c r="H561" s="247">
        <v>4.37508344650269</v>
      </c>
      <c r="I561" s="247">
        <v>4.2357888221740696</v>
      </c>
      <c r="J561" s="247">
        <v>4.1871180534362802</v>
      </c>
      <c r="K561" s="247">
        <v>4.2367839813232404</v>
      </c>
      <c r="L561" s="247">
        <v>4.2823972702026403</v>
      </c>
      <c r="M561" s="247">
        <v>4.3351020812988299</v>
      </c>
      <c r="N561" s="247">
        <v>4.38077735900879</v>
      </c>
      <c r="O561" s="247">
        <v>4.4392328262329102</v>
      </c>
      <c r="P561" s="247">
        <v>4.4927945137023899</v>
      </c>
      <c r="Q561" s="247">
        <v>4.5466628074645996</v>
      </c>
      <c r="R561" s="247">
        <v>4.5988087654113796</v>
      </c>
      <c r="S561" s="247">
        <v>4.6550941467285201</v>
      </c>
      <c r="T561" s="247">
        <v>4.7130184173584002</v>
      </c>
      <c r="U561" s="247">
        <v>4.7694864273071298</v>
      </c>
      <c r="V561" s="247">
        <v>4.8261427879333496</v>
      </c>
      <c r="W561" s="247">
        <v>4.8835220336914098</v>
      </c>
      <c r="X561" s="247">
        <v>4.9410810470581099</v>
      </c>
      <c r="Y561" s="247">
        <v>5.0030183792114302</v>
      </c>
    </row>
    <row r="562" spans="1:26" x14ac:dyDescent="0.25">
      <c r="A562" s="268" t="s">
        <v>468</v>
      </c>
      <c r="B562" s="247">
        <v>3.6857740879058798</v>
      </c>
      <c r="C562" s="247">
        <v>5.4593739509582502</v>
      </c>
      <c r="D562" s="247">
        <v>5.9836626052856401</v>
      </c>
      <c r="E562" s="247">
        <v>5.9217834472656303</v>
      </c>
      <c r="F562" s="247">
        <v>5.2677536010742196</v>
      </c>
      <c r="G562" s="247">
        <v>4.83196926116943</v>
      </c>
      <c r="H562" s="247">
        <v>4.4959845542907697</v>
      </c>
      <c r="I562" s="247">
        <v>4.3869647979736301</v>
      </c>
      <c r="J562" s="247">
        <v>4.2738447189331099</v>
      </c>
      <c r="K562" s="247">
        <v>4.3073697090148899</v>
      </c>
      <c r="L562" s="247">
        <v>4.4138617515564</v>
      </c>
      <c r="M562" s="247">
        <v>4.5377993583679199</v>
      </c>
      <c r="N562" s="247">
        <v>4.6997785568237296</v>
      </c>
      <c r="O562" s="247">
        <v>4.8059244155883798</v>
      </c>
      <c r="P562" s="247">
        <v>4.7723231315612802</v>
      </c>
      <c r="Q562" s="247">
        <v>4.7962751388549796</v>
      </c>
      <c r="R562" s="247">
        <v>4.93237209320068</v>
      </c>
      <c r="S562" s="247">
        <v>5.0951194763183603</v>
      </c>
      <c r="T562" s="247">
        <v>5.2029786109924299</v>
      </c>
      <c r="U562" s="247">
        <v>5.2939982414245597</v>
      </c>
      <c r="V562" s="247">
        <v>5.3285460472106898</v>
      </c>
      <c r="W562" s="247">
        <v>5.3187093734741202</v>
      </c>
      <c r="X562" s="247">
        <v>5.3844461441040004</v>
      </c>
      <c r="Y562" s="247">
        <v>5.4420223236084002</v>
      </c>
      <c r="Z562" s="277">
        <f>Y562+($AI$392-$Y$562)/10</f>
        <v>5.4722581683132612</v>
      </c>
    </row>
    <row r="563" spans="1:26" x14ac:dyDescent="0.25">
      <c r="A563" s="272" t="s">
        <v>476</v>
      </c>
      <c r="B563" s="247">
        <v>1.2699717283248899</v>
      </c>
      <c r="C563" s="247">
        <v>1.27919089794159</v>
      </c>
      <c r="D563" s="247">
        <v>1.2833664417266799</v>
      </c>
      <c r="E563" s="247">
        <v>1.28942894935608</v>
      </c>
      <c r="F563" s="247">
        <v>1.29215919971466</v>
      </c>
      <c r="G563" s="247">
        <v>1.28011155128479</v>
      </c>
      <c r="H563" s="247">
        <v>1.2771430015564</v>
      </c>
      <c r="I563" s="247">
        <v>1.2664887905120801</v>
      </c>
      <c r="J563" s="247">
        <v>1.2516112327575699</v>
      </c>
      <c r="K563" s="247">
        <v>1.2440552711486801</v>
      </c>
      <c r="L563" s="247">
        <v>1.2386393547058101</v>
      </c>
      <c r="M563" s="247">
        <v>1.23525643348694</v>
      </c>
      <c r="N563" s="247">
        <v>1.23468470573425</v>
      </c>
      <c r="O563" s="247">
        <v>1.2341449260711701</v>
      </c>
      <c r="P563" s="247">
        <v>1.23174548149109</v>
      </c>
      <c r="Q563" s="247">
        <v>1.2347780466079701</v>
      </c>
      <c r="R563" s="247">
        <v>1.23870933055878</v>
      </c>
      <c r="S563" s="247">
        <v>1.2427853345871001</v>
      </c>
      <c r="T563" s="247">
        <v>1.24646520614624</v>
      </c>
      <c r="U563" s="247">
        <v>1.2552444934845</v>
      </c>
      <c r="V563" s="247">
        <v>1.26424860954285</v>
      </c>
      <c r="W563" s="247">
        <v>1.2944931983947801</v>
      </c>
      <c r="X563" s="247">
        <v>1.3030458688736</v>
      </c>
      <c r="Y563" s="247">
        <v>1.30599772930145</v>
      </c>
      <c r="Z563" s="285">
        <f>Y563+($AI$393-$Y$563)/10</f>
        <v>1.3088234854404943</v>
      </c>
    </row>
    <row r="564" spans="1:26" x14ac:dyDescent="0.25">
      <c r="A564" s="243" t="s">
        <v>430</v>
      </c>
      <c r="B564" s="247" t="s">
        <v>430</v>
      </c>
      <c r="C564" s="247" t="s">
        <v>430</v>
      </c>
      <c r="D564" s="247" t="s">
        <v>430</v>
      </c>
      <c r="E564" s="247" t="s">
        <v>430</v>
      </c>
      <c r="F564" s="247" t="s">
        <v>430</v>
      </c>
      <c r="G564" s="247" t="s">
        <v>430</v>
      </c>
      <c r="H564" s="247" t="s">
        <v>430</v>
      </c>
      <c r="I564" s="247" t="s">
        <v>430</v>
      </c>
      <c r="J564" s="247" t="s">
        <v>430</v>
      </c>
      <c r="K564" s="247" t="s">
        <v>430</v>
      </c>
      <c r="L564" s="247" t="s">
        <v>430</v>
      </c>
      <c r="M564" s="247" t="s">
        <v>430</v>
      </c>
      <c r="N564" s="247" t="s">
        <v>430</v>
      </c>
      <c r="O564" s="247" t="s">
        <v>430</v>
      </c>
      <c r="P564" s="247" t="s">
        <v>430</v>
      </c>
      <c r="Q564" s="247" t="s">
        <v>430</v>
      </c>
      <c r="R564" s="247" t="s">
        <v>430</v>
      </c>
      <c r="S564" s="247" t="s">
        <v>430</v>
      </c>
      <c r="T564" s="247" t="s">
        <v>430</v>
      </c>
      <c r="U564" s="247" t="s">
        <v>430</v>
      </c>
      <c r="V564" s="247" t="s">
        <v>430</v>
      </c>
      <c r="W564" s="247" t="s">
        <v>430</v>
      </c>
      <c r="X564" s="247" t="s">
        <v>430</v>
      </c>
      <c r="Y564" s="247" t="s">
        <v>430</v>
      </c>
    </row>
    <row r="565" spans="1:26" x14ac:dyDescent="0.25">
      <c r="A565" s="243" t="s">
        <v>493</v>
      </c>
      <c r="B565" s="247" t="s">
        <v>430</v>
      </c>
      <c r="C565" s="247" t="s">
        <v>430</v>
      </c>
      <c r="D565" s="247" t="s">
        <v>430</v>
      </c>
      <c r="E565" s="247" t="s">
        <v>430</v>
      </c>
      <c r="F565" s="247" t="s">
        <v>430</v>
      </c>
      <c r="G565" s="247" t="s">
        <v>430</v>
      </c>
      <c r="H565" s="247" t="s">
        <v>430</v>
      </c>
      <c r="I565" s="247" t="s">
        <v>430</v>
      </c>
      <c r="J565" s="247" t="s">
        <v>430</v>
      </c>
      <c r="K565" s="247" t="s">
        <v>430</v>
      </c>
      <c r="L565" s="247" t="s">
        <v>430</v>
      </c>
      <c r="M565" s="247" t="s">
        <v>430</v>
      </c>
      <c r="N565" s="247" t="s">
        <v>430</v>
      </c>
      <c r="O565" s="247" t="s">
        <v>430</v>
      </c>
      <c r="P565" s="247" t="s">
        <v>430</v>
      </c>
      <c r="Q565" s="247" t="s">
        <v>430</v>
      </c>
      <c r="R565" s="247" t="s">
        <v>430</v>
      </c>
      <c r="S565" s="247" t="s">
        <v>430</v>
      </c>
      <c r="T565" s="247" t="s">
        <v>430</v>
      </c>
      <c r="U565" s="247" t="s">
        <v>430</v>
      </c>
      <c r="V565" s="247" t="s">
        <v>430</v>
      </c>
      <c r="W565" s="247" t="s">
        <v>430</v>
      </c>
      <c r="X565" s="247" t="s">
        <v>430</v>
      </c>
      <c r="Y565" s="247" t="s">
        <v>430</v>
      </c>
    </row>
    <row r="566" spans="1:26" x14ac:dyDescent="0.25">
      <c r="A566" s="243" t="s">
        <v>494</v>
      </c>
      <c r="B566" s="247">
        <v>9.0916013717651403</v>
      </c>
      <c r="C566" s="247">
        <v>10.5092258453369</v>
      </c>
      <c r="D566" s="247">
        <v>12.005053520202599</v>
      </c>
      <c r="E566" s="247">
        <v>11.630154609680201</v>
      </c>
      <c r="F566" s="247">
        <v>10.867414474487299</v>
      </c>
      <c r="G566" s="247">
        <v>10.341483116149901</v>
      </c>
      <c r="H566" s="247">
        <v>10.206826210021999</v>
      </c>
      <c r="I566" s="247">
        <v>9.9809312820434606</v>
      </c>
      <c r="J566" s="247">
        <v>9.9117403030395508</v>
      </c>
      <c r="K566" s="247">
        <v>9.9329805374145508</v>
      </c>
      <c r="L566" s="247">
        <v>9.9184780120849592</v>
      </c>
      <c r="M566" s="247">
        <v>9.9575662612915004</v>
      </c>
      <c r="N566" s="247">
        <v>9.9538516998290998</v>
      </c>
      <c r="O566" s="247">
        <v>10.000968933105501</v>
      </c>
      <c r="P566" s="247">
        <v>10.066521644592299</v>
      </c>
      <c r="Q566" s="247">
        <v>10.122728347778301</v>
      </c>
      <c r="R566" s="247">
        <v>10.166119575500501</v>
      </c>
      <c r="S566" s="247">
        <v>10.2242088317871</v>
      </c>
      <c r="T566" s="247">
        <v>10.2887620925903</v>
      </c>
      <c r="U566" s="247">
        <v>10.370365142822299</v>
      </c>
      <c r="V566" s="247">
        <v>10.451409339904799</v>
      </c>
      <c r="W566" s="247">
        <v>10.528607368469199</v>
      </c>
      <c r="X566" s="247">
        <v>10.560112953186</v>
      </c>
      <c r="Y566" s="247">
        <v>10.6600894927979</v>
      </c>
    </row>
    <row r="567" spans="1:26" x14ac:dyDescent="0.25">
      <c r="A567" s="243" t="s">
        <v>495</v>
      </c>
      <c r="B567" s="247">
        <v>8.7129955291747994</v>
      </c>
      <c r="C567" s="247">
        <v>9.89868068695068</v>
      </c>
      <c r="D567" s="247">
        <v>10.9323616027832</v>
      </c>
      <c r="E567" s="247">
        <v>10.516496658325201</v>
      </c>
      <c r="F567" s="247">
        <v>10.0722150802612</v>
      </c>
      <c r="G567" s="247">
        <v>9.7644062042236293</v>
      </c>
      <c r="H567" s="247">
        <v>9.6708259582519496</v>
      </c>
      <c r="I567" s="247">
        <v>9.5059432983398402</v>
      </c>
      <c r="J567" s="247">
        <v>9.5328626632690394</v>
      </c>
      <c r="K567" s="247">
        <v>9.6073579788208008</v>
      </c>
      <c r="L567" s="247">
        <v>9.6717586517334002</v>
      </c>
      <c r="M567" s="247">
        <v>9.7472448348999006</v>
      </c>
      <c r="N567" s="247">
        <v>9.7227439880371094</v>
      </c>
      <c r="O567" s="247">
        <v>9.7185726165771502</v>
      </c>
      <c r="P567" s="247">
        <v>9.7264575958252006</v>
      </c>
      <c r="Q567" s="247">
        <v>9.7659683227539098</v>
      </c>
      <c r="R567" s="247">
        <v>9.7933034896850604</v>
      </c>
      <c r="S567" s="247">
        <v>9.8243274688720703</v>
      </c>
      <c r="T567" s="247">
        <v>9.7878532409668004</v>
      </c>
      <c r="U567" s="247">
        <v>9.8349857330322301</v>
      </c>
      <c r="V567" s="247">
        <v>9.8761272430419904</v>
      </c>
      <c r="W567" s="247">
        <v>9.8313732147216797</v>
      </c>
      <c r="X567" s="247">
        <v>9.8799133300781303</v>
      </c>
      <c r="Y567" s="247">
        <v>10.0311069488525</v>
      </c>
    </row>
    <row r="568" spans="1:26" x14ac:dyDescent="0.25">
      <c r="A568" s="243" t="s">
        <v>496</v>
      </c>
      <c r="B568" s="247">
        <v>6.0538434982299796</v>
      </c>
      <c r="C568" s="247">
        <v>6.4578518867492702</v>
      </c>
      <c r="D568" s="247">
        <v>8.1168746948242205</v>
      </c>
      <c r="E568" s="247">
        <v>7.6875572204589799</v>
      </c>
      <c r="F568" s="247">
        <v>7.0150871276855504</v>
      </c>
      <c r="G568" s="247">
        <v>6.5790328979492196</v>
      </c>
      <c r="H568" s="247">
        <v>6.5712537765502903</v>
      </c>
      <c r="I568" s="247">
        <v>6.42602443695068</v>
      </c>
      <c r="J568" s="247">
        <v>6.2476048469543501</v>
      </c>
      <c r="K568" s="247">
        <v>6.2184038162231401</v>
      </c>
      <c r="L568" s="247">
        <v>6.2436552047729501</v>
      </c>
      <c r="M568" s="247">
        <v>6.2858424186706499</v>
      </c>
      <c r="N568" s="247">
        <v>6.2737250328064</v>
      </c>
      <c r="O568" s="247">
        <v>6.2926135063171396</v>
      </c>
      <c r="P568" s="247">
        <v>6.3336305618286097</v>
      </c>
      <c r="Q568" s="247">
        <v>6.3623290061950701</v>
      </c>
      <c r="R568" s="247">
        <v>6.4419050216674796</v>
      </c>
      <c r="S568" s="247">
        <v>6.5377755165100098</v>
      </c>
      <c r="T568" s="247">
        <v>6.5789065361022896</v>
      </c>
      <c r="U568" s="247">
        <v>6.7034192085266104</v>
      </c>
      <c r="V568" s="247">
        <v>6.8036813735961896</v>
      </c>
      <c r="W568" s="247">
        <v>6.8691210746765101</v>
      </c>
      <c r="X568" s="247">
        <v>6.8930430412292498</v>
      </c>
      <c r="Y568" s="247">
        <v>6.9258189201354998</v>
      </c>
    </row>
    <row r="569" spans="1:26" x14ac:dyDescent="0.25">
      <c r="A569" s="243" t="s">
        <v>497</v>
      </c>
      <c r="B569" s="247">
        <v>9.5166797637939506</v>
      </c>
      <c r="C569" s="247">
        <v>13.0396432876587</v>
      </c>
      <c r="D569" s="247">
        <v>15.6858806610107</v>
      </c>
      <c r="E569" s="247">
        <v>14.0742273330688</v>
      </c>
      <c r="F569" s="247">
        <v>12.086350440979</v>
      </c>
      <c r="G569" s="247">
        <v>11.4653730392456</v>
      </c>
      <c r="H569" s="247">
        <v>11.285403251647899</v>
      </c>
      <c r="I569" s="247">
        <v>11.0092105865479</v>
      </c>
      <c r="J569" s="247">
        <v>10.989564895629901</v>
      </c>
      <c r="K569" s="247">
        <v>10.925596237182599</v>
      </c>
      <c r="L569" s="247">
        <v>10.987684249877899</v>
      </c>
      <c r="M569" s="247">
        <v>11.0838632583618</v>
      </c>
      <c r="N569" s="247">
        <v>11.0187425613403</v>
      </c>
      <c r="O569" s="247">
        <v>11.2084665298462</v>
      </c>
      <c r="P569" s="247">
        <v>11.3385829925537</v>
      </c>
      <c r="Q569" s="247">
        <v>11.336560249328601</v>
      </c>
      <c r="R569" s="247">
        <v>11.412732124328601</v>
      </c>
      <c r="S569" s="247">
        <v>11.5561437606812</v>
      </c>
      <c r="T569" s="247">
        <v>11.7385349273682</v>
      </c>
      <c r="U569" s="247">
        <v>11.9240121841431</v>
      </c>
      <c r="V569" s="247">
        <v>12.033415794372599</v>
      </c>
      <c r="W569" s="247">
        <v>12.184607505798301</v>
      </c>
      <c r="X569" s="247">
        <v>12.2847499847412</v>
      </c>
      <c r="Y569" s="247">
        <v>12.335958480835</v>
      </c>
    </row>
    <row r="570" spans="1:26" x14ac:dyDescent="0.25">
      <c r="A570" s="243" t="s">
        <v>498</v>
      </c>
      <c r="B570" s="247">
        <v>11.3185987472534</v>
      </c>
      <c r="C570" s="247">
        <v>12.9258327484131</v>
      </c>
      <c r="D570" s="247">
        <v>14.650143623352101</v>
      </c>
      <c r="E570" s="247">
        <v>14.3442440032959</v>
      </c>
      <c r="F570" s="247">
        <v>13.623025894165</v>
      </c>
      <c r="G570" s="247">
        <v>12.923449516296399</v>
      </c>
      <c r="H570" s="247">
        <v>12.7128458023071</v>
      </c>
      <c r="I570" s="247">
        <v>12.432819366455099</v>
      </c>
      <c r="J570" s="247">
        <v>12.310016632080099</v>
      </c>
      <c r="K570" s="247">
        <v>12.3222455978394</v>
      </c>
      <c r="L570" s="247">
        <v>12.2171115875244</v>
      </c>
      <c r="M570" s="247">
        <v>12.2130832672119</v>
      </c>
      <c r="N570" s="247">
        <v>12.22132396698</v>
      </c>
      <c r="O570" s="247">
        <v>12.248191833496101</v>
      </c>
      <c r="P570" s="247">
        <v>12.309587478637701</v>
      </c>
      <c r="Q570" s="247">
        <v>12.376181602478001</v>
      </c>
      <c r="R570" s="247">
        <v>12.4016332626343</v>
      </c>
      <c r="S570" s="247">
        <v>12.440443038940399</v>
      </c>
      <c r="T570" s="247">
        <v>12.509931564331101</v>
      </c>
      <c r="U570" s="247">
        <v>12.547391891479499</v>
      </c>
      <c r="V570" s="247">
        <v>12.611403465271</v>
      </c>
      <c r="W570" s="247">
        <v>12.7098541259766</v>
      </c>
      <c r="X570" s="247">
        <v>12.7049369812012</v>
      </c>
      <c r="Y570" s="247">
        <v>12.8036108016968</v>
      </c>
    </row>
    <row r="571" spans="1:26" x14ac:dyDescent="0.25">
      <c r="A571" s="243" t="s">
        <v>499</v>
      </c>
      <c r="B571" s="247">
        <v>3.9308724403381299</v>
      </c>
      <c r="C571" s="247">
        <v>4.6628575325012198</v>
      </c>
      <c r="D571" s="247">
        <v>5.07232666015625</v>
      </c>
      <c r="E571" s="247">
        <v>5.1433629989623997</v>
      </c>
      <c r="F571" s="247">
        <v>4.8060836791992196</v>
      </c>
      <c r="G571" s="247">
        <v>4.3862032890319798</v>
      </c>
      <c r="H571" s="247">
        <v>4.1832194328308097</v>
      </c>
      <c r="I571" s="247">
        <v>4.0440359115600604</v>
      </c>
      <c r="J571" s="247">
        <v>3.9943466186523402</v>
      </c>
      <c r="K571" s="247">
        <v>4.04720115661621</v>
      </c>
      <c r="L571" s="247">
        <v>4.0966601371765101</v>
      </c>
      <c r="M571" s="247">
        <v>4.1477751731872603</v>
      </c>
      <c r="N571" s="247">
        <v>4.19142723083496</v>
      </c>
      <c r="O571" s="247">
        <v>4.2503523826599103</v>
      </c>
      <c r="P571" s="247">
        <v>4.3018612861633301</v>
      </c>
      <c r="Q571" s="247">
        <v>4.3527650833129901</v>
      </c>
      <c r="R571" s="247">
        <v>4.4055538177490199</v>
      </c>
      <c r="S571" s="247">
        <v>4.4662823677062997</v>
      </c>
      <c r="T571" s="247">
        <v>4.5225110054016104</v>
      </c>
      <c r="U571" s="247">
        <v>4.5828208923339799</v>
      </c>
      <c r="V571" s="247">
        <v>4.6386957168579102</v>
      </c>
      <c r="W571" s="247">
        <v>4.6918659210205096</v>
      </c>
      <c r="X571" s="247">
        <v>4.7469024658203098</v>
      </c>
      <c r="Y571" s="247">
        <v>4.8068332672119096</v>
      </c>
    </row>
    <row r="572" spans="1:26" x14ac:dyDescent="0.25">
      <c r="A572" s="243" t="s">
        <v>500</v>
      </c>
      <c r="B572" s="247">
        <v>5.1461992263793901</v>
      </c>
      <c r="C572" s="247">
        <v>6.8558807373046902</v>
      </c>
      <c r="D572" s="247">
        <v>7.3508329391479501</v>
      </c>
      <c r="E572" s="247">
        <v>7.3838677406311</v>
      </c>
      <c r="F572" s="247">
        <v>6.7167663574218803</v>
      </c>
      <c r="G572" s="247">
        <v>6.2544136047363299</v>
      </c>
      <c r="H572" s="247">
        <v>5.8490047454834002</v>
      </c>
      <c r="I572" s="247">
        <v>5.6922402381896999</v>
      </c>
      <c r="J572" s="247">
        <v>5.5182204246520996</v>
      </c>
      <c r="K572" s="247">
        <v>5.4887638092040998</v>
      </c>
      <c r="L572" s="247">
        <v>5.5592789649963397</v>
      </c>
      <c r="M572" s="247">
        <v>5.6574964523315403</v>
      </c>
      <c r="N572" s="247">
        <v>5.8102455139160201</v>
      </c>
      <c r="O572" s="247">
        <v>5.9230461120605504</v>
      </c>
      <c r="P572" s="247">
        <v>5.8875889778137198</v>
      </c>
      <c r="Q572" s="247">
        <v>5.8938632011413601</v>
      </c>
      <c r="R572" s="247">
        <v>6.0147280693054199</v>
      </c>
      <c r="S572" s="247">
        <v>6.1772904396057102</v>
      </c>
      <c r="T572" s="247">
        <v>6.2973737716674796</v>
      </c>
      <c r="U572" s="247">
        <v>6.40012407302856</v>
      </c>
      <c r="V572" s="247">
        <v>6.4435343742370597</v>
      </c>
      <c r="W572" s="247">
        <v>6.4505195617675799</v>
      </c>
      <c r="X572" s="247">
        <v>6.5169725418090803</v>
      </c>
      <c r="Y572" s="247">
        <v>6.5874438285827601</v>
      </c>
    </row>
    <row r="573" spans="1:26" x14ac:dyDescent="0.25">
      <c r="A573" s="243" t="s">
        <v>501</v>
      </c>
      <c r="B573" s="247">
        <v>1.2938040494918801</v>
      </c>
      <c r="C573" s="247">
        <v>1.29924309253693</v>
      </c>
      <c r="D573" s="247">
        <v>1.30395972728729</v>
      </c>
      <c r="E573" s="247">
        <v>1.3117660284042401</v>
      </c>
      <c r="F573" s="247">
        <v>1.3130011558532699</v>
      </c>
      <c r="G573" s="247">
        <v>1.3001606464386</v>
      </c>
      <c r="H573" s="247">
        <v>1.2972036600112899</v>
      </c>
      <c r="I573" s="247">
        <v>1.28666663169861</v>
      </c>
      <c r="J573" s="247">
        <v>1.2722240686416599</v>
      </c>
      <c r="K573" s="247">
        <v>1.2649568319320701</v>
      </c>
      <c r="L573" s="247">
        <v>1.25909507274628</v>
      </c>
      <c r="M573" s="247">
        <v>1.25531446933746</v>
      </c>
      <c r="N573" s="247">
        <v>1.25464415550232</v>
      </c>
      <c r="O573" s="247">
        <v>1.25405156612396</v>
      </c>
      <c r="P573" s="247">
        <v>1.2516055107116699</v>
      </c>
      <c r="Q573" s="247">
        <v>1.25465047359467</v>
      </c>
      <c r="R573" s="247">
        <v>1.2582825422287001</v>
      </c>
      <c r="S573" s="247">
        <v>1.2619441747665401</v>
      </c>
      <c r="T573" s="247">
        <v>1.26514172554016</v>
      </c>
      <c r="U573" s="247">
        <v>1.27338314056396</v>
      </c>
      <c r="V573" s="247">
        <v>1.2817230224609399</v>
      </c>
      <c r="W573" s="247">
        <v>1.31160092353821</v>
      </c>
      <c r="X573" s="247">
        <v>1.3194112777710001</v>
      </c>
      <c r="Y573" s="247">
        <v>1.3217089176178001</v>
      </c>
    </row>
    <row r="574" spans="1:26" x14ac:dyDescent="0.25">
      <c r="A574" s="243" t="s">
        <v>502</v>
      </c>
      <c r="B574" s="247">
        <v>14.6543264389038</v>
      </c>
      <c r="C574" s="247">
        <v>16.232709884643601</v>
      </c>
      <c r="D574" s="247">
        <v>19.6646022796631</v>
      </c>
      <c r="E574" s="247">
        <v>19.5902194976807</v>
      </c>
      <c r="F574" s="247">
        <v>19.473403930664102</v>
      </c>
      <c r="G574" s="247">
        <v>18.312351226806602</v>
      </c>
      <c r="H574" s="247">
        <v>18.154972076416001</v>
      </c>
      <c r="I574" s="247">
        <v>17.744245529174801</v>
      </c>
      <c r="J574" s="247">
        <v>17.108533859252901</v>
      </c>
      <c r="K574" s="247">
        <v>16.985416412353501</v>
      </c>
      <c r="L574" s="247">
        <v>16.891477584838899</v>
      </c>
      <c r="M574" s="247">
        <v>17.106473922729499</v>
      </c>
      <c r="N574" s="247">
        <v>17.298709869384801</v>
      </c>
      <c r="O574" s="247">
        <v>17.370653152465799</v>
      </c>
      <c r="P574" s="247">
        <v>17.404756546020501</v>
      </c>
      <c r="Q574" s="247">
        <v>17.4316711425781</v>
      </c>
      <c r="R574" s="247">
        <v>17.495216369628899</v>
      </c>
      <c r="S574" s="247">
        <v>17.111986160278299</v>
      </c>
      <c r="T574" s="247">
        <v>17.221326828002901</v>
      </c>
      <c r="U574" s="247">
        <v>17.6731853485107</v>
      </c>
      <c r="V574" s="247">
        <v>17.676996231079102</v>
      </c>
      <c r="W574" s="247">
        <v>17.866504669189499</v>
      </c>
      <c r="X574" s="247">
        <v>17.993064880371101</v>
      </c>
      <c r="Y574" s="247">
        <v>18.128524780273398</v>
      </c>
    </row>
    <row r="575" spans="1:26" x14ac:dyDescent="0.25">
      <c r="A575" s="243" t="s">
        <v>469</v>
      </c>
      <c r="B575" s="247">
        <v>21.599882125854499</v>
      </c>
      <c r="C575" s="247">
        <v>21.735733032226602</v>
      </c>
      <c r="D575" s="247">
        <v>21.728578567504901</v>
      </c>
      <c r="E575" s="247">
        <v>21.659519195556602</v>
      </c>
      <c r="F575" s="247">
        <v>20.859115600585898</v>
      </c>
      <c r="G575" s="247">
        <v>19.947565078735401</v>
      </c>
      <c r="H575" s="247">
        <v>19.5044040679932</v>
      </c>
      <c r="I575" s="247">
        <v>19.468164443969702</v>
      </c>
      <c r="J575" s="247">
        <v>19.363897323608398</v>
      </c>
      <c r="K575" s="247">
        <v>19.340778350830099</v>
      </c>
      <c r="L575" s="247">
        <v>19.565423965454102</v>
      </c>
      <c r="M575" s="247">
        <v>19.829431533813501</v>
      </c>
      <c r="N575" s="247">
        <v>20.184032440185501</v>
      </c>
      <c r="O575" s="247">
        <v>20.348131179809599</v>
      </c>
      <c r="P575" s="247">
        <v>20.384618759155298</v>
      </c>
      <c r="Q575" s="247">
        <v>20.4941310882568</v>
      </c>
      <c r="R575" s="247">
        <v>20.6934413909912</v>
      </c>
      <c r="S575" s="247">
        <v>20.961088180541999</v>
      </c>
      <c r="T575" s="247">
        <v>21.1064147949219</v>
      </c>
      <c r="U575" s="247">
        <v>21.2582683563232</v>
      </c>
      <c r="V575" s="247">
        <v>21.2429523468018</v>
      </c>
      <c r="W575" s="247">
        <v>21.2300205230713</v>
      </c>
      <c r="X575" s="247">
        <v>21.277418136596701</v>
      </c>
      <c r="Y575" s="247">
        <v>21.3841457366943</v>
      </c>
    </row>
    <row r="576" spans="1:26" x14ac:dyDescent="0.25">
      <c r="A576" s="243" t="s">
        <v>430</v>
      </c>
      <c r="B576" s="247" t="s">
        <v>430</v>
      </c>
      <c r="C576" s="247" t="s">
        <v>430</v>
      </c>
      <c r="D576" s="247" t="s">
        <v>430</v>
      </c>
      <c r="E576" s="247" t="s">
        <v>430</v>
      </c>
      <c r="F576" s="247" t="s">
        <v>430</v>
      </c>
      <c r="G576" s="247" t="s">
        <v>430</v>
      </c>
      <c r="H576" s="247" t="s">
        <v>430</v>
      </c>
      <c r="I576" s="247" t="s">
        <v>430</v>
      </c>
      <c r="J576" s="247" t="s">
        <v>430</v>
      </c>
      <c r="K576" s="247" t="s">
        <v>430</v>
      </c>
      <c r="L576" s="247" t="s">
        <v>430</v>
      </c>
      <c r="M576" s="247" t="s">
        <v>430</v>
      </c>
      <c r="N576" s="247" t="s">
        <v>430</v>
      </c>
      <c r="O576" s="247" t="s">
        <v>430</v>
      </c>
      <c r="P576" s="247" t="s">
        <v>430</v>
      </c>
      <c r="Q576" s="247" t="s">
        <v>430</v>
      </c>
      <c r="R576" s="247" t="s">
        <v>430</v>
      </c>
      <c r="S576" s="247" t="s">
        <v>430</v>
      </c>
      <c r="T576" s="247" t="s">
        <v>430</v>
      </c>
      <c r="U576" s="247" t="s">
        <v>430</v>
      </c>
      <c r="V576" s="247" t="s">
        <v>430</v>
      </c>
      <c r="W576" s="247" t="s">
        <v>430</v>
      </c>
      <c r="X576" s="247" t="s">
        <v>430</v>
      </c>
      <c r="Y576" s="247" t="s">
        <v>430</v>
      </c>
    </row>
    <row r="577" spans="1:25" x14ac:dyDescent="0.25">
      <c r="A577" s="243" t="s">
        <v>503</v>
      </c>
      <c r="B577" s="247" t="s">
        <v>430</v>
      </c>
      <c r="C577" s="247" t="s">
        <v>430</v>
      </c>
      <c r="D577" s="247" t="s">
        <v>430</v>
      </c>
      <c r="E577" s="247" t="s">
        <v>430</v>
      </c>
      <c r="F577" s="247" t="s">
        <v>430</v>
      </c>
      <c r="G577" s="247" t="s">
        <v>430</v>
      </c>
      <c r="H577" s="247" t="s">
        <v>430</v>
      </c>
      <c r="I577" s="247" t="s">
        <v>430</v>
      </c>
      <c r="J577" s="247" t="s">
        <v>430</v>
      </c>
      <c r="K577" s="247" t="s">
        <v>430</v>
      </c>
      <c r="L577" s="247" t="s">
        <v>430</v>
      </c>
      <c r="M577" s="247" t="s">
        <v>430</v>
      </c>
      <c r="N577" s="247" t="s">
        <v>430</v>
      </c>
      <c r="O577" s="247" t="s">
        <v>430</v>
      </c>
      <c r="P577" s="247" t="s">
        <v>430</v>
      </c>
      <c r="Q577" s="247" t="s">
        <v>430</v>
      </c>
      <c r="R577" s="247" t="s">
        <v>430</v>
      </c>
      <c r="S577" s="247" t="s">
        <v>430</v>
      </c>
      <c r="T577" s="247" t="s">
        <v>430</v>
      </c>
      <c r="U577" s="247" t="s">
        <v>430</v>
      </c>
      <c r="V577" s="247" t="s">
        <v>430</v>
      </c>
      <c r="W577" s="247" t="s">
        <v>430</v>
      </c>
      <c r="X577" s="247" t="s">
        <v>430</v>
      </c>
      <c r="Y577" s="247" t="s">
        <v>430</v>
      </c>
    </row>
    <row r="578" spans="1:25" x14ac:dyDescent="0.25">
      <c r="A578" s="243" t="s">
        <v>504</v>
      </c>
      <c r="B578" s="247" t="s">
        <v>430</v>
      </c>
      <c r="C578" s="247" t="s">
        <v>430</v>
      </c>
      <c r="D578" s="247" t="s">
        <v>430</v>
      </c>
      <c r="E578" s="247" t="s">
        <v>430</v>
      </c>
      <c r="F578" s="247" t="s">
        <v>430</v>
      </c>
      <c r="G578" s="247" t="s">
        <v>430</v>
      </c>
      <c r="H578" s="247" t="s">
        <v>430</v>
      </c>
      <c r="I578" s="247" t="s">
        <v>430</v>
      </c>
      <c r="J578" s="247" t="s">
        <v>430</v>
      </c>
      <c r="K578" s="247" t="s">
        <v>430</v>
      </c>
      <c r="L578" s="247" t="s">
        <v>430</v>
      </c>
      <c r="M578" s="247" t="s">
        <v>430</v>
      </c>
      <c r="N578" s="247" t="s">
        <v>430</v>
      </c>
      <c r="O578" s="247" t="s">
        <v>430</v>
      </c>
      <c r="P578" s="247" t="s">
        <v>430</v>
      </c>
      <c r="Q578" s="247" t="s">
        <v>430</v>
      </c>
      <c r="R578" s="247" t="s">
        <v>430</v>
      </c>
      <c r="S578" s="247" t="s">
        <v>430</v>
      </c>
      <c r="T578" s="247" t="s">
        <v>430</v>
      </c>
      <c r="U578" s="247" t="s">
        <v>430</v>
      </c>
      <c r="V578" s="247" t="s">
        <v>430</v>
      </c>
      <c r="W578" s="247" t="s">
        <v>430</v>
      </c>
      <c r="X578" s="247" t="s">
        <v>430</v>
      </c>
      <c r="Y578" s="247" t="s">
        <v>430</v>
      </c>
    </row>
    <row r="579" spans="1:25" x14ac:dyDescent="0.25">
      <c r="A579" s="243" t="s">
        <v>463</v>
      </c>
      <c r="B579" s="247">
        <v>163.90481567382801</v>
      </c>
      <c r="C579" s="247">
        <v>177.16523742675801</v>
      </c>
      <c r="D579" s="247">
        <v>181.72630310058599</v>
      </c>
      <c r="E579" s="247">
        <v>185.23806762695301</v>
      </c>
      <c r="F579" s="247">
        <v>178.77069091796901</v>
      </c>
      <c r="G579" s="247">
        <v>174.57431030273401</v>
      </c>
      <c r="H579" s="247">
        <v>173.49729919433599</v>
      </c>
      <c r="I579" s="247">
        <v>174.68045043945301</v>
      </c>
      <c r="J579" s="247">
        <v>175.87545776367199</v>
      </c>
      <c r="K579" s="247">
        <v>177.93170166015599</v>
      </c>
      <c r="L579" s="247">
        <v>181.97520446777301</v>
      </c>
      <c r="M579" s="247">
        <v>185.45910644531301</v>
      </c>
      <c r="N579" s="247">
        <v>189.89924621582</v>
      </c>
      <c r="O579" s="247">
        <v>193.20950317382801</v>
      </c>
      <c r="P579" s="247">
        <v>195.50482177734401</v>
      </c>
      <c r="Q579" s="247">
        <v>197.60719299316401</v>
      </c>
      <c r="R579" s="247">
        <v>201.40017700195301</v>
      </c>
      <c r="S579" s="247">
        <v>205.80612182617199</v>
      </c>
      <c r="T579" s="247">
        <v>209.76078796386699</v>
      </c>
      <c r="U579" s="247">
        <v>212.75457763671901</v>
      </c>
      <c r="V579" s="247">
        <v>215.110427856445</v>
      </c>
      <c r="W579" s="247">
        <v>217.42091369628901</v>
      </c>
      <c r="X579" s="247">
        <v>220.97119140625</v>
      </c>
      <c r="Y579" s="247">
        <v>223.85739135742199</v>
      </c>
    </row>
    <row r="580" spans="1:25" x14ac:dyDescent="0.25">
      <c r="A580" s="243" t="s">
        <v>470</v>
      </c>
      <c r="B580" s="247">
        <v>122.690147399902</v>
      </c>
      <c r="C580" s="247">
        <v>128.153732299805</v>
      </c>
      <c r="D580" s="247">
        <v>130.48348999023401</v>
      </c>
      <c r="E580" s="247">
        <v>132.28971862793</v>
      </c>
      <c r="F580" s="247">
        <v>128.48481750488301</v>
      </c>
      <c r="G580" s="247">
        <v>125.5166015625</v>
      </c>
      <c r="H580" s="247">
        <v>125.36106109619099</v>
      </c>
      <c r="I580" s="247">
        <v>127.820442199707</v>
      </c>
      <c r="J580" s="247">
        <v>129.92327880859401</v>
      </c>
      <c r="K580" s="247">
        <v>133.10743713378901</v>
      </c>
      <c r="L580" s="247">
        <v>137.92835998535199</v>
      </c>
      <c r="M580" s="247">
        <v>142.925369262695</v>
      </c>
      <c r="N580" s="247">
        <v>148.816970825195</v>
      </c>
      <c r="O580" s="247">
        <v>153.52194213867199</v>
      </c>
      <c r="P580" s="247">
        <v>157.03869628906301</v>
      </c>
      <c r="Q580" s="247">
        <v>161.345138549805</v>
      </c>
      <c r="R580" s="247">
        <v>166.52362060546901</v>
      </c>
      <c r="S580" s="247">
        <v>172.33033752441401</v>
      </c>
      <c r="T580" s="247">
        <v>177.27947998046901</v>
      </c>
      <c r="U580" s="247">
        <v>182.50421142578099</v>
      </c>
      <c r="V580" s="247">
        <v>186.391357421875</v>
      </c>
      <c r="W580" s="247">
        <v>190.50810241699199</v>
      </c>
      <c r="X580" s="247">
        <v>195.38455200195301</v>
      </c>
      <c r="Y580" s="247">
        <v>200.92575073242199</v>
      </c>
    </row>
    <row r="581" spans="1:25" x14ac:dyDescent="0.25">
      <c r="A581" s="243" t="s">
        <v>505</v>
      </c>
      <c r="B581" s="247">
        <v>124.39901733398401</v>
      </c>
      <c r="C581" s="247">
        <v>147.11244201660199</v>
      </c>
      <c r="D581" s="247">
        <v>168.10716247558599</v>
      </c>
      <c r="E581" s="247">
        <v>167.31402587890599</v>
      </c>
      <c r="F581" s="247">
        <v>151.68084716796901</v>
      </c>
      <c r="G581" s="247">
        <v>143.54243469238301</v>
      </c>
      <c r="H581" s="247">
        <v>141.56742858886699</v>
      </c>
      <c r="I581" s="247">
        <v>140.77819824218801</v>
      </c>
      <c r="J581" s="247">
        <v>139.57333374023401</v>
      </c>
      <c r="K581" s="247">
        <v>140.39901733398401</v>
      </c>
      <c r="L581" s="247">
        <v>142.75350952148401</v>
      </c>
      <c r="M581" s="247">
        <v>145.42568969726599</v>
      </c>
      <c r="N581" s="247">
        <v>149.20526123046901</v>
      </c>
      <c r="O581" s="247">
        <v>152.35485839843801</v>
      </c>
      <c r="P581" s="247">
        <v>153.50325012207</v>
      </c>
      <c r="Q581" s="247">
        <v>156.35830688476599</v>
      </c>
      <c r="R581" s="247">
        <v>160.767654418945</v>
      </c>
      <c r="S581" s="247">
        <v>165.76315307617199</v>
      </c>
      <c r="T581" s="247">
        <v>169.931716918945</v>
      </c>
      <c r="U581" s="247">
        <v>173.961990356445</v>
      </c>
      <c r="V581" s="247">
        <v>176.65931701660199</v>
      </c>
      <c r="W581" s="247">
        <v>179.21453857421901</v>
      </c>
      <c r="X581" s="247">
        <v>182.00726318359401</v>
      </c>
      <c r="Y581" s="247">
        <v>184.95687866210901</v>
      </c>
    </row>
    <row r="582" spans="1:25" x14ac:dyDescent="0.25">
      <c r="A582" s="243" t="s">
        <v>477</v>
      </c>
      <c r="B582" s="247">
        <v>263.72879028320301</v>
      </c>
      <c r="C582" s="247">
        <v>302.59255981445301</v>
      </c>
      <c r="D582" s="247">
        <v>352.23770141601602</v>
      </c>
      <c r="E582" s="247">
        <v>351.05020141601602</v>
      </c>
      <c r="F582" s="247">
        <v>340.83407592773398</v>
      </c>
      <c r="G582" s="247">
        <v>332.5693359375</v>
      </c>
      <c r="H582" s="247">
        <v>335.96701049804699</v>
      </c>
      <c r="I582" s="247">
        <v>336.85531616210898</v>
      </c>
      <c r="J582" s="247">
        <v>341.13198852539102</v>
      </c>
      <c r="K582" s="247">
        <v>348.16427612304699</v>
      </c>
      <c r="L582" s="247">
        <v>352.90618896484398</v>
      </c>
      <c r="M582" s="247">
        <v>359.69818115234398</v>
      </c>
      <c r="N582" s="247">
        <v>365.95080566406301</v>
      </c>
      <c r="O582" s="247">
        <v>372.46246337890602</v>
      </c>
      <c r="P582" s="247">
        <v>379.283447265625</v>
      </c>
      <c r="Q582" s="247">
        <v>387.02755737304699</v>
      </c>
      <c r="R582" s="247">
        <v>393.88119506835898</v>
      </c>
      <c r="S582" s="247">
        <v>401.07183837890602</v>
      </c>
      <c r="T582" s="247">
        <v>407.83190917968801</v>
      </c>
      <c r="U582" s="247">
        <v>415.10699462890602</v>
      </c>
      <c r="V582" s="247">
        <v>423.06927490234398</v>
      </c>
      <c r="W582" s="247">
        <v>431.36416625976602</v>
      </c>
      <c r="X582" s="247">
        <v>438.52017211914102</v>
      </c>
      <c r="Y582" s="247">
        <v>449.30920410156301</v>
      </c>
    </row>
    <row r="583" spans="1:25" x14ac:dyDescent="0.25">
      <c r="A583" s="243" t="s">
        <v>506</v>
      </c>
      <c r="B583" s="247">
        <v>674.72277832031295</v>
      </c>
      <c r="C583" s="247">
        <v>755.02398681640602</v>
      </c>
      <c r="D583" s="247">
        <v>832.5546875</v>
      </c>
      <c r="E583" s="247">
        <v>835.89202880859398</v>
      </c>
      <c r="F583" s="247">
        <v>799.77044677734398</v>
      </c>
      <c r="G583" s="247">
        <v>776.20269775390602</v>
      </c>
      <c r="H583" s="247">
        <v>776.392822265625</v>
      </c>
      <c r="I583" s="247">
        <v>780.13439941406295</v>
      </c>
      <c r="J583" s="247">
        <v>786.50402832031295</v>
      </c>
      <c r="K583" s="247">
        <v>799.60241699218795</v>
      </c>
      <c r="L583" s="247">
        <v>815.563232421875</v>
      </c>
      <c r="M583" s="247">
        <v>833.50836181640602</v>
      </c>
      <c r="N583" s="247">
        <v>853.872314453125</v>
      </c>
      <c r="O583" s="247">
        <v>871.54876708984398</v>
      </c>
      <c r="P583" s="247">
        <v>885.33020019531295</v>
      </c>
      <c r="Q583" s="247">
        <v>902.33819580078102</v>
      </c>
      <c r="R583" s="247">
        <v>922.57263183593795</v>
      </c>
      <c r="S583" s="247">
        <v>944.971435546875</v>
      </c>
      <c r="T583" s="247">
        <v>964.80389404296898</v>
      </c>
      <c r="U583" s="247">
        <v>984.32775878906295</v>
      </c>
      <c r="V583" s="247">
        <v>1001.23034667969</v>
      </c>
      <c r="W583" s="247">
        <v>1018.50769042969</v>
      </c>
      <c r="X583" s="247">
        <v>1036.88317871094</v>
      </c>
      <c r="Y583" s="247">
        <v>1059.04919433594</v>
      </c>
    </row>
    <row r="584" spans="1:25" x14ac:dyDescent="0.25">
      <c r="A584" s="243" t="s">
        <v>507</v>
      </c>
      <c r="B584" s="247">
        <v>1.1704622767865699E-2</v>
      </c>
      <c r="C584" s="247">
        <v>1.72001253813505E-2</v>
      </c>
      <c r="D584" s="247">
        <v>2.0739471539855E-2</v>
      </c>
      <c r="E584" s="247">
        <v>2.2893460467457799E-2</v>
      </c>
      <c r="F584" s="247">
        <v>2.3359816521406201E-2</v>
      </c>
      <c r="G584" s="247">
        <v>2.56899110972881E-2</v>
      </c>
      <c r="H584" s="247">
        <v>2.8361881151795401E-2</v>
      </c>
      <c r="I584" s="247">
        <v>3.0972529202699699E-2</v>
      </c>
      <c r="J584" s="247">
        <v>3.4895084798336001E-2</v>
      </c>
      <c r="K584" s="247">
        <v>3.86636592447758E-2</v>
      </c>
      <c r="L584" s="247">
        <v>4.1480015963315998E-2</v>
      </c>
      <c r="M584" s="247">
        <v>4.3943785130977603E-2</v>
      </c>
      <c r="N584" s="247">
        <v>4.6801801770925501E-2</v>
      </c>
      <c r="O584" s="247">
        <v>4.9450792372226701E-2</v>
      </c>
      <c r="P584" s="247">
        <v>5.3890265524387401E-2</v>
      </c>
      <c r="Q584" s="247">
        <v>5.8303136378526701E-2</v>
      </c>
      <c r="R584" s="247">
        <v>6.2215700745582601E-2</v>
      </c>
      <c r="S584" s="247">
        <v>6.0202639549970599E-2</v>
      </c>
      <c r="T584" s="247">
        <v>6.6687978804111495E-2</v>
      </c>
      <c r="U584" s="247">
        <v>6.8060472607612596E-2</v>
      </c>
      <c r="V584" s="247">
        <v>7.0131160318851499E-2</v>
      </c>
      <c r="W584" s="247">
        <v>7.4032962322235094E-2</v>
      </c>
      <c r="X584" s="247">
        <v>7.6179362833499895E-2</v>
      </c>
      <c r="Y584" s="247">
        <v>7.9960107803344699E-2</v>
      </c>
    </row>
    <row r="585" spans="1:25" x14ac:dyDescent="0.25">
      <c r="A585" s="243" t="s">
        <v>508</v>
      </c>
      <c r="B585" s="247">
        <v>674.73449707031295</v>
      </c>
      <c r="C585" s="247">
        <v>755.04119873046898</v>
      </c>
      <c r="D585" s="247">
        <v>832.575439453125</v>
      </c>
      <c r="E585" s="247">
        <v>835.91491699218795</v>
      </c>
      <c r="F585" s="247">
        <v>799.79382324218795</v>
      </c>
      <c r="G585" s="247">
        <v>776.22839355468795</v>
      </c>
      <c r="H585" s="247">
        <v>776.42120361328102</v>
      </c>
      <c r="I585" s="247">
        <v>780.16534423828102</v>
      </c>
      <c r="J585" s="247">
        <v>786.53894042968795</v>
      </c>
      <c r="K585" s="247">
        <v>799.64105224609398</v>
      </c>
      <c r="L585" s="247">
        <v>815.604736328125</v>
      </c>
      <c r="M585" s="247">
        <v>833.55230712890602</v>
      </c>
      <c r="N585" s="247">
        <v>853.91912841796898</v>
      </c>
      <c r="O585" s="247">
        <v>871.59820556640602</v>
      </c>
      <c r="P585" s="247">
        <v>885.38409423828102</v>
      </c>
      <c r="Q585" s="247">
        <v>902.396484375</v>
      </c>
      <c r="R585" s="247">
        <v>922.63482666015602</v>
      </c>
      <c r="S585" s="247">
        <v>945.03161621093795</v>
      </c>
      <c r="T585" s="247">
        <v>964.87060546875</v>
      </c>
      <c r="U585" s="247">
        <v>984.39581298828102</v>
      </c>
      <c r="V585" s="247">
        <v>1001.30047607422</v>
      </c>
      <c r="W585" s="247">
        <v>1018.58172607422</v>
      </c>
      <c r="X585" s="247">
        <v>1036.95935058594</v>
      </c>
      <c r="Y585" s="247">
        <v>1059.12915039063</v>
      </c>
    </row>
    <row r="586" spans="1:25" x14ac:dyDescent="0.25">
      <c r="A586" s="287" t="s">
        <v>1063</v>
      </c>
      <c r="B586" s="247" t="s">
        <v>582</v>
      </c>
      <c r="C586" s="247"/>
      <c r="D586" s="247"/>
      <c r="E586" s="247"/>
      <c r="F586" s="247"/>
      <c r="G586" s="247"/>
      <c r="H586" s="247"/>
      <c r="I586" s="247"/>
      <c r="J586" s="247"/>
      <c r="K586" s="247"/>
      <c r="L586" s="247"/>
      <c r="M586" s="247"/>
      <c r="N586" s="247"/>
      <c r="O586" s="247"/>
      <c r="P586" s="247"/>
      <c r="Q586" s="247"/>
      <c r="R586" s="247"/>
      <c r="S586" s="247"/>
      <c r="T586" s="247"/>
      <c r="U586" s="247"/>
      <c r="V586" s="247"/>
      <c r="W586" s="247"/>
      <c r="X586" s="247"/>
      <c r="Y586" s="247"/>
    </row>
    <row r="587" spans="1:25" x14ac:dyDescent="0.25">
      <c r="A587" s="276" t="s">
        <v>310</v>
      </c>
      <c r="B587" s="247" t="s">
        <v>582</v>
      </c>
      <c r="C587" s="247"/>
      <c r="D587" s="247"/>
      <c r="E587" s="247"/>
      <c r="F587" s="247"/>
      <c r="G587" s="247"/>
      <c r="H587" s="247"/>
      <c r="I587" s="247"/>
      <c r="J587" s="247"/>
      <c r="K587" s="247"/>
      <c r="L587" s="247"/>
      <c r="M587" s="247"/>
      <c r="N587" s="247"/>
      <c r="O587" s="247"/>
      <c r="P587" s="247"/>
      <c r="Q587" s="247"/>
      <c r="R587" s="247"/>
      <c r="S587" s="247"/>
      <c r="T587" s="247"/>
      <c r="U587" s="247"/>
      <c r="V587" s="247"/>
      <c r="W587" s="247"/>
      <c r="X587" s="247"/>
      <c r="Y587" s="247"/>
    </row>
    <row r="588" spans="1:25" x14ac:dyDescent="0.25">
      <c r="A588" s="243" t="s">
        <v>430</v>
      </c>
      <c r="B588" s="247" t="s">
        <v>430</v>
      </c>
      <c r="C588" s="247" t="s">
        <v>430</v>
      </c>
      <c r="D588" s="247" t="s">
        <v>430</v>
      </c>
      <c r="E588" s="247" t="s">
        <v>430</v>
      </c>
      <c r="F588" s="247" t="s">
        <v>430</v>
      </c>
      <c r="G588" s="247" t="s">
        <v>430</v>
      </c>
      <c r="H588" s="247" t="s">
        <v>430</v>
      </c>
      <c r="I588" s="247" t="s">
        <v>430</v>
      </c>
      <c r="J588" s="247" t="s">
        <v>430</v>
      </c>
      <c r="K588" s="247" t="s">
        <v>430</v>
      </c>
      <c r="L588" s="247" t="s">
        <v>430</v>
      </c>
      <c r="M588" s="247" t="s">
        <v>430</v>
      </c>
      <c r="N588" s="247" t="s">
        <v>430</v>
      </c>
      <c r="O588" s="247" t="s">
        <v>430</v>
      </c>
      <c r="P588" s="247" t="s">
        <v>430</v>
      </c>
      <c r="Q588" s="247" t="s">
        <v>430</v>
      </c>
      <c r="R588" s="247" t="s">
        <v>430</v>
      </c>
      <c r="S588" s="247" t="s">
        <v>430</v>
      </c>
      <c r="T588" s="247" t="s">
        <v>430</v>
      </c>
      <c r="U588" s="247" t="s">
        <v>430</v>
      </c>
      <c r="V588" s="247" t="s">
        <v>430</v>
      </c>
      <c r="W588" s="247" t="s">
        <v>430</v>
      </c>
      <c r="X588" s="247" t="s">
        <v>430</v>
      </c>
      <c r="Y588" s="247" t="s">
        <v>430</v>
      </c>
    </row>
    <row r="589" spans="1:25" x14ac:dyDescent="0.25">
      <c r="A589" s="243" t="s">
        <v>509</v>
      </c>
      <c r="B589" s="247"/>
      <c r="C589" s="247"/>
      <c r="D589" s="247"/>
      <c r="E589" s="247"/>
      <c r="F589" s="247"/>
      <c r="G589" s="247"/>
      <c r="H589" s="247"/>
      <c r="I589" s="247"/>
      <c r="J589" s="247"/>
      <c r="K589" s="247"/>
      <c r="L589" s="247"/>
      <c r="M589" s="247"/>
      <c r="N589" s="247"/>
      <c r="O589" s="247"/>
      <c r="P589" s="247"/>
      <c r="Q589" s="247"/>
      <c r="R589" s="247"/>
      <c r="S589" s="247"/>
      <c r="T589" s="247"/>
      <c r="U589" s="247"/>
      <c r="V589" s="247"/>
      <c r="W589" s="247"/>
      <c r="X589" s="247"/>
      <c r="Y589" s="247"/>
    </row>
    <row r="590" spans="1:25" x14ac:dyDescent="0.25">
      <c r="A590" s="243" t="s">
        <v>510</v>
      </c>
      <c r="B590" s="247"/>
      <c r="C590" s="247"/>
      <c r="D590" s="247"/>
      <c r="E590" s="247"/>
      <c r="F590" s="247"/>
      <c r="G590" s="247"/>
      <c r="H590" s="247"/>
      <c r="I590" s="247"/>
      <c r="J590" s="247"/>
      <c r="K590" s="247"/>
      <c r="L590" s="247"/>
      <c r="M590" s="247"/>
      <c r="N590" s="247"/>
      <c r="O590" s="247"/>
      <c r="P590" s="247"/>
      <c r="Q590" s="247"/>
      <c r="R590" s="247"/>
      <c r="S590" s="247"/>
      <c r="T590" s="247"/>
      <c r="U590" s="247"/>
      <c r="V590" s="247"/>
      <c r="W590" s="247"/>
      <c r="X590" s="247"/>
      <c r="Y590" s="247"/>
    </row>
    <row r="591" spans="1:25" x14ac:dyDescent="0.25">
      <c r="A591" s="243" t="s">
        <v>511</v>
      </c>
      <c r="B591" s="247"/>
      <c r="C591" s="247"/>
      <c r="D591" s="247"/>
      <c r="E591" s="247"/>
      <c r="F591" s="247"/>
      <c r="G591" s="247"/>
      <c r="H591" s="247"/>
      <c r="I591" s="247"/>
      <c r="J591" s="247"/>
      <c r="K591" s="247"/>
      <c r="L591" s="247"/>
      <c r="M591" s="247"/>
      <c r="N591" s="247"/>
      <c r="O591" s="247"/>
      <c r="P591" s="247"/>
      <c r="Q591" s="247"/>
      <c r="R591" s="247"/>
      <c r="S591" s="247"/>
      <c r="T591" s="247"/>
      <c r="U591" s="247"/>
      <c r="V591" s="247"/>
      <c r="W591" s="247"/>
      <c r="X591" s="247"/>
      <c r="Y591" s="247"/>
    </row>
    <row r="592" spans="1:25" x14ac:dyDescent="0.25">
      <c r="A592" s="243" t="s">
        <v>512</v>
      </c>
      <c r="B592" s="247"/>
      <c r="C592" s="247"/>
      <c r="D592" s="247"/>
      <c r="E592" s="247"/>
      <c r="F592" s="247"/>
      <c r="G592" s="247"/>
      <c r="H592" s="247"/>
      <c r="I592" s="247"/>
      <c r="J592" s="247"/>
      <c r="K592" s="247"/>
      <c r="L592" s="247"/>
      <c r="M592" s="247"/>
      <c r="N592" s="247"/>
      <c r="O592" s="247"/>
      <c r="P592" s="247"/>
      <c r="Q592" s="247"/>
      <c r="R592" s="247"/>
      <c r="S592" s="247"/>
      <c r="T592" s="247"/>
      <c r="U592" s="247"/>
      <c r="V592" s="247"/>
      <c r="W592" s="247"/>
      <c r="X592" s="247"/>
      <c r="Y592" s="247"/>
    </row>
    <row r="593" spans="1:25" x14ac:dyDescent="0.25">
      <c r="A593" s="243" t="s">
        <v>513</v>
      </c>
      <c r="B593" s="247"/>
      <c r="C593" s="247"/>
      <c r="D593" s="247"/>
      <c r="E593" s="247"/>
      <c r="F593" s="247"/>
      <c r="G593" s="247"/>
      <c r="H593" s="247"/>
      <c r="I593" s="247"/>
      <c r="J593" s="247"/>
      <c r="K593" s="247"/>
      <c r="L593" s="247"/>
      <c r="M593" s="247"/>
      <c r="N593" s="247"/>
      <c r="O593" s="247"/>
      <c r="P593" s="247"/>
      <c r="Q593" s="247"/>
      <c r="R593" s="247"/>
      <c r="S593" s="247"/>
      <c r="T593" s="247"/>
      <c r="U593" s="247"/>
      <c r="V593" s="247"/>
      <c r="W593" s="247"/>
      <c r="X593" s="247"/>
      <c r="Y593" s="247"/>
    </row>
    <row r="594" spans="1:25" x14ac:dyDescent="0.25">
      <c r="A594" s="243" t="s">
        <v>514</v>
      </c>
      <c r="B594" s="247"/>
      <c r="C594" s="247"/>
      <c r="D594" s="247"/>
      <c r="E594" s="247"/>
      <c r="F594" s="247"/>
      <c r="G594" s="247"/>
      <c r="H594" s="247"/>
      <c r="I594" s="247"/>
      <c r="J594" s="247"/>
      <c r="K594" s="247"/>
      <c r="L594" s="247"/>
      <c r="M594" s="247"/>
      <c r="N594" s="247"/>
      <c r="O594" s="247"/>
      <c r="P594" s="247"/>
      <c r="Q594" s="247"/>
      <c r="R594" s="247"/>
      <c r="S594" s="247"/>
      <c r="T594" s="247"/>
      <c r="U594" s="247"/>
      <c r="V594" s="247"/>
      <c r="W594" s="247"/>
      <c r="X594" s="247"/>
      <c r="Y594" s="247"/>
    </row>
    <row r="595" spans="1:25" x14ac:dyDescent="0.25">
      <c r="A595" s="243" t="s">
        <v>515</v>
      </c>
      <c r="B595" s="247"/>
      <c r="C595" s="247"/>
      <c r="D595" s="247"/>
      <c r="E595" s="247"/>
      <c r="F595" s="247"/>
      <c r="G595" s="247"/>
      <c r="H595" s="247"/>
      <c r="I595" s="247"/>
      <c r="J595" s="247"/>
      <c r="K595" s="247"/>
      <c r="L595" s="247"/>
      <c r="M595" s="247"/>
      <c r="N595" s="247"/>
      <c r="O595" s="247"/>
      <c r="P595" s="247"/>
      <c r="Q595" s="247"/>
      <c r="R595" s="247"/>
      <c r="S595" s="247"/>
      <c r="T595" s="247"/>
      <c r="U595" s="247"/>
      <c r="V595" s="247"/>
      <c r="W595" s="247"/>
      <c r="X595" s="247"/>
      <c r="Y595" s="247"/>
    </row>
    <row r="596" spans="1:25" x14ac:dyDescent="0.25">
      <c r="A596" s="243" t="s">
        <v>516</v>
      </c>
      <c r="B596" s="247"/>
      <c r="C596" s="247"/>
      <c r="D596" s="247"/>
      <c r="E596" s="247"/>
      <c r="F596" s="247"/>
      <c r="G596" s="247"/>
      <c r="H596" s="247"/>
      <c r="I596" s="247"/>
      <c r="J596" s="247"/>
      <c r="K596" s="247"/>
      <c r="L596" s="247"/>
      <c r="M596" s="247"/>
      <c r="N596" s="247"/>
      <c r="O596" s="247"/>
      <c r="P596" s="247"/>
      <c r="Q596" s="247"/>
      <c r="R596" s="247"/>
      <c r="S596" s="247"/>
      <c r="T596" s="247"/>
      <c r="U596" s="247"/>
      <c r="V596" s="247"/>
      <c r="W596" s="247"/>
      <c r="X596" s="247"/>
      <c r="Y596" s="247"/>
    </row>
    <row r="597" spans="1:25" x14ac:dyDescent="0.25">
      <c r="A597" s="243" t="s">
        <v>517</v>
      </c>
      <c r="B597" s="247"/>
      <c r="C597" s="247"/>
      <c r="D597" s="247"/>
      <c r="E597" s="247"/>
      <c r="F597" s="247"/>
      <c r="G597" s="247"/>
      <c r="H597" s="247"/>
      <c r="I597" s="247"/>
      <c r="J597" s="247"/>
      <c r="K597" s="247"/>
      <c r="L597" s="247"/>
      <c r="M597" s="247"/>
      <c r="N597" s="247"/>
      <c r="O597" s="247"/>
      <c r="P597" s="247"/>
      <c r="Q597" s="247"/>
      <c r="R597" s="247"/>
      <c r="S597" s="247"/>
      <c r="T597" s="247"/>
      <c r="U597" s="247"/>
      <c r="V597" s="247"/>
      <c r="W597" s="247"/>
      <c r="X597" s="247"/>
      <c r="Y597" s="247"/>
    </row>
    <row r="598" spans="1:25" x14ac:dyDescent="0.25">
      <c r="A598" s="243" t="s">
        <v>522</v>
      </c>
      <c r="B598" s="247"/>
      <c r="C598" s="247"/>
      <c r="D598" s="247"/>
      <c r="E598" s="247"/>
      <c r="F598" s="247"/>
      <c r="G598" s="247"/>
      <c r="H598" s="247"/>
      <c r="I598" s="247"/>
      <c r="J598" s="247"/>
      <c r="K598" s="247"/>
      <c r="L598" s="247"/>
      <c r="M598" s="247"/>
      <c r="N598" s="247"/>
      <c r="O598" s="247"/>
      <c r="P598" s="247"/>
      <c r="Q598" s="247"/>
      <c r="R598" s="247"/>
      <c r="S598" s="247"/>
      <c r="T598" s="247"/>
      <c r="U598" s="247"/>
      <c r="V598" s="247"/>
      <c r="W598" s="247"/>
      <c r="X598" s="247"/>
      <c r="Y598" s="247"/>
    </row>
    <row r="599" spans="1:25" x14ac:dyDescent="0.25">
      <c r="A599" s="243" t="s">
        <v>532</v>
      </c>
      <c r="B599" s="247"/>
      <c r="C599" s="247"/>
      <c r="D599" s="247"/>
      <c r="E599" s="247"/>
      <c r="F599" s="247"/>
      <c r="G599" s="247"/>
      <c r="H599" s="247"/>
      <c r="I599" s="247"/>
      <c r="J599" s="247"/>
      <c r="K599" s="247"/>
      <c r="L599" s="247"/>
      <c r="M599" s="247"/>
      <c r="N599" s="247"/>
      <c r="O599" s="247"/>
      <c r="P599" s="247"/>
      <c r="Q599" s="247"/>
      <c r="R599" s="247"/>
      <c r="S599" s="247"/>
      <c r="T599" s="247"/>
      <c r="U599" s="247"/>
      <c r="V599" s="247"/>
      <c r="W599" s="247"/>
      <c r="X599" s="247"/>
      <c r="Y599" s="247"/>
    </row>
    <row r="600" spans="1:25" x14ac:dyDescent="0.25">
      <c r="A600" s="243" t="s">
        <v>533</v>
      </c>
      <c r="B600" s="247"/>
      <c r="C600" s="247"/>
      <c r="D600" s="247"/>
      <c r="E600" s="247"/>
      <c r="F600" s="247"/>
      <c r="G600" s="247"/>
      <c r="H600" s="247"/>
      <c r="I600" s="247"/>
      <c r="J600" s="247"/>
      <c r="K600" s="247"/>
      <c r="L600" s="247"/>
      <c r="M600" s="247"/>
      <c r="N600" s="247"/>
      <c r="O600" s="247"/>
      <c r="P600" s="247"/>
      <c r="Q600" s="247"/>
      <c r="R600" s="247"/>
      <c r="S600" s="247"/>
      <c r="T600" s="247"/>
      <c r="U600" s="247"/>
      <c r="V600" s="247"/>
      <c r="W600" s="247"/>
      <c r="X600" s="247"/>
      <c r="Y600" s="247"/>
    </row>
    <row r="601" spans="1:25" x14ac:dyDescent="0.25">
      <c r="A601" s="243" t="s">
        <v>534</v>
      </c>
      <c r="B601" s="247"/>
      <c r="C601" s="247"/>
      <c r="D601" s="247"/>
      <c r="E601" s="247"/>
      <c r="F601" s="247"/>
      <c r="G601" s="247"/>
      <c r="H601" s="247"/>
      <c r="I601" s="247"/>
      <c r="J601" s="247"/>
      <c r="K601" s="247"/>
      <c r="L601" s="247"/>
      <c r="M601" s="247"/>
      <c r="N601" s="247"/>
      <c r="O601" s="247"/>
      <c r="P601" s="247"/>
      <c r="Q601" s="247"/>
      <c r="R601" s="247"/>
      <c r="S601" s="247"/>
      <c r="T601" s="247"/>
      <c r="U601" s="247"/>
      <c r="V601" s="247"/>
      <c r="W601" s="247"/>
      <c r="X601" s="247"/>
      <c r="Y601" s="247"/>
    </row>
    <row r="602" spans="1:25" x14ac:dyDescent="0.25">
      <c r="A602" s="243" t="s">
        <v>535</v>
      </c>
      <c r="B602" s="247"/>
      <c r="C602" s="247"/>
      <c r="D602" s="247"/>
      <c r="E602" s="247"/>
      <c r="F602" s="247"/>
      <c r="G602" s="247"/>
      <c r="H602" s="247"/>
      <c r="I602" s="247"/>
      <c r="J602" s="247"/>
      <c r="K602" s="247"/>
      <c r="L602" s="247"/>
      <c r="M602" s="247"/>
      <c r="N602" s="247"/>
      <c r="O602" s="247"/>
      <c r="P602" s="247"/>
      <c r="Q602" s="247"/>
      <c r="R602" s="247"/>
      <c r="S602" s="247"/>
      <c r="T602" s="247"/>
      <c r="U602" s="247"/>
      <c r="V602" s="247"/>
      <c r="W602" s="247"/>
      <c r="X602" s="247"/>
      <c r="Y602" s="247"/>
    </row>
    <row r="603" spans="1:25" x14ac:dyDescent="0.25">
      <c r="A603" s="243" t="s">
        <v>536</v>
      </c>
      <c r="B603" s="247"/>
      <c r="C603" s="247"/>
      <c r="D603" s="247"/>
      <c r="E603" s="247"/>
      <c r="F603" s="247"/>
      <c r="G603" s="247"/>
      <c r="H603" s="247"/>
      <c r="I603" s="247"/>
      <c r="J603" s="247"/>
      <c r="K603" s="247"/>
      <c r="L603" s="247"/>
      <c r="M603" s="247"/>
      <c r="N603" s="247"/>
      <c r="O603" s="247"/>
      <c r="P603" s="247"/>
      <c r="Q603" s="247"/>
      <c r="R603" s="247"/>
      <c r="S603" s="247"/>
      <c r="T603" s="247"/>
      <c r="U603" s="247"/>
      <c r="V603" s="247"/>
      <c r="W603" s="247"/>
      <c r="X603" s="247"/>
      <c r="Y603" s="247"/>
    </row>
    <row r="604" spans="1:25" x14ac:dyDescent="0.25">
      <c r="A604" s="243" t="s">
        <v>537</v>
      </c>
      <c r="B604" s="247"/>
      <c r="C604" s="247"/>
      <c r="D604" s="247"/>
      <c r="E604" s="247"/>
      <c r="F604" s="247"/>
      <c r="G604" s="247"/>
      <c r="H604" s="247"/>
      <c r="I604" s="247"/>
      <c r="J604" s="247"/>
      <c r="K604" s="247"/>
      <c r="L604" s="247"/>
      <c r="M604" s="247"/>
      <c r="N604" s="247"/>
      <c r="O604" s="247"/>
      <c r="P604" s="247"/>
      <c r="Q604" s="247"/>
      <c r="R604" s="247"/>
      <c r="S604" s="247"/>
      <c r="T604" s="247"/>
      <c r="U604" s="247"/>
      <c r="V604" s="247"/>
      <c r="W604" s="247"/>
      <c r="X604" s="247"/>
      <c r="Y604" s="247"/>
    </row>
    <row r="605" spans="1:25" x14ac:dyDescent="0.25">
      <c r="A605" s="243" t="s">
        <v>538</v>
      </c>
      <c r="B605" s="247"/>
      <c r="C605" s="247"/>
      <c r="D605" s="247"/>
      <c r="E605" s="247"/>
      <c r="F605" s="247"/>
      <c r="G605" s="247"/>
      <c r="H605" s="247"/>
      <c r="I605" s="247"/>
      <c r="J605" s="247"/>
      <c r="K605" s="247"/>
      <c r="L605" s="247"/>
      <c r="M605" s="247"/>
      <c r="N605" s="247"/>
      <c r="O605" s="247"/>
      <c r="P605" s="247"/>
      <c r="Q605" s="247"/>
      <c r="R605" s="247"/>
      <c r="S605" s="247"/>
      <c r="T605" s="247"/>
      <c r="U605" s="247"/>
      <c r="V605" s="247"/>
      <c r="W605" s="247"/>
      <c r="X605" s="247"/>
      <c r="Y605" s="247"/>
    </row>
    <row r="606" spans="1:25" x14ac:dyDescent="0.25">
      <c r="A606" s="243" t="s">
        <v>541</v>
      </c>
      <c r="B606" s="247"/>
      <c r="C606" s="247"/>
      <c r="D606" s="247"/>
      <c r="E606" s="247"/>
      <c r="F606" s="247"/>
      <c r="G606" s="247"/>
      <c r="H606" s="247"/>
      <c r="I606" s="247"/>
      <c r="J606" s="247"/>
      <c r="K606" s="247"/>
      <c r="L606" s="247"/>
      <c r="M606" s="247"/>
      <c r="N606" s="247"/>
      <c r="O606" s="247"/>
      <c r="P606" s="247"/>
      <c r="Q606" s="247"/>
      <c r="R606" s="247"/>
      <c r="S606" s="247"/>
      <c r="T606" s="247"/>
      <c r="U606" s="247"/>
      <c r="V606" s="247"/>
      <c r="W606" s="247"/>
      <c r="X606" s="247"/>
      <c r="Y606" s="247"/>
    </row>
    <row r="607" spans="1:25" x14ac:dyDescent="0.25">
      <c r="A607" s="243" t="s">
        <v>542</v>
      </c>
      <c r="B607" s="247"/>
      <c r="C607" s="247"/>
      <c r="D607" s="247"/>
      <c r="E607" s="247"/>
      <c r="F607" s="247"/>
      <c r="G607" s="247"/>
      <c r="H607" s="247"/>
      <c r="I607" s="247"/>
      <c r="J607" s="247"/>
      <c r="K607" s="247"/>
      <c r="L607" s="247"/>
      <c r="M607" s="247"/>
      <c r="N607" s="247"/>
      <c r="O607" s="247"/>
      <c r="P607" s="247"/>
      <c r="Q607" s="247"/>
      <c r="R607" s="247"/>
      <c r="S607" s="247"/>
      <c r="T607" s="247"/>
      <c r="U607" s="247"/>
      <c r="V607" s="247"/>
      <c r="W607" s="247"/>
      <c r="X607" s="247"/>
      <c r="Y607" s="247"/>
    </row>
    <row r="608" spans="1:25" x14ac:dyDescent="0.25">
      <c r="A608" s="243" t="s">
        <v>543</v>
      </c>
      <c r="B608" s="247"/>
      <c r="C608" s="247"/>
      <c r="D608" s="247"/>
      <c r="E608" s="247"/>
      <c r="F608" s="247"/>
      <c r="G608" s="247"/>
      <c r="H608" s="247"/>
      <c r="I608" s="247"/>
      <c r="J608" s="247"/>
      <c r="K608" s="247"/>
      <c r="L608" s="247"/>
      <c r="M608" s="247"/>
      <c r="N608" s="247"/>
      <c r="O608" s="247"/>
      <c r="P608" s="247"/>
      <c r="Q608" s="247"/>
      <c r="R608" s="247"/>
      <c r="S608" s="247"/>
      <c r="T608" s="247"/>
      <c r="U608" s="247"/>
      <c r="V608" s="247"/>
      <c r="W608" s="247"/>
      <c r="X608" s="247"/>
      <c r="Y608" s="247"/>
    </row>
    <row r="609" spans="1:26" x14ac:dyDescent="0.25">
      <c r="A609" s="243" t="s">
        <v>544</v>
      </c>
      <c r="B609" s="247"/>
      <c r="C609" s="247"/>
      <c r="D609" s="247"/>
      <c r="E609" s="247"/>
      <c r="F609" s="247"/>
      <c r="G609" s="247"/>
      <c r="H609" s="247"/>
      <c r="I609" s="247"/>
      <c r="J609" s="247"/>
      <c r="K609" s="247"/>
      <c r="L609" s="247"/>
      <c r="M609" s="247"/>
      <c r="N609" s="247"/>
      <c r="O609" s="247"/>
      <c r="P609" s="247"/>
      <c r="Q609" s="247"/>
      <c r="R609" s="247"/>
      <c r="S609" s="247"/>
      <c r="T609" s="247"/>
      <c r="U609" s="247"/>
      <c r="V609" s="247"/>
      <c r="W609" s="247"/>
      <c r="X609" s="247"/>
      <c r="Y609" s="247"/>
    </row>
    <row r="610" spans="1:26" x14ac:dyDescent="0.25">
      <c r="A610" s="243" t="s">
        <v>545</v>
      </c>
      <c r="B610" s="247"/>
      <c r="C610" s="247"/>
      <c r="D610" s="247"/>
      <c r="E610" s="247"/>
      <c r="F610" s="247"/>
      <c r="G610" s="247"/>
      <c r="H610" s="247"/>
      <c r="I610" s="247"/>
      <c r="J610" s="247"/>
      <c r="K610" s="247"/>
      <c r="L610" s="247"/>
      <c r="M610" s="247"/>
      <c r="N610" s="247"/>
      <c r="O610" s="247"/>
      <c r="P610" s="247"/>
      <c r="Q610" s="247"/>
      <c r="R610" s="247"/>
      <c r="S610" s="247"/>
      <c r="T610" s="247"/>
      <c r="U610" s="247"/>
      <c r="V610" s="247"/>
      <c r="W610" s="247"/>
      <c r="X610" s="247"/>
      <c r="Y610" s="247"/>
    </row>
    <row r="611" spans="1:26" x14ac:dyDescent="0.25">
      <c r="A611" s="243" t="s">
        <v>546</v>
      </c>
      <c r="B611" s="247"/>
      <c r="C611" s="247"/>
      <c r="D611" s="247"/>
      <c r="E611" s="247"/>
      <c r="F611" s="247"/>
      <c r="G611" s="247"/>
      <c r="H611" s="247"/>
      <c r="I611" s="247"/>
      <c r="J611" s="247"/>
      <c r="K611" s="247"/>
      <c r="L611" s="247"/>
      <c r="M611" s="247"/>
      <c r="N611" s="247"/>
      <c r="O611" s="247"/>
      <c r="P611" s="247"/>
      <c r="Q611" s="247"/>
      <c r="R611" s="247"/>
      <c r="S611" s="247"/>
      <c r="T611" s="247"/>
      <c r="U611" s="247"/>
      <c r="V611" s="247"/>
      <c r="W611" s="247"/>
      <c r="X611" s="247"/>
      <c r="Y611" s="247"/>
    </row>
    <row r="612" spans="1:26" x14ac:dyDescent="0.25">
      <c r="A612" s="243" t="s">
        <v>547</v>
      </c>
      <c r="B612" s="247"/>
      <c r="C612" s="247"/>
      <c r="D612" s="247"/>
      <c r="E612" s="247"/>
      <c r="F612" s="247"/>
      <c r="G612" s="247"/>
      <c r="H612" s="247"/>
      <c r="I612" s="247"/>
      <c r="J612" s="247"/>
      <c r="K612" s="247"/>
      <c r="L612" s="247"/>
      <c r="M612" s="247"/>
      <c r="N612" s="247"/>
      <c r="O612" s="247"/>
      <c r="P612" s="247"/>
      <c r="Q612" s="247"/>
      <c r="R612" s="247"/>
      <c r="S612" s="247"/>
      <c r="T612" s="247"/>
      <c r="U612" s="247"/>
      <c r="V612" s="247"/>
      <c r="W612" s="247"/>
      <c r="X612" s="247"/>
      <c r="Y612" s="247"/>
    </row>
    <row r="613" spans="1:26" x14ac:dyDescent="0.25">
      <c r="A613" s="243" t="s">
        <v>548</v>
      </c>
      <c r="B613" s="247"/>
      <c r="C613" s="247"/>
      <c r="D613" s="247"/>
      <c r="E613" s="247"/>
      <c r="F613" s="247"/>
      <c r="G613" s="247"/>
      <c r="H613" s="247"/>
      <c r="I613" s="247"/>
      <c r="J613" s="247"/>
      <c r="K613" s="247"/>
      <c r="L613" s="247"/>
      <c r="M613" s="247"/>
      <c r="N613" s="247"/>
      <c r="O613" s="247"/>
      <c r="P613" s="247"/>
      <c r="Q613" s="247"/>
      <c r="R613" s="247"/>
      <c r="S613" s="247"/>
      <c r="T613" s="247"/>
      <c r="U613" s="247"/>
      <c r="V613" s="247"/>
      <c r="W613" s="247"/>
      <c r="X613" s="247"/>
      <c r="Y613" s="247"/>
    </row>
    <row r="614" spans="1:26" ht="13.8" thickBot="1" x14ac:dyDescent="0.3">
      <c r="A614" s="248" t="s">
        <v>549</v>
      </c>
      <c r="B614" s="249"/>
      <c r="C614" s="249"/>
      <c r="D614" s="249"/>
      <c r="E614" s="249"/>
      <c r="F614" s="249"/>
      <c r="G614" s="249"/>
      <c r="H614" s="249"/>
      <c r="I614" s="249"/>
      <c r="J614" s="249"/>
      <c r="K614" s="249"/>
      <c r="L614" s="249"/>
      <c r="M614" s="249"/>
      <c r="N614" s="249"/>
      <c r="O614" s="249"/>
      <c r="P614" s="249"/>
      <c r="Q614" s="249"/>
      <c r="R614" s="249"/>
      <c r="S614" s="249"/>
      <c r="T614" s="249"/>
      <c r="U614" s="249"/>
      <c r="V614" s="249"/>
      <c r="W614" s="249"/>
      <c r="X614" s="249"/>
      <c r="Y614" s="249"/>
    </row>
    <row r="615" spans="1:26" x14ac:dyDescent="0.25">
      <c r="A615" s="37"/>
      <c r="B615" s="37"/>
      <c r="C615" s="37"/>
      <c r="D615" s="37"/>
      <c r="E615" s="37"/>
      <c r="F615" s="37"/>
      <c r="G615" s="37"/>
      <c r="H615" s="37"/>
      <c r="I615" s="37"/>
      <c r="J615" s="37"/>
      <c r="K615" s="37"/>
      <c r="L615" s="37"/>
      <c r="M615" s="37"/>
      <c r="N615" s="37"/>
      <c r="O615" s="37"/>
      <c r="P615" s="37"/>
      <c r="Q615" s="37"/>
      <c r="R615" s="37"/>
      <c r="S615" s="37"/>
      <c r="T615" s="37"/>
      <c r="U615" s="37"/>
      <c r="V615" s="37"/>
      <c r="W615" s="37"/>
      <c r="X615" s="37"/>
      <c r="Y615" s="37"/>
      <c r="Z615" s="37"/>
    </row>
    <row r="616" spans="1:26" x14ac:dyDescent="0.25">
      <c r="A616" s="37"/>
      <c r="B616" s="37"/>
      <c r="C616" s="37"/>
      <c r="D616" s="37"/>
      <c r="E616" s="37"/>
      <c r="F616" s="37"/>
      <c r="G616" s="37"/>
      <c r="H616" s="37"/>
      <c r="I616" s="37"/>
      <c r="J616" s="37"/>
      <c r="K616" s="37"/>
      <c r="L616" s="37"/>
      <c r="M616" s="37"/>
      <c r="N616" s="37"/>
      <c r="O616" s="37"/>
      <c r="P616" s="37"/>
      <c r="Q616" s="37"/>
      <c r="R616" s="37"/>
      <c r="S616" s="37"/>
      <c r="T616" s="37"/>
      <c r="U616" s="37"/>
      <c r="V616" s="37"/>
      <c r="W616" s="37"/>
      <c r="X616" s="37"/>
      <c r="Y616" s="37"/>
      <c r="Z616" s="37"/>
    </row>
    <row r="617" spans="1:26" ht="13.8" thickBot="1" x14ac:dyDescent="0.3">
      <c r="A617" s="37"/>
      <c r="B617" s="37"/>
      <c r="C617" s="37"/>
      <c r="D617" s="37"/>
      <c r="E617" s="37"/>
      <c r="F617" s="37"/>
      <c r="G617" s="37"/>
      <c r="H617" s="37"/>
      <c r="I617" s="37"/>
      <c r="J617" s="37"/>
      <c r="K617" s="37"/>
      <c r="L617" s="37"/>
      <c r="M617" s="37"/>
      <c r="N617" s="37"/>
      <c r="O617" s="37"/>
      <c r="P617" s="37"/>
      <c r="Q617" s="37"/>
      <c r="R617" s="37"/>
      <c r="S617" s="37"/>
      <c r="T617" s="37"/>
      <c r="U617" s="37"/>
      <c r="V617" s="37"/>
      <c r="W617" s="37"/>
      <c r="X617" s="37"/>
      <c r="Y617" s="37"/>
      <c r="Z617" s="37"/>
    </row>
    <row r="618" spans="1:26" x14ac:dyDescent="0.25">
      <c r="A618" s="250" t="s">
        <v>550</v>
      </c>
      <c r="B618" s="251"/>
      <c r="C618" s="251" t="s">
        <v>848</v>
      </c>
      <c r="D618" s="251"/>
      <c r="E618" s="251"/>
      <c r="F618" s="251"/>
      <c r="G618" s="251"/>
      <c r="H618" s="251"/>
      <c r="I618" s="251"/>
      <c r="J618" s="251"/>
      <c r="K618" s="251"/>
      <c r="L618" s="251"/>
      <c r="M618" s="251"/>
      <c r="N618" s="251"/>
      <c r="O618" s="251"/>
      <c r="P618" s="251"/>
      <c r="Q618" s="251"/>
      <c r="R618" s="251"/>
      <c r="S618" s="251"/>
      <c r="T618" s="251"/>
      <c r="U618" s="251"/>
      <c r="V618" s="251"/>
      <c r="W618" s="251"/>
      <c r="X618" s="251"/>
      <c r="Y618" s="251"/>
    </row>
    <row r="619" spans="1:26" x14ac:dyDescent="0.25">
      <c r="A619" s="252" t="s">
        <v>551</v>
      </c>
      <c r="B619" s="244"/>
      <c r="C619" s="1608" t="s">
        <v>853</v>
      </c>
      <c r="D619" s="1608"/>
      <c r="E619" s="1608"/>
      <c r="F619" s="1608"/>
      <c r="G619" s="1608"/>
      <c r="H619" s="1608"/>
      <c r="I619" s="1608"/>
      <c r="J619" s="1608"/>
      <c r="K619" s="1608"/>
      <c r="L619" s="1608"/>
      <c r="M619" s="1608"/>
      <c r="N619" s="1608"/>
      <c r="O619" s="1608"/>
      <c r="P619" s="1608"/>
      <c r="Q619" s="1608"/>
      <c r="R619" s="1608"/>
      <c r="S619" s="1608"/>
      <c r="T619" s="1608"/>
      <c r="U619" s="1608"/>
      <c r="V619" s="1608"/>
      <c r="W619" s="1608"/>
      <c r="X619" s="1608"/>
      <c r="Y619" s="1608"/>
    </row>
    <row r="620" spans="1:26" x14ac:dyDescent="0.25">
      <c r="A620" s="243" t="s">
        <v>552</v>
      </c>
      <c r="B620" s="244"/>
      <c r="C620" s="1608" t="s">
        <v>854</v>
      </c>
      <c r="D620" s="1608"/>
      <c r="E620" s="1608"/>
      <c r="F620" s="1608"/>
      <c r="G620" s="1608"/>
      <c r="H620" s="1608"/>
      <c r="I620" s="1608"/>
      <c r="J620" s="1608"/>
      <c r="K620" s="1608"/>
      <c r="L620" s="1608"/>
      <c r="M620" s="1608"/>
      <c r="N620" s="1608"/>
      <c r="O620" s="1608"/>
      <c r="P620" s="1608"/>
      <c r="Q620" s="1608"/>
      <c r="R620" s="1608"/>
      <c r="S620" s="1608"/>
      <c r="T620" s="1608"/>
      <c r="U620" s="1608"/>
      <c r="V620" s="1608"/>
      <c r="W620" s="1608"/>
      <c r="X620" s="1608"/>
      <c r="Y620" s="1608"/>
    </row>
    <row r="621" spans="1:26" x14ac:dyDescent="0.25">
      <c r="A621" s="245" t="s">
        <v>436</v>
      </c>
      <c r="B621" s="244"/>
      <c r="C621" s="244"/>
      <c r="D621" s="244"/>
      <c r="E621" s="244"/>
      <c r="F621" s="244"/>
      <c r="G621" s="244"/>
      <c r="H621" s="244"/>
      <c r="I621" s="244"/>
      <c r="J621" s="244"/>
      <c r="K621" s="244"/>
      <c r="L621" s="244"/>
      <c r="M621" s="244"/>
      <c r="N621" s="244"/>
      <c r="O621" s="244"/>
      <c r="P621" s="244"/>
      <c r="Q621" s="244"/>
      <c r="R621" s="244"/>
      <c r="S621" s="244"/>
      <c r="T621" s="244"/>
      <c r="U621" s="244"/>
      <c r="V621" s="244"/>
      <c r="W621" s="244"/>
      <c r="X621" s="244"/>
      <c r="Y621" s="244"/>
    </row>
    <row r="622" spans="1:26" x14ac:dyDescent="0.25">
      <c r="A622" s="243"/>
      <c r="B622" s="244"/>
      <c r="C622" s="289"/>
      <c r="D622" s="244"/>
      <c r="E622" s="244"/>
      <c r="F622" s="244"/>
      <c r="G622" s="244"/>
      <c r="H622" s="244"/>
      <c r="I622" s="244"/>
      <c r="J622" s="244"/>
      <c r="K622" s="244"/>
      <c r="L622" s="244"/>
      <c r="M622" s="244"/>
      <c r="N622" s="244"/>
      <c r="O622" s="244"/>
      <c r="P622" s="244"/>
      <c r="Q622" s="244"/>
      <c r="R622" s="244"/>
      <c r="S622" s="244"/>
      <c r="T622" s="244"/>
      <c r="U622" s="244"/>
      <c r="V622" s="244"/>
      <c r="W622" s="244"/>
      <c r="X622" s="244"/>
      <c r="Y622" s="244"/>
    </row>
    <row r="623" spans="1:26" x14ac:dyDescent="0.25">
      <c r="A623" s="243" t="s">
        <v>437</v>
      </c>
      <c r="B623" s="244"/>
      <c r="C623" s="244"/>
      <c r="D623" s="244"/>
      <c r="E623" s="244"/>
      <c r="F623" s="244"/>
      <c r="G623" s="244"/>
      <c r="H623" s="244"/>
      <c r="I623" s="244"/>
      <c r="J623" s="244"/>
      <c r="K623" s="244"/>
      <c r="L623" s="244"/>
      <c r="M623" s="244"/>
      <c r="N623" s="244"/>
      <c r="O623" s="244"/>
      <c r="P623" s="244"/>
      <c r="Q623" s="244"/>
      <c r="R623" s="244"/>
      <c r="S623" s="244"/>
      <c r="T623" s="244"/>
      <c r="U623" s="244"/>
      <c r="V623" s="244"/>
      <c r="W623" s="244"/>
      <c r="X623" s="244"/>
      <c r="Y623" s="244"/>
    </row>
    <row r="624" spans="1:26" x14ac:dyDescent="0.25">
      <c r="A624" s="243" t="s">
        <v>438</v>
      </c>
      <c r="B624" s="244"/>
      <c r="C624" s="244"/>
      <c r="D624" s="244"/>
      <c r="E624" s="244"/>
      <c r="F624" s="244"/>
      <c r="G624" s="244"/>
      <c r="H624" s="244"/>
      <c r="I624" s="244"/>
      <c r="J624" s="244"/>
      <c r="K624" s="244"/>
      <c r="L624" s="244"/>
      <c r="M624" s="244"/>
      <c r="N624" s="244"/>
      <c r="O624" s="244"/>
      <c r="P624" s="244"/>
      <c r="Q624" s="244"/>
      <c r="R624" s="244"/>
      <c r="S624" s="244"/>
      <c r="T624" s="244"/>
      <c r="U624" s="244"/>
      <c r="V624" s="244"/>
      <c r="W624" s="244"/>
      <c r="X624" s="244"/>
      <c r="Y624" s="244"/>
    </row>
    <row r="625" spans="1:26" x14ac:dyDescent="0.25">
      <c r="A625" s="243"/>
      <c r="B625" s="244"/>
      <c r="C625" s="244"/>
      <c r="D625" s="244"/>
      <c r="E625" s="244"/>
      <c r="F625" s="244"/>
      <c r="G625" s="244"/>
      <c r="H625" s="244"/>
      <c r="I625" s="244"/>
      <c r="J625" s="244"/>
      <c r="K625" s="244"/>
      <c r="L625" s="244"/>
      <c r="M625" s="244"/>
      <c r="N625" s="244"/>
      <c r="O625" s="244"/>
      <c r="P625" s="244"/>
      <c r="Q625" s="244"/>
      <c r="R625" s="244"/>
      <c r="S625" s="244"/>
      <c r="T625" s="244"/>
      <c r="U625" s="244"/>
      <c r="V625" s="244"/>
      <c r="W625" s="244"/>
      <c r="X625" s="244"/>
      <c r="Y625" s="244"/>
      <c r="Z625" t="s">
        <v>580</v>
      </c>
    </row>
    <row r="626" spans="1:26" x14ac:dyDescent="0.25">
      <c r="A626" s="243" t="s">
        <v>430</v>
      </c>
      <c r="B626" s="244" t="s">
        <v>439</v>
      </c>
      <c r="C626" s="244" t="s">
        <v>440</v>
      </c>
      <c r="D626" s="244" t="s">
        <v>441</v>
      </c>
      <c r="E626" s="244" t="s">
        <v>442</v>
      </c>
      <c r="F626" s="244" t="s">
        <v>443</v>
      </c>
      <c r="G626" s="244" t="s">
        <v>444</v>
      </c>
      <c r="H626" s="244" t="s">
        <v>445</v>
      </c>
      <c r="I626" s="244" t="s">
        <v>446</v>
      </c>
      <c r="J626" s="244" t="s">
        <v>447</v>
      </c>
      <c r="K626" s="244" t="s">
        <v>448</v>
      </c>
      <c r="L626" s="244" t="s">
        <v>449</v>
      </c>
      <c r="M626" s="244" t="s">
        <v>450</v>
      </c>
      <c r="N626" s="244" t="s">
        <v>451</v>
      </c>
      <c r="O626" s="244" t="s">
        <v>452</v>
      </c>
      <c r="P626" s="244" t="s">
        <v>453</v>
      </c>
      <c r="Q626" s="244" t="s">
        <v>454</v>
      </c>
      <c r="R626" s="244" t="s">
        <v>455</v>
      </c>
      <c r="S626" s="244" t="s">
        <v>456</v>
      </c>
      <c r="T626" s="244" t="s">
        <v>457</v>
      </c>
      <c r="U626" s="244" t="s">
        <v>458</v>
      </c>
      <c r="V626" s="244" t="s">
        <v>459</v>
      </c>
      <c r="W626" s="244" t="s">
        <v>460</v>
      </c>
      <c r="X626" s="244" t="s">
        <v>461</v>
      </c>
      <c r="Y626" s="244" t="s">
        <v>462</v>
      </c>
      <c r="Z626">
        <v>2026</v>
      </c>
    </row>
    <row r="627" spans="1:26" x14ac:dyDescent="0.25">
      <c r="A627" s="243" t="s">
        <v>430</v>
      </c>
      <c r="B627" s="244" t="s">
        <v>430</v>
      </c>
      <c r="C627" s="244" t="s">
        <v>430</v>
      </c>
      <c r="D627" s="244" t="s">
        <v>430</v>
      </c>
      <c r="E627" s="244" t="s">
        <v>430</v>
      </c>
      <c r="F627" s="244" t="s">
        <v>430</v>
      </c>
      <c r="G627" s="244" t="s">
        <v>430</v>
      </c>
      <c r="H627" s="244" t="s">
        <v>430</v>
      </c>
      <c r="I627" s="244" t="s">
        <v>430</v>
      </c>
      <c r="J627" s="244" t="s">
        <v>430</v>
      </c>
      <c r="K627" s="244" t="s">
        <v>430</v>
      </c>
      <c r="L627" s="244" t="s">
        <v>430</v>
      </c>
      <c r="M627" s="244" t="s">
        <v>430</v>
      </c>
      <c r="N627" s="244" t="s">
        <v>430</v>
      </c>
      <c r="O627" s="244" t="s">
        <v>430</v>
      </c>
      <c r="P627" s="244" t="s">
        <v>430</v>
      </c>
      <c r="Q627" s="244" t="s">
        <v>430</v>
      </c>
      <c r="R627" s="244" t="s">
        <v>430</v>
      </c>
      <c r="S627" s="244" t="s">
        <v>430</v>
      </c>
      <c r="T627" s="244" t="s">
        <v>430</v>
      </c>
      <c r="U627" s="244" t="s">
        <v>430</v>
      </c>
      <c r="V627" s="244" t="s">
        <v>430</v>
      </c>
      <c r="W627" s="244" t="s">
        <v>430</v>
      </c>
      <c r="X627" s="244" t="s">
        <v>430</v>
      </c>
      <c r="Y627" s="244" t="s">
        <v>430</v>
      </c>
    </row>
    <row r="628" spans="1:26" x14ac:dyDescent="0.25">
      <c r="A628" s="243" t="s">
        <v>463</v>
      </c>
      <c r="B628" s="247">
        <v>15.0220499038696</v>
      </c>
      <c r="C628" s="247">
        <v>15.811363220214799</v>
      </c>
      <c r="D628" s="247">
        <v>16.426000595092798</v>
      </c>
      <c r="E628" s="247">
        <v>16.4650573730469</v>
      </c>
      <c r="F628" s="247">
        <v>15.8399600982666</v>
      </c>
      <c r="G628" s="247">
        <v>15.268068313598601</v>
      </c>
      <c r="H628" s="247">
        <v>14.8466091156006</v>
      </c>
      <c r="I628" s="247">
        <v>14.7514638900757</v>
      </c>
      <c r="J628" s="247">
        <v>14.6550188064575</v>
      </c>
      <c r="K628" s="247">
        <v>14.6146650314331</v>
      </c>
      <c r="L628" s="247">
        <v>14.723385810852101</v>
      </c>
      <c r="M628" s="247">
        <v>14.890528678894</v>
      </c>
      <c r="N628" s="247">
        <v>15.1057291030884</v>
      </c>
      <c r="O628" s="247">
        <v>15.213768959045399</v>
      </c>
      <c r="P628" s="247">
        <v>15.3079509735107</v>
      </c>
      <c r="Q628" s="247">
        <v>15.3113193511963</v>
      </c>
      <c r="R628" s="247">
        <v>15.4291744232178</v>
      </c>
      <c r="S628" s="247">
        <v>15.6326360702515</v>
      </c>
      <c r="T628" s="247">
        <v>15.9024982452393</v>
      </c>
      <c r="U628" s="247">
        <v>16.1096382141113</v>
      </c>
      <c r="V628" s="247">
        <v>16.157627105712901</v>
      </c>
      <c r="W628" s="247">
        <v>16.2051906585693</v>
      </c>
      <c r="X628" s="247">
        <v>16.309419631958001</v>
      </c>
      <c r="Y628" s="247">
        <v>16.471462249755898</v>
      </c>
    </row>
    <row r="629" spans="1:26" x14ac:dyDescent="0.25">
      <c r="A629" s="243" t="s">
        <v>464</v>
      </c>
      <c r="B629" s="247">
        <v>8.3285751342773402</v>
      </c>
      <c r="C629" s="247">
        <v>9.67810153961182</v>
      </c>
      <c r="D629" s="247">
        <v>10.65163230896</v>
      </c>
      <c r="E629" s="247">
        <v>10.5740642547607</v>
      </c>
      <c r="F629" s="247">
        <v>9.9307842254638707</v>
      </c>
      <c r="G629" s="247">
        <v>9.5159215927124006</v>
      </c>
      <c r="H629" s="247">
        <v>9.1046285629272496</v>
      </c>
      <c r="I629" s="247">
        <v>8.8910932540893608</v>
      </c>
      <c r="J629" s="247">
        <v>8.7197055816650408</v>
      </c>
      <c r="K629" s="247">
        <v>8.6297874450683594</v>
      </c>
      <c r="L629" s="247">
        <v>8.6824674606323207</v>
      </c>
      <c r="M629" s="247">
        <v>8.7884712219238299</v>
      </c>
      <c r="N629" s="247">
        <v>8.9080095291137695</v>
      </c>
      <c r="O629" s="247">
        <v>9.0072793960571307</v>
      </c>
      <c r="P629" s="247">
        <v>9.0682640075683594</v>
      </c>
      <c r="Q629" s="247">
        <v>9.0415534973144496</v>
      </c>
      <c r="R629" s="247">
        <v>9.1060371398925799</v>
      </c>
      <c r="S629" s="247">
        <v>9.2553215026855504</v>
      </c>
      <c r="T629" s="247">
        <v>9.4607038497924805</v>
      </c>
      <c r="U629" s="247">
        <v>9.6327857971191406</v>
      </c>
      <c r="V629" s="247">
        <v>9.6968526840209996</v>
      </c>
      <c r="W629" s="247">
        <v>9.7728433609008807</v>
      </c>
      <c r="X629" s="247">
        <v>9.8535881042480504</v>
      </c>
      <c r="Y629" s="247">
        <v>9.9786624908447301</v>
      </c>
    </row>
    <row r="630" spans="1:26" x14ac:dyDescent="0.25">
      <c r="A630" s="243" t="s">
        <v>465</v>
      </c>
      <c r="B630" s="247">
        <v>10.0436496734619</v>
      </c>
      <c r="C630" s="247">
        <v>11.266843795776399</v>
      </c>
      <c r="D630" s="247">
        <v>13.0600233078003</v>
      </c>
      <c r="E630" s="247">
        <v>12.5262851715088</v>
      </c>
      <c r="F630" s="247">
        <v>12.207064628601101</v>
      </c>
      <c r="G630" s="247">
        <v>12.234001159668001</v>
      </c>
      <c r="H630" s="247">
        <v>12.201937675476101</v>
      </c>
      <c r="I630" s="247">
        <v>12.2015285491943</v>
      </c>
      <c r="J630" s="247">
        <v>12.262092590331999</v>
      </c>
      <c r="K630" s="247">
        <v>12.1512393951416</v>
      </c>
      <c r="L630" s="247">
        <v>12.1732091903687</v>
      </c>
      <c r="M630" s="247">
        <v>12.1968584060669</v>
      </c>
      <c r="N630" s="247">
        <v>12.177050590515099</v>
      </c>
      <c r="O630" s="247">
        <v>12.2115392684937</v>
      </c>
      <c r="P630" s="247">
        <v>12.3804988861084</v>
      </c>
      <c r="Q630" s="247">
        <v>12.519121170043899</v>
      </c>
      <c r="R630" s="247">
        <v>12.6585578918457</v>
      </c>
      <c r="S630" s="247">
        <v>12.798875808715801</v>
      </c>
      <c r="T630" s="247">
        <v>12.8676557540894</v>
      </c>
      <c r="U630" s="247">
        <v>13.13560962677</v>
      </c>
      <c r="V630" s="247">
        <v>13.328717231750501</v>
      </c>
      <c r="W630" s="247">
        <v>13.556846618652299</v>
      </c>
      <c r="X630" s="247">
        <v>13.722979545593301</v>
      </c>
      <c r="Y630" s="247">
        <v>13.940701484680201</v>
      </c>
    </row>
    <row r="631" spans="1:26" x14ac:dyDescent="0.25">
      <c r="A631" s="243" t="s">
        <v>466</v>
      </c>
      <c r="B631" s="247">
        <v>8.3698368072509801</v>
      </c>
      <c r="C631" s="247">
        <v>9.5702075958252006</v>
      </c>
      <c r="D631" s="247">
        <v>10.537187576293899</v>
      </c>
      <c r="E631" s="247">
        <v>10.120927810668899</v>
      </c>
      <c r="F631" s="247">
        <v>9.8627185821533203</v>
      </c>
      <c r="G631" s="247">
        <v>9.8399791717529297</v>
      </c>
      <c r="H631" s="247">
        <v>9.8302927017211896</v>
      </c>
      <c r="I631" s="247">
        <v>9.8297405242919904</v>
      </c>
      <c r="J631" s="247">
        <v>9.8252134323120099</v>
      </c>
      <c r="K631" s="247">
        <v>9.7093524932861293</v>
      </c>
      <c r="L631" s="247">
        <v>9.7021694183349592</v>
      </c>
      <c r="M631" s="247">
        <v>9.7383060455322301</v>
      </c>
      <c r="N631" s="247">
        <v>9.80072116851807</v>
      </c>
      <c r="O631" s="247">
        <v>9.7244081497192401</v>
      </c>
      <c r="P631" s="247">
        <v>9.8378829956054705</v>
      </c>
      <c r="Q631" s="247">
        <v>9.8340024948120099</v>
      </c>
      <c r="R631" s="247">
        <v>9.9226865768432599</v>
      </c>
      <c r="S631" s="247">
        <v>10.0213985443115</v>
      </c>
      <c r="T631" s="247">
        <v>10.078977584838899</v>
      </c>
      <c r="U631" s="247">
        <v>10.280327796936</v>
      </c>
      <c r="V631" s="247">
        <v>10.3802833557129</v>
      </c>
      <c r="W631" s="247">
        <v>10.4678192138672</v>
      </c>
      <c r="X631" s="247">
        <v>10.5482635498047</v>
      </c>
      <c r="Y631" s="247">
        <v>10.6469841003418</v>
      </c>
    </row>
    <row r="632" spans="1:26" x14ac:dyDescent="0.25">
      <c r="A632" s="243" t="s">
        <v>467</v>
      </c>
      <c r="B632" s="247">
        <v>12.976583480835</v>
      </c>
      <c r="C632" s="247">
        <v>14.582922935485801</v>
      </c>
      <c r="D632" s="247">
        <v>17.570188522338899</v>
      </c>
      <c r="E632" s="247">
        <v>17.073205947876001</v>
      </c>
      <c r="F632" s="247">
        <v>16.564285278320298</v>
      </c>
      <c r="G632" s="247">
        <v>16.581449508666999</v>
      </c>
      <c r="H632" s="247">
        <v>16.4250888824463</v>
      </c>
      <c r="I632" s="247">
        <v>16.346086502075199</v>
      </c>
      <c r="J632" s="247">
        <v>16.4532871246338</v>
      </c>
      <c r="K632" s="247">
        <v>16.288703918456999</v>
      </c>
      <c r="L632" s="247">
        <v>16.298521041870099</v>
      </c>
      <c r="M632" s="247">
        <v>16.236286163330099</v>
      </c>
      <c r="N632" s="247">
        <v>15.99489402771</v>
      </c>
      <c r="O632" s="247">
        <v>16.1197624206543</v>
      </c>
      <c r="P632" s="247">
        <v>16.286623001098601</v>
      </c>
      <c r="Q632" s="247">
        <v>16.56103515625</v>
      </c>
      <c r="R632" s="247">
        <v>16.690963745117202</v>
      </c>
      <c r="S632" s="247">
        <v>16.804660797119102</v>
      </c>
      <c r="T632" s="247">
        <v>16.7820129394531</v>
      </c>
      <c r="U632" s="247">
        <v>17.028240203857401</v>
      </c>
      <c r="V632" s="247">
        <v>17.2251377105713</v>
      </c>
      <c r="W632" s="247">
        <v>17.515983581543001</v>
      </c>
      <c r="X632" s="247">
        <v>17.670423507690401</v>
      </c>
      <c r="Y632" s="247">
        <v>17.9113578796387</v>
      </c>
    </row>
    <row r="633" spans="1:26" x14ac:dyDescent="0.25">
      <c r="A633" s="243" t="s">
        <v>468</v>
      </c>
      <c r="B633" s="247">
        <v>7.8179483413696298</v>
      </c>
      <c r="C633" s="247">
        <v>9.2187824249267596</v>
      </c>
      <c r="D633" s="247">
        <v>9.9373655319213903</v>
      </c>
      <c r="E633" s="247">
        <v>10.036292076110801</v>
      </c>
      <c r="F633" s="247">
        <v>9.3139858245849592</v>
      </c>
      <c r="G633" s="247">
        <v>8.7959203720092791</v>
      </c>
      <c r="H633" s="247">
        <v>8.3035001754760707</v>
      </c>
      <c r="I633" s="247">
        <v>8.0470056533813494</v>
      </c>
      <c r="J633" s="247">
        <v>7.8287873268127397</v>
      </c>
      <c r="K633" s="247">
        <v>7.7531881332397496</v>
      </c>
      <c r="L633" s="247">
        <v>7.8190288543701199</v>
      </c>
      <c r="M633" s="247">
        <v>7.9488449096679696</v>
      </c>
      <c r="N633" s="247">
        <v>8.1063919067382795</v>
      </c>
      <c r="O633" s="247">
        <v>8.2242641448974592</v>
      </c>
      <c r="P633" s="247">
        <v>8.2648267745971697</v>
      </c>
      <c r="Q633" s="247">
        <v>8.2073183059692401</v>
      </c>
      <c r="R633" s="247">
        <v>8.2647809982299805</v>
      </c>
      <c r="S633" s="247">
        <v>8.4262142181396502</v>
      </c>
      <c r="T633" s="247">
        <v>8.6721630096435494</v>
      </c>
      <c r="U633" s="247">
        <v>8.83197021484375</v>
      </c>
      <c r="V633" s="247">
        <v>8.8790025711059606</v>
      </c>
      <c r="W633" s="247">
        <v>8.93493747711182</v>
      </c>
      <c r="X633" s="247">
        <v>9.0109558105468803</v>
      </c>
      <c r="Y633" s="247">
        <v>9.1305398941040004</v>
      </c>
    </row>
    <row r="634" spans="1:26" x14ac:dyDescent="0.25">
      <c r="A634" s="243" t="s">
        <v>469</v>
      </c>
      <c r="B634" s="247">
        <v>25.222642898559599</v>
      </c>
      <c r="C634" s="247">
        <v>25.415189743041999</v>
      </c>
      <c r="D634" s="247">
        <v>25.1915378570557</v>
      </c>
      <c r="E634" s="247">
        <v>25.148117065429702</v>
      </c>
      <c r="F634" s="247">
        <v>24.4542636871338</v>
      </c>
      <c r="G634" s="247">
        <v>23.578901290893601</v>
      </c>
      <c r="H634" s="247">
        <v>23.091381072998001</v>
      </c>
      <c r="I634" s="247">
        <v>23.1348171234131</v>
      </c>
      <c r="J634" s="247">
        <v>23.120912551879901</v>
      </c>
      <c r="K634" s="247">
        <v>23.118898391723601</v>
      </c>
      <c r="L634" s="247">
        <v>23.2529602050781</v>
      </c>
      <c r="M634" s="247">
        <v>23.4250183105469</v>
      </c>
      <c r="N634" s="247">
        <v>23.684103012085</v>
      </c>
      <c r="O634" s="247">
        <v>23.7079162597656</v>
      </c>
      <c r="P634" s="247">
        <v>23.7613220214844</v>
      </c>
      <c r="Q634" s="247">
        <v>23.722099304199201</v>
      </c>
      <c r="R634" s="247">
        <v>23.8309440612793</v>
      </c>
      <c r="S634" s="247">
        <v>24.013486862182599</v>
      </c>
      <c r="T634" s="247">
        <v>24.267650604248001</v>
      </c>
      <c r="U634" s="247">
        <v>24.4126377105713</v>
      </c>
      <c r="V634" s="247">
        <v>24.3365364074707</v>
      </c>
      <c r="W634" s="247">
        <v>24.2477512359619</v>
      </c>
      <c r="X634" s="247">
        <v>24.2885627746582</v>
      </c>
      <c r="Y634" s="247">
        <v>24.396659851074201</v>
      </c>
    </row>
    <row r="635" spans="1:26" x14ac:dyDescent="0.25">
      <c r="A635" s="243" t="s">
        <v>430</v>
      </c>
      <c r="B635" s="247" t="s">
        <v>430</v>
      </c>
      <c r="C635" s="247" t="s">
        <v>430</v>
      </c>
      <c r="D635" s="247" t="s">
        <v>430</v>
      </c>
      <c r="E635" s="247" t="s">
        <v>430</v>
      </c>
      <c r="F635" s="247" t="s">
        <v>430</v>
      </c>
      <c r="G635" s="247" t="s">
        <v>430</v>
      </c>
      <c r="H635" s="247" t="s">
        <v>430</v>
      </c>
      <c r="I635" s="247" t="s">
        <v>430</v>
      </c>
      <c r="J635" s="247" t="s">
        <v>430</v>
      </c>
      <c r="K635" s="247" t="s">
        <v>430</v>
      </c>
      <c r="L635" s="247" t="s">
        <v>430</v>
      </c>
      <c r="M635" s="247" t="s">
        <v>430</v>
      </c>
      <c r="N635" s="247" t="s">
        <v>430</v>
      </c>
      <c r="O635" s="247" t="s">
        <v>430</v>
      </c>
      <c r="P635" s="247" t="s">
        <v>430</v>
      </c>
      <c r="Q635" s="247" t="s">
        <v>430</v>
      </c>
      <c r="R635" s="247" t="s">
        <v>430</v>
      </c>
      <c r="S635" s="247" t="s">
        <v>430</v>
      </c>
      <c r="T635" s="247" t="s">
        <v>430</v>
      </c>
      <c r="U635" s="247" t="s">
        <v>430</v>
      </c>
      <c r="V635" s="247" t="s">
        <v>430</v>
      </c>
      <c r="W635" s="247" t="s">
        <v>430</v>
      </c>
      <c r="X635" s="247" t="s">
        <v>430</v>
      </c>
      <c r="Y635" s="247" t="s">
        <v>430</v>
      </c>
    </row>
    <row r="636" spans="1:26" x14ac:dyDescent="0.25">
      <c r="A636" s="243" t="s">
        <v>470</v>
      </c>
      <c r="B636" s="247">
        <v>15.064169883728001</v>
      </c>
      <c r="C636" s="247">
        <v>15.629265785217299</v>
      </c>
      <c r="D636" s="247">
        <v>15.835695266723601</v>
      </c>
      <c r="E636" s="247">
        <v>15.918652534484901</v>
      </c>
      <c r="F636" s="247">
        <v>15.2065124511719</v>
      </c>
      <c r="G636" s="247">
        <v>14.526217460632299</v>
      </c>
      <c r="H636" s="247">
        <v>14.119109153747599</v>
      </c>
      <c r="I636" s="247">
        <v>14.0872592926025</v>
      </c>
      <c r="J636" s="247">
        <v>14.0534925460815</v>
      </c>
      <c r="K636" s="247">
        <v>14.108097076416</v>
      </c>
      <c r="L636" s="247">
        <v>14.338217735290501</v>
      </c>
      <c r="M636" s="247">
        <v>14.584888458251999</v>
      </c>
      <c r="N636" s="247">
        <v>14.9309749603271</v>
      </c>
      <c r="O636" s="247">
        <v>15.096228599548301</v>
      </c>
      <c r="P636" s="247">
        <v>15.2413949966431</v>
      </c>
      <c r="Q636" s="247">
        <v>15.255002975463899</v>
      </c>
      <c r="R636" s="247">
        <v>15.399823188781699</v>
      </c>
      <c r="S636" s="247">
        <v>15.6329202651978</v>
      </c>
      <c r="T636" s="247">
        <v>15.9477081298828</v>
      </c>
      <c r="U636" s="247">
        <v>16.179660797119102</v>
      </c>
      <c r="V636" s="247">
        <v>16.227045059204102</v>
      </c>
      <c r="W636" s="247">
        <v>16.249193191528299</v>
      </c>
      <c r="X636" s="247">
        <v>16.367641448974599</v>
      </c>
      <c r="Y636" s="247">
        <v>16.5326118469238</v>
      </c>
    </row>
    <row r="637" spans="1:26" x14ac:dyDescent="0.25">
      <c r="A637" s="243" t="s">
        <v>464</v>
      </c>
      <c r="B637" s="247">
        <v>6.5697088241577104</v>
      </c>
      <c r="C637" s="247">
        <v>7.9157042503356898</v>
      </c>
      <c r="D637" s="247">
        <v>8.3734045028686506</v>
      </c>
      <c r="E637" s="247">
        <v>8.3685989379882795</v>
      </c>
      <c r="F637" s="247">
        <v>7.9054894447326696</v>
      </c>
      <c r="G637" s="247">
        <v>7.6067800521850604</v>
      </c>
      <c r="H637" s="247">
        <v>7.3189792633056596</v>
      </c>
      <c r="I637" s="247">
        <v>7.2159371376037598</v>
      </c>
      <c r="J637" s="247">
        <v>7.1498117446899396</v>
      </c>
      <c r="K637" s="247">
        <v>7.1872353553771999</v>
      </c>
      <c r="L637" s="247">
        <v>7.2290387153625497</v>
      </c>
      <c r="M637" s="247">
        <v>7.30631303787231</v>
      </c>
      <c r="N637" s="247">
        <v>7.4108529090881303</v>
      </c>
      <c r="O637" s="247">
        <v>7.4683656692504901</v>
      </c>
      <c r="P637" s="247">
        <v>7.4930505752563503</v>
      </c>
      <c r="Q637" s="247">
        <v>7.43192434310913</v>
      </c>
      <c r="R637" s="247">
        <v>7.4779849052429199</v>
      </c>
      <c r="S637" s="247">
        <v>7.60019826889038</v>
      </c>
      <c r="T637" s="247">
        <v>7.7867598533630398</v>
      </c>
      <c r="U637" s="247">
        <v>7.91162109375</v>
      </c>
      <c r="V637" s="247">
        <v>7.9430484771728498</v>
      </c>
      <c r="W637" s="247">
        <v>7.9890594482421902</v>
      </c>
      <c r="X637" s="247">
        <v>8.0587644577026403</v>
      </c>
      <c r="Y637" s="247">
        <v>8.1779403686523402</v>
      </c>
    </row>
    <row r="638" spans="1:26" x14ac:dyDescent="0.25">
      <c r="A638" s="243" t="s">
        <v>465</v>
      </c>
      <c r="B638" s="247">
        <v>6.9482707977294904</v>
      </c>
      <c r="C638" s="247">
        <v>8.0266513824462908</v>
      </c>
      <c r="D638" s="247">
        <v>8.9197740554809606</v>
      </c>
      <c r="E638" s="247">
        <v>8.6532411575317401</v>
      </c>
      <c r="F638" s="247">
        <v>8.7558631896972692</v>
      </c>
      <c r="G638" s="247">
        <v>8.8328323364257795</v>
      </c>
      <c r="H638" s="247">
        <v>8.8167963027954102</v>
      </c>
      <c r="I638" s="247">
        <v>8.8182945251464808</v>
      </c>
      <c r="J638" s="247">
        <v>8.8873138427734393</v>
      </c>
      <c r="K638" s="247">
        <v>8.9125509262084996</v>
      </c>
      <c r="L638" s="247">
        <v>8.9192247390747106</v>
      </c>
      <c r="M638" s="247">
        <v>8.8803482055664098</v>
      </c>
      <c r="N638" s="247">
        <v>8.8586578369140607</v>
      </c>
      <c r="O638" s="247">
        <v>8.7692289352416992</v>
      </c>
      <c r="P638" s="247">
        <v>8.7682600021362305</v>
      </c>
      <c r="Q638" s="247">
        <v>8.7373514175415004</v>
      </c>
      <c r="R638" s="247">
        <v>8.7862501144409197</v>
      </c>
      <c r="S638" s="247">
        <v>8.8491783142089808</v>
      </c>
      <c r="T638" s="247">
        <v>8.8908815383911097</v>
      </c>
      <c r="U638" s="247">
        <v>9.0514831542968803</v>
      </c>
      <c r="V638" s="247">
        <v>9.1475715637206996</v>
      </c>
      <c r="W638" s="247">
        <v>9.2663307189941406</v>
      </c>
      <c r="X638" s="247">
        <v>9.3906812667846697</v>
      </c>
      <c r="Y638" s="247">
        <v>9.6513500213622994</v>
      </c>
    </row>
    <row r="639" spans="1:26" x14ac:dyDescent="0.25">
      <c r="A639" s="243" t="s">
        <v>466</v>
      </c>
      <c r="B639" s="247">
        <v>6.1493649482727104</v>
      </c>
      <c r="C639" s="247">
        <v>7.03082323074341</v>
      </c>
      <c r="D639" s="247">
        <v>7.7272830009460396</v>
      </c>
      <c r="E639" s="247">
        <v>7.4210705757141104</v>
      </c>
      <c r="F639" s="247">
        <v>7.6805524826049796</v>
      </c>
      <c r="G639" s="247">
        <v>7.8215904235839799</v>
      </c>
      <c r="H639" s="247">
        <v>7.8266153335571298</v>
      </c>
      <c r="I639" s="247">
        <v>7.8668313026428196</v>
      </c>
      <c r="J639" s="247">
        <v>7.9658513069152797</v>
      </c>
      <c r="K639" s="247">
        <v>8.0328092575073207</v>
      </c>
      <c r="L639" s="247">
        <v>8.0569534301757795</v>
      </c>
      <c r="M639" s="247">
        <v>8.0234899520874006</v>
      </c>
      <c r="N639" s="247">
        <v>8.0314903259277308</v>
      </c>
      <c r="O639" s="247">
        <v>7.91062688827515</v>
      </c>
      <c r="P639" s="247">
        <v>7.8695487976074201</v>
      </c>
      <c r="Q639" s="247">
        <v>7.7933855056762704</v>
      </c>
      <c r="R639" s="247">
        <v>7.8344025611877397</v>
      </c>
      <c r="S639" s="247">
        <v>7.89571285247803</v>
      </c>
      <c r="T639" s="247">
        <v>7.9562859535217303</v>
      </c>
      <c r="U639" s="247">
        <v>8.1191616058349592</v>
      </c>
      <c r="V639" s="247">
        <v>8.2043952941894496</v>
      </c>
      <c r="W639" s="247">
        <v>8.3111848831176793</v>
      </c>
      <c r="X639" s="247">
        <v>8.4434480667114293</v>
      </c>
      <c r="Y639" s="247">
        <v>8.7515277862548793</v>
      </c>
    </row>
    <row r="640" spans="1:26" x14ac:dyDescent="0.25">
      <c r="A640" s="243" t="s">
        <v>471</v>
      </c>
      <c r="B640" s="247">
        <v>4.2683343887329102</v>
      </c>
      <c r="C640" s="247">
        <v>4.9646224975585902</v>
      </c>
      <c r="D640" s="247">
        <v>5.0606441497802699</v>
      </c>
      <c r="E640" s="247">
        <v>5.3499693870544398</v>
      </c>
      <c r="F640" s="247">
        <v>5.6657009124755904</v>
      </c>
      <c r="G640" s="247">
        <v>5.6566004753112802</v>
      </c>
      <c r="H640" s="247">
        <v>5.6533966064453098</v>
      </c>
      <c r="I640" s="247">
        <v>5.65053033828735</v>
      </c>
      <c r="J640" s="247">
        <v>5.6487455368042001</v>
      </c>
      <c r="K640" s="247">
        <v>5.6555466651916504</v>
      </c>
      <c r="L640" s="247">
        <v>5.6602473258972203</v>
      </c>
      <c r="M640" s="247">
        <v>5.6679368019104004</v>
      </c>
      <c r="N640" s="247">
        <v>5.6729874610900897</v>
      </c>
      <c r="O640" s="247">
        <v>5.6782984733581499</v>
      </c>
      <c r="P640" s="247">
        <v>5.7556295394897496</v>
      </c>
      <c r="Q640" s="247">
        <v>5.8296666145324698</v>
      </c>
      <c r="R640" s="247">
        <v>5.9058866500854501</v>
      </c>
      <c r="S640" s="247">
        <v>5.9829258918762198</v>
      </c>
      <c r="T640" s="247">
        <v>6.0580596923828098</v>
      </c>
      <c r="U640" s="247">
        <v>6.1354246139526403</v>
      </c>
      <c r="V640" s="247">
        <v>6.2122497558593803</v>
      </c>
      <c r="W640" s="247">
        <v>6.2891340255737296</v>
      </c>
      <c r="X640" s="247">
        <v>6.3645572662353498</v>
      </c>
      <c r="Y640" s="247">
        <v>6.4413762092590297</v>
      </c>
    </row>
    <row r="641" spans="1:26" x14ac:dyDescent="0.25">
      <c r="A641" s="268" t="s">
        <v>468</v>
      </c>
      <c r="B641" s="247">
        <v>6.6170339584350604</v>
      </c>
      <c r="C641" s="247">
        <v>8.0769119262695295</v>
      </c>
      <c r="D641" s="247">
        <v>8.4473829269409197</v>
      </c>
      <c r="E641" s="247">
        <v>8.5046024322509801</v>
      </c>
      <c r="F641" s="247">
        <v>7.8886041641235396</v>
      </c>
      <c r="G641" s="247">
        <v>7.4893965721130398</v>
      </c>
      <c r="H641" s="247">
        <v>7.1298856735229501</v>
      </c>
      <c r="I641" s="247">
        <v>7.0003471374511701</v>
      </c>
      <c r="J641" s="247">
        <v>6.9035739898681596</v>
      </c>
      <c r="K641" s="247">
        <v>6.94567918777466</v>
      </c>
      <c r="L641" s="247">
        <v>6.9973711967468297</v>
      </c>
      <c r="M641" s="247">
        <v>7.1022868156433097</v>
      </c>
      <c r="N641" s="247">
        <v>7.2368607521057102</v>
      </c>
      <c r="O641" s="247">
        <v>7.3275256156921396</v>
      </c>
      <c r="P641" s="247">
        <v>7.3574790954589799</v>
      </c>
      <c r="Q641" s="247">
        <v>7.2871475219726598</v>
      </c>
      <c r="R641" s="247">
        <v>7.3330197334289604</v>
      </c>
      <c r="S641" s="247">
        <v>7.4703903198242196</v>
      </c>
      <c r="T641" s="247">
        <v>7.6915035247802699</v>
      </c>
      <c r="U641" s="247">
        <v>7.8109488487243697</v>
      </c>
      <c r="V641" s="247">
        <v>7.8279361724853498</v>
      </c>
      <c r="W641" s="247">
        <v>7.8590941429138201</v>
      </c>
      <c r="X641" s="247">
        <v>7.9183402061462402</v>
      </c>
      <c r="Y641" s="247">
        <v>8.0110416412353498</v>
      </c>
      <c r="Z641" s="277">
        <f>Y641+($AI$471-$Y$641)/10</f>
        <v>8.0591226890564176</v>
      </c>
    </row>
    <row r="642" spans="1:26" x14ac:dyDescent="0.25">
      <c r="A642" s="270" t="s">
        <v>469</v>
      </c>
      <c r="B642" s="247">
        <v>23.353584289550799</v>
      </c>
      <c r="C642" s="247">
        <v>23.2374382019043</v>
      </c>
      <c r="D642" s="247">
        <v>23.0424194335938</v>
      </c>
      <c r="E642" s="247">
        <v>22.939121246337901</v>
      </c>
      <c r="F642" s="247">
        <v>21.907506942748999</v>
      </c>
      <c r="G642" s="247">
        <v>20.807579040527301</v>
      </c>
      <c r="H642" s="247">
        <v>20.2319431304932</v>
      </c>
      <c r="I642" s="247">
        <v>20.2009677886963</v>
      </c>
      <c r="J642" s="247">
        <v>20.132976531982401</v>
      </c>
      <c r="K642" s="247">
        <v>20.128959655761701</v>
      </c>
      <c r="L642" s="247">
        <v>20.445728302001999</v>
      </c>
      <c r="M642" s="247">
        <v>20.757715225219702</v>
      </c>
      <c r="N642" s="247">
        <v>21.231256484985401</v>
      </c>
      <c r="O642" s="247">
        <v>21.404373168945298</v>
      </c>
      <c r="P642" s="247">
        <v>21.571121215820298</v>
      </c>
      <c r="Q642" s="247">
        <v>21.578863143920898</v>
      </c>
      <c r="R642" s="247">
        <v>21.739751815795898</v>
      </c>
      <c r="S642" s="247">
        <v>21.989313125610401</v>
      </c>
      <c r="T642" s="247">
        <v>22.322486877441399</v>
      </c>
      <c r="U642" s="247">
        <v>22.5522785186768</v>
      </c>
      <c r="V642" s="247">
        <v>22.5369548797607</v>
      </c>
      <c r="W642" s="247">
        <v>22.469936370849599</v>
      </c>
      <c r="X642" s="247">
        <v>22.555665969848601</v>
      </c>
      <c r="Y642" s="247">
        <v>22.682601928710898</v>
      </c>
      <c r="Z642" s="279">
        <f>Y642+($AI$472-$Y$642)/10</f>
        <v>22.586698480675594</v>
      </c>
    </row>
    <row r="643" spans="1:26" x14ac:dyDescent="0.25">
      <c r="A643" s="243" t="s">
        <v>430</v>
      </c>
      <c r="B643" s="247" t="s">
        <v>430</v>
      </c>
      <c r="C643" s="247" t="s">
        <v>430</v>
      </c>
      <c r="D643" s="247" t="s">
        <v>430</v>
      </c>
      <c r="E643" s="247" t="s">
        <v>430</v>
      </c>
      <c r="F643" s="247" t="s">
        <v>430</v>
      </c>
      <c r="G643" s="247" t="s">
        <v>430</v>
      </c>
      <c r="H643" s="247" t="s">
        <v>430</v>
      </c>
      <c r="I643" s="247" t="s">
        <v>430</v>
      </c>
      <c r="J643" s="247" t="s">
        <v>430</v>
      </c>
      <c r="K643" s="247" t="s">
        <v>430</v>
      </c>
      <c r="L643" s="247" t="s">
        <v>430</v>
      </c>
      <c r="M643" s="247" t="s">
        <v>430</v>
      </c>
      <c r="N643" s="247" t="s">
        <v>430</v>
      </c>
      <c r="O643" s="247" t="s">
        <v>430</v>
      </c>
      <c r="P643" s="247" t="s">
        <v>430</v>
      </c>
      <c r="Q643" s="247" t="s">
        <v>430</v>
      </c>
      <c r="R643" s="247" t="s">
        <v>430</v>
      </c>
      <c r="S643" s="247" t="s">
        <v>430</v>
      </c>
      <c r="T643" s="247" t="s">
        <v>430</v>
      </c>
      <c r="U643" s="247" t="s">
        <v>430</v>
      </c>
      <c r="V643" s="247" t="s">
        <v>430</v>
      </c>
      <c r="W643" s="247" t="s">
        <v>430</v>
      </c>
      <c r="X643" s="247" t="s">
        <v>430</v>
      </c>
      <c r="Y643" s="247" t="s">
        <v>430</v>
      </c>
    </row>
    <row r="644" spans="1:26" x14ac:dyDescent="0.25">
      <c r="A644" s="243" t="s">
        <v>472</v>
      </c>
      <c r="B644" s="247">
        <v>6.3922061920165998</v>
      </c>
      <c r="C644" s="247">
        <v>7.7839651107788104</v>
      </c>
      <c r="D644" s="247">
        <v>8.7313165664672905</v>
      </c>
      <c r="E644" s="247">
        <v>8.5384979248046893</v>
      </c>
      <c r="F644" s="247">
        <v>8.1135501861572301</v>
      </c>
      <c r="G644" s="247">
        <v>7.8849329948425302</v>
      </c>
      <c r="H644" s="247">
        <v>7.7104330062866202</v>
      </c>
      <c r="I644" s="247">
        <v>7.6478543281555202</v>
      </c>
      <c r="J644" s="247">
        <v>7.5814275741577104</v>
      </c>
      <c r="K644" s="247">
        <v>7.5381202697753897</v>
      </c>
      <c r="L644" s="247">
        <v>7.5780467987060502</v>
      </c>
      <c r="M644" s="247">
        <v>7.6416735649108896</v>
      </c>
      <c r="N644" s="247">
        <v>7.7132387161254901</v>
      </c>
      <c r="O644" s="247">
        <v>7.8013410568237296</v>
      </c>
      <c r="P644" s="247">
        <v>7.8755207061767596</v>
      </c>
      <c r="Q644" s="247">
        <v>7.9062352180481001</v>
      </c>
      <c r="R644" s="247">
        <v>7.9948873519897496</v>
      </c>
      <c r="S644" s="247">
        <v>8.1163215637206996</v>
      </c>
      <c r="T644" s="247">
        <v>8.2487821578979492</v>
      </c>
      <c r="U644" s="247">
        <v>8.4059162139892596</v>
      </c>
      <c r="V644" s="247">
        <v>8.4608268737793004</v>
      </c>
      <c r="W644" s="247">
        <v>8.5343141555786097</v>
      </c>
      <c r="X644" s="247">
        <v>8.6114902496337908</v>
      </c>
      <c r="Y644" s="247">
        <v>8.7719221115112305</v>
      </c>
    </row>
    <row r="645" spans="1:26" x14ac:dyDescent="0.25">
      <c r="A645" s="243" t="s">
        <v>473</v>
      </c>
      <c r="B645" s="247">
        <v>4.9298634529113796</v>
      </c>
      <c r="C645" s="247">
        <v>6.4939708709716797</v>
      </c>
      <c r="D645" s="247">
        <v>7.4592781066894496</v>
      </c>
      <c r="E645" s="247">
        <v>7.2447438240051296</v>
      </c>
      <c r="F645" s="247">
        <v>6.84521436691284</v>
      </c>
      <c r="G645" s="247">
        <v>6.6732459068298304</v>
      </c>
      <c r="H645" s="247">
        <v>6.51676225662231</v>
      </c>
      <c r="I645" s="247">
        <v>6.4484291076660201</v>
      </c>
      <c r="J645" s="247">
        <v>6.3966798782348597</v>
      </c>
      <c r="K645" s="247">
        <v>6.3644347190856898</v>
      </c>
      <c r="L645" s="247">
        <v>6.3782010078430202</v>
      </c>
      <c r="M645" s="247">
        <v>6.3993859291076696</v>
      </c>
      <c r="N645" s="247">
        <v>6.4120607376098597</v>
      </c>
      <c r="O645" s="247">
        <v>6.4825568199157697</v>
      </c>
      <c r="P645" s="247">
        <v>6.5450062751770002</v>
      </c>
      <c r="Q645" s="247">
        <v>6.5706739425659197</v>
      </c>
      <c r="R645" s="247">
        <v>6.6389350891113299</v>
      </c>
      <c r="S645" s="247">
        <v>6.7355680465698198</v>
      </c>
      <c r="T645" s="247">
        <v>6.8303794860839799</v>
      </c>
      <c r="U645" s="247">
        <v>6.9826822280883798</v>
      </c>
      <c r="V645" s="247">
        <v>7.0502834320068404</v>
      </c>
      <c r="W645" s="247">
        <v>7.1402068138122603</v>
      </c>
      <c r="X645" s="247">
        <v>7.2155933380126998</v>
      </c>
      <c r="Y645" s="247">
        <v>7.3827753067016602</v>
      </c>
    </row>
    <row r="646" spans="1:26" x14ac:dyDescent="0.25">
      <c r="A646" s="243" t="s">
        <v>465</v>
      </c>
      <c r="B646" s="247">
        <v>6.5291514396667498</v>
      </c>
      <c r="C646" s="247">
        <v>8.2850980758666992</v>
      </c>
      <c r="D646" s="247">
        <v>9.8001213073730504</v>
      </c>
      <c r="E646" s="247">
        <v>9.3321943283081108</v>
      </c>
      <c r="F646" s="247">
        <v>9.0226831436157209</v>
      </c>
      <c r="G646" s="247">
        <v>9.0089912414550799</v>
      </c>
      <c r="H646" s="247">
        <v>8.9738616943359393</v>
      </c>
      <c r="I646" s="247">
        <v>8.8902368545532209</v>
      </c>
      <c r="J646" s="247">
        <v>8.9552536010742205</v>
      </c>
      <c r="K646" s="247">
        <v>8.9079008102416992</v>
      </c>
      <c r="L646" s="247">
        <v>8.89520359039307</v>
      </c>
      <c r="M646" s="247">
        <v>8.8468990325927699</v>
      </c>
      <c r="N646" s="247">
        <v>8.7482786178588903</v>
      </c>
      <c r="O646" s="247">
        <v>8.7885036468505895</v>
      </c>
      <c r="P646" s="247">
        <v>8.8624305725097692</v>
      </c>
      <c r="Q646" s="247">
        <v>8.9473028182983398</v>
      </c>
      <c r="R646" s="247">
        <v>9.0262336730956996</v>
      </c>
      <c r="S646" s="247">
        <v>9.1055555343627894</v>
      </c>
      <c r="T646" s="247">
        <v>9.0882310867309606</v>
      </c>
      <c r="U646" s="247">
        <v>9.3312444686889595</v>
      </c>
      <c r="V646" s="247">
        <v>9.4788913726806605</v>
      </c>
      <c r="W646" s="247">
        <v>9.6528720855712908</v>
      </c>
      <c r="X646" s="247">
        <v>9.7811794281005895</v>
      </c>
      <c r="Y646" s="247">
        <v>10.0579071044922</v>
      </c>
    </row>
    <row r="647" spans="1:26" x14ac:dyDescent="0.25">
      <c r="A647" s="243" t="s">
        <v>466</v>
      </c>
      <c r="B647" s="247">
        <v>6.3323707580566397</v>
      </c>
      <c r="C647" s="247">
        <v>7.2384452819824201</v>
      </c>
      <c r="D647" s="247">
        <v>7.96527099609375</v>
      </c>
      <c r="E647" s="247">
        <v>7.6527161598205602</v>
      </c>
      <c r="F647" s="247">
        <v>7.9603652954101598</v>
      </c>
      <c r="G647" s="247">
        <v>8.0741472244262695</v>
      </c>
      <c r="H647" s="247">
        <v>8.2605934143066406</v>
      </c>
      <c r="I647" s="247">
        <v>8.3100318908691406</v>
      </c>
      <c r="J647" s="247">
        <v>8.4493141174316406</v>
      </c>
      <c r="K647" s="247">
        <v>8.8189620971679705</v>
      </c>
      <c r="L647" s="247">
        <v>8.8862495422363299</v>
      </c>
      <c r="M647" s="247">
        <v>8.8418188095092791</v>
      </c>
      <c r="N647" s="247">
        <v>8.8337812423706108</v>
      </c>
      <c r="O647" s="247">
        <v>8.6748180389404297</v>
      </c>
      <c r="P647" s="247">
        <v>8.5509977340698207</v>
      </c>
      <c r="Q647" s="247">
        <v>8.4207677841186506</v>
      </c>
      <c r="R647" s="247">
        <v>8.4376201629638707</v>
      </c>
      <c r="S647" s="247">
        <v>8.4841489791870099</v>
      </c>
      <c r="T647" s="247">
        <v>8.5509052276611293</v>
      </c>
      <c r="U647" s="247">
        <v>8.6700105667114293</v>
      </c>
      <c r="V647" s="247">
        <v>8.74859523773193</v>
      </c>
      <c r="W647" s="247">
        <v>8.8432664871215803</v>
      </c>
      <c r="X647" s="247">
        <v>9.0058250427246094</v>
      </c>
      <c r="Y647" s="247">
        <v>9.3929624557495099</v>
      </c>
    </row>
    <row r="648" spans="1:26" x14ac:dyDescent="0.25">
      <c r="A648" s="243" t="s">
        <v>467</v>
      </c>
      <c r="B648" s="247">
        <v>8.4833917617797905</v>
      </c>
      <c r="C648" s="247">
        <v>12.566796302795399</v>
      </c>
      <c r="D648" s="247">
        <v>15.1471004486084</v>
      </c>
      <c r="E648" s="247">
        <v>13.237501144409199</v>
      </c>
      <c r="F648" s="247">
        <v>12.375891685485801</v>
      </c>
      <c r="G648" s="247">
        <v>12.379506111145</v>
      </c>
      <c r="H648" s="247">
        <v>12.2225999832153</v>
      </c>
      <c r="I648" s="247">
        <v>12.080751419067401</v>
      </c>
      <c r="J648" s="247">
        <v>12.212836265564</v>
      </c>
      <c r="K648" s="247">
        <v>12.0270395278931</v>
      </c>
      <c r="L648" s="247">
        <v>11.9549217224121</v>
      </c>
      <c r="M648" s="247">
        <v>11.879666328430201</v>
      </c>
      <c r="N648" s="247">
        <v>11.6303720474243</v>
      </c>
      <c r="O648" s="247">
        <v>11.7905416488647</v>
      </c>
      <c r="P648" s="247">
        <v>11.941043853759799</v>
      </c>
      <c r="Q648" s="247">
        <v>12.1426992416382</v>
      </c>
      <c r="R648" s="247">
        <v>12.289721488952599</v>
      </c>
      <c r="S648" s="247">
        <v>12.378883361816399</v>
      </c>
      <c r="T648" s="247">
        <v>12.2595558166504</v>
      </c>
      <c r="U648" s="247">
        <v>12.590350151061999</v>
      </c>
      <c r="V648" s="247">
        <v>12.7815389633179</v>
      </c>
      <c r="W648" s="247">
        <v>12.973883628845201</v>
      </c>
      <c r="X648" s="247">
        <v>13.0949363708496</v>
      </c>
      <c r="Y648" s="247">
        <v>13.367587089538601</v>
      </c>
    </row>
    <row r="649" spans="1:26" x14ac:dyDescent="0.25">
      <c r="A649" s="243" t="s">
        <v>471</v>
      </c>
      <c r="B649" s="247">
        <v>3.9384419918060298</v>
      </c>
      <c r="C649" s="247">
        <v>4.5867881774902299</v>
      </c>
      <c r="D649" s="247">
        <v>4.6800308227539098</v>
      </c>
      <c r="E649" s="247">
        <v>4.9388952255248997</v>
      </c>
      <c r="F649" s="247">
        <v>5.2859730720520002</v>
      </c>
      <c r="G649" s="247">
        <v>5.2723593711853001</v>
      </c>
      <c r="H649" s="247">
        <v>5.2104086875915501</v>
      </c>
      <c r="I649" s="247">
        <v>5.1732821464538601</v>
      </c>
      <c r="J649" s="247">
        <v>5.1717634201049796</v>
      </c>
      <c r="K649" s="247">
        <v>5.17871141433716</v>
      </c>
      <c r="L649" s="247">
        <v>5.1878075599670401</v>
      </c>
      <c r="M649" s="247">
        <v>5.1966009140014604</v>
      </c>
      <c r="N649" s="247">
        <v>5.2060360908508301</v>
      </c>
      <c r="O649" s="247">
        <v>5.2088470458984402</v>
      </c>
      <c r="P649" s="247">
        <v>5.2896075248718297</v>
      </c>
      <c r="Q649" s="247">
        <v>5.3583388328552202</v>
      </c>
      <c r="R649" s="247">
        <v>5.44156694412231</v>
      </c>
      <c r="S649" s="247">
        <v>5.5192761421203604</v>
      </c>
      <c r="T649" s="247">
        <v>5.5953726768493697</v>
      </c>
      <c r="U649" s="247">
        <v>5.6724872589111301</v>
      </c>
      <c r="V649" s="247">
        <v>5.7441039085388201</v>
      </c>
      <c r="W649" s="247">
        <v>5.8200716972351101</v>
      </c>
      <c r="X649" s="247">
        <v>5.9009070396423304</v>
      </c>
      <c r="Y649" s="247">
        <v>5.9898118972778303</v>
      </c>
    </row>
    <row r="650" spans="1:26" x14ac:dyDescent="0.25">
      <c r="A650" s="268" t="s">
        <v>474</v>
      </c>
      <c r="B650" s="247">
        <v>3.88655662536621</v>
      </c>
      <c r="C650" s="247">
        <v>5.55936574935913</v>
      </c>
      <c r="D650" s="247">
        <v>6.0491261482238796</v>
      </c>
      <c r="E650" s="247">
        <v>6.0771641731262198</v>
      </c>
      <c r="F650" s="247">
        <v>5.4298515319824201</v>
      </c>
      <c r="G650" s="247">
        <v>5.0030980110168501</v>
      </c>
      <c r="H650" s="247">
        <v>4.6280007362365696</v>
      </c>
      <c r="I650" s="247">
        <v>4.5291852951049796</v>
      </c>
      <c r="J650" s="247">
        <v>4.41147708892822</v>
      </c>
      <c r="K650" s="247">
        <v>4.4342226982116699</v>
      </c>
      <c r="L650" s="247">
        <v>4.4864263534545898</v>
      </c>
      <c r="M650" s="247">
        <v>4.5912823677062997</v>
      </c>
      <c r="N650" s="247">
        <v>4.7218933105468803</v>
      </c>
      <c r="O650" s="247">
        <v>4.8130536079406703</v>
      </c>
      <c r="P650" s="247">
        <v>4.8621869087219203</v>
      </c>
      <c r="Q650" s="247">
        <v>4.81842041015625</v>
      </c>
      <c r="R650" s="247">
        <v>4.8841061592102104</v>
      </c>
      <c r="S650" s="247">
        <v>5.0232949256896999</v>
      </c>
      <c r="T650" s="247">
        <v>5.2583932876586896</v>
      </c>
      <c r="U650" s="247">
        <v>5.3567323684692401</v>
      </c>
      <c r="V650" s="247">
        <v>5.3575921058654803</v>
      </c>
      <c r="W650" s="247">
        <v>5.37701320648193</v>
      </c>
      <c r="X650" s="247">
        <v>5.4306664466857901</v>
      </c>
      <c r="Y650" s="247">
        <v>5.5327925682067898</v>
      </c>
      <c r="Z650" s="277">
        <f>Y650+($AI$480-$Y$650)/10</f>
        <v>5.5600694801614594</v>
      </c>
    </row>
    <row r="651" spans="1:26" x14ac:dyDescent="0.25">
      <c r="A651" s="243" t="s">
        <v>475</v>
      </c>
      <c r="B651" s="247">
        <v>1.88388228416443</v>
      </c>
      <c r="C651" s="247">
        <v>1.8499996662139899</v>
      </c>
      <c r="D651" s="247">
        <v>1.9633457660675</v>
      </c>
      <c r="E651" s="247">
        <v>1.8999761343002299</v>
      </c>
      <c r="F651" s="247">
        <v>1.88347840309143</v>
      </c>
      <c r="G651" s="247">
        <v>1.8588999509811399</v>
      </c>
      <c r="H651" s="247">
        <v>1.8578026294708301</v>
      </c>
      <c r="I651" s="247">
        <v>1.85227739810944</v>
      </c>
      <c r="J651" s="247">
        <v>1.8239538669586199</v>
      </c>
      <c r="K651" s="247">
        <v>1.79700314998627</v>
      </c>
      <c r="L651" s="247">
        <v>1.78184306621552</v>
      </c>
      <c r="M651" s="247">
        <v>1.7756989002227801</v>
      </c>
      <c r="N651" s="247">
        <v>1.77074086666107</v>
      </c>
      <c r="O651" s="247">
        <v>1.7668309211730999</v>
      </c>
      <c r="P651" s="247">
        <v>1.7627635002136199</v>
      </c>
      <c r="Q651" s="247">
        <v>1.7565006017684901</v>
      </c>
      <c r="R651" s="247">
        <v>1.75614774227142</v>
      </c>
      <c r="S651" s="247">
        <v>1.7571268081664999</v>
      </c>
      <c r="T651" s="247">
        <v>1.75483202934265</v>
      </c>
      <c r="U651" s="247">
        <v>1.7449706792831401</v>
      </c>
      <c r="V651" s="247">
        <v>1.72660219669342</v>
      </c>
      <c r="W651" s="247">
        <v>1.70969367027283</v>
      </c>
      <c r="X651" s="247">
        <v>1.70006084442139</v>
      </c>
      <c r="Y651" s="247">
        <v>1.6866580247878999</v>
      </c>
    </row>
    <row r="652" spans="1:26" x14ac:dyDescent="0.25">
      <c r="A652" s="243" t="s">
        <v>476</v>
      </c>
      <c r="B652" s="247">
        <v>1.5976041555404701</v>
      </c>
      <c r="C652" s="247">
        <v>1.5543407201767001</v>
      </c>
      <c r="D652" s="247">
        <v>1.5670678615570099</v>
      </c>
      <c r="E652" s="247">
        <v>1.6038056612014799</v>
      </c>
      <c r="F652" s="247">
        <v>1.6009258031845099</v>
      </c>
      <c r="G652" s="247">
        <v>1.58739173412323</v>
      </c>
      <c r="H652" s="247">
        <v>1.58863317966461</v>
      </c>
      <c r="I652" s="247">
        <v>1.5846539735794101</v>
      </c>
      <c r="J652" s="247">
        <v>1.5799860954284699</v>
      </c>
      <c r="K652" s="247">
        <v>1.5764416456222501</v>
      </c>
      <c r="L652" s="247">
        <v>1.5679914951324501</v>
      </c>
      <c r="M652" s="247">
        <v>1.5610833168029801</v>
      </c>
      <c r="N652" s="247">
        <v>1.5600349903106701</v>
      </c>
      <c r="O652" s="247">
        <v>1.56054711341858</v>
      </c>
      <c r="P652" s="247">
        <v>1.56748187541962</v>
      </c>
      <c r="Q652" s="247">
        <v>1.5675091743469201</v>
      </c>
      <c r="R652" s="247">
        <v>1.5641727447509799</v>
      </c>
      <c r="S652" s="247">
        <v>1.5615659952163701</v>
      </c>
      <c r="T652" s="247">
        <v>1.58828938007355</v>
      </c>
      <c r="U652" s="247">
        <v>1.58737933635712</v>
      </c>
      <c r="V652" s="247">
        <v>1.59387278556824</v>
      </c>
      <c r="W652" s="247">
        <v>1.5848928689956701</v>
      </c>
      <c r="X652" s="247">
        <v>1.5860744714736901</v>
      </c>
      <c r="Y652" s="247">
        <v>1.5880702733993499</v>
      </c>
    </row>
    <row r="653" spans="1:26" x14ac:dyDescent="0.25">
      <c r="A653" s="270" t="s">
        <v>469</v>
      </c>
      <c r="B653" s="247">
        <v>14.734835624694799</v>
      </c>
      <c r="C653" s="247">
        <v>15.0261535644531</v>
      </c>
      <c r="D653" s="247">
        <v>15.722662925720201</v>
      </c>
      <c r="E653" s="247">
        <v>15.5983018875122</v>
      </c>
      <c r="F653" s="247">
        <v>15.078427314758301</v>
      </c>
      <c r="G653" s="247">
        <v>14.4692840576172</v>
      </c>
      <c r="H653" s="247">
        <v>14.1632738113403</v>
      </c>
      <c r="I653" s="247">
        <v>14.081834793090801</v>
      </c>
      <c r="J653" s="247">
        <v>13.919806480407701</v>
      </c>
      <c r="K653" s="247">
        <v>13.785112380981399</v>
      </c>
      <c r="L653" s="247">
        <v>13.931169509887701</v>
      </c>
      <c r="M653" s="247">
        <v>14.1889085769653</v>
      </c>
      <c r="N653" s="247">
        <v>14.5255270004272</v>
      </c>
      <c r="O653" s="247">
        <v>14.681715965271</v>
      </c>
      <c r="P653" s="247">
        <v>14.814373970031699</v>
      </c>
      <c r="Q653" s="247">
        <v>14.8553409576416</v>
      </c>
      <c r="R653" s="247">
        <v>15.0255784988403</v>
      </c>
      <c r="S653" s="247">
        <v>15.2628774642944</v>
      </c>
      <c r="T653" s="247">
        <v>15.5799751281738</v>
      </c>
      <c r="U653" s="247">
        <v>15.7510900497437</v>
      </c>
      <c r="V653" s="247">
        <v>15.7371273040771</v>
      </c>
      <c r="W653" s="247">
        <v>15.705772399902299</v>
      </c>
      <c r="X653" s="247">
        <v>15.779216766357401</v>
      </c>
      <c r="Y653" s="247">
        <v>15.8933115005493</v>
      </c>
      <c r="Z653" s="279">
        <f>Y653+($AI$483-$Y$653)/10</f>
        <v>15.820176294068443</v>
      </c>
    </row>
    <row r="654" spans="1:26" x14ac:dyDescent="0.25">
      <c r="A654" s="243" t="s">
        <v>430</v>
      </c>
      <c r="B654" s="247" t="s">
        <v>430</v>
      </c>
      <c r="C654" s="247" t="s">
        <v>430</v>
      </c>
      <c r="D654" s="247" t="s">
        <v>430</v>
      </c>
      <c r="E654" s="247" t="s">
        <v>430</v>
      </c>
      <c r="F654" s="247" t="s">
        <v>430</v>
      </c>
      <c r="G654" s="247" t="s">
        <v>430</v>
      </c>
      <c r="H654" s="247" t="s">
        <v>430</v>
      </c>
      <c r="I654" s="247" t="s">
        <v>430</v>
      </c>
      <c r="J654" s="247" t="s">
        <v>430</v>
      </c>
      <c r="K654" s="247" t="s">
        <v>430</v>
      </c>
      <c r="L654" s="247" t="s">
        <v>430</v>
      </c>
      <c r="M654" s="247" t="s">
        <v>430</v>
      </c>
      <c r="N654" s="247" t="s">
        <v>430</v>
      </c>
      <c r="O654" s="247" t="s">
        <v>430</v>
      </c>
      <c r="P654" s="247" t="s">
        <v>430</v>
      </c>
      <c r="Q654" s="247" t="s">
        <v>430</v>
      </c>
      <c r="R654" s="247" t="s">
        <v>430</v>
      </c>
      <c r="S654" s="247" t="s">
        <v>430</v>
      </c>
      <c r="T654" s="247" t="s">
        <v>430</v>
      </c>
      <c r="U654" s="247" t="s">
        <v>430</v>
      </c>
      <c r="V654" s="247" t="s">
        <v>430</v>
      </c>
      <c r="W654" s="247" t="s">
        <v>430</v>
      </c>
      <c r="X654" s="247" t="s">
        <v>430</v>
      </c>
      <c r="Y654" s="247" t="s">
        <v>430</v>
      </c>
    </row>
    <row r="655" spans="1:26" x14ac:dyDescent="0.25">
      <c r="A655" s="243" t="s">
        <v>477</v>
      </c>
      <c r="B655" s="247">
        <v>10.068477630615201</v>
      </c>
      <c r="C655" s="247">
        <v>11.4567165374756</v>
      </c>
      <c r="D655" s="247">
        <v>12.984992980956999</v>
      </c>
      <c r="E655" s="247">
        <v>12.648449897766101</v>
      </c>
      <c r="F655" s="247">
        <v>12.9899549484253</v>
      </c>
      <c r="G655" s="247">
        <v>12.831539154052701</v>
      </c>
      <c r="H655" s="247">
        <v>12.772025108337401</v>
      </c>
      <c r="I655" s="247">
        <v>12.778377532959</v>
      </c>
      <c r="J655" s="247">
        <v>12.6527404785156</v>
      </c>
      <c r="K655" s="247">
        <v>12.633409500122101</v>
      </c>
      <c r="L655" s="247">
        <v>12.627567291259799</v>
      </c>
      <c r="M655" s="247">
        <v>12.5634212493896</v>
      </c>
      <c r="N655" s="247">
        <v>12.5677394866943</v>
      </c>
      <c r="O655" s="247">
        <v>12.4416351318359</v>
      </c>
      <c r="P655" s="247">
        <v>12.463407516479499</v>
      </c>
      <c r="Q655" s="247">
        <v>12.3592376708984</v>
      </c>
      <c r="R655" s="247">
        <v>12.3700494766235</v>
      </c>
      <c r="S655" s="247">
        <v>12.4214639663696</v>
      </c>
      <c r="T655" s="247">
        <v>12.406385421752899</v>
      </c>
      <c r="U655" s="247">
        <v>12.599157333374</v>
      </c>
      <c r="V655" s="247">
        <v>12.7199811935425</v>
      </c>
      <c r="W655" s="247">
        <v>12.8404388427734</v>
      </c>
      <c r="X655" s="247">
        <v>12.9761352539063</v>
      </c>
      <c r="Y655" s="247">
        <v>13.180356025695801</v>
      </c>
    </row>
    <row r="656" spans="1:26" x14ac:dyDescent="0.25">
      <c r="A656" s="243" t="s">
        <v>473</v>
      </c>
      <c r="B656" s="247">
        <v>10.0396184921265</v>
      </c>
      <c r="C656" s="247">
        <v>11.4297380447388</v>
      </c>
      <c r="D656" s="247">
        <v>12.961000442504901</v>
      </c>
      <c r="E656" s="247">
        <v>12.6243276596069</v>
      </c>
      <c r="F656" s="247">
        <v>12.9694175720215</v>
      </c>
      <c r="G656" s="247">
        <v>12.812975883483899</v>
      </c>
      <c r="H656" s="247">
        <v>12.7542219161987</v>
      </c>
      <c r="I656" s="247">
        <v>12.7604532241821</v>
      </c>
      <c r="J656" s="247">
        <v>12.634376525878899</v>
      </c>
      <c r="K656" s="247">
        <v>12.614933013916</v>
      </c>
      <c r="L656" s="247">
        <v>12.6084880828857</v>
      </c>
      <c r="M656" s="247">
        <v>12.543541908264199</v>
      </c>
      <c r="N656" s="247">
        <v>12.546923637390099</v>
      </c>
      <c r="O656" s="247">
        <v>12.4202537536621</v>
      </c>
      <c r="P656" s="247">
        <v>12.441800117492701</v>
      </c>
      <c r="Q656" s="247">
        <v>12.3374538421631</v>
      </c>
      <c r="R656" s="247">
        <v>12.3479681015015</v>
      </c>
      <c r="S656" s="247">
        <v>12.3989114761353</v>
      </c>
      <c r="T656" s="247">
        <v>12.3829250335693</v>
      </c>
      <c r="U656" s="247">
        <v>12.575768470764199</v>
      </c>
      <c r="V656" s="247">
        <v>12.6970834732056</v>
      </c>
      <c r="W656" s="247">
        <v>12.8181715011597</v>
      </c>
      <c r="X656" s="247">
        <v>12.9540061950684</v>
      </c>
      <c r="Y656" s="247">
        <v>13.1585645675659</v>
      </c>
    </row>
    <row r="657" spans="1:26" x14ac:dyDescent="0.25">
      <c r="A657" s="243" t="s">
        <v>465</v>
      </c>
      <c r="B657" s="247">
        <v>10.0409812927246</v>
      </c>
      <c r="C657" s="247">
        <v>11.431476593017599</v>
      </c>
      <c r="D657" s="247">
        <v>12.9638833999634</v>
      </c>
      <c r="E657" s="247">
        <v>12.6272735595703</v>
      </c>
      <c r="F657" s="247">
        <v>12.9738121032715</v>
      </c>
      <c r="G657" s="247">
        <v>12.8180704116821</v>
      </c>
      <c r="H657" s="247">
        <v>12.7602338790894</v>
      </c>
      <c r="I657" s="247">
        <v>12.7672443389893</v>
      </c>
      <c r="J657" s="247">
        <v>12.6416578292847</v>
      </c>
      <c r="K657" s="247">
        <v>12.622591972351101</v>
      </c>
      <c r="L657" s="247">
        <v>12.616462707519499</v>
      </c>
      <c r="M657" s="247">
        <v>12.551496505737299</v>
      </c>
      <c r="N657" s="247">
        <v>12.554883956909199</v>
      </c>
      <c r="O657" s="247">
        <v>12.4279336929321</v>
      </c>
      <c r="P657" s="247">
        <v>12.4496717453003</v>
      </c>
      <c r="Q657" s="247">
        <v>12.3454332351685</v>
      </c>
      <c r="R657" s="247">
        <v>12.356036186218301</v>
      </c>
      <c r="S657" s="247">
        <v>12.4068956375122</v>
      </c>
      <c r="T657" s="247">
        <v>12.3903903961182</v>
      </c>
      <c r="U657" s="247">
        <v>12.5835561752319</v>
      </c>
      <c r="V657" s="247">
        <v>12.7052898406982</v>
      </c>
      <c r="W657" s="247">
        <v>12.826750755310099</v>
      </c>
      <c r="X657" s="247">
        <v>12.9629173278809</v>
      </c>
      <c r="Y657" s="247">
        <v>13.167941093444799</v>
      </c>
    </row>
    <row r="658" spans="1:26" x14ac:dyDescent="0.25">
      <c r="A658" s="274" t="s">
        <v>478</v>
      </c>
      <c r="B658" s="247">
        <v>9.5535230636596697</v>
      </c>
      <c r="C658" s="247">
        <v>10.9202365875244</v>
      </c>
      <c r="D658" s="247">
        <v>12.0208587646484</v>
      </c>
      <c r="E658" s="247">
        <v>11.5461339950562</v>
      </c>
      <c r="F658" s="247">
        <v>12.0997161865234</v>
      </c>
      <c r="G658" s="247">
        <v>12.488727569580099</v>
      </c>
      <c r="H658" s="247">
        <v>12.3829002380371</v>
      </c>
      <c r="I658" s="247">
        <v>12.4196271896362</v>
      </c>
      <c r="J658" s="247">
        <v>12.508094787597701</v>
      </c>
      <c r="K658" s="247">
        <v>12.555921554565399</v>
      </c>
      <c r="L658" s="247">
        <v>12.5986595153809</v>
      </c>
      <c r="M658" s="247">
        <v>12.507498741149901</v>
      </c>
      <c r="N658" s="247">
        <v>12.460197448730501</v>
      </c>
      <c r="O658" s="247">
        <v>12.2335548400879</v>
      </c>
      <c r="P658" s="247">
        <v>12.028847694396999</v>
      </c>
      <c r="Q658" s="247">
        <v>11.832740783691399</v>
      </c>
      <c r="R658" s="247">
        <v>11.7916069030762</v>
      </c>
      <c r="S658" s="247">
        <v>11.803469657897899</v>
      </c>
      <c r="T658" s="247">
        <v>11.8377895355225</v>
      </c>
      <c r="U658" s="247">
        <v>11.9129686355591</v>
      </c>
      <c r="V658" s="247">
        <v>11.9319505691528</v>
      </c>
      <c r="W658" s="247">
        <v>11.983411788940399</v>
      </c>
      <c r="X658" s="247">
        <v>12.11021900177</v>
      </c>
      <c r="Y658" s="247">
        <v>12.4955101013184</v>
      </c>
      <c r="Z658" s="281">
        <f>Y658+($AI$488-$Y$658)/10</f>
        <v>12.860153747735882</v>
      </c>
    </row>
    <row r="659" spans="1:26" x14ac:dyDescent="0.25">
      <c r="A659" s="243" t="s">
        <v>479</v>
      </c>
      <c r="B659" s="247">
        <v>6.0538434982299796</v>
      </c>
      <c r="C659" s="247">
        <v>6.4578518867492702</v>
      </c>
      <c r="D659" s="247">
        <v>8.1168746948242205</v>
      </c>
      <c r="E659" s="247">
        <v>7.6875567436218297</v>
      </c>
      <c r="F659" s="247">
        <v>7.8739576339721697</v>
      </c>
      <c r="G659" s="247">
        <v>7.8265089988708496</v>
      </c>
      <c r="H659" s="247">
        <v>7.9840884208679199</v>
      </c>
      <c r="I659" s="247">
        <v>8.0166091918945295</v>
      </c>
      <c r="J659" s="247">
        <v>7.8608303070068404</v>
      </c>
      <c r="K659" s="247">
        <v>7.81276655197144</v>
      </c>
      <c r="L659" s="247">
        <v>7.8045797348022496</v>
      </c>
      <c r="M659" s="247">
        <v>7.7928524017334002</v>
      </c>
      <c r="N659" s="247">
        <v>7.7725591659545898</v>
      </c>
      <c r="O659" s="247">
        <v>7.7157216072082502</v>
      </c>
      <c r="P659" s="247">
        <v>7.7164225578308097</v>
      </c>
      <c r="Q659" s="247">
        <v>7.6991229057312003</v>
      </c>
      <c r="R659" s="247">
        <v>7.7546834945678702</v>
      </c>
      <c r="S659" s="247">
        <v>7.8412432670593297</v>
      </c>
      <c r="T659" s="247">
        <v>7.8916783332824698</v>
      </c>
      <c r="U659" s="247">
        <v>8.0530261993408203</v>
      </c>
      <c r="V659" s="247">
        <v>8.1459932327270508</v>
      </c>
      <c r="W659" s="247">
        <v>8.2922735214233398</v>
      </c>
      <c r="X659" s="247">
        <v>8.4199304580688494</v>
      </c>
      <c r="Y659" s="247">
        <v>8.7479171752929705</v>
      </c>
    </row>
    <row r="660" spans="1:26" x14ac:dyDescent="0.25">
      <c r="A660" s="274" t="s">
        <v>480</v>
      </c>
      <c r="B660" s="247">
        <v>11.3207235336304</v>
      </c>
      <c r="C660" s="247">
        <v>12.9284992218018</v>
      </c>
      <c r="D660" s="247">
        <v>14.6530704498291</v>
      </c>
      <c r="E660" s="247">
        <v>14.346966743469199</v>
      </c>
      <c r="F660" s="247">
        <v>14.7094535827637</v>
      </c>
      <c r="G660" s="247">
        <v>14.3600215911865</v>
      </c>
      <c r="H660" s="247">
        <v>14.2510118484497</v>
      </c>
      <c r="I660" s="247">
        <v>14.250683784484901</v>
      </c>
      <c r="J660" s="247">
        <v>14.0786781311035</v>
      </c>
      <c r="K660" s="247">
        <v>14.0637760162354</v>
      </c>
      <c r="L660" s="247">
        <v>14.0259552001953</v>
      </c>
      <c r="M660" s="247">
        <v>13.906542778015099</v>
      </c>
      <c r="N660" s="247">
        <v>13.9343166351318</v>
      </c>
      <c r="O660" s="247">
        <v>13.819755554199199</v>
      </c>
      <c r="P660" s="247">
        <v>13.920813560485801</v>
      </c>
      <c r="Q660" s="247">
        <v>13.821713447570801</v>
      </c>
      <c r="R660" s="247">
        <v>13.8340721130371</v>
      </c>
      <c r="S660" s="247">
        <v>13.8936500549316</v>
      </c>
      <c r="T660" s="247">
        <v>13.8356838226318</v>
      </c>
      <c r="U660" s="247">
        <v>14.0806474685669</v>
      </c>
      <c r="V660" s="247">
        <v>14.2383365631104</v>
      </c>
      <c r="W660" s="247">
        <v>14.3749399185181</v>
      </c>
      <c r="X660" s="247">
        <v>14.5092010498047</v>
      </c>
      <c r="Y660" s="247">
        <v>14.605681419372599</v>
      </c>
      <c r="Z660" s="281">
        <f>Y660+($AI$490-$Y$660)/10</f>
        <v>15.03173973157025</v>
      </c>
    </row>
    <row r="661" spans="1:26" x14ac:dyDescent="0.25">
      <c r="A661" s="243" t="s">
        <v>471</v>
      </c>
      <c r="B661" s="247">
        <v>3.83150410652161</v>
      </c>
      <c r="C661" s="247">
        <v>4.4939312934875497</v>
      </c>
      <c r="D661" s="247">
        <v>4.5839381217956499</v>
      </c>
      <c r="E661" s="247">
        <v>4.8374896049499503</v>
      </c>
      <c r="F661" s="247">
        <v>5.1729192733764604</v>
      </c>
      <c r="G661" s="247">
        <v>5.1682701110839799</v>
      </c>
      <c r="H661" s="247">
        <v>5.1688323020935103</v>
      </c>
      <c r="I661" s="247">
        <v>5.1695828437805202</v>
      </c>
      <c r="J661" s="247">
        <v>5.16760349273682</v>
      </c>
      <c r="K661" s="247">
        <v>5.1733479499816903</v>
      </c>
      <c r="L661" s="247">
        <v>5.1798586845397896</v>
      </c>
      <c r="M661" s="247">
        <v>5.1877336502075204</v>
      </c>
      <c r="N661" s="247">
        <v>5.1953010559081996</v>
      </c>
      <c r="O661" s="247">
        <v>5.2001247406005904</v>
      </c>
      <c r="P661" s="247">
        <v>5.2810626029968297</v>
      </c>
      <c r="Q661" s="247">
        <v>5.3552770614623997</v>
      </c>
      <c r="R661" s="247">
        <v>5.4362750053405797</v>
      </c>
      <c r="S661" s="247">
        <v>5.5152239799499503</v>
      </c>
      <c r="T661" s="247">
        <v>5.5921721458435103</v>
      </c>
      <c r="U661" s="247">
        <v>5.6705627441406303</v>
      </c>
      <c r="V661" s="247">
        <v>5.7475032806396502</v>
      </c>
      <c r="W661" s="247">
        <v>5.8269476890564</v>
      </c>
      <c r="X661" s="247">
        <v>5.9046044349670401</v>
      </c>
      <c r="Y661" s="247">
        <v>5.9824995994567898</v>
      </c>
    </row>
    <row r="662" spans="1:26" x14ac:dyDescent="0.25">
      <c r="A662" s="243" t="s">
        <v>481</v>
      </c>
      <c r="B662" s="247">
        <v>15.146578788757299</v>
      </c>
      <c r="C662" s="247">
        <v>16.654964447021499</v>
      </c>
      <c r="D662" s="247">
        <v>20.603065490722699</v>
      </c>
      <c r="E662" s="247">
        <v>20.419296264648398</v>
      </c>
      <c r="F662" s="247">
        <v>17.4092102050781</v>
      </c>
      <c r="G662" s="247">
        <v>17.409763336181602</v>
      </c>
      <c r="H662" s="247">
        <v>17.1964435577393</v>
      </c>
      <c r="I662" s="247">
        <v>17.156021118164102</v>
      </c>
      <c r="J662" s="247">
        <v>17.248268127441399</v>
      </c>
      <c r="K662" s="247">
        <v>17.105394363403299</v>
      </c>
      <c r="L662" s="247">
        <v>17.085474014282202</v>
      </c>
      <c r="M662" s="247">
        <v>16.997465133666999</v>
      </c>
      <c r="N662" s="247">
        <v>16.7497043609619</v>
      </c>
      <c r="O662" s="247">
        <v>16.830522537231399</v>
      </c>
      <c r="P662" s="247">
        <v>16.954969406127901</v>
      </c>
      <c r="Q662" s="247">
        <v>17.1650085449219</v>
      </c>
      <c r="R662" s="247">
        <v>17.2562961578369</v>
      </c>
      <c r="S662" s="247">
        <v>17.321376800537099</v>
      </c>
      <c r="T662" s="247">
        <v>17.262313842773398</v>
      </c>
      <c r="U662" s="247">
        <v>17.454835891723601</v>
      </c>
      <c r="V662" s="247">
        <v>17.584600448608398</v>
      </c>
      <c r="W662" s="247">
        <v>17.847267150878899</v>
      </c>
      <c r="X662" s="247">
        <v>17.9585571289063</v>
      </c>
      <c r="Y662" s="247">
        <v>18.1527404785156</v>
      </c>
    </row>
    <row r="663" spans="1:26" x14ac:dyDescent="0.25">
      <c r="A663" s="243" t="s">
        <v>482</v>
      </c>
      <c r="B663" s="247">
        <v>7.2317700386047399</v>
      </c>
      <c r="C663" s="247">
        <v>9.0444478988647496</v>
      </c>
      <c r="D663" s="247">
        <v>9.7142210006713903</v>
      </c>
      <c r="E663" s="247">
        <v>9.7955017089843803</v>
      </c>
      <c r="F663" s="247">
        <v>9.2987012863159197</v>
      </c>
      <c r="G663" s="247">
        <v>9.0087041854858398</v>
      </c>
      <c r="H663" s="247">
        <v>8.73461818695068</v>
      </c>
      <c r="I663" s="247">
        <v>8.6602125167846697</v>
      </c>
      <c r="J663" s="247">
        <v>8.6087532043456996</v>
      </c>
      <c r="K663" s="247">
        <v>8.6854057312011701</v>
      </c>
      <c r="L663" s="247">
        <v>8.7734069824218803</v>
      </c>
      <c r="M663" s="247">
        <v>8.9131555557250994</v>
      </c>
      <c r="N663" s="247">
        <v>9.0697097778320295</v>
      </c>
      <c r="O663" s="247">
        <v>9.1761322021484393</v>
      </c>
      <c r="P663" s="247">
        <v>9.2086582183837908</v>
      </c>
      <c r="Q663" s="247">
        <v>9.1414461135864293</v>
      </c>
      <c r="R663" s="247">
        <v>9.1881532669067401</v>
      </c>
      <c r="S663" s="247">
        <v>9.3183298110961896</v>
      </c>
      <c r="T663" s="247">
        <v>9.5262966156005895</v>
      </c>
      <c r="U663" s="247">
        <v>9.6340904235839808</v>
      </c>
      <c r="V663" s="247">
        <v>9.6386470794677699</v>
      </c>
      <c r="W663" s="247">
        <v>9.6553201675415004</v>
      </c>
      <c r="X663" s="247">
        <v>9.7052288055419904</v>
      </c>
      <c r="Y663" s="247">
        <v>9.7829256057739293</v>
      </c>
    </row>
    <row r="664" spans="1:26" x14ac:dyDescent="0.25">
      <c r="A664" s="276" t="s">
        <v>487</v>
      </c>
      <c r="B664" s="247">
        <v>14.6543264389038</v>
      </c>
      <c r="C664" s="247">
        <v>16.232709884643601</v>
      </c>
      <c r="D664" s="247">
        <v>19.6646022796631</v>
      </c>
      <c r="E664" s="247">
        <v>19.716905593872099</v>
      </c>
      <c r="F664" s="247">
        <v>20.910398483276399</v>
      </c>
      <c r="G664" s="247">
        <v>20.088336944580099</v>
      </c>
      <c r="H664" s="247">
        <v>20.034643173217798</v>
      </c>
      <c r="I664" s="247">
        <v>19.876234054565401</v>
      </c>
      <c r="J664" s="247">
        <v>19.0899848937988</v>
      </c>
      <c r="K664" s="247">
        <v>19.0770473480225</v>
      </c>
      <c r="L664" s="247">
        <v>18.9334907531738</v>
      </c>
      <c r="M664" s="247">
        <v>18.8203315734863</v>
      </c>
      <c r="N664" s="247">
        <v>18.8769016265869</v>
      </c>
      <c r="O664" s="247">
        <v>18.733657836914102</v>
      </c>
      <c r="P664" s="247">
        <v>18.836368560791001</v>
      </c>
      <c r="Q664" s="247">
        <v>18.717578887939499</v>
      </c>
      <c r="R664" s="247">
        <v>18.677961349487301</v>
      </c>
      <c r="S664" s="247">
        <v>18.768825531005898</v>
      </c>
      <c r="T664" s="247">
        <v>18.702945709228501</v>
      </c>
      <c r="U664" s="247">
        <v>19.039726257324201</v>
      </c>
      <c r="V664" s="247">
        <v>19.213029861450199</v>
      </c>
      <c r="W664" s="247">
        <v>19.429216384887699</v>
      </c>
      <c r="X664" s="247">
        <v>19.537574768066399</v>
      </c>
      <c r="Y664" s="247">
        <v>19.6945476531982</v>
      </c>
      <c r="Z664" s="283">
        <f>Y664+($AI$494-$Y$664)/10</f>
        <v>19.593947309306923</v>
      </c>
    </row>
    <row r="665" spans="1:26" x14ac:dyDescent="0.25">
      <c r="A665" s="243" t="s">
        <v>469</v>
      </c>
      <c r="B665" s="247">
        <v>20.034517288208001</v>
      </c>
      <c r="C665" s="247">
        <v>20.636144638061499</v>
      </c>
      <c r="D665" s="247">
        <v>21.2071418762207</v>
      </c>
      <c r="E665" s="247">
        <v>20.9249382019043</v>
      </c>
      <c r="F665" s="247">
        <v>20.016746520996101</v>
      </c>
      <c r="G665" s="247">
        <v>19.1842136383057</v>
      </c>
      <c r="H665" s="247">
        <v>18.876358032226602</v>
      </c>
      <c r="I665" s="247">
        <v>18.930015563964801</v>
      </c>
      <c r="J665" s="247">
        <v>18.9569396972656</v>
      </c>
      <c r="K665" s="247">
        <v>18.971715927123999</v>
      </c>
      <c r="L665" s="247">
        <v>19.161241531372099</v>
      </c>
      <c r="M665" s="247">
        <v>19.352525711059599</v>
      </c>
      <c r="N665" s="247">
        <v>19.6624240875244</v>
      </c>
      <c r="O665" s="247">
        <v>19.699916839599599</v>
      </c>
      <c r="P665" s="247">
        <v>19.754545211791999</v>
      </c>
      <c r="Q665" s="247">
        <v>19.6803493499756</v>
      </c>
      <c r="R665" s="247">
        <v>19.749149322509801</v>
      </c>
      <c r="S665" s="247">
        <v>19.913064956665</v>
      </c>
      <c r="T665" s="247">
        <v>20.148523330688501</v>
      </c>
      <c r="U665" s="247">
        <v>20.261070251464801</v>
      </c>
      <c r="V665" s="247">
        <v>20.168498992919901</v>
      </c>
      <c r="W665" s="247">
        <v>20.043989181518601</v>
      </c>
      <c r="X665" s="247">
        <v>20.096965789794901</v>
      </c>
      <c r="Y665" s="247">
        <v>20.154518127441399</v>
      </c>
    </row>
    <row r="666" spans="1:26" x14ac:dyDescent="0.25">
      <c r="A666" s="243" t="s">
        <v>430</v>
      </c>
      <c r="B666" s="247" t="s">
        <v>430</v>
      </c>
      <c r="C666" s="247" t="s">
        <v>430</v>
      </c>
      <c r="D666" s="247" t="s">
        <v>430</v>
      </c>
      <c r="E666" s="247" t="s">
        <v>430</v>
      </c>
      <c r="F666" s="247" t="s">
        <v>430</v>
      </c>
      <c r="G666" s="247" t="s">
        <v>430</v>
      </c>
      <c r="H666" s="247" t="s">
        <v>430</v>
      </c>
      <c r="I666" s="247" t="s">
        <v>430</v>
      </c>
      <c r="J666" s="247" t="s">
        <v>430</v>
      </c>
      <c r="K666" s="247" t="s">
        <v>430</v>
      </c>
      <c r="L666" s="247" t="s">
        <v>430</v>
      </c>
      <c r="M666" s="247" t="s">
        <v>430</v>
      </c>
      <c r="N666" s="247" t="s">
        <v>430</v>
      </c>
      <c r="O666" s="247" t="s">
        <v>430</v>
      </c>
      <c r="P666" s="247" t="s">
        <v>430</v>
      </c>
      <c r="Q666" s="247" t="s">
        <v>430</v>
      </c>
      <c r="R666" s="247" t="s">
        <v>430</v>
      </c>
      <c r="S666" s="247" t="s">
        <v>430</v>
      </c>
      <c r="T666" s="247" t="s">
        <v>430</v>
      </c>
      <c r="U666" s="247" t="s">
        <v>430</v>
      </c>
      <c r="V666" s="247" t="s">
        <v>430</v>
      </c>
      <c r="W666" s="247" t="s">
        <v>430</v>
      </c>
      <c r="X666" s="247" t="s">
        <v>430</v>
      </c>
      <c r="Y666" s="247" t="s">
        <v>430</v>
      </c>
    </row>
    <row r="667" spans="1:26" x14ac:dyDescent="0.25">
      <c r="A667" s="243" t="s">
        <v>488</v>
      </c>
      <c r="B667" s="247">
        <v>10.2607097625732</v>
      </c>
      <c r="C667" s="247">
        <v>11.4965677261353</v>
      </c>
      <c r="D667" s="247">
        <v>12.4990587234497</v>
      </c>
      <c r="E667" s="247">
        <v>12.3170623779297</v>
      </c>
      <c r="F667" s="247">
        <v>12.135007858276399</v>
      </c>
      <c r="G667" s="247">
        <v>11.845267295837401</v>
      </c>
      <c r="H667" s="247">
        <v>11.6573295593262</v>
      </c>
      <c r="I667" s="247">
        <v>11.6295518875122</v>
      </c>
      <c r="J667" s="247">
        <v>11.5503234863281</v>
      </c>
      <c r="K667" s="247">
        <v>11.540096282959</v>
      </c>
      <c r="L667" s="247">
        <v>11.6076335906982</v>
      </c>
      <c r="M667" s="247">
        <v>11.667243003845201</v>
      </c>
      <c r="N667" s="247">
        <v>11.774538040161101</v>
      </c>
      <c r="O667" s="247">
        <v>11.796236991882299</v>
      </c>
      <c r="P667" s="247">
        <v>11.871965408325201</v>
      </c>
      <c r="Q667" s="247">
        <v>11.843188285827599</v>
      </c>
      <c r="R667" s="247">
        <v>11.9137773513794</v>
      </c>
      <c r="S667" s="247">
        <v>12.034348487854</v>
      </c>
      <c r="T667" s="247">
        <v>12.153738975524901</v>
      </c>
      <c r="U667" s="247">
        <v>12.3460960388184</v>
      </c>
      <c r="V667" s="247">
        <v>12.4321403503418</v>
      </c>
      <c r="W667" s="247">
        <v>12.5191946029663</v>
      </c>
      <c r="X667" s="247">
        <v>12.636996269226101</v>
      </c>
      <c r="Y667" s="247">
        <v>12.8200740814209</v>
      </c>
    </row>
    <row r="668" spans="1:26" x14ac:dyDescent="0.25">
      <c r="A668" s="243" t="s">
        <v>473</v>
      </c>
      <c r="B668" s="247">
        <v>7.8488264083862296</v>
      </c>
      <c r="C668" s="247">
        <v>9.3171482086181605</v>
      </c>
      <c r="D668" s="247">
        <v>10.527009010314901</v>
      </c>
      <c r="E668" s="247">
        <v>10.2968044281006</v>
      </c>
      <c r="F668" s="247">
        <v>10.2268390655518</v>
      </c>
      <c r="G668" s="247">
        <v>10.0435380935669</v>
      </c>
      <c r="H668" s="247">
        <v>9.9028997421264595</v>
      </c>
      <c r="I668" s="247">
        <v>9.8629217147827095</v>
      </c>
      <c r="J668" s="247">
        <v>9.7728738784790004</v>
      </c>
      <c r="K668" s="247">
        <v>9.75823974609375</v>
      </c>
      <c r="L668" s="247">
        <v>9.7822933197021502</v>
      </c>
      <c r="M668" s="247">
        <v>9.7888011932372994</v>
      </c>
      <c r="N668" s="247">
        <v>9.8279809951782209</v>
      </c>
      <c r="O668" s="247">
        <v>9.8149814605712908</v>
      </c>
      <c r="P668" s="247">
        <v>9.8643417358398402</v>
      </c>
      <c r="Q668" s="247">
        <v>9.8190460205078107</v>
      </c>
      <c r="R668" s="247">
        <v>9.8615427017211896</v>
      </c>
      <c r="S668" s="247">
        <v>9.9469861984252894</v>
      </c>
      <c r="T668" s="247">
        <v>10.0096731185913</v>
      </c>
      <c r="U668" s="247">
        <v>10.190193176269499</v>
      </c>
      <c r="V668" s="247">
        <v>10.288735389709499</v>
      </c>
      <c r="W668" s="247">
        <v>10.396104812622101</v>
      </c>
      <c r="X668" s="247">
        <v>10.5091648101807</v>
      </c>
      <c r="Y668" s="247">
        <v>10.694952964782701</v>
      </c>
    </row>
    <row r="669" spans="1:26" x14ac:dyDescent="0.25">
      <c r="A669" s="243" t="s">
        <v>469</v>
      </c>
      <c r="B669" s="247">
        <v>21.599882125854499</v>
      </c>
      <c r="C669" s="247">
        <v>21.735733032226602</v>
      </c>
      <c r="D669" s="247">
        <v>21.731866836547901</v>
      </c>
      <c r="E669" s="247">
        <v>21.659553527831999</v>
      </c>
      <c r="F669" s="247">
        <v>20.918876647949201</v>
      </c>
      <c r="G669" s="247">
        <v>20.055833816528299</v>
      </c>
      <c r="H669" s="247">
        <v>19.596654891967798</v>
      </c>
      <c r="I669" s="247">
        <v>19.579929351806602</v>
      </c>
      <c r="J669" s="247">
        <v>19.517631530761701</v>
      </c>
      <c r="K669" s="247">
        <v>19.486770629882798</v>
      </c>
      <c r="L669" s="247">
        <v>19.702039718627901</v>
      </c>
      <c r="M669" s="247">
        <v>19.955158233642599</v>
      </c>
      <c r="N669" s="247">
        <v>20.317079544067401</v>
      </c>
      <c r="O669" s="247">
        <v>20.442613601684599</v>
      </c>
      <c r="P669" s="247">
        <v>20.578334808349599</v>
      </c>
      <c r="Q669" s="247">
        <v>20.580734252929702</v>
      </c>
      <c r="R669" s="247">
        <v>20.7274265289307</v>
      </c>
      <c r="S669" s="247">
        <v>20.953577041626001</v>
      </c>
      <c r="T669" s="247">
        <v>21.262916564941399</v>
      </c>
      <c r="U669" s="247">
        <v>21.454774856567401</v>
      </c>
      <c r="V669" s="247">
        <v>21.4308891296387</v>
      </c>
      <c r="W669" s="247">
        <v>21.3733520507813</v>
      </c>
      <c r="X669" s="247">
        <v>21.452013015747099</v>
      </c>
      <c r="Y669" s="247">
        <v>21.5757865905762</v>
      </c>
    </row>
    <row r="670" spans="1:26" x14ac:dyDescent="0.25">
      <c r="A670" s="243" t="s">
        <v>430</v>
      </c>
      <c r="B670" s="247" t="s">
        <v>430</v>
      </c>
      <c r="C670" s="247" t="s">
        <v>430</v>
      </c>
      <c r="D670" s="247" t="s">
        <v>430</v>
      </c>
      <c r="E670" s="247" t="s">
        <v>430</v>
      </c>
      <c r="F670" s="247" t="s">
        <v>430</v>
      </c>
      <c r="G670" s="247" t="s">
        <v>430</v>
      </c>
      <c r="H670" s="247" t="s">
        <v>430</v>
      </c>
      <c r="I670" s="247" t="s">
        <v>430</v>
      </c>
      <c r="J670" s="247" t="s">
        <v>430</v>
      </c>
      <c r="K670" s="247" t="s">
        <v>430</v>
      </c>
      <c r="L670" s="247" t="s">
        <v>430</v>
      </c>
      <c r="M670" s="247" t="s">
        <v>430</v>
      </c>
      <c r="N670" s="247" t="s">
        <v>430</v>
      </c>
      <c r="O670" s="247" t="s">
        <v>430</v>
      </c>
      <c r="P670" s="247" t="s">
        <v>430</v>
      </c>
      <c r="Q670" s="247" t="s">
        <v>430</v>
      </c>
      <c r="R670" s="247" t="s">
        <v>430</v>
      </c>
      <c r="S670" s="247" t="s">
        <v>430</v>
      </c>
      <c r="T670" s="247" t="s">
        <v>430</v>
      </c>
      <c r="U670" s="247" t="s">
        <v>430</v>
      </c>
      <c r="V670" s="247" t="s">
        <v>430</v>
      </c>
      <c r="W670" s="247" t="s">
        <v>430</v>
      </c>
      <c r="X670" s="247" t="s">
        <v>430</v>
      </c>
      <c r="Y670" s="247" t="s">
        <v>430</v>
      </c>
    </row>
    <row r="671" spans="1:26" x14ac:dyDescent="0.25">
      <c r="A671" s="243" t="s">
        <v>489</v>
      </c>
      <c r="B671" s="247" t="s">
        <v>430</v>
      </c>
      <c r="C671" s="247" t="s">
        <v>430</v>
      </c>
      <c r="D671" s="247" t="s">
        <v>430</v>
      </c>
      <c r="E671" s="247" t="s">
        <v>430</v>
      </c>
      <c r="F671" s="247" t="s">
        <v>430</v>
      </c>
      <c r="G671" s="247" t="s">
        <v>430</v>
      </c>
      <c r="H671" s="247" t="s">
        <v>430</v>
      </c>
      <c r="I671" s="247" t="s">
        <v>430</v>
      </c>
      <c r="J671" s="247" t="s">
        <v>430</v>
      </c>
      <c r="K671" s="247" t="s">
        <v>430</v>
      </c>
      <c r="L671" s="247" t="s">
        <v>430</v>
      </c>
      <c r="M671" s="247" t="s">
        <v>430</v>
      </c>
      <c r="N671" s="247" t="s">
        <v>430</v>
      </c>
      <c r="O671" s="247" t="s">
        <v>430</v>
      </c>
      <c r="P671" s="247" t="s">
        <v>430</v>
      </c>
      <c r="Q671" s="247" t="s">
        <v>430</v>
      </c>
      <c r="R671" s="247" t="s">
        <v>430</v>
      </c>
      <c r="S671" s="247" t="s">
        <v>430</v>
      </c>
      <c r="T671" s="247" t="s">
        <v>430</v>
      </c>
      <c r="U671" s="247" t="s">
        <v>430</v>
      </c>
      <c r="V671" s="247" t="s">
        <v>430</v>
      </c>
      <c r="W671" s="247" t="s">
        <v>430</v>
      </c>
      <c r="X671" s="247" t="s">
        <v>430</v>
      </c>
      <c r="Y671" s="247" t="s">
        <v>430</v>
      </c>
    </row>
    <row r="672" spans="1:26" x14ac:dyDescent="0.25">
      <c r="A672" s="243" t="s">
        <v>490</v>
      </c>
      <c r="B672" s="247">
        <v>1.8996955156326301</v>
      </c>
      <c r="C672" s="247">
        <v>2.2409727573394802</v>
      </c>
      <c r="D672" s="247">
        <v>2.4239859580993701</v>
      </c>
      <c r="E672" s="247">
        <v>2.3793189525604199</v>
      </c>
      <c r="F672" s="247">
        <v>2.2557969093322798</v>
      </c>
      <c r="G672" s="247">
        <v>2.16659760475159</v>
      </c>
      <c r="H672" s="247">
        <v>2.1260316371917698</v>
      </c>
      <c r="I672" s="247">
        <v>2.1242508888244598</v>
      </c>
      <c r="J672" s="247">
        <v>2.1216156482696502</v>
      </c>
      <c r="K672" s="247">
        <v>2.1531240940093999</v>
      </c>
      <c r="L672" s="247">
        <v>2.1922359466552699</v>
      </c>
      <c r="M672" s="247">
        <v>2.2451419830322301</v>
      </c>
      <c r="N672" s="247">
        <v>2.2968165874481201</v>
      </c>
      <c r="O672" s="247">
        <v>2.3293662071228001</v>
      </c>
      <c r="P672" s="247">
        <v>2.3501963615417498</v>
      </c>
      <c r="Q672" s="247">
        <v>2.3520054817199698</v>
      </c>
      <c r="R672" s="247">
        <v>2.3871843814849898</v>
      </c>
      <c r="S672" s="247">
        <v>2.4302341938018799</v>
      </c>
      <c r="T672" s="247">
        <v>2.5017471313476598</v>
      </c>
      <c r="U672" s="247">
        <v>2.5190291404724099</v>
      </c>
      <c r="V672" s="247">
        <v>2.50686860084534</v>
      </c>
      <c r="W672" s="247">
        <v>2.48747658729553</v>
      </c>
      <c r="X672" s="247">
        <v>2.5030989646911599</v>
      </c>
      <c r="Y672" s="247">
        <v>2.5170097351074201</v>
      </c>
    </row>
    <row r="673" spans="1:26" x14ac:dyDescent="0.25">
      <c r="A673" s="243" t="s">
        <v>492</v>
      </c>
      <c r="B673" s="247">
        <v>4.3748912811279297</v>
      </c>
      <c r="C673" s="247">
        <v>5.2786889076232901</v>
      </c>
      <c r="D673" s="247">
        <v>5.9517350196838397</v>
      </c>
      <c r="E673" s="247">
        <v>5.8146204948425302</v>
      </c>
      <c r="F673" s="247">
        <v>6.06520652770996</v>
      </c>
      <c r="G673" s="247">
        <v>6.0658583641052202</v>
      </c>
      <c r="H673" s="247">
        <v>6.0610094070434597</v>
      </c>
      <c r="I673" s="247">
        <v>6.0499844551086399</v>
      </c>
      <c r="J673" s="247">
        <v>6.0430412292480504</v>
      </c>
      <c r="K673" s="247">
        <v>6.00789546966553</v>
      </c>
      <c r="L673" s="247">
        <v>5.9784431457519496</v>
      </c>
      <c r="M673" s="247">
        <v>5.9840416908264196</v>
      </c>
      <c r="N673" s="247">
        <v>6.0042037963867196</v>
      </c>
      <c r="O673" s="247">
        <v>6.0128812789917001</v>
      </c>
      <c r="P673" s="247">
        <v>6.0971722602844203</v>
      </c>
      <c r="Q673" s="247">
        <v>6.1627969741821298</v>
      </c>
      <c r="R673" s="247">
        <v>6.2556800842285201</v>
      </c>
      <c r="S673" s="247">
        <v>6.3419466018676802</v>
      </c>
      <c r="T673" s="247">
        <v>6.4189195632934597</v>
      </c>
      <c r="U673" s="247">
        <v>6.5561437606811497</v>
      </c>
      <c r="V673" s="247">
        <v>6.6497230529785201</v>
      </c>
      <c r="W673" s="247">
        <v>6.7551417350768999</v>
      </c>
      <c r="X673" s="247">
        <v>6.8526744842529297</v>
      </c>
      <c r="Y673" s="247">
        <v>6.9808459281921396</v>
      </c>
    </row>
    <row r="674" spans="1:26" x14ac:dyDescent="0.25">
      <c r="A674" s="243" t="s">
        <v>466</v>
      </c>
      <c r="B674" s="247">
        <v>5.6938004493713397</v>
      </c>
      <c r="C674" s="247">
        <v>6.4773354530334499</v>
      </c>
      <c r="D674" s="247">
        <v>7.1750593185424796</v>
      </c>
      <c r="E674" s="247">
        <v>6.8899416923522896</v>
      </c>
      <c r="F674" s="247">
        <v>7.0708780288696298</v>
      </c>
      <c r="G674" s="247">
        <v>7.0249619483947798</v>
      </c>
      <c r="H674" s="247">
        <v>6.9838500022888201</v>
      </c>
      <c r="I674" s="247">
        <v>6.9665460586547896</v>
      </c>
      <c r="J674" s="247">
        <v>6.9450497627258301</v>
      </c>
      <c r="K674" s="247">
        <v>6.8211231231689498</v>
      </c>
      <c r="L674" s="247">
        <v>6.8083920478820801</v>
      </c>
      <c r="M674" s="247">
        <v>6.7952175140380904</v>
      </c>
      <c r="N674" s="247">
        <v>6.8354115486145002</v>
      </c>
      <c r="O674" s="247">
        <v>6.8402228355407697</v>
      </c>
      <c r="P674" s="247">
        <v>6.9283905029296902</v>
      </c>
      <c r="Q674" s="247">
        <v>6.9566001892089799</v>
      </c>
      <c r="R674" s="247">
        <v>7.0452814102172896</v>
      </c>
      <c r="S674" s="247">
        <v>7.1418867111206099</v>
      </c>
      <c r="T674" s="247">
        <v>7.2127375602722203</v>
      </c>
      <c r="U674" s="247">
        <v>7.4472899436950701</v>
      </c>
      <c r="V674" s="247">
        <v>7.5714774131774902</v>
      </c>
      <c r="W674" s="247">
        <v>7.7267389297485396</v>
      </c>
      <c r="X674" s="247">
        <v>7.8528199195861799</v>
      </c>
      <c r="Y674" s="247">
        <v>8.0614786148071307</v>
      </c>
    </row>
    <row r="675" spans="1:26" x14ac:dyDescent="0.25">
      <c r="A675" s="243" t="s">
        <v>471</v>
      </c>
      <c r="B675" s="247">
        <v>3.9850425720214799</v>
      </c>
      <c r="C675" s="247">
        <v>4.7911210060119602</v>
      </c>
      <c r="D675" s="247">
        <v>5.5054440498352104</v>
      </c>
      <c r="E675" s="247">
        <v>5.3836627006530797</v>
      </c>
      <c r="F675" s="247">
        <v>5.6116971969604501</v>
      </c>
      <c r="G675" s="247">
        <v>5.6101722717285201</v>
      </c>
      <c r="H675" s="247">
        <v>5.61515140533447</v>
      </c>
      <c r="I675" s="247">
        <v>5.6134881973266602</v>
      </c>
      <c r="J675" s="247">
        <v>5.6123900413513201</v>
      </c>
      <c r="K675" s="247">
        <v>5.6186213493347203</v>
      </c>
      <c r="L675" s="247">
        <v>5.6204733848571804</v>
      </c>
      <c r="M675" s="247">
        <v>5.6265015602111799</v>
      </c>
      <c r="N675" s="247">
        <v>5.6295571327209499</v>
      </c>
      <c r="O675" s="247">
        <v>5.6379580497741699</v>
      </c>
      <c r="P675" s="247">
        <v>5.71999168395996</v>
      </c>
      <c r="Q675" s="247">
        <v>5.7965455055236799</v>
      </c>
      <c r="R675" s="247">
        <v>5.8776378631591797</v>
      </c>
      <c r="S675" s="247">
        <v>5.9570369720459002</v>
      </c>
      <c r="T675" s="247">
        <v>6.0351238250732404</v>
      </c>
      <c r="U675" s="247">
        <v>6.1149992942810103</v>
      </c>
      <c r="V675" s="247">
        <v>6.1950988769531303</v>
      </c>
      <c r="W675" s="247">
        <v>6.27585792541504</v>
      </c>
      <c r="X675" s="247">
        <v>6.3545475006103498</v>
      </c>
      <c r="Y675" s="247">
        <v>6.4353322982788104</v>
      </c>
    </row>
    <row r="676" spans="1:26" x14ac:dyDescent="0.25">
      <c r="A676" s="268" t="s">
        <v>468</v>
      </c>
      <c r="B676" s="247">
        <v>3.6857740879058798</v>
      </c>
      <c r="C676" s="247">
        <v>5.4593739509582502</v>
      </c>
      <c r="D676" s="247">
        <v>5.9836130142211896</v>
      </c>
      <c r="E676" s="247">
        <v>5.9218006134033203</v>
      </c>
      <c r="F676" s="247">
        <v>5.2758417129516602</v>
      </c>
      <c r="G676" s="247">
        <v>4.86041164398193</v>
      </c>
      <c r="H676" s="247">
        <v>4.5085921287536603</v>
      </c>
      <c r="I676" s="247">
        <v>4.4009499549865696</v>
      </c>
      <c r="J676" s="247">
        <v>4.3143215179443404</v>
      </c>
      <c r="K676" s="247">
        <v>4.3619651794433603</v>
      </c>
      <c r="L676" s="247">
        <v>4.4577717781066903</v>
      </c>
      <c r="M676" s="247">
        <v>4.5935211181640598</v>
      </c>
      <c r="N676" s="247">
        <v>4.72908592224121</v>
      </c>
      <c r="O676" s="247">
        <v>4.8101162910461399</v>
      </c>
      <c r="P676" s="247">
        <v>4.8377823829650897</v>
      </c>
      <c r="Q676" s="247">
        <v>4.7923994064331099</v>
      </c>
      <c r="R676" s="247">
        <v>4.8652648925781303</v>
      </c>
      <c r="S676" s="247">
        <v>5.0083761215209996</v>
      </c>
      <c r="T676" s="247">
        <v>5.2321648597717303</v>
      </c>
      <c r="U676" s="247">
        <v>5.32541704177856</v>
      </c>
      <c r="V676" s="247">
        <v>5.3230118751525897</v>
      </c>
      <c r="W676" s="247">
        <v>5.3357062339782697</v>
      </c>
      <c r="X676" s="247">
        <v>5.3972234725952104</v>
      </c>
      <c r="Y676" s="247">
        <v>5.4970946311950701</v>
      </c>
      <c r="Z676" s="277">
        <f>Y676+($AI$506-$Y$676)/10</f>
        <v>5.5250455710201605</v>
      </c>
    </row>
    <row r="677" spans="1:26" x14ac:dyDescent="0.25">
      <c r="A677" s="272" t="s">
        <v>476</v>
      </c>
      <c r="B677" s="247">
        <v>1.2699717283248899</v>
      </c>
      <c r="C677" s="247">
        <v>1.27919089794159</v>
      </c>
      <c r="D677" s="247">
        <v>1.2835900783538801</v>
      </c>
      <c r="E677" s="247">
        <v>1.28959560394287</v>
      </c>
      <c r="F677" s="247">
        <v>1.29778397083282</v>
      </c>
      <c r="G677" s="247">
        <v>1.28695380687714</v>
      </c>
      <c r="H677" s="247">
        <v>1.28577756881714</v>
      </c>
      <c r="I677" s="247">
        <v>1.27679371833801</v>
      </c>
      <c r="J677" s="247">
        <v>1.26281106472015</v>
      </c>
      <c r="K677" s="247">
        <v>1.25397908687592</v>
      </c>
      <c r="L677" s="247">
        <v>1.2489364147186299</v>
      </c>
      <c r="M677" s="247">
        <v>1.2449804544448899</v>
      </c>
      <c r="N677" s="247">
        <v>1.2430621385574301</v>
      </c>
      <c r="O677" s="247">
        <v>1.24259686470032</v>
      </c>
      <c r="P677" s="247">
        <v>1.24424111843109</v>
      </c>
      <c r="Q677" s="247">
        <v>1.2428184747695901</v>
      </c>
      <c r="R677" s="247">
        <v>1.24728739261627</v>
      </c>
      <c r="S677" s="247">
        <v>1.2513284683227499</v>
      </c>
      <c r="T677" s="247">
        <v>1.2762980461120601</v>
      </c>
      <c r="U677" s="247">
        <v>1.2851967811584499</v>
      </c>
      <c r="V677" s="247">
        <v>1.2969329357147199</v>
      </c>
      <c r="W677" s="247">
        <v>1.3016670942306501</v>
      </c>
      <c r="X677" s="247">
        <v>1.31676089763641</v>
      </c>
      <c r="Y677" s="247">
        <v>1.3290703296661399</v>
      </c>
      <c r="Z677" s="285">
        <f>Y677+($AI$507-$Y$677)/10</f>
        <v>1.3327822261431892</v>
      </c>
    </row>
    <row r="678" spans="1:26" x14ac:dyDescent="0.25">
      <c r="A678" s="243" t="s">
        <v>430</v>
      </c>
      <c r="B678" s="247" t="s">
        <v>430</v>
      </c>
      <c r="C678" s="247" t="s">
        <v>430</v>
      </c>
      <c r="D678" s="247" t="s">
        <v>430</v>
      </c>
      <c r="E678" s="247" t="s">
        <v>430</v>
      </c>
      <c r="F678" s="247" t="s">
        <v>430</v>
      </c>
      <c r="G678" s="247" t="s">
        <v>430</v>
      </c>
      <c r="H678" s="247" t="s">
        <v>430</v>
      </c>
      <c r="I678" s="247" t="s">
        <v>430</v>
      </c>
      <c r="J678" s="247" t="s">
        <v>430</v>
      </c>
      <c r="K678" s="247" t="s">
        <v>430</v>
      </c>
      <c r="L678" s="247" t="s">
        <v>430</v>
      </c>
      <c r="M678" s="247" t="s">
        <v>430</v>
      </c>
      <c r="N678" s="247" t="s">
        <v>430</v>
      </c>
      <c r="O678" s="247" t="s">
        <v>430</v>
      </c>
      <c r="P678" s="247" t="s">
        <v>430</v>
      </c>
      <c r="Q678" s="247" t="s">
        <v>430</v>
      </c>
      <c r="R678" s="247" t="s">
        <v>430</v>
      </c>
      <c r="S678" s="247" t="s">
        <v>430</v>
      </c>
      <c r="T678" s="247" t="s">
        <v>430</v>
      </c>
      <c r="U678" s="247" t="s">
        <v>430</v>
      </c>
      <c r="V678" s="247" t="s">
        <v>430</v>
      </c>
      <c r="W678" s="247" t="s">
        <v>430</v>
      </c>
      <c r="X678" s="247" t="s">
        <v>430</v>
      </c>
      <c r="Y678" s="247" t="s">
        <v>430</v>
      </c>
    </row>
    <row r="679" spans="1:26" x14ac:dyDescent="0.25">
      <c r="A679" s="243" t="s">
        <v>493</v>
      </c>
      <c r="B679" s="247" t="s">
        <v>430</v>
      </c>
      <c r="C679" s="247" t="s">
        <v>430</v>
      </c>
      <c r="D679" s="247" t="s">
        <v>430</v>
      </c>
      <c r="E679" s="247" t="s">
        <v>430</v>
      </c>
      <c r="F679" s="247" t="s">
        <v>430</v>
      </c>
      <c r="G679" s="247" t="s">
        <v>430</v>
      </c>
      <c r="H679" s="247" t="s">
        <v>430</v>
      </c>
      <c r="I679" s="247" t="s">
        <v>430</v>
      </c>
      <c r="J679" s="247" t="s">
        <v>430</v>
      </c>
      <c r="K679" s="247" t="s">
        <v>430</v>
      </c>
      <c r="L679" s="247" t="s">
        <v>430</v>
      </c>
      <c r="M679" s="247" t="s">
        <v>430</v>
      </c>
      <c r="N679" s="247" t="s">
        <v>430</v>
      </c>
      <c r="O679" s="247" t="s">
        <v>430</v>
      </c>
      <c r="P679" s="247" t="s">
        <v>430</v>
      </c>
      <c r="Q679" s="247" t="s">
        <v>430</v>
      </c>
      <c r="R679" s="247" t="s">
        <v>430</v>
      </c>
      <c r="S679" s="247" t="s">
        <v>430</v>
      </c>
      <c r="T679" s="247" t="s">
        <v>430</v>
      </c>
      <c r="U679" s="247" t="s">
        <v>430</v>
      </c>
      <c r="V679" s="247" t="s">
        <v>430</v>
      </c>
      <c r="W679" s="247" t="s">
        <v>430</v>
      </c>
      <c r="X679" s="247" t="s">
        <v>430</v>
      </c>
      <c r="Y679" s="247" t="s">
        <v>430</v>
      </c>
    </row>
    <row r="680" spans="1:26" x14ac:dyDescent="0.25">
      <c r="A680" s="243" t="s">
        <v>494</v>
      </c>
      <c r="B680" s="247">
        <v>9.0916013717651403</v>
      </c>
      <c r="C680" s="247">
        <v>10.5092258453369</v>
      </c>
      <c r="D680" s="247">
        <v>12.005053520202599</v>
      </c>
      <c r="E680" s="247">
        <v>11.6376342773438</v>
      </c>
      <c r="F680" s="247">
        <v>11.8251142501831</v>
      </c>
      <c r="G680" s="247">
        <v>11.7351989746094</v>
      </c>
      <c r="H680" s="247">
        <v>11.6926622390747</v>
      </c>
      <c r="I680" s="247">
        <v>11.6848964691162</v>
      </c>
      <c r="J680" s="247">
        <v>11.6311902999878</v>
      </c>
      <c r="K680" s="247">
        <v>11.6124935150146</v>
      </c>
      <c r="L680" s="247">
        <v>11.616386413574199</v>
      </c>
      <c r="M680" s="247">
        <v>11.566198348999</v>
      </c>
      <c r="N680" s="247">
        <v>11.5507049560547</v>
      </c>
      <c r="O680" s="247">
        <v>11.475526809692401</v>
      </c>
      <c r="P680" s="247">
        <v>11.520403861999499</v>
      </c>
      <c r="Q680" s="247">
        <v>11.477831840515099</v>
      </c>
      <c r="R680" s="247">
        <v>11.5152139663696</v>
      </c>
      <c r="S680" s="247">
        <v>11.577165603637701</v>
      </c>
      <c r="T680" s="247">
        <v>11.5678558349609</v>
      </c>
      <c r="U680" s="247">
        <v>11.7752237319946</v>
      </c>
      <c r="V680" s="247">
        <v>11.90793800354</v>
      </c>
      <c r="W680" s="247">
        <v>12.0465354919434</v>
      </c>
      <c r="X680" s="247">
        <v>12.1843271255493</v>
      </c>
      <c r="Y680" s="247">
        <v>12.407506942749</v>
      </c>
    </row>
    <row r="681" spans="1:26" x14ac:dyDescent="0.25">
      <c r="A681" s="243" t="s">
        <v>495</v>
      </c>
      <c r="B681" s="247">
        <v>8.7129955291747994</v>
      </c>
      <c r="C681" s="247">
        <v>9.89868068695068</v>
      </c>
      <c r="D681" s="247">
        <v>10.9323635101318</v>
      </c>
      <c r="E681" s="247">
        <v>10.516573905944799</v>
      </c>
      <c r="F681" s="247">
        <v>10.8896884918213</v>
      </c>
      <c r="G681" s="247">
        <v>11.1545400619507</v>
      </c>
      <c r="H681" s="247">
        <v>11.1602163314819</v>
      </c>
      <c r="I681" s="247">
        <v>11.210696220397899</v>
      </c>
      <c r="J681" s="247">
        <v>11.2655477523804</v>
      </c>
      <c r="K681" s="247">
        <v>11.312797546386699</v>
      </c>
      <c r="L681" s="247">
        <v>11.4240579605103</v>
      </c>
      <c r="M681" s="247">
        <v>11.453408241271999</v>
      </c>
      <c r="N681" s="247">
        <v>11.43030834198</v>
      </c>
      <c r="O681" s="247">
        <v>11.241268157959</v>
      </c>
      <c r="P681" s="247">
        <v>11.0996809005737</v>
      </c>
      <c r="Q681" s="247">
        <v>10.9476537704468</v>
      </c>
      <c r="R681" s="247">
        <v>10.947796821594199</v>
      </c>
      <c r="S681" s="247">
        <v>10.974308013916</v>
      </c>
      <c r="T681" s="247">
        <v>11.019621849060099</v>
      </c>
      <c r="U681" s="247">
        <v>11.1190385818481</v>
      </c>
      <c r="V681" s="247">
        <v>11.172901153564499</v>
      </c>
      <c r="W681" s="247">
        <v>11.2430562973022</v>
      </c>
      <c r="X681" s="247">
        <v>11.376879692077599</v>
      </c>
      <c r="Y681" s="247">
        <v>11.7449541091919</v>
      </c>
    </row>
    <row r="682" spans="1:26" x14ac:dyDescent="0.25">
      <c r="A682" s="243" t="s">
        <v>496</v>
      </c>
      <c r="B682" s="247">
        <v>6.0538434982299796</v>
      </c>
      <c r="C682" s="247">
        <v>6.4578518867492702</v>
      </c>
      <c r="D682" s="247">
        <v>8.1168746948242205</v>
      </c>
      <c r="E682" s="247">
        <v>7.6875567436218297</v>
      </c>
      <c r="F682" s="247">
        <v>7.8739576339721697</v>
      </c>
      <c r="G682" s="247">
        <v>7.8265089988708496</v>
      </c>
      <c r="H682" s="247">
        <v>7.9840884208679199</v>
      </c>
      <c r="I682" s="247">
        <v>8.0166091918945295</v>
      </c>
      <c r="J682" s="247">
        <v>7.8608303070068404</v>
      </c>
      <c r="K682" s="247">
        <v>7.81276655197144</v>
      </c>
      <c r="L682" s="247">
        <v>7.8045797348022496</v>
      </c>
      <c r="M682" s="247">
        <v>7.7928524017334002</v>
      </c>
      <c r="N682" s="247">
        <v>7.7725591659545898</v>
      </c>
      <c r="O682" s="247">
        <v>7.7157216072082502</v>
      </c>
      <c r="P682" s="247">
        <v>7.7164225578308097</v>
      </c>
      <c r="Q682" s="247">
        <v>7.6991229057312003</v>
      </c>
      <c r="R682" s="247">
        <v>7.7546834945678702</v>
      </c>
      <c r="S682" s="247">
        <v>7.8412432670593297</v>
      </c>
      <c r="T682" s="247">
        <v>7.8916783332824698</v>
      </c>
      <c r="U682" s="247">
        <v>8.0530261993408203</v>
      </c>
      <c r="V682" s="247">
        <v>8.1459932327270508</v>
      </c>
      <c r="W682" s="247">
        <v>8.2922735214233398</v>
      </c>
      <c r="X682" s="247">
        <v>8.4199304580688494</v>
      </c>
      <c r="Y682" s="247">
        <v>8.7479171752929705</v>
      </c>
    </row>
    <row r="683" spans="1:26" x14ac:dyDescent="0.25">
      <c r="A683" s="243" t="s">
        <v>497</v>
      </c>
      <c r="B683" s="247">
        <v>9.5166797637939506</v>
      </c>
      <c r="C683" s="247">
        <v>13.0396432876587</v>
      </c>
      <c r="D683" s="247">
        <v>15.6858806610107</v>
      </c>
      <c r="E683" s="247">
        <v>14.0740518569946</v>
      </c>
      <c r="F683" s="247">
        <v>13.2904262542725</v>
      </c>
      <c r="G683" s="247">
        <v>13.309534072876</v>
      </c>
      <c r="H683" s="247">
        <v>13.149743080139199</v>
      </c>
      <c r="I683" s="247">
        <v>13.0244760513306</v>
      </c>
      <c r="J683" s="247">
        <v>13.1580867767334</v>
      </c>
      <c r="K683" s="247">
        <v>12.982262611389199</v>
      </c>
      <c r="L683" s="247">
        <v>12.9337568283081</v>
      </c>
      <c r="M683" s="247">
        <v>12.8646802902222</v>
      </c>
      <c r="N683" s="247">
        <v>12.621651649475099</v>
      </c>
      <c r="O683" s="247">
        <v>12.775475502014199</v>
      </c>
      <c r="P683" s="247">
        <v>12.937217712402299</v>
      </c>
      <c r="Q683" s="247">
        <v>13.1492967605591</v>
      </c>
      <c r="R683" s="247">
        <v>13.286898612976101</v>
      </c>
      <c r="S683" s="247">
        <v>13.3753395080566</v>
      </c>
      <c r="T683" s="247">
        <v>13.277045249939</v>
      </c>
      <c r="U683" s="247">
        <v>13.584378242492701</v>
      </c>
      <c r="V683" s="247">
        <v>13.775920867919901</v>
      </c>
      <c r="W683" s="247">
        <v>13.987989425659199</v>
      </c>
      <c r="X683" s="247">
        <v>14.116153717041</v>
      </c>
      <c r="Y683" s="247">
        <v>14.3756980895996</v>
      </c>
    </row>
    <row r="684" spans="1:26" x14ac:dyDescent="0.25">
      <c r="A684" s="243" t="s">
        <v>498</v>
      </c>
      <c r="B684" s="247">
        <v>11.3185987472534</v>
      </c>
      <c r="C684" s="247">
        <v>12.9258327484131</v>
      </c>
      <c r="D684" s="247">
        <v>14.650143623352101</v>
      </c>
      <c r="E684" s="247">
        <v>14.344244956970201</v>
      </c>
      <c r="F684" s="247">
        <v>14.6975507736206</v>
      </c>
      <c r="G684" s="247">
        <v>14.347893714904799</v>
      </c>
      <c r="H684" s="247">
        <v>14.238919258117701</v>
      </c>
      <c r="I684" s="247">
        <v>14.238542556762701</v>
      </c>
      <c r="J684" s="247">
        <v>14.0666351318359</v>
      </c>
      <c r="K684" s="247">
        <v>14.0516872406006</v>
      </c>
      <c r="L684" s="247">
        <v>14.0139780044556</v>
      </c>
      <c r="M684" s="247">
        <v>13.894681930541999</v>
      </c>
      <c r="N684" s="247">
        <v>13.9225015640259</v>
      </c>
      <c r="O684" s="247">
        <v>13.8080444335938</v>
      </c>
      <c r="P684" s="247">
        <v>13.9091501235962</v>
      </c>
      <c r="Q684" s="247">
        <v>13.810170173645</v>
      </c>
      <c r="R684" s="247">
        <v>13.822598457336399</v>
      </c>
      <c r="S684" s="247">
        <v>13.882239341735801</v>
      </c>
      <c r="T684" s="247">
        <v>13.824323654174799</v>
      </c>
      <c r="U684" s="247">
        <v>14.0693578720093</v>
      </c>
      <c r="V684" s="247">
        <v>14.2271223068237</v>
      </c>
      <c r="W684" s="247">
        <v>14.3637847900391</v>
      </c>
      <c r="X684" s="247">
        <v>14.4981489181519</v>
      </c>
      <c r="Y684" s="247">
        <v>14.5947113037109</v>
      </c>
    </row>
    <row r="685" spans="1:26" x14ac:dyDescent="0.25">
      <c r="A685" s="243" t="s">
        <v>499</v>
      </c>
      <c r="B685" s="247">
        <v>3.9308724403381299</v>
      </c>
      <c r="C685" s="247">
        <v>4.6628575325012198</v>
      </c>
      <c r="D685" s="247">
        <v>5.07232666015625</v>
      </c>
      <c r="E685" s="247">
        <v>5.1433587074279803</v>
      </c>
      <c r="F685" s="247">
        <v>5.4173622131347701</v>
      </c>
      <c r="G685" s="247">
        <v>5.4097323417663601</v>
      </c>
      <c r="H685" s="247">
        <v>5.3977632522582999</v>
      </c>
      <c r="I685" s="247">
        <v>5.3867764472961399</v>
      </c>
      <c r="J685" s="247">
        <v>5.3854241371154803</v>
      </c>
      <c r="K685" s="247">
        <v>5.3919448852539098</v>
      </c>
      <c r="L685" s="247">
        <v>5.3981180191040004</v>
      </c>
      <c r="M685" s="247">
        <v>5.4056487083435103</v>
      </c>
      <c r="N685" s="247">
        <v>5.4104261398315403</v>
      </c>
      <c r="O685" s="247">
        <v>5.4168543815612802</v>
      </c>
      <c r="P685" s="247">
        <v>5.4972262382507298</v>
      </c>
      <c r="Q685" s="247">
        <v>5.5698432922363299</v>
      </c>
      <c r="R685" s="247">
        <v>5.6456804275512704</v>
      </c>
      <c r="S685" s="247">
        <v>5.7250947952270499</v>
      </c>
      <c r="T685" s="247">
        <v>5.8020553588867196</v>
      </c>
      <c r="U685" s="247">
        <v>5.88106393814087</v>
      </c>
      <c r="V685" s="247">
        <v>5.9598326683044398</v>
      </c>
      <c r="W685" s="247">
        <v>6.0394186973571804</v>
      </c>
      <c r="X685" s="247">
        <v>6.11779880523682</v>
      </c>
      <c r="Y685" s="247">
        <v>6.2010583877563503</v>
      </c>
    </row>
    <row r="686" spans="1:26" x14ac:dyDescent="0.25">
      <c r="A686" s="243" t="s">
        <v>500</v>
      </c>
      <c r="B686" s="247">
        <v>5.1461992263793901</v>
      </c>
      <c r="C686" s="247">
        <v>6.8558807373046902</v>
      </c>
      <c r="D686" s="247">
        <v>7.3508062362670898</v>
      </c>
      <c r="E686" s="247">
        <v>7.3840570449829102</v>
      </c>
      <c r="F686" s="247">
        <v>6.7167382240295401</v>
      </c>
      <c r="G686" s="247">
        <v>6.27575588226318</v>
      </c>
      <c r="H686" s="247">
        <v>5.86295366287231</v>
      </c>
      <c r="I686" s="247">
        <v>5.7038016319274902</v>
      </c>
      <c r="J686" s="247">
        <v>5.5520119667053196</v>
      </c>
      <c r="K686" s="247">
        <v>5.5432248115539604</v>
      </c>
      <c r="L686" s="247">
        <v>5.5985813140869096</v>
      </c>
      <c r="M686" s="247">
        <v>5.70459079742432</v>
      </c>
      <c r="N686" s="247">
        <v>5.8318381309509304</v>
      </c>
      <c r="O686" s="247">
        <v>5.9191007614135698</v>
      </c>
      <c r="P686" s="247">
        <v>5.9519534111022896</v>
      </c>
      <c r="Q686" s="247">
        <v>5.8878293037414604</v>
      </c>
      <c r="R686" s="247">
        <v>5.94315385818481</v>
      </c>
      <c r="S686" s="247">
        <v>6.08443307876587</v>
      </c>
      <c r="T686" s="247">
        <v>6.3156557083129901</v>
      </c>
      <c r="U686" s="247">
        <v>6.4281539916992196</v>
      </c>
      <c r="V686" s="247">
        <v>6.4433326721191397</v>
      </c>
      <c r="W686" s="247">
        <v>6.4763746261596697</v>
      </c>
      <c r="X686" s="247">
        <v>6.5396862030029297</v>
      </c>
      <c r="Y686" s="247">
        <v>6.6462817192077601</v>
      </c>
    </row>
    <row r="687" spans="1:26" x14ac:dyDescent="0.25">
      <c r="A687" s="243" t="s">
        <v>501</v>
      </c>
      <c r="B687" s="247">
        <v>1.2938040494918801</v>
      </c>
      <c r="C687" s="247">
        <v>1.29924309253693</v>
      </c>
      <c r="D687" s="247">
        <v>1.3041912317276001</v>
      </c>
      <c r="E687" s="247">
        <v>1.3119194507598899</v>
      </c>
      <c r="F687" s="247">
        <v>1.3187216520309399</v>
      </c>
      <c r="G687" s="247">
        <v>1.3072546720504801</v>
      </c>
      <c r="H687" s="247">
        <v>1.3059933185577399</v>
      </c>
      <c r="I687" s="247">
        <v>1.2971544265747099</v>
      </c>
      <c r="J687" s="247">
        <v>1.2836289405822801</v>
      </c>
      <c r="K687" s="247">
        <v>1.2749706506729099</v>
      </c>
      <c r="L687" s="247">
        <v>1.26953566074371</v>
      </c>
      <c r="M687" s="247">
        <v>1.2652333974838299</v>
      </c>
      <c r="N687" s="247">
        <v>1.2631930112838701</v>
      </c>
      <c r="O687" s="247">
        <v>1.2626041173934901</v>
      </c>
      <c r="P687" s="247">
        <v>1.26433837413788</v>
      </c>
      <c r="Q687" s="247">
        <v>1.26277422904968</v>
      </c>
      <c r="R687" s="247">
        <v>1.2691743373870801</v>
      </c>
      <c r="S687" s="247">
        <v>1.27585673332214</v>
      </c>
      <c r="T687" s="247">
        <v>1.3034254312515301</v>
      </c>
      <c r="U687" s="247">
        <v>1.3139834403991699</v>
      </c>
      <c r="V687" s="247">
        <v>1.32844221591949</v>
      </c>
      <c r="W687" s="247">
        <v>1.3343856334686299</v>
      </c>
      <c r="X687" s="247">
        <v>1.3519768714904801</v>
      </c>
      <c r="Y687" s="247">
        <v>1.3668735027313199</v>
      </c>
    </row>
    <row r="688" spans="1:26" x14ac:dyDescent="0.25">
      <c r="A688" s="243" t="s">
        <v>502</v>
      </c>
      <c r="B688" s="247">
        <v>14.6543264389038</v>
      </c>
      <c r="C688" s="247">
        <v>16.232709884643601</v>
      </c>
      <c r="D688" s="247">
        <v>19.6646022796631</v>
      </c>
      <c r="E688" s="247">
        <v>19.716905593872099</v>
      </c>
      <c r="F688" s="247">
        <v>20.910398483276399</v>
      </c>
      <c r="G688" s="247">
        <v>20.088336944580099</v>
      </c>
      <c r="H688" s="247">
        <v>20.034643173217798</v>
      </c>
      <c r="I688" s="247">
        <v>19.876234054565401</v>
      </c>
      <c r="J688" s="247">
        <v>19.0899848937988</v>
      </c>
      <c r="K688" s="247">
        <v>19.0770473480225</v>
      </c>
      <c r="L688" s="247">
        <v>18.9334907531738</v>
      </c>
      <c r="M688" s="247">
        <v>18.8203315734863</v>
      </c>
      <c r="N688" s="247">
        <v>18.8769016265869</v>
      </c>
      <c r="O688" s="247">
        <v>18.733657836914102</v>
      </c>
      <c r="P688" s="247">
        <v>18.836368560791001</v>
      </c>
      <c r="Q688" s="247">
        <v>18.717578887939499</v>
      </c>
      <c r="R688" s="247">
        <v>18.677961349487301</v>
      </c>
      <c r="S688" s="247">
        <v>18.768825531005898</v>
      </c>
      <c r="T688" s="247">
        <v>18.702945709228501</v>
      </c>
      <c r="U688" s="247">
        <v>19.039726257324201</v>
      </c>
      <c r="V688" s="247">
        <v>19.213029861450199</v>
      </c>
      <c r="W688" s="247">
        <v>19.429216384887699</v>
      </c>
      <c r="X688" s="247">
        <v>19.537574768066399</v>
      </c>
      <c r="Y688" s="247">
        <v>19.6945476531982</v>
      </c>
    </row>
    <row r="689" spans="1:28" x14ac:dyDescent="0.25">
      <c r="A689" s="243" t="s">
        <v>469</v>
      </c>
      <c r="B689" s="247">
        <v>21.599882125854499</v>
      </c>
      <c r="C689" s="247">
        <v>21.735733032226602</v>
      </c>
      <c r="D689" s="247">
        <v>21.731866836547901</v>
      </c>
      <c r="E689" s="247">
        <v>21.659553527831999</v>
      </c>
      <c r="F689" s="247">
        <v>20.918876647949201</v>
      </c>
      <c r="G689" s="247">
        <v>20.055833816528299</v>
      </c>
      <c r="H689" s="247">
        <v>19.596654891967798</v>
      </c>
      <c r="I689" s="247">
        <v>19.579929351806602</v>
      </c>
      <c r="J689" s="247">
        <v>19.517631530761701</v>
      </c>
      <c r="K689" s="247">
        <v>19.486770629882798</v>
      </c>
      <c r="L689" s="247">
        <v>19.702039718627901</v>
      </c>
      <c r="M689" s="247">
        <v>19.955158233642599</v>
      </c>
      <c r="N689" s="247">
        <v>20.317079544067401</v>
      </c>
      <c r="O689" s="247">
        <v>20.442613601684599</v>
      </c>
      <c r="P689" s="247">
        <v>20.578334808349599</v>
      </c>
      <c r="Q689" s="247">
        <v>20.580734252929702</v>
      </c>
      <c r="R689" s="247">
        <v>20.7274265289307</v>
      </c>
      <c r="S689" s="247">
        <v>20.953577041626001</v>
      </c>
      <c r="T689" s="247">
        <v>21.262916564941399</v>
      </c>
      <c r="U689" s="247">
        <v>21.454774856567401</v>
      </c>
      <c r="V689" s="247">
        <v>21.4308891296387</v>
      </c>
      <c r="W689" s="247">
        <v>21.3733520507813</v>
      </c>
      <c r="X689" s="247">
        <v>21.452013015747099</v>
      </c>
      <c r="Y689" s="247">
        <v>21.5757865905762</v>
      </c>
    </row>
    <row r="690" spans="1:28" x14ac:dyDescent="0.25">
      <c r="A690" s="243" t="s">
        <v>430</v>
      </c>
      <c r="B690" s="247" t="s">
        <v>430</v>
      </c>
      <c r="C690" s="247" t="s">
        <v>430</v>
      </c>
      <c r="D690" s="247" t="s">
        <v>430</v>
      </c>
      <c r="E690" s="247" t="s">
        <v>430</v>
      </c>
      <c r="F690" s="247" t="s">
        <v>430</v>
      </c>
      <c r="G690" s="247" t="s">
        <v>430</v>
      </c>
      <c r="H690" s="247" t="s">
        <v>430</v>
      </c>
      <c r="I690" s="247" t="s">
        <v>430</v>
      </c>
      <c r="J690" s="247" t="s">
        <v>430</v>
      </c>
      <c r="K690" s="247" t="s">
        <v>430</v>
      </c>
      <c r="L690" s="247" t="s">
        <v>430</v>
      </c>
      <c r="M690" s="247" t="s">
        <v>430</v>
      </c>
      <c r="N690" s="247" t="s">
        <v>430</v>
      </c>
      <c r="O690" s="247" t="s">
        <v>430</v>
      </c>
      <c r="P690" s="247" t="s">
        <v>430</v>
      </c>
      <c r="Q690" s="247" t="s">
        <v>430</v>
      </c>
      <c r="R690" s="247" t="s">
        <v>430</v>
      </c>
      <c r="S690" s="247" t="s">
        <v>430</v>
      </c>
      <c r="T690" s="247" t="s">
        <v>430</v>
      </c>
      <c r="U690" s="247" t="s">
        <v>430</v>
      </c>
      <c r="V690" s="247" t="s">
        <v>430</v>
      </c>
      <c r="W690" s="247" t="s">
        <v>430</v>
      </c>
      <c r="X690" s="247" t="s">
        <v>430</v>
      </c>
      <c r="Y690" s="247" t="s">
        <v>430</v>
      </c>
    </row>
    <row r="691" spans="1:28" x14ac:dyDescent="0.25">
      <c r="A691" s="243" t="s">
        <v>503</v>
      </c>
      <c r="B691" s="247" t="s">
        <v>430</v>
      </c>
      <c r="C691" s="247" t="s">
        <v>430</v>
      </c>
      <c r="D691" s="247" t="s">
        <v>430</v>
      </c>
      <c r="E691" s="247" t="s">
        <v>430</v>
      </c>
      <c r="F691" s="247" t="s">
        <v>430</v>
      </c>
      <c r="G691" s="247" t="s">
        <v>430</v>
      </c>
      <c r="H691" s="247" t="s">
        <v>430</v>
      </c>
      <c r="I691" s="247" t="s">
        <v>430</v>
      </c>
      <c r="J691" s="247" t="s">
        <v>430</v>
      </c>
      <c r="K691" s="247" t="s">
        <v>430</v>
      </c>
      <c r="L691" s="247" t="s">
        <v>430</v>
      </c>
      <c r="M691" s="247" t="s">
        <v>430</v>
      </c>
      <c r="N691" s="247" t="s">
        <v>430</v>
      </c>
      <c r="O691" s="247" t="s">
        <v>430</v>
      </c>
      <c r="P691" s="247" t="s">
        <v>430</v>
      </c>
      <c r="Q691" s="247" t="s">
        <v>430</v>
      </c>
      <c r="R691" s="247" t="s">
        <v>430</v>
      </c>
      <c r="S691" s="247" t="s">
        <v>430</v>
      </c>
      <c r="T691" s="247" t="s">
        <v>430</v>
      </c>
      <c r="U691" s="247" t="s">
        <v>430</v>
      </c>
      <c r="V691" s="247" t="s">
        <v>430</v>
      </c>
      <c r="W691" s="247" t="s">
        <v>430</v>
      </c>
      <c r="X691" s="247" t="s">
        <v>430</v>
      </c>
      <c r="Y691" s="247" t="s">
        <v>430</v>
      </c>
    </row>
    <row r="692" spans="1:28" x14ac:dyDescent="0.25">
      <c r="A692" s="243" t="s">
        <v>504</v>
      </c>
      <c r="B692" s="247" t="s">
        <v>430</v>
      </c>
      <c r="C692" s="247" t="s">
        <v>430</v>
      </c>
      <c r="D692" s="247" t="s">
        <v>430</v>
      </c>
      <c r="E692" s="247" t="s">
        <v>430</v>
      </c>
      <c r="F692" s="247" t="s">
        <v>430</v>
      </c>
      <c r="G692" s="247" t="s">
        <v>430</v>
      </c>
      <c r="H692" s="247" t="s">
        <v>430</v>
      </c>
      <c r="I692" s="247" t="s">
        <v>430</v>
      </c>
      <c r="J692" s="247" t="s">
        <v>430</v>
      </c>
      <c r="K692" s="247" t="s">
        <v>430</v>
      </c>
      <c r="L692" s="247" t="s">
        <v>430</v>
      </c>
      <c r="M692" s="247" t="s">
        <v>430</v>
      </c>
      <c r="N692" s="247" t="s">
        <v>430</v>
      </c>
      <c r="O692" s="247" t="s">
        <v>430</v>
      </c>
      <c r="P692" s="247" t="s">
        <v>430</v>
      </c>
      <c r="Q692" s="247" t="s">
        <v>430</v>
      </c>
      <c r="R692" s="247" t="s">
        <v>430</v>
      </c>
      <c r="S692" s="247" t="s">
        <v>430</v>
      </c>
      <c r="T692" s="247" t="s">
        <v>430</v>
      </c>
      <c r="U692" s="247" t="s">
        <v>430</v>
      </c>
      <c r="V692" s="247" t="s">
        <v>430</v>
      </c>
      <c r="W692" s="247" t="s">
        <v>430</v>
      </c>
      <c r="X692" s="247" t="s">
        <v>430</v>
      </c>
      <c r="Y692" s="247" t="s">
        <v>430</v>
      </c>
    </row>
    <row r="693" spans="1:28" x14ac:dyDescent="0.25">
      <c r="A693" s="243" t="s">
        <v>463</v>
      </c>
      <c r="B693" s="247">
        <v>163.90481567382801</v>
      </c>
      <c r="C693" s="247">
        <v>177.16523742675801</v>
      </c>
      <c r="D693" s="247">
        <v>181.73590087890599</v>
      </c>
      <c r="E693" s="247">
        <v>185.241622924805</v>
      </c>
      <c r="F693" s="247">
        <v>180.05682373046901</v>
      </c>
      <c r="G693" s="247">
        <v>176.427001953125</v>
      </c>
      <c r="H693" s="247">
        <v>175.07618713378901</v>
      </c>
      <c r="I693" s="247">
        <v>176.51165771484401</v>
      </c>
      <c r="J693" s="247">
        <v>178.08059692382801</v>
      </c>
      <c r="K693" s="247">
        <v>180.014236450195</v>
      </c>
      <c r="L693" s="247">
        <v>183.85498046875</v>
      </c>
      <c r="M693" s="247">
        <v>187.18310546875</v>
      </c>
      <c r="N693" s="247">
        <v>191.43936157226599</v>
      </c>
      <c r="O693" s="247">
        <v>194.37899780273401</v>
      </c>
      <c r="P693" s="247">
        <v>197.52023315429699</v>
      </c>
      <c r="Q693" s="247">
        <v>198.76248168945301</v>
      </c>
      <c r="R693" s="247">
        <v>201.94073486328099</v>
      </c>
      <c r="S693" s="247">
        <v>206.017013549805</v>
      </c>
      <c r="T693" s="247">
        <v>211.20541381835901</v>
      </c>
      <c r="U693" s="247">
        <v>214.41099548339801</v>
      </c>
      <c r="V693" s="247">
        <v>216.40347290039099</v>
      </c>
      <c r="W693" s="247">
        <v>218.64796447753901</v>
      </c>
      <c r="X693" s="247">
        <v>222.25126647949199</v>
      </c>
      <c r="Y693" s="247">
        <v>225.36584472656301</v>
      </c>
      <c r="AA693" s="299"/>
      <c r="AB693" s="299"/>
    </row>
    <row r="694" spans="1:28" x14ac:dyDescent="0.25">
      <c r="A694" s="243" t="s">
        <v>470</v>
      </c>
      <c r="B694" s="247">
        <v>122.690147399902</v>
      </c>
      <c r="C694" s="247">
        <v>128.153732299805</v>
      </c>
      <c r="D694" s="247">
        <v>130.48612976074199</v>
      </c>
      <c r="E694" s="247">
        <v>132.29133605957</v>
      </c>
      <c r="F694" s="247">
        <v>129.27566528320301</v>
      </c>
      <c r="G694" s="247">
        <v>126.887260437012</v>
      </c>
      <c r="H694" s="247">
        <v>126.692184448242</v>
      </c>
      <c r="I694" s="247">
        <v>129.41491699218801</v>
      </c>
      <c r="J694" s="247">
        <v>131.90731811523401</v>
      </c>
      <c r="K694" s="247">
        <v>135.04089355468801</v>
      </c>
      <c r="L694" s="247">
        <v>139.741943359375</v>
      </c>
      <c r="M694" s="247">
        <v>144.63902282714801</v>
      </c>
      <c r="N694" s="247">
        <v>150.53921508789099</v>
      </c>
      <c r="O694" s="247">
        <v>154.864669799805</v>
      </c>
      <c r="P694" s="247">
        <v>159.25378417968801</v>
      </c>
      <c r="Q694" s="247">
        <v>162.59527587890599</v>
      </c>
      <c r="R694" s="247">
        <v>167.29981994628901</v>
      </c>
      <c r="S694" s="247">
        <v>172.854415893555</v>
      </c>
      <c r="T694" s="247">
        <v>179.18412780761699</v>
      </c>
      <c r="U694" s="247">
        <v>184.76553344726599</v>
      </c>
      <c r="V694" s="247">
        <v>188.65592956543</v>
      </c>
      <c r="W694" s="247">
        <v>192.56275939941401</v>
      </c>
      <c r="X694" s="247">
        <v>197.80290222168</v>
      </c>
      <c r="Y694" s="247">
        <v>203.64804077148401</v>
      </c>
    </row>
    <row r="695" spans="1:28" x14ac:dyDescent="0.25">
      <c r="A695" s="243" t="s">
        <v>505</v>
      </c>
      <c r="B695" s="247">
        <v>124.39901733398401</v>
      </c>
      <c r="C695" s="247">
        <v>147.11244201660199</v>
      </c>
      <c r="D695" s="247">
        <v>168.13270568847699</v>
      </c>
      <c r="E695" s="247">
        <v>167.53501892089801</v>
      </c>
      <c r="F695" s="247">
        <v>157.82022094726599</v>
      </c>
      <c r="G695" s="247">
        <v>152.842697143555</v>
      </c>
      <c r="H695" s="247">
        <v>151.28466796875</v>
      </c>
      <c r="I695" s="247">
        <v>151.59564208984401</v>
      </c>
      <c r="J695" s="247">
        <v>151.94683837890599</v>
      </c>
      <c r="K695" s="247">
        <v>152.62234497070301</v>
      </c>
      <c r="L695" s="247">
        <v>154.60144042968801</v>
      </c>
      <c r="M695" s="247">
        <v>156.88139343261699</v>
      </c>
      <c r="N695" s="247">
        <v>159.98997497558599</v>
      </c>
      <c r="O695" s="247">
        <v>162.62356567382801</v>
      </c>
      <c r="P695" s="247">
        <v>164.507247924805</v>
      </c>
      <c r="Q695" s="247">
        <v>166.59835815429699</v>
      </c>
      <c r="R695" s="247">
        <v>170.382568359375</v>
      </c>
      <c r="S695" s="247">
        <v>174.95167541503901</v>
      </c>
      <c r="T695" s="247">
        <v>179.57080078125</v>
      </c>
      <c r="U695" s="247">
        <v>184.12712097168</v>
      </c>
      <c r="V695" s="247">
        <v>186.42012023925801</v>
      </c>
      <c r="W695" s="247">
        <v>189.56260681152301</v>
      </c>
      <c r="X695" s="247">
        <v>192.98284912109401</v>
      </c>
      <c r="Y695" s="247">
        <v>198.25885009765599</v>
      </c>
    </row>
    <row r="696" spans="1:28" x14ac:dyDescent="0.25">
      <c r="A696" s="243" t="s">
        <v>477</v>
      </c>
      <c r="B696" s="247">
        <v>263.72879028320301</v>
      </c>
      <c r="C696" s="247">
        <v>302.59255981445301</v>
      </c>
      <c r="D696" s="247">
        <v>352.23825073242199</v>
      </c>
      <c r="E696" s="247">
        <v>351.13717651367199</v>
      </c>
      <c r="F696" s="247">
        <v>366.34793090820301</v>
      </c>
      <c r="G696" s="247">
        <v>368.76159667968801</v>
      </c>
      <c r="H696" s="247">
        <v>374.76626586914102</v>
      </c>
      <c r="I696" s="247">
        <v>382.39471435546898</v>
      </c>
      <c r="J696" s="247">
        <v>385.90115356445301</v>
      </c>
      <c r="K696" s="247">
        <v>392.12625122070301</v>
      </c>
      <c r="L696" s="247">
        <v>398.68222045898398</v>
      </c>
      <c r="M696" s="247">
        <v>403.06192016601602</v>
      </c>
      <c r="N696" s="247">
        <v>409.94515991210898</v>
      </c>
      <c r="O696" s="247">
        <v>412.30630493164102</v>
      </c>
      <c r="P696" s="247">
        <v>418.64147949218801</v>
      </c>
      <c r="Q696" s="247">
        <v>421.60382080078102</v>
      </c>
      <c r="R696" s="247">
        <v>428.44393920898398</v>
      </c>
      <c r="S696" s="247">
        <v>436.35858154296898</v>
      </c>
      <c r="T696" s="247">
        <v>441.71078491210898</v>
      </c>
      <c r="U696" s="247">
        <v>454.05059814453102</v>
      </c>
      <c r="V696" s="247">
        <v>464.07431030273398</v>
      </c>
      <c r="W696" s="247">
        <v>474.87463378906301</v>
      </c>
      <c r="X696" s="247">
        <v>486.72909545898398</v>
      </c>
      <c r="Y696" s="247">
        <v>501.322265625</v>
      </c>
    </row>
    <row r="697" spans="1:28" x14ac:dyDescent="0.25">
      <c r="A697" s="243" t="s">
        <v>506</v>
      </c>
      <c r="B697" s="247">
        <v>674.72277832031295</v>
      </c>
      <c r="C697" s="247">
        <v>755.02398681640602</v>
      </c>
      <c r="D697" s="247">
        <v>832.593017578125</v>
      </c>
      <c r="E697" s="247">
        <v>836.20513916015602</v>
      </c>
      <c r="F697" s="247">
        <v>833.50061035156295</v>
      </c>
      <c r="G697" s="247">
        <v>824.91857910156295</v>
      </c>
      <c r="H697" s="247">
        <v>827.8193359375</v>
      </c>
      <c r="I697" s="247">
        <v>839.91693115234398</v>
      </c>
      <c r="J697" s="247">
        <v>847.8359375</v>
      </c>
      <c r="K697" s="247">
        <v>859.8037109375</v>
      </c>
      <c r="L697" s="247">
        <v>876.880615234375</v>
      </c>
      <c r="M697" s="247">
        <v>891.76544189453102</v>
      </c>
      <c r="N697" s="247">
        <v>911.91369628906295</v>
      </c>
      <c r="O697" s="247">
        <v>924.17352294921898</v>
      </c>
      <c r="P697" s="247">
        <v>939.92272949218795</v>
      </c>
      <c r="Q697" s="247">
        <v>949.55993652343795</v>
      </c>
      <c r="R697" s="247">
        <v>968.06707763671898</v>
      </c>
      <c r="S697" s="247">
        <v>990.18170166015602</v>
      </c>
      <c r="T697" s="247">
        <v>1011.67114257813</v>
      </c>
      <c r="U697" s="247">
        <v>1037.35424804688</v>
      </c>
      <c r="V697" s="247">
        <v>1055.55383300781</v>
      </c>
      <c r="W697" s="247">
        <v>1075.64794921875</v>
      </c>
      <c r="X697" s="247">
        <v>1099.76611328125</v>
      </c>
      <c r="Y697" s="247">
        <v>1128.59497070313</v>
      </c>
    </row>
    <row r="698" spans="1:28" x14ac:dyDescent="0.25">
      <c r="A698" s="243" t="s">
        <v>507</v>
      </c>
      <c r="B698" s="247">
        <v>1.1704622767865699E-2</v>
      </c>
      <c r="C698" s="247">
        <v>1.72001253813505E-2</v>
      </c>
      <c r="D698" s="247">
        <v>2.0739471539855E-2</v>
      </c>
      <c r="E698" s="247">
        <v>2.2715086117386801E-2</v>
      </c>
      <c r="F698" s="247">
        <v>2.5078095495700801E-2</v>
      </c>
      <c r="G698" s="247">
        <v>2.8324941173195801E-2</v>
      </c>
      <c r="H698" s="247">
        <v>3.1410280615091303E-2</v>
      </c>
      <c r="I698" s="247">
        <v>3.5102743655443198E-2</v>
      </c>
      <c r="J698" s="247">
        <v>3.9645586162805599E-2</v>
      </c>
      <c r="K698" s="247">
        <v>4.3348435312509502E-2</v>
      </c>
      <c r="L698" s="247">
        <v>4.6531450003385502E-2</v>
      </c>
      <c r="M698" s="247">
        <v>4.9735426902771003E-2</v>
      </c>
      <c r="N698" s="247">
        <v>5.3442426025867497E-2</v>
      </c>
      <c r="O698" s="247">
        <v>5.6060969829559298E-2</v>
      </c>
      <c r="P698" s="247">
        <v>6.0336232185363797E-2</v>
      </c>
      <c r="Q698" s="247">
        <v>6.3296250998973805E-2</v>
      </c>
      <c r="R698" s="247">
        <v>6.6096656024455996E-2</v>
      </c>
      <c r="S698" s="247">
        <v>6.9950148463249207E-2</v>
      </c>
      <c r="T698" s="247">
        <v>7.2811737656593295E-2</v>
      </c>
      <c r="U698" s="247">
        <v>7.6670221984386402E-2</v>
      </c>
      <c r="V698" s="247">
        <v>8.0276548862457303E-2</v>
      </c>
      <c r="W698" s="247">
        <v>8.4626309573650402E-2</v>
      </c>
      <c r="X698" s="247">
        <v>8.8446177542209597E-2</v>
      </c>
      <c r="Y698" s="247">
        <v>9.2330038547515897E-2</v>
      </c>
    </row>
    <row r="699" spans="1:28" x14ac:dyDescent="0.25">
      <c r="A699" s="243" t="s">
        <v>508</v>
      </c>
      <c r="B699" s="247">
        <v>674.73449707031295</v>
      </c>
      <c r="C699" s="247">
        <v>755.04119873046898</v>
      </c>
      <c r="D699" s="247">
        <v>832.61376953125</v>
      </c>
      <c r="E699" s="247">
        <v>836.22784423828102</v>
      </c>
      <c r="F699" s="247">
        <v>833.52569580078102</v>
      </c>
      <c r="G699" s="247">
        <v>824.94689941406295</v>
      </c>
      <c r="H699" s="247">
        <v>827.85076904296898</v>
      </c>
      <c r="I699" s="247">
        <v>839.95202636718795</v>
      </c>
      <c r="J699" s="247">
        <v>847.87561035156295</v>
      </c>
      <c r="K699" s="247">
        <v>859.84704589843795</v>
      </c>
      <c r="L699" s="247">
        <v>876.92712402343795</v>
      </c>
      <c r="M699" s="247">
        <v>891.815185546875</v>
      </c>
      <c r="N699" s="247">
        <v>911.96716308593795</v>
      </c>
      <c r="O699" s="247">
        <v>924.22961425781295</v>
      </c>
      <c r="P699" s="247">
        <v>939.98309326171898</v>
      </c>
      <c r="Q699" s="247">
        <v>949.62322998046898</v>
      </c>
      <c r="R699" s="247">
        <v>968.13317871093795</v>
      </c>
      <c r="S699" s="247">
        <v>990.25164794921898</v>
      </c>
      <c r="T699" s="247">
        <v>1011.74395751953</v>
      </c>
      <c r="U699" s="247">
        <v>1037.43090820313</v>
      </c>
      <c r="V699" s="247">
        <v>1055.63415527344</v>
      </c>
      <c r="W699" s="247">
        <v>1075.73254394531</v>
      </c>
      <c r="X699" s="247">
        <v>1099.85461425781</v>
      </c>
      <c r="Y699" s="247">
        <v>1128.68725585938</v>
      </c>
    </row>
    <row r="700" spans="1:28" x14ac:dyDescent="0.25">
      <c r="A700" s="243" t="s">
        <v>581</v>
      </c>
      <c r="B700" s="247"/>
      <c r="C700" s="247"/>
      <c r="D700" s="247"/>
      <c r="E700" s="247"/>
      <c r="F700" s="247"/>
      <c r="G700" s="247"/>
      <c r="H700" s="247"/>
      <c r="I700" s="247"/>
      <c r="J700" s="247"/>
      <c r="K700" s="247"/>
      <c r="L700" s="247"/>
      <c r="M700" s="247"/>
      <c r="N700" s="247"/>
      <c r="O700" s="247"/>
      <c r="P700" s="247"/>
      <c r="Q700" s="247"/>
      <c r="R700" s="247"/>
      <c r="S700" s="247"/>
      <c r="T700" s="247"/>
      <c r="U700" s="247"/>
      <c r="V700" s="247"/>
      <c r="W700" s="247"/>
      <c r="X700" s="247"/>
      <c r="Y700" s="247"/>
    </row>
    <row r="701" spans="1:28" x14ac:dyDescent="0.25">
      <c r="A701" s="296" t="s">
        <v>1063</v>
      </c>
      <c r="B701" s="292">
        <v>1.1960935989170374</v>
      </c>
      <c r="C701" s="292">
        <v>1.1960935989170374</v>
      </c>
      <c r="D701" s="292">
        <v>1.1960935989170374</v>
      </c>
      <c r="E701" s="292">
        <v>1.1960935989170374</v>
      </c>
      <c r="F701" s="292">
        <v>1.1960935989170374</v>
      </c>
      <c r="G701" s="292">
        <v>1.1960935989170374</v>
      </c>
      <c r="H701" s="292">
        <v>1.1960935989170374</v>
      </c>
      <c r="I701" s="292">
        <v>1.1960935989170374</v>
      </c>
      <c r="J701" s="292">
        <v>1.1960935989170374</v>
      </c>
      <c r="K701" s="292">
        <v>1.198027460839296</v>
      </c>
      <c r="L701" s="292">
        <v>1.2067298394894606</v>
      </c>
      <c r="M701" s="292">
        <v>1.2415393540901181</v>
      </c>
      <c r="N701" s="292">
        <v>1.244440146973506</v>
      </c>
      <c r="O701" s="292">
        <v>1.2657126281183524</v>
      </c>
      <c r="P701" s="292">
        <v>1.2686134210017406</v>
      </c>
      <c r="Q701" s="292">
        <v>1.2840843163798106</v>
      </c>
      <c r="R701" s="292">
        <v>1.2792496615741635</v>
      </c>
      <c r="S701" s="292">
        <v>1.3034229356023981</v>
      </c>
      <c r="T701" s="292">
        <v>1.3217946238638563</v>
      </c>
      <c r="U701" s="292">
        <v>1.3759427576871011</v>
      </c>
      <c r="V701" s="292">
        <v>1.3943144459485595</v>
      </c>
      <c r="W701" s="293">
        <v>1.4001160317153356</v>
      </c>
      <c r="X701" s="293">
        <v>1.4242893057435699</v>
      </c>
      <c r="Y701" s="293">
        <v>1.4378263391993813</v>
      </c>
      <c r="Z701" s="290">
        <f>Y701+($AI$531-$Y$701)/10</f>
        <v>1.5542937052794432</v>
      </c>
    </row>
    <row r="702" spans="1:28" x14ac:dyDescent="0.25">
      <c r="A702" s="276" t="s">
        <v>310</v>
      </c>
      <c r="B702" s="292">
        <v>8.7353999999999985</v>
      </c>
      <c r="C702" s="292">
        <v>8.7353999999999985</v>
      </c>
      <c r="D702" s="292">
        <v>8.7353999999999985</v>
      </c>
      <c r="E702" s="292">
        <v>8.7353999999999985</v>
      </c>
      <c r="F702" s="292">
        <v>8.7353999999999985</v>
      </c>
      <c r="G702" s="292">
        <v>8.7353999999999985</v>
      </c>
      <c r="H702" s="292">
        <v>8.7353999999999985</v>
      </c>
      <c r="I702" s="292">
        <v>8.7353999999999985</v>
      </c>
      <c r="J702" s="292">
        <v>8.7353999999999985</v>
      </c>
      <c r="K702" s="292">
        <v>8.7353999999999985</v>
      </c>
      <c r="L702" s="292">
        <v>8.7353999999999985</v>
      </c>
      <c r="M702" s="292">
        <v>8.7353999999999985</v>
      </c>
      <c r="N702" s="292">
        <v>8.7353999999999985</v>
      </c>
      <c r="O702" s="292">
        <v>8.7353999999999985</v>
      </c>
      <c r="P702" s="292">
        <v>8.7353999999999985</v>
      </c>
      <c r="Q702" s="292">
        <v>8.7353999999999985</v>
      </c>
      <c r="R702" s="292">
        <v>8.7353999999999985</v>
      </c>
      <c r="S702" s="292">
        <v>8.7353999999999985</v>
      </c>
      <c r="T702" s="292">
        <v>8.7353999999999985</v>
      </c>
      <c r="U702" s="292">
        <v>8.7353999999999985</v>
      </c>
      <c r="V702" s="292">
        <v>8.7353999999999985</v>
      </c>
      <c r="W702" s="293">
        <v>8.7353999999999985</v>
      </c>
      <c r="X702" s="293">
        <v>8.7353999999999985</v>
      </c>
      <c r="Y702" s="293">
        <v>8.7353999999999985</v>
      </c>
      <c r="Z702" s="293">
        <v>8.7353999999999985</v>
      </c>
    </row>
    <row r="703" spans="1:28" x14ac:dyDescent="0.25">
      <c r="A703" s="297" t="s">
        <v>583</v>
      </c>
      <c r="B703" s="294">
        <v>4.78</v>
      </c>
      <c r="C703" s="294">
        <v>4.78</v>
      </c>
      <c r="D703" s="294">
        <v>4.78</v>
      </c>
      <c r="E703" s="294">
        <v>4.78</v>
      </c>
      <c r="F703" s="294">
        <v>4.78</v>
      </c>
      <c r="G703" s="294">
        <v>4.78</v>
      </c>
      <c r="H703" s="294">
        <v>4.78</v>
      </c>
      <c r="I703" s="294">
        <v>4.78</v>
      </c>
      <c r="J703" s="294">
        <v>4.78</v>
      </c>
      <c r="K703" s="294">
        <v>4.78</v>
      </c>
      <c r="L703" s="294">
        <v>4.78</v>
      </c>
      <c r="M703" s="294">
        <v>4.78</v>
      </c>
      <c r="N703" s="294">
        <v>4.78</v>
      </c>
      <c r="O703" s="294">
        <v>4.78</v>
      </c>
      <c r="P703" s="294">
        <v>4.78</v>
      </c>
      <c r="Q703" s="294">
        <v>4.78</v>
      </c>
      <c r="R703" s="294">
        <v>4.78</v>
      </c>
      <c r="S703" s="294">
        <v>4.78</v>
      </c>
      <c r="T703" s="294">
        <v>4.78</v>
      </c>
      <c r="U703" s="294">
        <v>4.78</v>
      </c>
      <c r="V703" s="294">
        <v>4.78</v>
      </c>
      <c r="W703" s="294">
        <v>4.78</v>
      </c>
      <c r="X703" s="294">
        <v>4.78</v>
      </c>
      <c r="Y703" s="294">
        <v>4.78</v>
      </c>
      <c r="Z703" s="294">
        <v>4.78</v>
      </c>
    </row>
    <row r="704" spans="1:28" x14ac:dyDescent="0.25">
      <c r="A704" s="298" t="s">
        <v>584</v>
      </c>
      <c r="B704" s="293" t="e">
        <f t="shared" ref="B704:Z704" si="81">B703*GJ_p_MMBtu</f>
        <v>#NAME?</v>
      </c>
      <c r="C704" s="293" t="e">
        <f t="shared" si="81"/>
        <v>#NAME?</v>
      </c>
      <c r="D704" s="293" t="e">
        <f t="shared" si="81"/>
        <v>#NAME?</v>
      </c>
      <c r="E704" s="293" t="e">
        <f t="shared" si="81"/>
        <v>#NAME?</v>
      </c>
      <c r="F704" s="293" t="e">
        <f t="shared" si="81"/>
        <v>#NAME?</v>
      </c>
      <c r="G704" s="293" t="e">
        <f t="shared" si="81"/>
        <v>#NAME?</v>
      </c>
      <c r="H704" s="293" t="e">
        <f t="shared" si="81"/>
        <v>#NAME?</v>
      </c>
      <c r="I704" s="293" t="e">
        <f t="shared" si="81"/>
        <v>#NAME?</v>
      </c>
      <c r="J704" s="293" t="e">
        <f t="shared" si="81"/>
        <v>#NAME?</v>
      </c>
      <c r="K704" s="293" t="e">
        <f t="shared" si="81"/>
        <v>#NAME?</v>
      </c>
      <c r="L704" s="293" t="e">
        <f t="shared" si="81"/>
        <v>#NAME?</v>
      </c>
      <c r="M704" s="293" t="e">
        <f t="shared" si="81"/>
        <v>#NAME?</v>
      </c>
      <c r="N704" s="293" t="e">
        <f t="shared" si="81"/>
        <v>#NAME?</v>
      </c>
      <c r="O704" s="293" t="e">
        <f t="shared" si="81"/>
        <v>#NAME?</v>
      </c>
      <c r="P704" s="293" t="e">
        <f t="shared" si="81"/>
        <v>#NAME?</v>
      </c>
      <c r="Q704" s="293" t="e">
        <f t="shared" si="81"/>
        <v>#NAME?</v>
      </c>
      <c r="R704" s="293" t="e">
        <f t="shared" si="81"/>
        <v>#NAME?</v>
      </c>
      <c r="S704" s="293" t="e">
        <f t="shared" si="81"/>
        <v>#NAME?</v>
      </c>
      <c r="T704" s="293" t="e">
        <f t="shared" si="81"/>
        <v>#NAME?</v>
      </c>
      <c r="U704" s="293" t="e">
        <f t="shared" si="81"/>
        <v>#NAME?</v>
      </c>
      <c r="V704" s="293" t="e">
        <f t="shared" si="81"/>
        <v>#NAME?</v>
      </c>
      <c r="W704" s="293" t="e">
        <f t="shared" si="81"/>
        <v>#NAME?</v>
      </c>
      <c r="X704" s="293" t="e">
        <f t="shared" si="81"/>
        <v>#NAME?</v>
      </c>
      <c r="Y704" s="293" t="e">
        <f t="shared" si="81"/>
        <v>#NAME?</v>
      </c>
      <c r="Z704" s="293" t="e">
        <f t="shared" si="81"/>
        <v>#NAME?</v>
      </c>
    </row>
    <row r="705" spans="1:26" x14ac:dyDescent="0.25">
      <c r="A705" s="296" t="s">
        <v>585</v>
      </c>
      <c r="B705" s="247"/>
      <c r="C705" s="247"/>
      <c r="D705" s="247"/>
      <c r="E705" s="247"/>
      <c r="F705" s="247"/>
      <c r="G705" s="247"/>
      <c r="H705" s="247"/>
      <c r="I705" s="247"/>
      <c r="J705" s="247"/>
      <c r="K705" s="247"/>
      <c r="L705" s="247"/>
      <c r="M705" s="247"/>
      <c r="N705" s="247"/>
      <c r="O705" s="247"/>
      <c r="P705" s="247"/>
      <c r="Q705" s="247"/>
      <c r="R705" s="247"/>
      <c r="S705" s="247"/>
      <c r="T705" s="247"/>
      <c r="U705" s="247"/>
      <c r="V705" s="247"/>
      <c r="W705" s="247"/>
      <c r="X705" s="247"/>
      <c r="Y705" s="247"/>
      <c r="Z705" s="247"/>
    </row>
    <row r="706" spans="1:26" x14ac:dyDescent="0.25">
      <c r="A706" s="243" t="s">
        <v>509</v>
      </c>
      <c r="B706" s="247"/>
      <c r="C706" s="247"/>
      <c r="D706" s="247"/>
      <c r="E706" s="247" t="s">
        <v>430</v>
      </c>
      <c r="F706" s="247" t="s">
        <v>430</v>
      </c>
      <c r="G706" s="247" t="s">
        <v>430</v>
      </c>
      <c r="H706" s="247" t="s">
        <v>430</v>
      </c>
      <c r="I706" s="247" t="s">
        <v>430</v>
      </c>
      <c r="J706" s="247" t="s">
        <v>430</v>
      </c>
      <c r="K706" s="247" t="s">
        <v>430</v>
      </c>
      <c r="L706" s="247" t="s">
        <v>430</v>
      </c>
      <c r="M706" s="247" t="s">
        <v>430</v>
      </c>
      <c r="N706" s="247" t="s">
        <v>430</v>
      </c>
      <c r="O706" s="247" t="s">
        <v>430</v>
      </c>
      <c r="P706" s="247" t="s">
        <v>430</v>
      </c>
      <c r="Q706" s="247" t="s">
        <v>430</v>
      </c>
      <c r="R706" s="247" t="s">
        <v>430</v>
      </c>
      <c r="S706" s="247" t="s">
        <v>430</v>
      </c>
      <c r="T706" s="247" t="s">
        <v>430</v>
      </c>
      <c r="U706" s="247" t="s">
        <v>430</v>
      </c>
      <c r="V706" s="247" t="s">
        <v>430</v>
      </c>
      <c r="W706" s="247" t="s">
        <v>430</v>
      </c>
      <c r="X706" s="247" t="s">
        <v>430</v>
      </c>
      <c r="Y706" s="247" t="s">
        <v>430</v>
      </c>
    </row>
    <row r="707" spans="1:26" x14ac:dyDescent="0.25">
      <c r="A707" s="243" t="s">
        <v>510</v>
      </c>
      <c r="B707" s="244"/>
      <c r="C707" s="244"/>
      <c r="D707" s="244"/>
      <c r="E707" s="244"/>
      <c r="F707" s="244"/>
      <c r="G707" s="244"/>
      <c r="H707" s="244"/>
      <c r="I707" s="244"/>
      <c r="J707" s="244"/>
      <c r="K707" s="244"/>
      <c r="L707" s="244"/>
      <c r="M707" s="244"/>
      <c r="N707" s="244"/>
      <c r="O707" s="244"/>
      <c r="P707" s="244"/>
      <c r="Q707" s="244"/>
      <c r="R707" s="244"/>
      <c r="S707" s="244"/>
      <c r="T707" s="244"/>
      <c r="U707" s="244"/>
      <c r="V707" s="244"/>
      <c r="W707" s="244"/>
      <c r="X707" s="244"/>
      <c r="Y707" s="244"/>
    </row>
    <row r="708" spans="1:26" x14ac:dyDescent="0.25">
      <c r="A708" s="243" t="s">
        <v>511</v>
      </c>
      <c r="B708" s="244"/>
      <c r="C708" s="244"/>
      <c r="D708" s="244"/>
      <c r="E708" s="244"/>
      <c r="F708" s="244"/>
      <c r="G708" s="244"/>
      <c r="H708" s="244"/>
      <c r="I708" s="244"/>
      <c r="J708" s="244"/>
      <c r="K708" s="244"/>
      <c r="L708" s="244"/>
      <c r="M708" s="244"/>
      <c r="N708" s="244"/>
      <c r="O708" s="244"/>
      <c r="P708" s="244"/>
      <c r="Q708" s="244"/>
      <c r="R708" s="244"/>
      <c r="S708" s="244"/>
      <c r="T708" s="244"/>
      <c r="U708" s="244"/>
      <c r="V708" s="244"/>
      <c r="W708" s="244"/>
      <c r="X708" s="244"/>
      <c r="Y708" s="244"/>
    </row>
    <row r="709" spans="1:26" x14ac:dyDescent="0.25">
      <c r="A709" s="243" t="s">
        <v>512</v>
      </c>
      <c r="B709" s="244"/>
      <c r="C709" s="244"/>
      <c r="D709" s="244"/>
      <c r="E709" s="244"/>
      <c r="F709" s="244"/>
      <c r="G709" s="244"/>
      <c r="H709" s="244"/>
      <c r="I709" s="244"/>
      <c r="J709" s="244"/>
      <c r="K709" s="244"/>
      <c r="L709" s="244"/>
      <c r="M709" s="244"/>
      <c r="N709" s="244"/>
      <c r="O709" s="244"/>
      <c r="P709" s="244"/>
      <c r="Q709" s="244"/>
      <c r="R709" s="244"/>
      <c r="S709" s="244"/>
      <c r="T709" s="244"/>
      <c r="U709" s="244"/>
      <c r="V709" s="244"/>
      <c r="W709" s="244"/>
      <c r="X709" s="244"/>
      <c r="Y709" s="244"/>
    </row>
    <row r="710" spans="1:26" x14ac:dyDescent="0.25">
      <c r="A710" s="243" t="s">
        <v>513</v>
      </c>
      <c r="B710" s="244"/>
      <c r="C710" s="244"/>
      <c r="D710" s="244"/>
      <c r="E710" s="244"/>
      <c r="F710" s="244"/>
      <c r="G710" s="244"/>
      <c r="H710" s="244"/>
      <c r="I710" s="244"/>
      <c r="J710" s="244"/>
      <c r="K710" s="244"/>
      <c r="L710" s="244"/>
      <c r="M710" s="244"/>
      <c r="N710" s="244"/>
      <c r="O710" s="244"/>
      <c r="P710" s="244"/>
      <c r="Q710" s="244"/>
      <c r="R710" s="244"/>
      <c r="S710" s="244"/>
      <c r="T710" s="244"/>
      <c r="U710" s="244"/>
      <c r="V710" s="244"/>
      <c r="W710" s="244"/>
      <c r="X710" s="244"/>
      <c r="Y710" s="244"/>
    </row>
    <row r="711" spans="1:26" x14ac:dyDescent="0.25">
      <c r="A711" s="243" t="s">
        <v>514</v>
      </c>
      <c r="B711" s="244"/>
      <c r="C711" s="244"/>
      <c r="D711" s="244"/>
      <c r="E711" s="244"/>
      <c r="F711" s="244"/>
      <c r="G711" s="244"/>
      <c r="H711" s="244"/>
      <c r="I711" s="244"/>
      <c r="J711" s="244"/>
      <c r="K711" s="244"/>
      <c r="L711" s="244"/>
      <c r="M711" s="244"/>
      <c r="N711" s="244"/>
      <c r="O711" s="244"/>
      <c r="P711" s="244"/>
      <c r="Q711" s="244"/>
      <c r="R711" s="244"/>
      <c r="S711" s="244"/>
      <c r="T711" s="244"/>
      <c r="U711" s="244"/>
      <c r="V711" s="244"/>
      <c r="W711" s="244"/>
      <c r="X711" s="244"/>
      <c r="Y711" s="244"/>
    </row>
    <row r="712" spans="1:26" x14ac:dyDescent="0.25">
      <c r="A712" s="243" t="s">
        <v>515</v>
      </c>
      <c r="B712" s="244"/>
      <c r="C712" s="244"/>
      <c r="D712" s="244"/>
      <c r="E712" s="244"/>
      <c r="F712" s="244"/>
      <c r="G712" s="244"/>
      <c r="H712" s="244"/>
      <c r="I712" s="244"/>
      <c r="J712" s="244"/>
      <c r="K712" s="244"/>
      <c r="L712" s="244"/>
      <c r="M712" s="244"/>
      <c r="N712" s="244"/>
      <c r="O712" s="244"/>
      <c r="P712" s="244"/>
      <c r="Q712" s="244"/>
      <c r="R712" s="244"/>
      <c r="S712" s="244"/>
      <c r="T712" s="244"/>
      <c r="U712" s="244"/>
      <c r="V712" s="244"/>
      <c r="W712" s="244"/>
      <c r="X712" s="244"/>
      <c r="Y712" s="244"/>
    </row>
    <row r="713" spans="1:26" x14ac:dyDescent="0.25">
      <c r="A713" s="243" t="s">
        <v>516</v>
      </c>
      <c r="B713" s="244"/>
      <c r="C713" s="244"/>
      <c r="D713" s="244"/>
      <c r="E713" s="244"/>
      <c r="F713" s="244"/>
      <c r="G713" s="244"/>
      <c r="H713" s="244"/>
      <c r="I713" s="244"/>
      <c r="J713" s="244"/>
      <c r="K713" s="244"/>
      <c r="L713" s="244"/>
      <c r="M713" s="244"/>
      <c r="N713" s="244"/>
      <c r="O713" s="244"/>
      <c r="P713" s="244"/>
      <c r="Q713" s="244"/>
      <c r="R713" s="244"/>
      <c r="S713" s="244"/>
      <c r="T713" s="244"/>
      <c r="U713" s="244"/>
      <c r="V713" s="244"/>
      <c r="W713" s="244"/>
      <c r="X713" s="244"/>
      <c r="Y713" s="244"/>
    </row>
    <row r="714" spans="1:26" x14ac:dyDescent="0.25">
      <c r="A714" s="243" t="s">
        <v>517</v>
      </c>
      <c r="B714" s="244"/>
      <c r="C714" s="244"/>
      <c r="D714" s="244"/>
      <c r="E714" s="244"/>
      <c r="F714" s="244"/>
      <c r="G714" s="244"/>
      <c r="H714" s="244"/>
      <c r="I714" s="244"/>
      <c r="J714" s="244"/>
      <c r="K714" s="244"/>
      <c r="L714" s="244"/>
      <c r="M714" s="244"/>
      <c r="N714" s="244"/>
      <c r="O714" s="244"/>
      <c r="P714" s="244"/>
      <c r="Q714" s="244"/>
      <c r="R714" s="244"/>
      <c r="S714" s="244"/>
      <c r="T714" s="244"/>
      <c r="U714" s="244"/>
      <c r="V714" s="244"/>
      <c r="W714" s="244"/>
      <c r="X714" s="244"/>
      <c r="Y714" s="244"/>
    </row>
    <row r="715" spans="1:26" x14ac:dyDescent="0.25">
      <c r="A715" s="243" t="s">
        <v>522</v>
      </c>
      <c r="B715" s="244"/>
      <c r="C715" s="244"/>
      <c r="D715" s="244"/>
      <c r="E715" s="244"/>
      <c r="F715" s="244"/>
      <c r="G715" s="244"/>
      <c r="H715" s="244"/>
      <c r="I715" s="244"/>
      <c r="J715" s="244"/>
      <c r="K715" s="244"/>
      <c r="L715" s="244"/>
      <c r="M715" s="244"/>
      <c r="N715" s="244"/>
      <c r="O715" s="244"/>
      <c r="P715" s="244"/>
      <c r="Q715" s="244"/>
      <c r="R715" s="244"/>
      <c r="S715" s="244"/>
      <c r="T715" s="244"/>
      <c r="U715" s="244"/>
      <c r="V715" s="244"/>
      <c r="W715" s="244"/>
      <c r="X715" s="244"/>
      <c r="Y715" s="244"/>
    </row>
    <row r="716" spans="1:26" x14ac:dyDescent="0.25">
      <c r="A716" s="243" t="s">
        <v>532</v>
      </c>
      <c r="B716" s="244"/>
      <c r="C716" s="244"/>
      <c r="D716" s="244"/>
      <c r="E716" s="244"/>
      <c r="F716" s="244"/>
      <c r="G716" s="244"/>
      <c r="H716" s="244"/>
      <c r="I716" s="244"/>
      <c r="J716" s="244"/>
      <c r="K716" s="244"/>
      <c r="L716" s="244"/>
      <c r="M716" s="244"/>
      <c r="N716" s="244"/>
      <c r="O716" s="244"/>
      <c r="P716" s="244"/>
      <c r="Q716" s="244"/>
      <c r="R716" s="244"/>
      <c r="S716" s="244"/>
      <c r="T716" s="244"/>
      <c r="U716" s="244"/>
      <c r="V716" s="244"/>
      <c r="W716" s="244"/>
      <c r="X716" s="244"/>
      <c r="Y716" s="244"/>
    </row>
    <row r="717" spans="1:26" x14ac:dyDescent="0.25">
      <c r="A717" s="243" t="s">
        <v>533</v>
      </c>
      <c r="B717" s="244"/>
      <c r="C717" s="244"/>
      <c r="D717" s="244"/>
      <c r="E717" s="244"/>
      <c r="F717" s="244"/>
      <c r="G717" s="244"/>
      <c r="H717" s="244"/>
      <c r="I717" s="244"/>
      <c r="J717" s="244"/>
      <c r="K717" s="244"/>
      <c r="L717" s="244"/>
      <c r="M717" s="244"/>
      <c r="N717" s="244"/>
      <c r="O717" s="244"/>
      <c r="P717" s="244"/>
      <c r="Q717" s="244"/>
      <c r="R717" s="244"/>
      <c r="S717" s="244"/>
      <c r="T717" s="244"/>
      <c r="U717" s="244"/>
      <c r="V717" s="244"/>
      <c r="W717" s="244"/>
      <c r="X717" s="244"/>
      <c r="Y717" s="244"/>
    </row>
    <row r="718" spans="1:26" x14ac:dyDescent="0.25">
      <c r="A718" s="243" t="s">
        <v>534</v>
      </c>
      <c r="B718" s="244"/>
      <c r="C718" s="244"/>
      <c r="D718" s="244"/>
      <c r="E718" s="244"/>
      <c r="F718" s="244"/>
      <c r="G718" s="244"/>
      <c r="H718" s="244"/>
      <c r="I718" s="244"/>
      <c r="J718" s="244"/>
      <c r="K718" s="244"/>
      <c r="L718" s="244"/>
      <c r="M718" s="244"/>
      <c r="N718" s="244"/>
      <c r="O718" s="244"/>
      <c r="P718" s="244"/>
      <c r="Q718" s="244"/>
      <c r="R718" s="244"/>
      <c r="S718" s="244"/>
      <c r="T718" s="244"/>
      <c r="U718" s="244"/>
      <c r="V718" s="244"/>
      <c r="W718" s="244"/>
      <c r="X718" s="244"/>
      <c r="Y718" s="244"/>
    </row>
    <row r="719" spans="1:26" x14ac:dyDescent="0.25">
      <c r="A719" s="243" t="s">
        <v>535</v>
      </c>
      <c r="B719" s="244"/>
      <c r="C719" s="244"/>
      <c r="D719" s="244"/>
      <c r="E719" s="244"/>
      <c r="F719" s="244"/>
      <c r="G719" s="244"/>
      <c r="H719" s="244"/>
      <c r="I719" s="244"/>
      <c r="J719" s="244"/>
      <c r="K719" s="244"/>
      <c r="L719" s="244"/>
      <c r="M719" s="244"/>
      <c r="N719" s="244"/>
      <c r="O719" s="244"/>
      <c r="P719" s="244"/>
      <c r="Q719" s="244"/>
      <c r="R719" s="244"/>
      <c r="S719" s="244"/>
      <c r="T719" s="244"/>
      <c r="U719" s="244"/>
      <c r="V719" s="244"/>
      <c r="W719" s="244"/>
      <c r="X719" s="244"/>
      <c r="Y719" s="244"/>
    </row>
    <row r="720" spans="1:26" x14ac:dyDescent="0.25">
      <c r="A720" s="243" t="s">
        <v>536</v>
      </c>
      <c r="B720" s="244"/>
      <c r="C720" s="244"/>
      <c r="D720" s="244"/>
      <c r="E720" s="244"/>
      <c r="F720" s="244"/>
      <c r="G720" s="244"/>
      <c r="H720" s="244"/>
      <c r="I720" s="244"/>
      <c r="J720" s="244"/>
      <c r="K720" s="244"/>
      <c r="L720" s="244"/>
      <c r="M720" s="244"/>
      <c r="N720" s="244"/>
      <c r="O720" s="244"/>
      <c r="P720" s="244"/>
      <c r="Q720" s="244"/>
      <c r="R720" s="244"/>
      <c r="S720" s="244"/>
      <c r="T720" s="244"/>
      <c r="U720" s="244"/>
      <c r="V720" s="244"/>
      <c r="W720" s="244"/>
      <c r="X720" s="244"/>
      <c r="Y720" s="244"/>
    </row>
    <row r="721" spans="1:25" x14ac:dyDescent="0.25">
      <c r="A721" s="243" t="s">
        <v>537</v>
      </c>
      <c r="B721" s="244"/>
      <c r="C721" s="244"/>
      <c r="D721" s="244"/>
      <c r="E721" s="244"/>
      <c r="F721" s="244"/>
      <c r="G721" s="244"/>
      <c r="H721" s="244"/>
      <c r="I721" s="244"/>
      <c r="J721" s="244"/>
      <c r="K721" s="244"/>
      <c r="L721" s="244"/>
      <c r="M721" s="244"/>
      <c r="N721" s="244"/>
      <c r="O721" s="244"/>
      <c r="P721" s="244"/>
      <c r="Q721" s="244"/>
      <c r="R721" s="244"/>
      <c r="S721" s="244"/>
      <c r="T721" s="244"/>
      <c r="U721" s="244"/>
      <c r="V721" s="244"/>
      <c r="W721" s="244"/>
      <c r="X721" s="244"/>
      <c r="Y721" s="244"/>
    </row>
    <row r="722" spans="1:25" x14ac:dyDescent="0.25">
      <c r="A722" s="243" t="s">
        <v>538</v>
      </c>
      <c r="B722" s="244"/>
      <c r="C722" s="244"/>
      <c r="D722" s="244"/>
      <c r="E722" s="244"/>
      <c r="F722" s="244"/>
      <c r="G722" s="244"/>
      <c r="H722" s="244"/>
      <c r="I722" s="244"/>
      <c r="J722" s="244"/>
      <c r="K722" s="244"/>
      <c r="L722" s="244"/>
      <c r="M722" s="244"/>
      <c r="N722" s="244"/>
      <c r="O722" s="244"/>
      <c r="P722" s="244"/>
      <c r="Q722" s="244"/>
      <c r="R722" s="244"/>
      <c r="S722" s="244"/>
      <c r="T722" s="244"/>
      <c r="U722" s="244"/>
      <c r="V722" s="244"/>
      <c r="W722" s="244"/>
      <c r="X722" s="244"/>
      <c r="Y722" s="244"/>
    </row>
    <row r="723" spans="1:25" x14ac:dyDescent="0.25">
      <c r="A723" s="243" t="s">
        <v>541</v>
      </c>
      <c r="B723" s="244"/>
      <c r="C723" s="244"/>
      <c r="D723" s="244"/>
      <c r="E723" s="244"/>
      <c r="F723" s="244"/>
      <c r="G723" s="244"/>
      <c r="H723" s="244"/>
      <c r="I723" s="244"/>
      <c r="J723" s="244"/>
      <c r="K723" s="244"/>
      <c r="L723" s="244"/>
      <c r="M723" s="244"/>
      <c r="N723" s="244"/>
      <c r="O723" s="244"/>
      <c r="P723" s="244"/>
      <c r="Q723" s="244"/>
      <c r="R723" s="244"/>
      <c r="S723" s="244"/>
      <c r="T723" s="244"/>
      <c r="U723" s="244"/>
      <c r="V723" s="244"/>
      <c r="W723" s="244"/>
      <c r="X723" s="244"/>
      <c r="Y723" s="244"/>
    </row>
    <row r="724" spans="1:25" x14ac:dyDescent="0.25">
      <c r="A724" s="243" t="s">
        <v>542</v>
      </c>
      <c r="B724" s="244"/>
      <c r="C724" s="244"/>
      <c r="D724" s="244"/>
      <c r="E724" s="244"/>
      <c r="F724" s="244"/>
      <c r="G724" s="244"/>
      <c r="H724" s="244"/>
      <c r="I724" s="244"/>
      <c r="J724" s="244"/>
      <c r="K724" s="244"/>
      <c r="L724" s="244"/>
      <c r="M724" s="244"/>
      <c r="N724" s="244"/>
      <c r="O724" s="244"/>
      <c r="P724" s="244"/>
      <c r="Q724" s="244"/>
      <c r="R724" s="244"/>
      <c r="S724" s="244"/>
      <c r="T724" s="244"/>
      <c r="U724" s="244"/>
      <c r="V724" s="244"/>
      <c r="W724" s="244"/>
      <c r="X724" s="244"/>
      <c r="Y724" s="244"/>
    </row>
    <row r="725" spans="1:25" x14ac:dyDescent="0.25">
      <c r="A725" s="243" t="s">
        <v>543</v>
      </c>
      <c r="B725" s="244"/>
      <c r="C725" s="244"/>
      <c r="D725" s="244"/>
      <c r="E725" s="244"/>
      <c r="F725" s="244"/>
      <c r="G725" s="244"/>
      <c r="H725" s="244"/>
      <c r="I725" s="244"/>
      <c r="J725" s="244"/>
      <c r="K725" s="244"/>
      <c r="L725" s="244"/>
      <c r="M725" s="244"/>
      <c r="N725" s="244"/>
      <c r="O725" s="244"/>
      <c r="P725" s="244"/>
      <c r="Q725" s="244"/>
      <c r="R725" s="244"/>
      <c r="S725" s="244"/>
      <c r="T725" s="244"/>
      <c r="U725" s="244"/>
      <c r="V725" s="244"/>
      <c r="W725" s="244"/>
      <c r="X725" s="244"/>
      <c r="Y725" s="244"/>
    </row>
    <row r="726" spans="1:25" x14ac:dyDescent="0.25">
      <c r="A726" s="243" t="s">
        <v>544</v>
      </c>
      <c r="B726" s="244"/>
      <c r="C726" s="244"/>
      <c r="D726" s="244"/>
      <c r="E726" s="244"/>
      <c r="F726" s="244"/>
      <c r="G726" s="244"/>
      <c r="H726" s="244"/>
      <c r="I726" s="244"/>
      <c r="J726" s="244"/>
      <c r="K726" s="244"/>
      <c r="L726" s="244"/>
      <c r="M726" s="244"/>
      <c r="N726" s="244"/>
      <c r="O726" s="244"/>
      <c r="P726" s="244"/>
      <c r="Q726" s="244"/>
      <c r="R726" s="244"/>
      <c r="S726" s="244"/>
      <c r="T726" s="244"/>
      <c r="U726" s="244"/>
      <c r="V726" s="244"/>
      <c r="W726" s="244"/>
      <c r="X726" s="244"/>
      <c r="Y726" s="244"/>
    </row>
    <row r="727" spans="1:25" x14ac:dyDescent="0.25">
      <c r="A727" s="243" t="s">
        <v>545</v>
      </c>
      <c r="B727" s="244"/>
      <c r="C727" s="244"/>
      <c r="D727" s="244"/>
      <c r="E727" s="244"/>
      <c r="F727" s="244"/>
      <c r="G727" s="244"/>
      <c r="H727" s="244"/>
      <c r="I727" s="244"/>
      <c r="J727" s="244"/>
      <c r="K727" s="244"/>
      <c r="L727" s="244"/>
      <c r="M727" s="244"/>
      <c r="N727" s="244"/>
      <c r="O727" s="244"/>
      <c r="P727" s="244"/>
      <c r="Q727" s="244"/>
      <c r="R727" s="244"/>
      <c r="S727" s="244"/>
      <c r="T727" s="244"/>
      <c r="U727" s="244"/>
      <c r="V727" s="244"/>
      <c r="W727" s="244"/>
      <c r="X727" s="244"/>
      <c r="Y727" s="244"/>
    </row>
    <row r="728" spans="1:25" x14ac:dyDescent="0.25">
      <c r="A728" s="243" t="s">
        <v>546</v>
      </c>
      <c r="B728" s="244"/>
      <c r="C728" s="244"/>
      <c r="D728" s="244"/>
      <c r="E728" s="244"/>
      <c r="F728" s="244"/>
      <c r="G728" s="244"/>
      <c r="H728" s="244"/>
      <c r="I728" s="244"/>
      <c r="J728" s="244"/>
      <c r="K728" s="244"/>
      <c r="L728" s="244"/>
      <c r="M728" s="244"/>
      <c r="N728" s="244"/>
      <c r="O728" s="244"/>
      <c r="P728" s="244"/>
      <c r="Q728" s="244"/>
      <c r="R728" s="244"/>
      <c r="S728" s="244"/>
      <c r="T728" s="244"/>
      <c r="U728" s="244"/>
      <c r="V728" s="244"/>
      <c r="W728" s="244"/>
      <c r="X728" s="244"/>
      <c r="Y728" s="244"/>
    </row>
    <row r="729" spans="1:25" x14ac:dyDescent="0.25">
      <c r="A729" s="243" t="s">
        <v>547</v>
      </c>
      <c r="B729" s="244"/>
      <c r="C729" s="244"/>
      <c r="D729" s="244"/>
      <c r="E729" s="244"/>
      <c r="F729" s="244"/>
      <c r="G729" s="244"/>
      <c r="H729" s="244"/>
      <c r="I729" s="244"/>
      <c r="J729" s="244"/>
      <c r="K729" s="244"/>
      <c r="L729" s="244"/>
      <c r="M729" s="244"/>
      <c r="N729" s="244"/>
      <c r="O729" s="244"/>
      <c r="P729" s="244"/>
      <c r="Q729" s="244"/>
      <c r="R729" s="244"/>
      <c r="S729" s="244"/>
      <c r="T729" s="244"/>
      <c r="U729" s="244"/>
      <c r="V729" s="244"/>
      <c r="W729" s="244"/>
      <c r="X729" s="244"/>
      <c r="Y729" s="244"/>
    </row>
    <row r="730" spans="1:25" x14ac:dyDescent="0.25">
      <c r="A730" s="243" t="s">
        <v>548</v>
      </c>
      <c r="B730" s="244"/>
      <c r="C730" s="244"/>
      <c r="D730" s="244"/>
      <c r="E730" s="244"/>
      <c r="F730" s="244"/>
      <c r="G730" s="244"/>
      <c r="H730" s="244"/>
      <c r="I730" s="244"/>
      <c r="J730" s="244"/>
      <c r="K730" s="244"/>
      <c r="L730" s="244"/>
      <c r="M730" s="244"/>
      <c r="N730" s="244"/>
      <c r="O730" s="244"/>
      <c r="P730" s="244"/>
      <c r="Q730" s="244"/>
      <c r="R730" s="244"/>
      <c r="S730" s="244"/>
      <c r="T730" s="244"/>
      <c r="U730" s="244"/>
      <c r="V730" s="244"/>
      <c r="W730" s="244"/>
      <c r="X730" s="244"/>
      <c r="Y730" s="244"/>
    </row>
    <row r="731" spans="1:25" ht="13.8" thickBot="1" x14ac:dyDescent="0.3">
      <c r="A731" s="248" t="s">
        <v>553</v>
      </c>
      <c r="B731" s="253"/>
      <c r="C731" s="253"/>
      <c r="D731" s="253"/>
      <c r="E731" s="253"/>
      <c r="F731" s="253"/>
      <c r="G731" s="253"/>
      <c r="H731" s="253"/>
      <c r="I731" s="253"/>
      <c r="J731" s="253"/>
      <c r="K731" s="253"/>
      <c r="L731" s="253"/>
      <c r="M731" s="253"/>
      <c r="N731" s="253"/>
      <c r="O731" s="253"/>
      <c r="P731" s="253"/>
      <c r="Q731" s="253"/>
      <c r="R731" s="253"/>
      <c r="S731" s="253"/>
      <c r="T731" s="253"/>
      <c r="U731" s="253"/>
      <c r="V731" s="253"/>
      <c r="W731" s="253"/>
      <c r="X731" s="253"/>
      <c r="Y731" s="253"/>
    </row>
    <row r="732" spans="1:25" x14ac:dyDescent="0.25">
      <c r="A732" s="1607" t="s">
        <v>427</v>
      </c>
      <c r="B732" s="1607"/>
      <c r="C732" s="1607"/>
      <c r="D732" s="1607"/>
      <c r="E732" s="1607"/>
      <c r="F732" s="1607"/>
      <c r="G732" s="1607"/>
      <c r="H732" s="1607"/>
      <c r="I732" s="1607"/>
      <c r="J732" s="1607"/>
      <c r="K732" s="1607"/>
      <c r="L732" s="1607"/>
      <c r="M732" s="1607"/>
      <c r="N732" s="289"/>
      <c r="O732" s="289"/>
      <c r="P732" s="289"/>
      <c r="Q732" s="289"/>
      <c r="R732" s="289"/>
      <c r="S732" s="289"/>
      <c r="T732" s="289"/>
      <c r="U732" s="289"/>
      <c r="V732" s="289"/>
      <c r="W732" s="289"/>
      <c r="X732" s="289"/>
      <c r="Y732" s="289"/>
    </row>
    <row r="733" spans="1:25" x14ac:dyDescent="0.25">
      <c r="A733" s="289" t="s">
        <v>1071</v>
      </c>
      <c r="B733" s="289"/>
      <c r="C733" s="289"/>
      <c r="D733" s="289"/>
      <c r="E733" s="289"/>
      <c r="F733" s="289"/>
      <c r="G733" s="289"/>
      <c r="H733" s="289"/>
      <c r="I733" s="289"/>
      <c r="J733" s="289"/>
      <c r="K733" s="289"/>
      <c r="L733" s="289"/>
      <c r="M733" s="289"/>
      <c r="N733" s="289"/>
      <c r="O733" s="289"/>
      <c r="P733" s="289"/>
      <c r="Q733" s="289"/>
      <c r="R733" s="289"/>
      <c r="S733" s="289"/>
      <c r="T733" s="289"/>
      <c r="U733" s="289"/>
      <c r="V733" s="289"/>
      <c r="W733" s="289"/>
      <c r="X733" s="289"/>
      <c r="Y733" s="289"/>
    </row>
    <row r="736" spans="1:25" ht="13.8" thickBot="1" x14ac:dyDescent="0.3">
      <c r="A736" s="1605" t="s">
        <v>554</v>
      </c>
      <c r="B736" s="1606"/>
      <c r="C736" s="1606"/>
      <c r="D736" s="254"/>
      <c r="E736" s="254"/>
      <c r="F736" s="254"/>
      <c r="G736" s="254"/>
      <c r="H736" s="254"/>
      <c r="I736" s="254"/>
      <c r="J736" s="254"/>
    </row>
    <row r="737" spans="1:10" ht="53.4" thickTop="1" x14ac:dyDescent="0.25">
      <c r="A737" s="255"/>
      <c r="B737" s="256" t="s">
        <v>555</v>
      </c>
      <c r="C737" s="256" t="s">
        <v>556</v>
      </c>
      <c r="D737" s="256" t="s">
        <v>557</v>
      </c>
      <c r="E737" s="256" t="s">
        <v>579</v>
      </c>
      <c r="F737" s="257"/>
      <c r="G737" s="257"/>
      <c r="H737" s="257"/>
      <c r="I737" s="257"/>
      <c r="J737" s="258"/>
    </row>
    <row r="738" spans="1:10" x14ac:dyDescent="0.25">
      <c r="A738" s="259"/>
      <c r="B738" s="260"/>
      <c r="C738" s="260"/>
      <c r="D738" s="260"/>
      <c r="E738" s="260"/>
      <c r="F738" s="260"/>
      <c r="G738" s="260"/>
      <c r="H738" s="260"/>
      <c r="I738" s="260"/>
      <c r="J738" s="261"/>
    </row>
    <row r="739" spans="1:10" x14ac:dyDescent="0.25">
      <c r="A739" s="259"/>
      <c r="B739" s="260"/>
      <c r="C739" s="260"/>
      <c r="D739" s="260"/>
      <c r="E739" s="260"/>
      <c r="F739" s="260"/>
      <c r="G739" s="260"/>
      <c r="H739" s="260"/>
      <c r="I739" s="260"/>
      <c r="J739" s="261"/>
    </row>
    <row r="740" spans="1:10" x14ac:dyDescent="0.25">
      <c r="A740" s="259" t="s">
        <v>558</v>
      </c>
      <c r="B740" s="271">
        <v>1.0439774739816527</v>
      </c>
      <c r="C740" s="271">
        <v>1.0284486209328481</v>
      </c>
      <c r="D740" s="271">
        <v>1.0094828736442827</v>
      </c>
      <c r="E740" s="271">
        <f t="shared" ref="E740:E747" si="82">F752/E752</f>
        <v>1.0704312355553662</v>
      </c>
      <c r="F740" s="260"/>
      <c r="G740" s="260"/>
      <c r="H740" s="260"/>
      <c r="I740" s="260"/>
      <c r="J740" s="261"/>
    </row>
    <row r="741" spans="1:10" x14ac:dyDescent="0.25">
      <c r="A741" s="259" t="s">
        <v>559</v>
      </c>
      <c r="B741" s="260">
        <v>1.2097805877102306</v>
      </c>
      <c r="C741" s="260">
        <v>1.1729343042703535</v>
      </c>
      <c r="D741" s="260">
        <v>1.0576447680901178</v>
      </c>
      <c r="E741" s="260">
        <f t="shared" si="82"/>
        <v>1.1340871534488071</v>
      </c>
      <c r="F741" s="260"/>
      <c r="G741" s="260"/>
      <c r="H741" s="260"/>
      <c r="I741" s="260"/>
      <c r="J741" s="261"/>
    </row>
    <row r="742" spans="1:10" x14ac:dyDescent="0.25">
      <c r="A742" s="259" t="s">
        <v>560</v>
      </c>
      <c r="B742" s="267">
        <v>1.1697889782905726</v>
      </c>
      <c r="C742" s="267">
        <v>1.1485262991479412</v>
      </c>
      <c r="D742" s="267">
        <v>1.049508766382647</v>
      </c>
      <c r="E742" s="267">
        <f t="shared" si="82"/>
        <v>1.1040561955262993</v>
      </c>
      <c r="F742" s="260"/>
      <c r="G742" s="260"/>
      <c r="H742" s="260"/>
      <c r="I742" s="260"/>
      <c r="J742" s="261"/>
    </row>
    <row r="743" spans="1:10" x14ac:dyDescent="0.25">
      <c r="A743" s="259" t="s">
        <v>561</v>
      </c>
      <c r="B743" s="260">
        <v>1.1587647303602575</v>
      </c>
      <c r="C743" s="260">
        <v>1.0854096786599328</v>
      </c>
      <c r="D743" s="260">
        <v>1.0284698928866443</v>
      </c>
      <c r="E743" s="260">
        <f t="shared" si="82"/>
        <v>1.363594657351775</v>
      </c>
      <c r="F743" s="260"/>
      <c r="G743" s="260"/>
      <c r="H743" s="260"/>
      <c r="I743" s="260"/>
      <c r="J743" s="261"/>
    </row>
    <row r="744" spans="1:10" x14ac:dyDescent="0.25">
      <c r="A744" s="259" t="s">
        <v>562</v>
      </c>
      <c r="B744" s="273">
        <v>1.1587647303602575</v>
      </c>
      <c r="C744" s="273">
        <v>1.0854096786599328</v>
      </c>
      <c r="D744" s="273">
        <v>1.0284698928866443</v>
      </c>
      <c r="E744" s="273">
        <f t="shared" si="82"/>
        <v>1.3635946573517748</v>
      </c>
      <c r="F744" s="260"/>
      <c r="G744" s="260"/>
      <c r="H744" s="260"/>
      <c r="I744" s="260"/>
      <c r="J744" s="261"/>
    </row>
    <row r="745" spans="1:10" x14ac:dyDescent="0.25">
      <c r="A745" s="259" t="s">
        <v>563</v>
      </c>
      <c r="B745" s="269">
        <v>0.99410318905494366</v>
      </c>
      <c r="C745" s="269">
        <v>1.0095287120834378</v>
      </c>
      <c r="D745" s="269">
        <v>1.0031762373611459</v>
      </c>
      <c r="E745" s="269">
        <f t="shared" si="82"/>
        <v>0.97316968165904427</v>
      </c>
      <c r="F745" s="260"/>
      <c r="G745" s="260"/>
      <c r="H745" s="260"/>
      <c r="I745" s="260"/>
      <c r="J745" s="261"/>
    </row>
    <row r="746" spans="1:10" x14ac:dyDescent="0.25">
      <c r="A746" s="259" t="s">
        <v>564</v>
      </c>
      <c r="B746" s="291">
        <v>1.0099752422488564</v>
      </c>
      <c r="C746" s="291">
        <v>1.0050974522479115</v>
      </c>
      <c r="D746" s="291">
        <v>1.0016991507493038</v>
      </c>
      <c r="E746" s="291">
        <f t="shared" si="82"/>
        <v>0.99922998787640482</v>
      </c>
      <c r="F746" s="260"/>
      <c r="G746" s="260"/>
      <c r="H746" s="260"/>
      <c r="I746" s="260"/>
      <c r="J746" s="261"/>
    </row>
    <row r="747" spans="1:10" x14ac:dyDescent="0.25">
      <c r="A747" s="259" t="s">
        <v>311</v>
      </c>
      <c r="B747" s="275">
        <v>1.0099752422488564</v>
      </c>
      <c r="C747" s="275">
        <v>1.0050974522479115</v>
      </c>
      <c r="D747" s="275">
        <v>1.0016991507493038</v>
      </c>
      <c r="E747" s="275">
        <f t="shared" si="82"/>
        <v>0.99922998787640471</v>
      </c>
      <c r="F747" s="260"/>
      <c r="G747" s="260"/>
      <c r="H747" s="260"/>
      <c r="I747" s="260"/>
      <c r="J747" s="261"/>
    </row>
    <row r="748" spans="1:10" x14ac:dyDescent="0.25">
      <c r="A748" s="259"/>
      <c r="B748" s="260"/>
      <c r="C748" s="260"/>
      <c r="D748" s="260"/>
      <c r="E748" s="260"/>
      <c r="F748" s="260"/>
      <c r="G748" s="260"/>
      <c r="H748" s="260"/>
      <c r="I748" s="260"/>
      <c r="J748" s="261"/>
    </row>
    <row r="749" spans="1:10" x14ac:dyDescent="0.25">
      <c r="A749" s="259"/>
      <c r="B749" s="260"/>
      <c r="C749" s="260"/>
      <c r="D749" s="260"/>
      <c r="E749" s="1604" t="s">
        <v>565</v>
      </c>
      <c r="F749" s="1604"/>
      <c r="G749" s="1604"/>
      <c r="H749" s="1604"/>
      <c r="I749" s="1604"/>
      <c r="J749" s="262"/>
    </row>
    <row r="750" spans="1:10" x14ac:dyDescent="0.25">
      <c r="A750" s="259" t="s">
        <v>566</v>
      </c>
      <c r="B750" s="260"/>
      <c r="C750" s="260" t="s">
        <v>567</v>
      </c>
      <c r="D750" s="260" t="s">
        <v>567</v>
      </c>
      <c r="E750" s="260"/>
      <c r="F750" s="260"/>
      <c r="G750" s="260"/>
      <c r="H750" s="260"/>
      <c r="I750" s="260"/>
      <c r="J750" s="261"/>
    </row>
    <row r="751" spans="1:10" x14ac:dyDescent="0.25">
      <c r="A751" s="259"/>
      <c r="B751" s="260" t="s">
        <v>1031</v>
      </c>
      <c r="C751" s="260">
        <v>2000</v>
      </c>
      <c r="D751" s="260">
        <v>2005</v>
      </c>
      <c r="E751" s="260">
        <v>2020</v>
      </c>
      <c r="F751" s="260">
        <v>2035</v>
      </c>
      <c r="G751" s="260">
        <v>2050</v>
      </c>
      <c r="H751" s="260">
        <v>2065</v>
      </c>
      <c r="I751" s="260">
        <v>2080</v>
      </c>
      <c r="J751" s="261"/>
    </row>
    <row r="752" spans="1:10" x14ac:dyDescent="0.25">
      <c r="A752" s="259" t="s">
        <v>558</v>
      </c>
      <c r="B752" s="260" t="s">
        <v>568</v>
      </c>
      <c r="C752" s="260">
        <v>25.276500000000002</v>
      </c>
      <c r="D752" s="260">
        <v>25.071000000000002</v>
      </c>
      <c r="E752" s="260">
        <v>24.427484559</v>
      </c>
      <c r="F752" s="260">
        <v>26.147942478000001</v>
      </c>
      <c r="G752" s="260">
        <v>27.297862937999998</v>
      </c>
      <c r="H752" s="260">
        <v>28.074449492999999</v>
      </c>
      <c r="I752" s="260">
        <v>29.9967939</v>
      </c>
      <c r="J752" s="261"/>
    </row>
    <row r="753" spans="1:10" x14ac:dyDescent="0.25">
      <c r="A753" s="259" t="s">
        <v>559</v>
      </c>
      <c r="B753" s="260" t="s">
        <v>569</v>
      </c>
      <c r="C753" s="260">
        <v>3.83</v>
      </c>
      <c r="D753" s="260">
        <v>2.88</v>
      </c>
      <c r="E753" s="260">
        <v>3.1020351176470586</v>
      </c>
      <c r="F753" s="260">
        <v>3.5179781764705877</v>
      </c>
      <c r="G753" s="260">
        <v>4.2559817058823528</v>
      </c>
      <c r="H753" s="260">
        <v>4.9919869411764699</v>
      </c>
      <c r="I753" s="260">
        <v>5.7211905294117642</v>
      </c>
      <c r="J753" s="261"/>
    </row>
    <row r="754" spans="1:10" x14ac:dyDescent="0.25">
      <c r="A754" s="259" t="s">
        <v>560</v>
      </c>
      <c r="B754" s="260" t="s">
        <v>569</v>
      </c>
      <c r="C754" s="260">
        <v>4.333333333333333</v>
      </c>
      <c r="D754" s="260">
        <v>3.2058823529411766</v>
      </c>
      <c r="E754" s="260">
        <v>4.0727964705882354</v>
      </c>
      <c r="F754" s="260">
        <v>4.4965961764705868</v>
      </c>
      <c r="G754" s="260">
        <v>5.2600686470588229</v>
      </c>
      <c r="H754" s="260">
        <v>6.0413271764705883</v>
      </c>
      <c r="I754" s="260">
        <v>6.8262844117647052</v>
      </c>
      <c r="J754" s="261"/>
    </row>
    <row r="755" spans="1:10" x14ac:dyDescent="0.25">
      <c r="A755" s="259" t="s">
        <v>561</v>
      </c>
      <c r="B755" s="260" t="s">
        <v>570</v>
      </c>
      <c r="C755" s="260">
        <v>28.35</v>
      </c>
      <c r="D755" s="260">
        <v>23.27</v>
      </c>
      <c r="E755" s="260">
        <v>17.294973600000002</v>
      </c>
      <c r="F755" s="260">
        <v>23.583333599999996</v>
      </c>
      <c r="G755" s="260">
        <v>27.327535199999996</v>
      </c>
      <c r="H755" s="260">
        <v>29.661571199999997</v>
      </c>
      <c r="I755" s="260"/>
      <c r="J755" s="261"/>
    </row>
    <row r="756" spans="1:10" x14ac:dyDescent="0.25">
      <c r="A756" s="259" t="s">
        <v>562</v>
      </c>
      <c r="B756" s="260" t="s">
        <v>571</v>
      </c>
      <c r="C756" s="260">
        <v>1.5176666666666667</v>
      </c>
      <c r="D756" s="260">
        <v>1.2925714285714285</v>
      </c>
      <c r="E756" s="260">
        <v>0.93587519480519499</v>
      </c>
      <c r="F756" s="260">
        <v>1.2761544155844153</v>
      </c>
      <c r="G756" s="260">
        <v>1.4787627272727271</v>
      </c>
      <c r="H756" s="260">
        <v>1.6050633766233764</v>
      </c>
      <c r="I756" s="260"/>
      <c r="J756" s="261"/>
    </row>
    <row r="757" spans="1:10" x14ac:dyDescent="0.25">
      <c r="A757" s="259" t="s">
        <v>563</v>
      </c>
      <c r="B757" s="260" t="s">
        <v>572</v>
      </c>
      <c r="C757" s="260">
        <v>6.9</v>
      </c>
      <c r="D757" s="260">
        <v>6.4</v>
      </c>
      <c r="E757" s="260">
        <v>6.9130361604720001</v>
      </c>
      <c r="F757" s="260">
        <v>6.7275571995839982</v>
      </c>
      <c r="G757" s="260">
        <v>6.6878860666559987</v>
      </c>
      <c r="H757" s="260">
        <v>6.7516130074319989</v>
      </c>
      <c r="I757" s="260">
        <v>6.8294477356799987</v>
      </c>
      <c r="J757" s="261"/>
    </row>
    <row r="758" spans="1:10" x14ac:dyDescent="0.25">
      <c r="A758" s="259" t="s">
        <v>564</v>
      </c>
      <c r="B758" s="260" t="s">
        <v>573</v>
      </c>
      <c r="C758" s="260"/>
      <c r="D758" s="260"/>
      <c r="E758" s="260">
        <v>3.8637053999999993</v>
      </c>
      <c r="F758" s="260">
        <v>3.8607302999999993</v>
      </c>
      <c r="G758" s="260">
        <v>3.8992420199999995</v>
      </c>
      <c r="H758" s="260">
        <v>3.9191182199999997</v>
      </c>
      <c r="I758" s="260">
        <v>4.4580291000000001</v>
      </c>
      <c r="J758" s="261"/>
    </row>
    <row r="759" spans="1:10" x14ac:dyDescent="0.25">
      <c r="A759" s="259" t="s">
        <v>311</v>
      </c>
      <c r="B759" s="260" t="s">
        <v>573</v>
      </c>
      <c r="C759" s="260"/>
      <c r="D759" s="260"/>
      <c r="E759" s="260">
        <v>19.318526999999996</v>
      </c>
      <c r="F759" s="260">
        <v>19.303651499999994</v>
      </c>
      <c r="G759" s="260">
        <v>19.496210099999995</v>
      </c>
      <c r="H759" s="260">
        <v>19.595591099999996</v>
      </c>
      <c r="I759" s="260">
        <v>22.290145499999998</v>
      </c>
      <c r="J759" s="261"/>
    </row>
    <row r="760" spans="1:10" x14ac:dyDescent="0.25">
      <c r="A760" s="259"/>
      <c r="B760" s="260"/>
      <c r="C760" s="260"/>
      <c r="D760" s="260"/>
      <c r="E760" s="260"/>
      <c r="F760" s="260"/>
      <c r="G760" s="260"/>
      <c r="H760" s="260"/>
      <c r="I760" s="260"/>
      <c r="J760" s="261"/>
    </row>
    <row r="761" spans="1:10" ht="39.6" x14ac:dyDescent="0.25">
      <c r="A761" s="263" t="s">
        <v>574</v>
      </c>
      <c r="B761" s="260" t="s">
        <v>568</v>
      </c>
      <c r="C761" s="260"/>
      <c r="D761" s="260"/>
      <c r="E761" s="260">
        <v>76.455732879999985</v>
      </c>
      <c r="F761" s="260">
        <v>76.404561159999986</v>
      </c>
      <c r="G761" s="260">
        <v>77.066962743999994</v>
      </c>
      <c r="H761" s="260">
        <v>77.40883338399999</v>
      </c>
      <c r="I761" s="260">
        <v>86.678100520000001</v>
      </c>
      <c r="J761" s="261"/>
    </row>
    <row r="762" spans="1:10" ht="13.8" thickBot="1" x14ac:dyDescent="0.3">
      <c r="A762" s="264"/>
      <c r="B762" s="265">
        <v>17.2</v>
      </c>
      <c r="C762" s="265" t="s">
        <v>575</v>
      </c>
      <c r="D762" s="265"/>
      <c r="E762" s="265"/>
      <c r="F762" s="265"/>
      <c r="G762" s="265"/>
      <c r="H762" s="265"/>
      <c r="I762" s="265"/>
      <c r="J762" s="266"/>
    </row>
    <row r="763" spans="1:10" ht="13.8" thickTop="1" x14ac:dyDescent="0.25"/>
    <row r="764" spans="1:10" x14ac:dyDescent="0.25">
      <c r="A764" s="434" t="s">
        <v>802</v>
      </c>
    </row>
    <row r="765" spans="1:10" x14ac:dyDescent="0.25">
      <c r="A765" t="s">
        <v>796</v>
      </c>
    </row>
    <row r="766" spans="1:10" x14ac:dyDescent="0.25">
      <c r="A766" t="s">
        <v>797</v>
      </c>
    </row>
    <row r="767" spans="1:10" x14ac:dyDescent="0.25">
      <c r="A767" t="s">
        <v>798</v>
      </c>
    </row>
    <row r="769" spans="1:27" x14ac:dyDescent="0.25">
      <c r="A769" t="s">
        <v>437</v>
      </c>
    </row>
    <row r="770" spans="1:27" x14ac:dyDescent="0.25">
      <c r="A770" t="s">
        <v>711</v>
      </c>
    </row>
    <row r="773" spans="1:27" x14ac:dyDescent="0.25">
      <c r="AA773" t="s">
        <v>799</v>
      </c>
    </row>
    <row r="774" spans="1:27" x14ac:dyDescent="0.25">
      <c r="B774" t="s">
        <v>443</v>
      </c>
      <c r="C774" t="s">
        <v>444</v>
      </c>
      <c r="D774" t="s">
        <v>445</v>
      </c>
      <c r="E774" t="s">
        <v>446</v>
      </c>
      <c r="F774" t="s">
        <v>447</v>
      </c>
      <c r="G774" t="s">
        <v>448</v>
      </c>
      <c r="H774" t="s">
        <v>449</v>
      </c>
      <c r="I774" t="s">
        <v>450</v>
      </c>
      <c r="J774" t="s">
        <v>451</v>
      </c>
      <c r="K774" t="s">
        <v>452</v>
      </c>
      <c r="L774" t="s">
        <v>453</v>
      </c>
      <c r="M774" t="s">
        <v>454</v>
      </c>
      <c r="N774" t="s">
        <v>455</v>
      </c>
      <c r="O774" t="s">
        <v>456</v>
      </c>
      <c r="P774" t="s">
        <v>457</v>
      </c>
      <c r="Q774" t="s">
        <v>458</v>
      </c>
      <c r="R774" t="s">
        <v>459</v>
      </c>
      <c r="S774" t="s">
        <v>460</v>
      </c>
      <c r="T774" t="s">
        <v>461</v>
      </c>
      <c r="U774" t="s">
        <v>462</v>
      </c>
      <c r="V774" t="s">
        <v>593</v>
      </c>
      <c r="W774" t="s">
        <v>594</v>
      </c>
      <c r="X774" t="s">
        <v>595</v>
      </c>
      <c r="Y774" t="s">
        <v>596</v>
      </c>
      <c r="Z774" t="s">
        <v>597</v>
      </c>
      <c r="AA774" t="s">
        <v>597</v>
      </c>
    </row>
    <row r="777" spans="1:27" x14ac:dyDescent="0.25">
      <c r="A777" t="s">
        <v>463</v>
      </c>
    </row>
    <row r="778" spans="1:27" x14ac:dyDescent="0.25">
      <c r="A778" t="s">
        <v>598</v>
      </c>
      <c r="B778">
        <v>23.883546829223601</v>
      </c>
      <c r="C778">
        <v>24.976987838745099</v>
      </c>
      <c r="D778">
        <v>28.3833827972412</v>
      </c>
      <c r="E778">
        <v>22.3542995452881</v>
      </c>
      <c r="F778">
        <v>27.926952362060501</v>
      </c>
      <c r="G778">
        <v>30.764682769775401</v>
      </c>
      <c r="H778">
        <v>33.661342620849602</v>
      </c>
      <c r="I778">
        <v>36.453559875488303</v>
      </c>
      <c r="J778">
        <v>39.494522094726598</v>
      </c>
      <c r="K778">
        <v>41.980697631835902</v>
      </c>
      <c r="L778">
        <v>43.916378021240199</v>
      </c>
      <c r="M778">
        <v>45.360519409179702</v>
      </c>
      <c r="N778">
        <v>46.395816802978501</v>
      </c>
      <c r="O778">
        <v>47.017768859863303</v>
      </c>
      <c r="P778">
        <v>47.646530151367202</v>
      </c>
      <c r="Q778">
        <v>48.008190155029297</v>
      </c>
      <c r="R778">
        <v>48.261722564697301</v>
      </c>
      <c r="S778">
        <v>48.628421783447301</v>
      </c>
      <c r="T778">
        <v>48.848987579345703</v>
      </c>
      <c r="U778">
        <v>49.201820373535199</v>
      </c>
      <c r="V778">
        <v>49.638439178466797</v>
      </c>
      <c r="W778">
        <v>49.873706817627003</v>
      </c>
      <c r="X778">
        <v>50.123619079589801</v>
      </c>
      <c r="Y778">
        <v>50.456356048583999</v>
      </c>
      <c r="Z778">
        <v>50.7625923156738</v>
      </c>
      <c r="AA778">
        <v>3.13153266906738E-2</v>
      </c>
    </row>
    <row r="779" spans="1:27" x14ac:dyDescent="0.25">
      <c r="A779" t="s">
        <v>599</v>
      </c>
      <c r="B779">
        <v>18.464220046997099</v>
      </c>
      <c r="C779">
        <v>19.6639919281006</v>
      </c>
      <c r="D779">
        <v>23.795093536376999</v>
      </c>
      <c r="E779">
        <v>18.337640762329102</v>
      </c>
      <c r="F779">
        <v>20.694063186645501</v>
      </c>
      <c r="G779">
        <v>23.041601181030298</v>
      </c>
      <c r="H779">
        <v>25.2962837219238</v>
      </c>
      <c r="I779">
        <v>27.2604274749756</v>
      </c>
      <c r="J779">
        <v>30.121095657348601</v>
      </c>
      <c r="K779">
        <v>32.154388427734403</v>
      </c>
      <c r="L779">
        <v>33.5627632141113</v>
      </c>
      <c r="M779">
        <v>34.602504730224602</v>
      </c>
      <c r="N779">
        <v>35.554206848144503</v>
      </c>
      <c r="O779">
        <v>36.023918151855497</v>
      </c>
      <c r="P779">
        <v>36.510219573974602</v>
      </c>
      <c r="Q779">
        <v>36.482681274414098</v>
      </c>
      <c r="R779">
        <v>36.622692108154297</v>
      </c>
      <c r="S779">
        <v>37.053558349609403</v>
      </c>
      <c r="T779">
        <v>37.097206115722699</v>
      </c>
      <c r="U779">
        <v>37.402278900146499</v>
      </c>
      <c r="V779">
        <v>37.843147277832003</v>
      </c>
      <c r="W779">
        <v>38.237148284912102</v>
      </c>
      <c r="X779">
        <v>38.632442474365199</v>
      </c>
      <c r="Y779">
        <v>38.983299255371101</v>
      </c>
      <c r="Z779">
        <v>39.194442749023402</v>
      </c>
      <c r="AA779">
        <v>3.0443191528320299E-2</v>
      </c>
    </row>
    <row r="780" spans="1:27" x14ac:dyDescent="0.25">
      <c r="A780" t="s">
        <v>500</v>
      </c>
      <c r="B780">
        <v>13.7000589370728</v>
      </c>
      <c r="C780">
        <v>12.691158294677701</v>
      </c>
      <c r="D780">
        <v>13.015861511230501</v>
      </c>
      <c r="E780">
        <v>11.686484336853001</v>
      </c>
      <c r="F780">
        <v>12.3283596038818</v>
      </c>
      <c r="G780">
        <v>12.249480247497599</v>
      </c>
      <c r="H780">
        <v>12.273024559021</v>
      </c>
      <c r="I780">
        <v>12.2969045639038</v>
      </c>
      <c r="J780">
        <v>12.4211750030518</v>
      </c>
      <c r="K780">
        <v>12.5907487869263</v>
      </c>
      <c r="L780">
        <v>12.705096244811999</v>
      </c>
      <c r="M780">
        <v>12.9095964431763</v>
      </c>
      <c r="N780">
        <v>13.0879106521606</v>
      </c>
      <c r="O780">
        <v>13.1304607391357</v>
      </c>
      <c r="P780">
        <v>12.9131679534912</v>
      </c>
      <c r="Q780">
        <v>12.562335968017599</v>
      </c>
      <c r="R780">
        <v>12.61110496521</v>
      </c>
      <c r="S780">
        <v>12.871636390686</v>
      </c>
      <c r="T780">
        <v>13.125649452209499</v>
      </c>
      <c r="U780">
        <v>13.3413944244385</v>
      </c>
      <c r="V780">
        <v>13.6169128417969</v>
      </c>
      <c r="W780">
        <v>13.8638000488281</v>
      </c>
      <c r="X780">
        <v>14.1467199325562</v>
      </c>
      <c r="Y780">
        <v>14.4200448989868</v>
      </c>
      <c r="Z780">
        <v>14.611619949340801</v>
      </c>
      <c r="AA780">
        <v>6.1453580856323199E-3</v>
      </c>
    </row>
    <row r="781" spans="1:27" x14ac:dyDescent="0.25">
      <c r="A781" t="s">
        <v>469</v>
      </c>
      <c r="B781">
        <v>31.206779479980501</v>
      </c>
      <c r="C781">
        <v>31.187788009643601</v>
      </c>
      <c r="D781">
        <v>32.338191986083999</v>
      </c>
      <c r="E781">
        <v>32.416282653808601</v>
      </c>
      <c r="F781">
        <v>31.140913009643601</v>
      </c>
      <c r="G781">
        <v>31.8760585784912</v>
      </c>
      <c r="H781">
        <v>31.922065734863299</v>
      </c>
      <c r="I781">
        <v>32.300529479980497</v>
      </c>
      <c r="J781">
        <v>32.352581024169901</v>
      </c>
      <c r="K781">
        <v>32.639389038085902</v>
      </c>
      <c r="L781">
        <v>32.894443511962898</v>
      </c>
      <c r="M781">
        <v>33.117340087890597</v>
      </c>
      <c r="N781">
        <v>33.414459228515597</v>
      </c>
      <c r="O781">
        <v>33.629150390625</v>
      </c>
      <c r="P781">
        <v>33.777111053466797</v>
      </c>
      <c r="Q781">
        <v>33.604824066162102</v>
      </c>
      <c r="R781">
        <v>33.664745330810497</v>
      </c>
      <c r="S781">
        <v>34.025123596191399</v>
      </c>
      <c r="T781">
        <v>34.538562774658203</v>
      </c>
      <c r="U781">
        <v>35.105255126953097</v>
      </c>
      <c r="V781">
        <v>35.529582977294901</v>
      </c>
      <c r="W781">
        <v>35.8877983093262</v>
      </c>
      <c r="X781">
        <v>36.209835052490199</v>
      </c>
      <c r="Y781">
        <v>36.388431549072301</v>
      </c>
      <c r="Z781">
        <v>36.494224548339801</v>
      </c>
      <c r="AA781">
        <v>6.8550109863281302E-3</v>
      </c>
    </row>
    <row r="783" spans="1:27" x14ac:dyDescent="0.25">
      <c r="A783" t="s">
        <v>470</v>
      </c>
    </row>
    <row r="784" spans="1:27" x14ac:dyDescent="0.25">
      <c r="A784" t="s">
        <v>598</v>
      </c>
      <c r="B784">
        <v>21.1974983215332</v>
      </c>
      <c r="C784">
        <v>23.041419982910199</v>
      </c>
      <c r="D784">
        <v>23.604557037353501</v>
      </c>
      <c r="E784">
        <v>18.681890487670898</v>
      </c>
      <c r="F784">
        <v>24.74609375</v>
      </c>
      <c r="G784">
        <v>27.568971633911101</v>
      </c>
      <c r="H784">
        <v>30.4514064788818</v>
      </c>
      <c r="I784">
        <v>33.230876922607401</v>
      </c>
      <c r="J784">
        <v>36.258987426757798</v>
      </c>
      <c r="K784">
        <v>38.733001708984403</v>
      </c>
      <c r="L784">
        <v>40.657176971435497</v>
      </c>
      <c r="M784">
        <v>42.090251922607401</v>
      </c>
      <c r="N784">
        <v>43.1152153015137</v>
      </c>
      <c r="O784">
        <v>43.7275390625</v>
      </c>
      <c r="P784">
        <v>44.347579956054702</v>
      </c>
      <c r="Q784">
        <v>44.701267242431598</v>
      </c>
      <c r="R784">
        <v>44.947372436523402</v>
      </c>
      <c r="S784">
        <v>45.307144165039098</v>
      </c>
      <c r="T784">
        <v>45.5213012695313</v>
      </c>
      <c r="U784">
        <v>45.867866516113303</v>
      </c>
      <c r="V784">
        <v>46.298439025878899</v>
      </c>
      <c r="W784">
        <v>46.528209686279297</v>
      </c>
      <c r="X784">
        <v>46.772487640380902</v>
      </c>
      <c r="Y784">
        <v>47.099220275878899</v>
      </c>
      <c r="Z784">
        <v>47.399448394775398</v>
      </c>
      <c r="AA784">
        <v>3.1858563423156697E-2</v>
      </c>
    </row>
    <row r="785" spans="1:27" x14ac:dyDescent="0.25">
      <c r="A785" t="s">
        <v>599</v>
      </c>
      <c r="B785">
        <v>15.0199489593506</v>
      </c>
      <c r="C785">
        <v>16.054103851318398</v>
      </c>
      <c r="D785">
        <v>20.836805343627901</v>
      </c>
      <c r="E785">
        <v>16.0582466125488</v>
      </c>
      <c r="F785">
        <v>18.1372261047363</v>
      </c>
      <c r="G785">
        <v>20.7669353485107</v>
      </c>
      <c r="H785">
        <v>23.078548431396499</v>
      </c>
      <c r="I785">
        <v>25.270603179931602</v>
      </c>
      <c r="J785">
        <v>28.107904434204102</v>
      </c>
      <c r="K785">
        <v>30.082014083862301</v>
      </c>
      <c r="L785">
        <v>31.343215942382798</v>
      </c>
      <c r="M785">
        <v>32.504638671875</v>
      </c>
      <c r="N785">
        <v>33.3633842468262</v>
      </c>
      <c r="O785">
        <v>33.805187225341797</v>
      </c>
      <c r="P785">
        <v>34.229515075683601</v>
      </c>
      <c r="Q785">
        <v>34.103286743164098</v>
      </c>
      <c r="R785">
        <v>34.2811889648438</v>
      </c>
      <c r="S785">
        <v>34.681198120117202</v>
      </c>
      <c r="T785">
        <v>34.715034484863303</v>
      </c>
      <c r="U785">
        <v>35.0353393554688</v>
      </c>
      <c r="V785">
        <v>35.459774017333999</v>
      </c>
      <c r="W785">
        <v>35.835098266601598</v>
      </c>
      <c r="X785">
        <v>36.246971130371101</v>
      </c>
      <c r="Y785">
        <v>36.616977691650398</v>
      </c>
      <c r="Z785">
        <v>36.9903373718262</v>
      </c>
      <c r="AA785">
        <v>3.6957502365112298E-2</v>
      </c>
    </row>
    <row r="786" spans="1:27" x14ac:dyDescent="0.25">
      <c r="A786" t="s">
        <v>712</v>
      </c>
      <c r="B786">
        <v>8.8815975189209002</v>
      </c>
      <c r="C786">
        <v>10.2142028808594</v>
      </c>
      <c r="D786">
        <v>13.357634544372599</v>
      </c>
      <c r="E786">
        <v>6.7629709243774396</v>
      </c>
      <c r="F786">
        <v>12.823133468627899</v>
      </c>
      <c r="G786">
        <v>15.3392543792725</v>
      </c>
      <c r="H786">
        <v>17.4722385406494</v>
      </c>
      <c r="I786">
        <v>19.700599670410199</v>
      </c>
      <c r="J786">
        <v>21.254331588745099</v>
      </c>
      <c r="K786">
        <v>22.305961608886701</v>
      </c>
      <c r="L786">
        <v>23.786525726318398</v>
      </c>
      <c r="M786">
        <v>25.024957656860401</v>
      </c>
      <c r="N786">
        <v>25.9401969909668</v>
      </c>
      <c r="O786">
        <v>26.507759094238299</v>
      </c>
      <c r="P786">
        <v>27.019905090331999</v>
      </c>
      <c r="Q786">
        <v>27.1827697753906</v>
      </c>
      <c r="R786">
        <v>27.4323539733887</v>
      </c>
      <c r="S786">
        <v>27.776666641235401</v>
      </c>
      <c r="T786">
        <v>28.037864685058601</v>
      </c>
      <c r="U786">
        <v>28.392919540405298</v>
      </c>
      <c r="V786">
        <v>28.7309265136719</v>
      </c>
      <c r="W786">
        <v>28.9971923828125</v>
      </c>
      <c r="X786">
        <v>29.337739944458001</v>
      </c>
      <c r="Y786">
        <v>29.677482604980501</v>
      </c>
      <c r="Z786">
        <v>29.9862384796143</v>
      </c>
      <c r="AA786">
        <v>4.79378700256348E-2</v>
      </c>
    </row>
    <row r="787" spans="1:27" x14ac:dyDescent="0.25">
      <c r="A787" t="s">
        <v>500</v>
      </c>
      <c r="B787">
        <v>11.896094322204601</v>
      </c>
      <c r="C787">
        <v>10.9898433685303</v>
      </c>
      <c r="D787">
        <v>11.522585868835399</v>
      </c>
      <c r="E787">
        <v>10.173228263855</v>
      </c>
      <c r="F787">
        <v>10.782675743103001</v>
      </c>
      <c r="G787">
        <v>10.7339086532593</v>
      </c>
      <c r="H787">
        <v>10.799374580383301</v>
      </c>
      <c r="I787">
        <v>10.8246822357178</v>
      </c>
      <c r="J787">
        <v>10.967120170593301</v>
      </c>
      <c r="K787">
        <v>11.158206939697299</v>
      </c>
      <c r="L787">
        <v>11.2802991867065</v>
      </c>
      <c r="M787">
        <v>11.486307144165</v>
      </c>
      <c r="N787">
        <v>11.6717615127563</v>
      </c>
      <c r="O787">
        <v>11.7226161956787</v>
      </c>
      <c r="P787">
        <v>11.525540351867701</v>
      </c>
      <c r="Q787">
        <v>11.1890621185303</v>
      </c>
      <c r="R787">
        <v>11.2596950531006</v>
      </c>
      <c r="S787">
        <v>11.5338354110718</v>
      </c>
      <c r="T787">
        <v>11.800594329834</v>
      </c>
      <c r="U787">
        <v>12.0026235580444</v>
      </c>
      <c r="V787">
        <v>12.273542404174799</v>
      </c>
      <c r="W787">
        <v>12.5177307128906</v>
      </c>
      <c r="X787">
        <v>12.805614471435501</v>
      </c>
      <c r="Y787">
        <v>13.061990737915</v>
      </c>
      <c r="Z787">
        <v>13.243557929992701</v>
      </c>
      <c r="AA787">
        <v>8.1434249877929705E-3</v>
      </c>
    </row>
    <row r="788" spans="1:27" x14ac:dyDescent="0.25">
      <c r="A788" t="s">
        <v>469</v>
      </c>
      <c r="B788">
        <v>28.3762531280518</v>
      </c>
      <c r="C788">
        <v>28.073511123657202</v>
      </c>
      <c r="D788">
        <v>29.5588493347168</v>
      </c>
      <c r="E788">
        <v>29.575660705566399</v>
      </c>
      <c r="F788">
        <v>27.526445388793899</v>
      </c>
      <c r="G788">
        <v>27.8994140625</v>
      </c>
      <c r="H788">
        <v>27.624683380126999</v>
      </c>
      <c r="I788">
        <v>27.748167037963899</v>
      </c>
      <c r="J788">
        <v>27.707677841186499</v>
      </c>
      <c r="K788">
        <v>28.011663436889599</v>
      </c>
      <c r="L788">
        <v>28.3554382324219</v>
      </c>
      <c r="M788">
        <v>28.5976047515869</v>
      </c>
      <c r="N788">
        <v>28.930782318115199</v>
      </c>
      <c r="O788">
        <v>29.165691375732401</v>
      </c>
      <c r="P788">
        <v>29.300102233886701</v>
      </c>
      <c r="Q788">
        <v>29.014184951782202</v>
      </c>
      <c r="R788">
        <v>29.003173828125</v>
      </c>
      <c r="S788">
        <v>29.329126358032202</v>
      </c>
      <c r="T788">
        <v>29.795009613037099</v>
      </c>
      <c r="U788">
        <v>30.299129486083999</v>
      </c>
      <c r="V788">
        <v>30.6775302886963</v>
      </c>
      <c r="W788">
        <v>31.039953231811499</v>
      </c>
      <c r="X788">
        <v>31.389379501342798</v>
      </c>
      <c r="Y788">
        <v>31.541213989257798</v>
      </c>
      <c r="Z788">
        <v>31.7004203796387</v>
      </c>
      <c r="AA788">
        <v>5.2967071533203099E-3</v>
      </c>
    </row>
    <row r="790" spans="1:27" x14ac:dyDescent="0.25">
      <c r="A790" t="s">
        <v>601</v>
      </c>
    </row>
    <row r="791" spans="1:27" x14ac:dyDescent="0.25">
      <c r="A791" t="s">
        <v>598</v>
      </c>
      <c r="B791">
        <v>21.0410861968994</v>
      </c>
      <c r="C791">
        <v>23.3795356750488</v>
      </c>
      <c r="D791">
        <v>25.519689559936499</v>
      </c>
      <c r="E791">
        <v>18.770734786987301</v>
      </c>
      <c r="F791">
        <v>23.917289733886701</v>
      </c>
      <c r="G791">
        <v>26.7415580749512</v>
      </c>
      <c r="H791">
        <v>29.674488067626999</v>
      </c>
      <c r="I791">
        <v>32.454425811767599</v>
      </c>
      <c r="J791">
        <v>35.485988616943402</v>
      </c>
      <c r="K791">
        <v>37.9550170898438</v>
      </c>
      <c r="L791">
        <v>39.876785278320298</v>
      </c>
      <c r="M791">
        <v>41.308006286621101</v>
      </c>
      <c r="N791">
        <v>42.332942962646499</v>
      </c>
      <c r="O791">
        <v>42.9459419250488</v>
      </c>
      <c r="P791">
        <v>43.565265655517599</v>
      </c>
      <c r="Q791">
        <v>43.919185638427699</v>
      </c>
      <c r="R791">
        <v>44.164951324462898</v>
      </c>
      <c r="S791">
        <v>44.525180816650398</v>
      </c>
      <c r="T791">
        <v>44.739585876464801</v>
      </c>
      <c r="U791">
        <v>45.087501525878899</v>
      </c>
      <c r="V791">
        <v>45.519046783447301</v>
      </c>
      <c r="W791">
        <v>45.747432708740199</v>
      </c>
      <c r="X791">
        <v>45.991909027099602</v>
      </c>
      <c r="Y791">
        <v>46.318729400634801</v>
      </c>
      <c r="Z791">
        <v>46.6203422546387</v>
      </c>
      <c r="AA791">
        <v>3.0462384223937999E-2</v>
      </c>
    </row>
    <row r="792" spans="1:27" x14ac:dyDescent="0.25">
      <c r="A792" t="s">
        <v>599</v>
      </c>
      <c r="B792">
        <v>15.735449790954601</v>
      </c>
      <c r="C792">
        <v>16.821935653686499</v>
      </c>
      <c r="D792">
        <v>21.808429718017599</v>
      </c>
      <c r="E792">
        <v>16.708997726440401</v>
      </c>
      <c r="F792">
        <v>17.9886360168457</v>
      </c>
      <c r="G792">
        <v>21.028125762939499</v>
      </c>
      <c r="H792">
        <v>23.343002319335898</v>
      </c>
      <c r="I792">
        <v>25.786291122436499</v>
      </c>
      <c r="J792">
        <v>28.5029201507568</v>
      </c>
      <c r="K792">
        <v>30.4483127593994</v>
      </c>
      <c r="L792">
        <v>31.613187789916999</v>
      </c>
      <c r="M792">
        <v>32.863849639892599</v>
      </c>
      <c r="N792">
        <v>33.663894653320298</v>
      </c>
      <c r="O792">
        <v>34.092327117919901</v>
      </c>
      <c r="P792">
        <v>34.4815673828125</v>
      </c>
      <c r="Q792">
        <v>34.296230316162102</v>
      </c>
      <c r="R792">
        <v>34.5044975280762</v>
      </c>
      <c r="S792">
        <v>34.907333374023402</v>
      </c>
      <c r="T792">
        <v>34.931465148925803</v>
      </c>
      <c r="U792">
        <v>35.251617431640597</v>
      </c>
      <c r="V792">
        <v>35.650547027587898</v>
      </c>
      <c r="W792">
        <v>36.0166206359863</v>
      </c>
      <c r="X792">
        <v>36.444431304931598</v>
      </c>
      <c r="Y792">
        <v>36.830661773681598</v>
      </c>
      <c r="Z792">
        <v>37.303695678710902</v>
      </c>
      <c r="AA792">
        <v>3.5232901573181201E-2</v>
      </c>
    </row>
    <row r="793" spans="1:27" x14ac:dyDescent="0.25">
      <c r="A793" t="s">
        <v>600</v>
      </c>
      <c r="B793">
        <v>9.2125148773193395</v>
      </c>
      <c r="C793">
        <v>10.494535446166999</v>
      </c>
      <c r="D793">
        <v>13.694963455200201</v>
      </c>
      <c r="E793">
        <v>6.9981408119201696</v>
      </c>
      <c r="F793">
        <v>17.262666702270501</v>
      </c>
      <c r="G793">
        <v>19.511152267456101</v>
      </c>
      <c r="H793">
        <v>21.9067897796631</v>
      </c>
      <c r="I793">
        <v>24.078254699706999</v>
      </c>
      <c r="J793">
        <v>26.237388610839801</v>
      </c>
      <c r="K793">
        <v>27.981674194335898</v>
      </c>
      <c r="L793">
        <v>29.130001068115199</v>
      </c>
      <c r="M793">
        <v>30.3923149108887</v>
      </c>
      <c r="N793">
        <v>31.137657165527301</v>
      </c>
      <c r="O793">
        <v>31.575212478637699</v>
      </c>
      <c r="P793">
        <v>32.042640686035199</v>
      </c>
      <c r="Q793">
        <v>31.994066238403299</v>
      </c>
      <c r="R793">
        <v>32.249111175537102</v>
      </c>
      <c r="S793">
        <v>32.508918762207003</v>
      </c>
      <c r="T793">
        <v>32.660282135009801</v>
      </c>
      <c r="U793">
        <v>32.957084655761697</v>
      </c>
      <c r="V793">
        <v>33.298637390136697</v>
      </c>
      <c r="W793">
        <v>33.551937103271499</v>
      </c>
      <c r="X793">
        <v>33.991706848144503</v>
      </c>
      <c r="Y793">
        <v>34.317066192627003</v>
      </c>
      <c r="Z793">
        <v>34.482418060302699</v>
      </c>
      <c r="AA793">
        <v>5.3082466125488302E-2</v>
      </c>
    </row>
    <row r="794" spans="1:27" x14ac:dyDescent="0.25">
      <c r="A794" t="s">
        <v>602</v>
      </c>
      <c r="B794">
        <v>7.9563031196594203</v>
      </c>
      <c r="C794">
        <v>7.5151352882385298</v>
      </c>
      <c r="D794">
        <v>8.9608917236328107</v>
      </c>
      <c r="E794">
        <v>6.6214537620544398</v>
      </c>
      <c r="F794">
        <v>7.1234536170959499</v>
      </c>
      <c r="G794">
        <v>7.0705270767211896</v>
      </c>
      <c r="H794">
        <v>7.1530704498290998</v>
      </c>
      <c r="I794">
        <v>7.2213044166564897</v>
      </c>
      <c r="J794">
        <v>7.3800201416015598</v>
      </c>
      <c r="K794">
        <v>7.5896773338317898</v>
      </c>
      <c r="L794">
        <v>7.6845889091491699</v>
      </c>
      <c r="M794">
        <v>7.8647842407226598</v>
      </c>
      <c r="N794">
        <v>8.0319690704345703</v>
      </c>
      <c r="O794">
        <v>8.0643510818481392</v>
      </c>
      <c r="P794">
        <v>7.8568081855773899</v>
      </c>
      <c r="Q794">
        <v>7.5151796340942401</v>
      </c>
      <c r="R794">
        <v>7.5926008224487296</v>
      </c>
      <c r="S794">
        <v>7.8076257705688503</v>
      </c>
      <c r="T794">
        <v>8.0573301315307599</v>
      </c>
      <c r="U794">
        <v>8.2859725952148402</v>
      </c>
      <c r="V794">
        <v>8.5280551910400408</v>
      </c>
      <c r="W794">
        <v>8.7343835830688494</v>
      </c>
      <c r="X794">
        <v>8.9821290969848597</v>
      </c>
      <c r="Y794">
        <v>9.2285404205322301</v>
      </c>
      <c r="Z794">
        <v>9.4173421859741193</v>
      </c>
      <c r="AA794">
        <v>9.8584890365600603E-3</v>
      </c>
    </row>
    <row r="795" spans="1:27" x14ac:dyDescent="0.25">
      <c r="A795" t="s">
        <v>603</v>
      </c>
      <c r="B795">
        <v>3.6353600025177002</v>
      </c>
      <c r="C795">
        <v>3.6099998950958301</v>
      </c>
      <c r="D795">
        <v>4.0379996299743697</v>
      </c>
      <c r="E795">
        <v>4.5020823478698704</v>
      </c>
      <c r="F795">
        <v>4.3855228424072301</v>
      </c>
      <c r="G795">
        <v>4.3762397766113299</v>
      </c>
      <c r="H795">
        <v>4.3997368812561</v>
      </c>
      <c r="I795">
        <v>4.4189567565918004</v>
      </c>
      <c r="J795">
        <v>4.4347076416015598</v>
      </c>
      <c r="K795">
        <v>4.4522905349731401</v>
      </c>
      <c r="L795">
        <v>4.4603638648986799</v>
      </c>
      <c r="M795">
        <v>4.4635276794433603</v>
      </c>
      <c r="N795">
        <v>4.4729104042053196</v>
      </c>
      <c r="O795">
        <v>4.4708456993103001</v>
      </c>
      <c r="P795">
        <v>4.4873232841491699</v>
      </c>
      <c r="Q795">
        <v>4.5196957588195801</v>
      </c>
      <c r="R795">
        <v>4.5735583305358896</v>
      </c>
      <c r="S795">
        <v>4.6242790222168004</v>
      </c>
      <c r="T795">
        <v>4.6478152275085396</v>
      </c>
      <c r="U795">
        <v>4.6480631828308097</v>
      </c>
      <c r="V795">
        <v>4.6606159210205096</v>
      </c>
      <c r="W795">
        <v>4.6456594467163104</v>
      </c>
      <c r="X795">
        <v>4.6185407638549796</v>
      </c>
      <c r="Y795">
        <v>4.56589651107788</v>
      </c>
      <c r="Z795">
        <v>4.4889969825744602</v>
      </c>
      <c r="AA795">
        <v>9.5199346542358398E-3</v>
      </c>
    </row>
    <row r="796" spans="1:27" x14ac:dyDescent="0.25">
      <c r="A796" t="s">
        <v>604</v>
      </c>
      <c r="B796">
        <v>2.4029979705810498</v>
      </c>
      <c r="C796">
        <v>2.4299483299255402</v>
      </c>
      <c r="D796">
        <v>2.5571811199188201</v>
      </c>
      <c r="E796">
        <v>2.56162786483765</v>
      </c>
      <c r="F796">
        <v>2.56748747825623</v>
      </c>
      <c r="G796">
        <v>2.60902070999146</v>
      </c>
      <c r="H796">
        <v>2.6235916614532502</v>
      </c>
      <c r="I796">
        <v>2.6379292011261</v>
      </c>
      <c r="J796">
        <v>2.6488504409789999</v>
      </c>
      <c r="K796">
        <v>2.67559719085693</v>
      </c>
      <c r="L796">
        <v>2.6456270217895499</v>
      </c>
      <c r="M796">
        <v>2.6335513591766402</v>
      </c>
      <c r="N796">
        <v>2.63612961769104</v>
      </c>
      <c r="O796">
        <v>2.6347033977508501</v>
      </c>
      <c r="P796">
        <v>2.63350534439087</v>
      </c>
      <c r="Q796">
        <v>2.6284878253936799</v>
      </c>
      <c r="R796">
        <v>2.6334505081176802</v>
      </c>
      <c r="S796">
        <v>2.6471104621887198</v>
      </c>
      <c r="T796">
        <v>2.6563882827758798</v>
      </c>
      <c r="U796">
        <v>2.6693737506866499</v>
      </c>
      <c r="V796">
        <v>2.6800231933593799</v>
      </c>
      <c r="W796">
        <v>2.6932156085968</v>
      </c>
      <c r="X796">
        <v>2.7120738029479998</v>
      </c>
      <c r="Y796">
        <v>2.7318363189697301</v>
      </c>
      <c r="Z796">
        <v>2.7488965988159202</v>
      </c>
      <c r="AA796">
        <v>5.3765773773193403E-3</v>
      </c>
    </row>
    <row r="797" spans="1:27" x14ac:dyDescent="0.25">
      <c r="A797" t="s">
        <v>605</v>
      </c>
      <c r="B797" t="s">
        <v>777</v>
      </c>
      <c r="C797" t="s">
        <v>777</v>
      </c>
      <c r="D797">
        <v>0</v>
      </c>
      <c r="E797">
        <v>0</v>
      </c>
      <c r="F797">
        <v>0</v>
      </c>
      <c r="G797">
        <v>1.41293036937714</v>
      </c>
      <c r="H797">
        <v>1.2184369564056401</v>
      </c>
      <c r="I797">
        <v>1.17754483222961</v>
      </c>
      <c r="J797">
        <v>1.3116322755813601</v>
      </c>
      <c r="K797">
        <v>1.2733211517334</v>
      </c>
      <c r="L797">
        <v>1.2851463556289699</v>
      </c>
      <c r="M797">
        <v>1.28024590015411</v>
      </c>
      <c r="N797">
        <v>1.30277991294861</v>
      </c>
      <c r="O797">
        <v>1.29882299900055</v>
      </c>
      <c r="P797">
        <v>1.29265284538269</v>
      </c>
      <c r="Q797">
        <v>1.32939457893372</v>
      </c>
      <c r="R797">
        <v>1.3688597679138199</v>
      </c>
      <c r="S797">
        <v>1.4024136066436801</v>
      </c>
      <c r="T797">
        <v>1.4137438535690301</v>
      </c>
      <c r="U797">
        <v>1.42857146263123</v>
      </c>
      <c r="V797">
        <v>1.43632352352142</v>
      </c>
      <c r="W797">
        <v>1.44281482696533</v>
      </c>
      <c r="X797">
        <v>1.44536685943604</v>
      </c>
      <c r="Y797">
        <v>1.4501197338104199</v>
      </c>
      <c r="Z797">
        <v>1.4655066728591899</v>
      </c>
      <c r="AA797" t="s">
        <v>777</v>
      </c>
    </row>
    <row r="798" spans="1:27" x14ac:dyDescent="0.25">
      <c r="A798" t="s">
        <v>469</v>
      </c>
      <c r="B798">
        <v>18.411262512206999</v>
      </c>
      <c r="C798">
        <v>18.634252548217798</v>
      </c>
      <c r="D798">
        <v>20.706560134887699</v>
      </c>
      <c r="E798">
        <v>20.639848709106399</v>
      </c>
      <c r="F798">
        <v>18.9005832672119</v>
      </c>
      <c r="G798">
        <v>18.9754123687744</v>
      </c>
      <c r="H798">
        <v>18.748577117919901</v>
      </c>
      <c r="I798">
        <v>18.7451286315918</v>
      </c>
      <c r="J798">
        <v>18.622827529907202</v>
      </c>
      <c r="K798">
        <v>18.823989868164102</v>
      </c>
      <c r="L798">
        <v>19.081008911132798</v>
      </c>
      <c r="M798">
        <v>19.220748901367202</v>
      </c>
      <c r="N798">
        <v>19.446659088134801</v>
      </c>
      <c r="O798">
        <v>19.608354568481399</v>
      </c>
      <c r="P798">
        <v>19.6959743499756</v>
      </c>
      <c r="Q798">
        <v>19.505567550659201</v>
      </c>
      <c r="R798">
        <v>19.549434661865199</v>
      </c>
      <c r="S798">
        <v>19.802045822143601</v>
      </c>
      <c r="T798">
        <v>20.232648849487301</v>
      </c>
      <c r="U798">
        <v>20.693027496337901</v>
      </c>
      <c r="V798">
        <v>21.023696899414102</v>
      </c>
      <c r="W798">
        <v>21.339708328247099</v>
      </c>
      <c r="X798">
        <v>21.629344940185501</v>
      </c>
      <c r="Y798">
        <v>21.733781814575199</v>
      </c>
      <c r="Z798">
        <v>21.762773513793899</v>
      </c>
      <c r="AA798">
        <v>6.7706108093261701E-3</v>
      </c>
    </row>
    <row r="800" spans="1:27" x14ac:dyDescent="0.25">
      <c r="A800" t="s">
        <v>477</v>
      </c>
    </row>
    <row r="801" spans="1:27" x14ac:dyDescent="0.25">
      <c r="A801" t="s">
        <v>606</v>
      </c>
      <c r="B801">
        <v>22.2963676452637</v>
      </c>
      <c r="C801">
        <v>25.0072422027588</v>
      </c>
      <c r="D801">
        <v>28.459692001342798</v>
      </c>
      <c r="E801">
        <v>22.469375610351602</v>
      </c>
      <c r="F801">
        <v>27.7350177764893</v>
      </c>
      <c r="G801">
        <v>30.574182510376001</v>
      </c>
      <c r="H801">
        <v>33.472511291503899</v>
      </c>
      <c r="I801">
        <v>36.259494781494098</v>
      </c>
      <c r="J801">
        <v>39.291736602783203</v>
      </c>
      <c r="K801">
        <v>41.768077850341797</v>
      </c>
      <c r="L801">
        <v>43.697544097900398</v>
      </c>
      <c r="M801">
        <v>45.127403259277301</v>
      </c>
      <c r="N801">
        <v>46.152801513671903</v>
      </c>
      <c r="O801">
        <v>46.761356353759801</v>
      </c>
      <c r="P801">
        <v>47.381011962890597</v>
      </c>
      <c r="Q801">
        <v>47.734935760497997</v>
      </c>
      <c r="R801">
        <v>47.977794647216797</v>
      </c>
      <c r="S801">
        <v>48.333538055419901</v>
      </c>
      <c r="T801">
        <v>48.545326232910199</v>
      </c>
      <c r="U801">
        <v>48.889308929443402</v>
      </c>
      <c r="V801">
        <v>49.317207336425803</v>
      </c>
      <c r="W801">
        <v>49.543441772460902</v>
      </c>
      <c r="X801">
        <v>49.784286499023402</v>
      </c>
      <c r="Y801">
        <v>50.108409881591797</v>
      </c>
      <c r="Z801">
        <v>50.406246185302699</v>
      </c>
      <c r="AA801">
        <v>3.0945181846618701E-2</v>
      </c>
    </row>
    <row r="802" spans="1:27" x14ac:dyDescent="0.25">
      <c r="A802" t="s">
        <v>607</v>
      </c>
      <c r="B802">
        <v>25.5142211914063</v>
      </c>
      <c r="C802">
        <v>26.671012878418001</v>
      </c>
      <c r="D802">
        <v>33.849239349365199</v>
      </c>
      <c r="E802">
        <v>33.586345672607401</v>
      </c>
      <c r="F802">
        <v>27.6864833831787</v>
      </c>
      <c r="G802">
        <v>30.227962493896499</v>
      </c>
      <c r="H802">
        <v>32.657257080078097</v>
      </c>
      <c r="I802">
        <v>32.785953521728501</v>
      </c>
      <c r="J802">
        <v>32.346141815185497</v>
      </c>
      <c r="K802">
        <v>33.964523315429702</v>
      </c>
      <c r="L802">
        <v>35.691123962402301</v>
      </c>
      <c r="M802">
        <v>37.409137725830099</v>
      </c>
      <c r="N802">
        <v>37.7480278015137</v>
      </c>
      <c r="O802">
        <v>37.745933532714801</v>
      </c>
      <c r="P802">
        <v>36.169681549072301</v>
      </c>
      <c r="Q802">
        <v>35.874843597412102</v>
      </c>
      <c r="R802">
        <v>36.162742614746101</v>
      </c>
      <c r="S802">
        <v>36.566848754882798</v>
      </c>
      <c r="T802">
        <v>36.620006561279297</v>
      </c>
      <c r="U802">
        <v>36.971061706542997</v>
      </c>
      <c r="V802">
        <v>37.408500671386697</v>
      </c>
      <c r="W802">
        <v>37.711296081542997</v>
      </c>
      <c r="X802">
        <v>38.137138366699197</v>
      </c>
      <c r="Y802">
        <v>38.524795532226598</v>
      </c>
      <c r="Z802">
        <v>38.908096313476598</v>
      </c>
      <c r="AA802">
        <v>1.65539979934692E-2</v>
      </c>
    </row>
    <row r="803" spans="1:27" x14ac:dyDescent="0.25">
      <c r="A803" t="s">
        <v>608</v>
      </c>
      <c r="B803">
        <v>21.784559249877901</v>
      </c>
      <c r="C803">
        <v>22.982162475585898</v>
      </c>
      <c r="D803">
        <v>26.493778228759801</v>
      </c>
      <c r="E803">
        <v>18.863723754882798</v>
      </c>
      <c r="F803">
        <v>25.437911987304702</v>
      </c>
      <c r="G803">
        <v>27.775495529174801</v>
      </c>
      <c r="H803">
        <v>29.9758186340332</v>
      </c>
      <c r="I803">
        <v>32.350837707519503</v>
      </c>
      <c r="J803">
        <v>35.054023742675803</v>
      </c>
      <c r="K803">
        <v>37.158294677734403</v>
      </c>
      <c r="L803">
        <v>38.482601165771499</v>
      </c>
      <c r="M803">
        <v>39.982501983642599</v>
      </c>
      <c r="N803">
        <v>40.787757873535199</v>
      </c>
      <c r="O803">
        <v>41.354404449462898</v>
      </c>
      <c r="P803">
        <v>41.681800842285199</v>
      </c>
      <c r="Q803">
        <v>41.651054382324197</v>
      </c>
      <c r="R803">
        <v>41.988578796386697</v>
      </c>
      <c r="S803">
        <v>42.463710784912102</v>
      </c>
      <c r="T803">
        <v>42.524349212646499</v>
      </c>
      <c r="U803">
        <v>42.938045501708999</v>
      </c>
      <c r="V803">
        <v>43.455722808837898</v>
      </c>
      <c r="W803">
        <v>43.8155326843262</v>
      </c>
      <c r="X803">
        <v>44.317115783691399</v>
      </c>
      <c r="Y803">
        <v>44.772129058837898</v>
      </c>
      <c r="Z803">
        <v>45.225753784179702</v>
      </c>
      <c r="AA803">
        <v>2.9869914054870599E-2</v>
      </c>
    </row>
    <row r="804" spans="1:27" x14ac:dyDescent="0.25">
      <c r="A804" t="s">
        <v>609</v>
      </c>
      <c r="B804">
        <v>15.2446508407593</v>
      </c>
      <c r="C804">
        <v>16.0964660644531</v>
      </c>
      <c r="D804">
        <v>22.0368041992188</v>
      </c>
      <c r="E804">
        <v>14.6258354187012</v>
      </c>
      <c r="F804">
        <v>18.117679595947301</v>
      </c>
      <c r="G804">
        <v>20.790958404541001</v>
      </c>
      <c r="H804">
        <v>23.098089218139599</v>
      </c>
      <c r="I804">
        <v>25.277437210083001</v>
      </c>
      <c r="J804">
        <v>28.108070373535199</v>
      </c>
      <c r="K804">
        <v>30.063097000122099</v>
      </c>
      <c r="L804">
        <v>31.2007732391357</v>
      </c>
      <c r="M804">
        <v>32.563095092773402</v>
      </c>
      <c r="N804">
        <v>33.216217041015597</v>
      </c>
      <c r="O804">
        <v>33.609565734863303</v>
      </c>
      <c r="P804">
        <v>33.985622406005902</v>
      </c>
      <c r="Q804">
        <v>33.9229927062988</v>
      </c>
      <c r="R804">
        <v>34.1160697937012</v>
      </c>
      <c r="S804">
        <v>34.517745971679702</v>
      </c>
      <c r="T804">
        <v>34.4479789733887</v>
      </c>
      <c r="U804">
        <v>34.882648468017599</v>
      </c>
      <c r="V804">
        <v>35.356975555419901</v>
      </c>
      <c r="W804">
        <v>35.6980171203613</v>
      </c>
      <c r="X804">
        <v>36.117191314697301</v>
      </c>
      <c r="Y804">
        <v>36.502471923828097</v>
      </c>
      <c r="Z804">
        <v>36.943180084228501</v>
      </c>
      <c r="AA804">
        <v>3.6781191825866699E-2</v>
      </c>
    </row>
    <row r="805" spans="1:27" x14ac:dyDescent="0.25">
      <c r="A805" t="s">
        <v>713</v>
      </c>
      <c r="B805">
        <v>20.2724208831787</v>
      </c>
      <c r="C805">
        <v>20.921422958373999</v>
      </c>
      <c r="D805">
        <v>27.137769699096701</v>
      </c>
      <c r="E805">
        <v>19.170770645141602</v>
      </c>
      <c r="F805">
        <v>22.028490066528299</v>
      </c>
      <c r="G805">
        <v>24.713983535766602</v>
      </c>
      <c r="H805">
        <v>27.011182785034201</v>
      </c>
      <c r="I805">
        <v>29.495634078979499</v>
      </c>
      <c r="J805">
        <v>32.183456420898402</v>
      </c>
      <c r="K805">
        <v>34.083713531494098</v>
      </c>
      <c r="L805">
        <v>35.161376953125</v>
      </c>
      <c r="M805">
        <v>36.449062347412102</v>
      </c>
      <c r="N805">
        <v>37.198707580566399</v>
      </c>
      <c r="O805">
        <v>37.612049102783203</v>
      </c>
      <c r="P805">
        <v>37.951786041259801</v>
      </c>
      <c r="Q805">
        <v>37.7472534179688</v>
      </c>
      <c r="R805">
        <v>37.957847595214801</v>
      </c>
      <c r="S805">
        <v>38.353157043457003</v>
      </c>
      <c r="T805">
        <v>38.333263397216797</v>
      </c>
      <c r="U805">
        <v>38.682945251464801</v>
      </c>
      <c r="V805">
        <v>39.052806854247997</v>
      </c>
      <c r="W805">
        <v>39.384151458740199</v>
      </c>
      <c r="X805">
        <v>39.812137603759801</v>
      </c>
      <c r="Y805">
        <v>40.192409515380902</v>
      </c>
      <c r="Z805">
        <v>40.681694030761697</v>
      </c>
      <c r="AA805">
        <v>2.93352603912354E-2</v>
      </c>
    </row>
    <row r="806" spans="1:27" x14ac:dyDescent="0.25">
      <c r="A806" t="s">
        <v>600</v>
      </c>
      <c r="B806">
        <v>8.20648097991943</v>
      </c>
      <c r="C806">
        <v>9.3524312973022496</v>
      </c>
      <c r="D806">
        <v>13.736819267272899</v>
      </c>
      <c r="E806">
        <v>7.9047741889953604</v>
      </c>
      <c r="F806">
        <v>13.998456954956101</v>
      </c>
      <c r="G806">
        <v>16.239332199096701</v>
      </c>
      <c r="H806">
        <v>18.616979598998999</v>
      </c>
      <c r="I806">
        <v>20.834623336791999</v>
      </c>
      <c r="J806">
        <v>23.251203536987301</v>
      </c>
      <c r="K806">
        <v>25.300340652465799</v>
      </c>
      <c r="L806">
        <v>26.520757675170898</v>
      </c>
      <c r="M806">
        <v>27.721658706665</v>
      </c>
      <c r="N806">
        <v>28.4222621917725</v>
      </c>
      <c r="O806">
        <v>28.894708633422901</v>
      </c>
      <c r="P806">
        <v>29.233545303344702</v>
      </c>
      <c r="Q806">
        <v>29.354173660278299</v>
      </c>
      <c r="R806">
        <v>29.542749404907202</v>
      </c>
      <c r="S806">
        <v>29.811567306518601</v>
      </c>
      <c r="T806">
        <v>29.883472442626999</v>
      </c>
      <c r="U806">
        <v>30.208297729492202</v>
      </c>
      <c r="V806">
        <v>30.753358840942401</v>
      </c>
      <c r="W806">
        <v>31.1088161468506</v>
      </c>
      <c r="X806">
        <v>31.5337104797363</v>
      </c>
      <c r="Y806">
        <v>31.915937423706101</v>
      </c>
      <c r="Z806">
        <v>32.455944061279297</v>
      </c>
      <c r="AA806">
        <v>5.55877685546875E-2</v>
      </c>
    </row>
    <row r="807" spans="1:27" x14ac:dyDescent="0.25">
      <c r="A807" t="s">
        <v>611</v>
      </c>
      <c r="B807">
        <v>16.0437107086182</v>
      </c>
      <c r="C807">
        <v>15.4583129882813</v>
      </c>
      <c r="D807">
        <v>17.019536972045898</v>
      </c>
      <c r="E807">
        <v>14.5970249176025</v>
      </c>
      <c r="F807">
        <v>15.1249084472656</v>
      </c>
      <c r="G807">
        <v>15.054651260376</v>
      </c>
      <c r="H807">
        <v>15.074832916259799</v>
      </c>
      <c r="I807">
        <v>15.052045822143601</v>
      </c>
      <c r="J807">
        <v>15.142041206359901</v>
      </c>
      <c r="K807">
        <v>15.2916584014893</v>
      </c>
      <c r="L807">
        <v>15.3377676010132</v>
      </c>
      <c r="M807">
        <v>15.4715919494629</v>
      </c>
      <c r="N807">
        <v>15.583300590515099</v>
      </c>
      <c r="O807">
        <v>15.570981025695801</v>
      </c>
      <c r="P807">
        <v>15.303962707519499</v>
      </c>
      <c r="Q807">
        <v>14.909815788269</v>
      </c>
      <c r="R807">
        <v>14.9584617614746</v>
      </c>
      <c r="S807">
        <v>15.1840562820435</v>
      </c>
      <c r="T807">
        <v>15.399169921875</v>
      </c>
      <c r="U807">
        <v>15.568284988403301</v>
      </c>
      <c r="V807">
        <v>15.7804002761841</v>
      </c>
      <c r="W807">
        <v>15.981484413146999</v>
      </c>
      <c r="X807">
        <v>16.220918655395501</v>
      </c>
      <c r="Y807">
        <v>16.434350967407202</v>
      </c>
      <c r="Z807">
        <v>16.567071914672901</v>
      </c>
      <c r="AA807">
        <v>3.0162334442138698E-3</v>
      </c>
    </row>
    <row r="808" spans="1:27" x14ac:dyDescent="0.25">
      <c r="A808" t="s">
        <v>469</v>
      </c>
      <c r="B808">
        <v>30.389289855956999</v>
      </c>
      <c r="C808">
        <v>30.640342712402301</v>
      </c>
      <c r="D808">
        <v>34.162754058837898</v>
      </c>
      <c r="E808">
        <v>33.815212249755902</v>
      </c>
      <c r="F808">
        <v>30.533897399902301</v>
      </c>
      <c r="G808">
        <v>30.904481887817401</v>
      </c>
      <c r="H808">
        <v>30.761266708373999</v>
      </c>
      <c r="I808">
        <v>30.656822204589801</v>
      </c>
      <c r="J808">
        <v>30.208518981933601</v>
      </c>
      <c r="K808">
        <v>30.091423034668001</v>
      </c>
      <c r="L808">
        <v>30.193696975708001</v>
      </c>
      <c r="M808">
        <v>30.0047798156738</v>
      </c>
      <c r="N808">
        <v>29.991252899169901</v>
      </c>
      <c r="O808">
        <v>30.379962921142599</v>
      </c>
      <c r="P808">
        <v>30.558404922485401</v>
      </c>
      <c r="Q808">
        <v>30.327966690063501</v>
      </c>
      <c r="R808">
        <v>30.564914703369102</v>
      </c>
      <c r="S808">
        <v>31.263238906860401</v>
      </c>
      <c r="T808">
        <v>32.143627166747997</v>
      </c>
      <c r="U808">
        <v>32.985675811767599</v>
      </c>
      <c r="V808">
        <v>33.582263946533203</v>
      </c>
      <c r="W808">
        <v>34.167488098144503</v>
      </c>
      <c r="X808">
        <v>34.703441619872997</v>
      </c>
      <c r="Y808">
        <v>34.847152709960902</v>
      </c>
      <c r="Z808">
        <v>34.984054565429702</v>
      </c>
      <c r="AA808">
        <v>5.7690143585205104E-3</v>
      </c>
    </row>
    <row r="810" spans="1:27" x14ac:dyDescent="0.25">
      <c r="A810" t="s">
        <v>612</v>
      </c>
    </row>
    <row r="811" spans="1:27" x14ac:dyDescent="0.25">
      <c r="A811" t="s">
        <v>599</v>
      </c>
      <c r="B811">
        <v>13.773189544677701</v>
      </c>
      <c r="C811">
        <v>14.7723951339722</v>
      </c>
      <c r="D811">
        <v>19.0520629882813</v>
      </c>
      <c r="E811">
        <v>14.607873916626</v>
      </c>
      <c r="F811">
        <v>17.083803176879901</v>
      </c>
      <c r="G811">
        <v>19.3275451660156</v>
      </c>
      <c r="H811">
        <v>21.593971252441399</v>
      </c>
      <c r="I811">
        <v>23.5840148925781</v>
      </c>
      <c r="J811">
        <v>26.404422760009801</v>
      </c>
      <c r="K811">
        <v>28.420751571655298</v>
      </c>
      <c r="L811">
        <v>29.800575256347699</v>
      </c>
      <c r="M811">
        <v>30.8314094543457</v>
      </c>
      <c r="N811">
        <v>31.78662109375</v>
      </c>
      <c r="O811">
        <v>32.266555786132798</v>
      </c>
      <c r="P811">
        <v>32.755008697509801</v>
      </c>
      <c r="Q811">
        <v>32.748939514160199</v>
      </c>
      <c r="R811">
        <v>32.898239135742202</v>
      </c>
      <c r="S811">
        <v>33.249435424804702</v>
      </c>
      <c r="T811">
        <v>33.280975341796903</v>
      </c>
      <c r="U811">
        <v>33.615665435791001</v>
      </c>
      <c r="V811">
        <v>34.1393432617188</v>
      </c>
      <c r="W811">
        <v>34.519859313964801</v>
      </c>
      <c r="X811">
        <v>34.915023803710902</v>
      </c>
      <c r="Y811">
        <v>35.267223358154297</v>
      </c>
      <c r="Z811">
        <v>35.541374206542997</v>
      </c>
      <c r="AA811">
        <v>3.8909077644348103E-2</v>
      </c>
    </row>
    <row r="812" spans="1:27" x14ac:dyDescent="0.25">
      <c r="A812" t="s">
        <v>600</v>
      </c>
      <c r="B812">
        <v>8.3781757354736293</v>
      </c>
      <c r="C812">
        <v>8.3772602081298793</v>
      </c>
      <c r="D812">
        <v>13.767860412597701</v>
      </c>
      <c r="E812">
        <v>8.0074138641357404</v>
      </c>
      <c r="F812">
        <v>15.1507024765015</v>
      </c>
      <c r="G812">
        <v>17.445198059081999</v>
      </c>
      <c r="H812">
        <v>19.8086948394775</v>
      </c>
      <c r="I812">
        <v>22.028682708740199</v>
      </c>
      <c r="J812">
        <v>24.317232131958001</v>
      </c>
      <c r="K812">
        <v>26.1839485168457</v>
      </c>
      <c r="L812">
        <v>27.423599243164102</v>
      </c>
      <c r="M812">
        <v>28.603431701660199</v>
      </c>
      <c r="N812">
        <v>29.3214435577393</v>
      </c>
      <c r="O812">
        <v>29.774486541748001</v>
      </c>
      <c r="P812">
        <v>30.1320896148682</v>
      </c>
      <c r="Q812">
        <v>30.226545333862301</v>
      </c>
      <c r="R812">
        <v>30.416906356811499</v>
      </c>
      <c r="S812">
        <v>30.663860321044901</v>
      </c>
      <c r="T812">
        <v>30.799253463745099</v>
      </c>
      <c r="U812">
        <v>31.115032196044901</v>
      </c>
      <c r="V812">
        <v>31.5948371887207</v>
      </c>
      <c r="W812">
        <v>31.898286819458001</v>
      </c>
      <c r="X812">
        <v>32.294849395752003</v>
      </c>
      <c r="Y812">
        <v>32.6415824890137</v>
      </c>
      <c r="Z812">
        <v>33.036785125732401</v>
      </c>
      <c r="AA812">
        <v>6.1471939086914097E-2</v>
      </c>
    </row>
    <row r="813" spans="1:27" x14ac:dyDescent="0.25">
      <c r="A813" t="s">
        <v>500</v>
      </c>
      <c r="B813">
        <v>7.0546379089355504</v>
      </c>
      <c r="C813">
        <v>7.0191588401794398</v>
      </c>
      <c r="D813">
        <v>9.1784105300903303</v>
      </c>
      <c r="E813">
        <v>6.3232793807983398</v>
      </c>
      <c r="F813">
        <v>6.7862815856933603</v>
      </c>
      <c r="G813">
        <v>6.7554225921630904</v>
      </c>
      <c r="H813">
        <v>6.8966388702392596</v>
      </c>
      <c r="I813">
        <v>6.9007439613342303</v>
      </c>
      <c r="J813">
        <v>7.0371451377868697</v>
      </c>
      <c r="K813">
        <v>7.2394108772277797</v>
      </c>
      <c r="L813">
        <v>7.3461008071899396</v>
      </c>
      <c r="M813">
        <v>7.5131673812866202</v>
      </c>
      <c r="N813">
        <v>7.6775636672973597</v>
      </c>
      <c r="O813">
        <v>7.7008471488952601</v>
      </c>
      <c r="P813">
        <v>7.47206687927246</v>
      </c>
      <c r="Q813">
        <v>7.1458010673522896</v>
      </c>
      <c r="R813">
        <v>7.2566452026367196</v>
      </c>
      <c r="S813">
        <v>7.4941387176513699</v>
      </c>
      <c r="T813">
        <v>7.74432277679443</v>
      </c>
      <c r="U813">
        <v>7.9791569709777797</v>
      </c>
      <c r="V813">
        <v>8.1962327957153303</v>
      </c>
      <c r="W813">
        <v>8.3967161178588903</v>
      </c>
      <c r="X813">
        <v>8.6154594421386701</v>
      </c>
      <c r="Y813">
        <v>8.8489608764648402</v>
      </c>
      <c r="Z813">
        <v>9.0075101852416992</v>
      </c>
      <c r="AA813">
        <v>1.09031200408936E-2</v>
      </c>
    </row>
    <row r="814" spans="1:27" x14ac:dyDescent="0.25">
      <c r="A814" t="s">
        <v>613</v>
      </c>
      <c r="B814">
        <v>1.7355251312255899</v>
      </c>
      <c r="C814">
        <v>1.78000032901764</v>
      </c>
      <c r="D814">
        <v>1.9430780410766599</v>
      </c>
      <c r="E814">
        <v>1.9159911870956401</v>
      </c>
      <c r="F814">
        <v>1.9215773344039899</v>
      </c>
      <c r="G814">
        <v>1.94381320476532</v>
      </c>
      <c r="H814">
        <v>1.96493256092072</v>
      </c>
      <c r="I814">
        <v>1.9859246015548699</v>
      </c>
      <c r="J814">
        <v>2.01386618614197</v>
      </c>
      <c r="K814">
        <v>2.0425341129303001</v>
      </c>
      <c r="L814">
        <v>2.0265669822692902</v>
      </c>
      <c r="M814">
        <v>2.0264971256256099</v>
      </c>
      <c r="N814">
        <v>2.0284991264343302</v>
      </c>
      <c r="O814">
        <v>2.03088283538818</v>
      </c>
      <c r="P814">
        <v>2.0331871509552002</v>
      </c>
      <c r="Q814">
        <v>2.0308041572570801</v>
      </c>
      <c r="R814">
        <v>2.03707003593445</v>
      </c>
      <c r="S814">
        <v>2.0511178970336901</v>
      </c>
      <c r="T814">
        <v>2.0604875087738002</v>
      </c>
      <c r="U814">
        <v>2.07539582252502</v>
      </c>
      <c r="V814">
        <v>2.08802461624146</v>
      </c>
      <c r="W814">
        <v>2.09706377983093</v>
      </c>
      <c r="X814">
        <v>2.11007905006409</v>
      </c>
      <c r="Y814">
        <v>2.1255011558532702</v>
      </c>
      <c r="Z814">
        <v>2.14128541946411</v>
      </c>
      <c r="AA814">
        <v>8.0668926239013707E-3</v>
      </c>
    </row>
    <row r="816" spans="1:27" x14ac:dyDescent="0.25">
      <c r="A816" t="s">
        <v>614</v>
      </c>
    </row>
    <row r="817" spans="1:27" x14ac:dyDescent="0.25">
      <c r="A817" t="s">
        <v>598</v>
      </c>
      <c r="B817">
        <v>15.6574239730835</v>
      </c>
      <c r="C817">
        <v>18.532711029052699</v>
      </c>
      <c r="D817">
        <v>19.588813781738299</v>
      </c>
      <c r="E817">
        <v>17.695808410644499</v>
      </c>
      <c r="F817">
        <v>22.89772605896</v>
      </c>
      <c r="G817">
        <v>25.525800704956101</v>
      </c>
      <c r="H817">
        <v>28.135374069213899</v>
      </c>
      <c r="I817">
        <v>30.695905685424801</v>
      </c>
      <c r="J817">
        <v>33.5143013000488</v>
      </c>
      <c r="K817">
        <v>35.840816497802699</v>
      </c>
      <c r="L817">
        <v>37.6836967468262</v>
      </c>
      <c r="M817">
        <v>39.047306060791001</v>
      </c>
      <c r="N817">
        <v>40.043754577636697</v>
      </c>
      <c r="O817">
        <v>40.646400451660199</v>
      </c>
      <c r="P817">
        <v>41.227584838867202</v>
      </c>
      <c r="Q817">
        <v>41.557403564453097</v>
      </c>
      <c r="R817">
        <v>41.8039360046387</v>
      </c>
      <c r="S817">
        <v>42.135208129882798</v>
      </c>
      <c r="T817">
        <v>42.369644165039098</v>
      </c>
      <c r="U817">
        <v>42.704635620117202</v>
      </c>
      <c r="V817">
        <v>43.125633239746101</v>
      </c>
      <c r="W817">
        <v>43.351551055908203</v>
      </c>
      <c r="X817">
        <v>43.615390777587898</v>
      </c>
      <c r="Y817">
        <v>43.933467864990199</v>
      </c>
      <c r="Z817">
        <v>44.235824584960902</v>
      </c>
      <c r="AA817">
        <v>3.8550496101379401E-2</v>
      </c>
    </row>
    <row r="818" spans="1:27" x14ac:dyDescent="0.25">
      <c r="A818" t="s">
        <v>607</v>
      </c>
      <c r="B818">
        <v>25.5142211914063</v>
      </c>
      <c r="C818">
        <v>26.671012878418001</v>
      </c>
      <c r="D818">
        <v>33.849239349365199</v>
      </c>
      <c r="E818">
        <v>33.586345672607401</v>
      </c>
      <c r="F818">
        <v>27.6864833831787</v>
      </c>
      <c r="G818">
        <v>30.227962493896499</v>
      </c>
      <c r="H818">
        <v>32.657257080078097</v>
      </c>
      <c r="I818">
        <v>32.785953521728501</v>
      </c>
      <c r="J818">
        <v>32.346141815185497</v>
      </c>
      <c r="K818">
        <v>33.964523315429702</v>
      </c>
      <c r="L818">
        <v>35.691123962402301</v>
      </c>
      <c r="M818">
        <v>37.409137725830099</v>
      </c>
      <c r="N818">
        <v>37.7480278015137</v>
      </c>
      <c r="O818">
        <v>37.745933532714801</v>
      </c>
      <c r="P818">
        <v>36.169681549072301</v>
      </c>
      <c r="Q818">
        <v>35.874843597412102</v>
      </c>
      <c r="R818">
        <v>36.162742614746101</v>
      </c>
      <c r="S818">
        <v>36.566848754882798</v>
      </c>
      <c r="T818">
        <v>36.620006561279297</v>
      </c>
      <c r="U818">
        <v>36.971061706542997</v>
      </c>
      <c r="V818">
        <v>37.408500671386697</v>
      </c>
      <c r="W818">
        <v>37.711296081542997</v>
      </c>
      <c r="X818">
        <v>38.137138366699197</v>
      </c>
      <c r="Y818">
        <v>38.524795532226598</v>
      </c>
      <c r="Z818">
        <v>38.908096313476598</v>
      </c>
      <c r="AA818">
        <v>1.65539979934692E-2</v>
      </c>
    </row>
    <row r="819" spans="1:27" x14ac:dyDescent="0.25">
      <c r="A819" t="s">
        <v>608</v>
      </c>
      <c r="B819">
        <v>21.648998260498001</v>
      </c>
      <c r="C819">
        <v>22.819190979003899</v>
      </c>
      <c r="D819">
        <v>26.322273254394499</v>
      </c>
      <c r="E819">
        <v>18.9177551269531</v>
      </c>
      <c r="F819">
        <v>25.436496734619102</v>
      </c>
      <c r="G819">
        <v>27.772588729858398</v>
      </c>
      <c r="H819">
        <v>29.973018646240199</v>
      </c>
      <c r="I819">
        <v>32.347999572753899</v>
      </c>
      <c r="J819">
        <v>35.050952911377003</v>
      </c>
      <c r="K819">
        <v>37.155685424804702</v>
      </c>
      <c r="L819">
        <v>38.4801635742188</v>
      </c>
      <c r="M819">
        <v>39.979705810546903</v>
      </c>
      <c r="N819">
        <v>40.785068511962898</v>
      </c>
      <c r="O819">
        <v>41.3517036437988</v>
      </c>
      <c r="P819">
        <v>41.679214477539098</v>
      </c>
      <c r="Q819">
        <v>41.648273468017599</v>
      </c>
      <c r="R819">
        <v>41.985744476318402</v>
      </c>
      <c r="S819">
        <v>42.461280822753899</v>
      </c>
      <c r="T819">
        <v>42.522396087646499</v>
      </c>
      <c r="U819">
        <v>42.935802459716797</v>
      </c>
      <c r="V819">
        <v>43.453563690185497</v>
      </c>
      <c r="W819">
        <v>43.8141899108887</v>
      </c>
      <c r="X819">
        <v>44.316211700439503</v>
      </c>
      <c r="Y819">
        <v>44.771690368652301</v>
      </c>
      <c r="Z819">
        <v>45.225814819335902</v>
      </c>
      <c r="AA819">
        <v>3.0188679695129401E-2</v>
      </c>
    </row>
    <row r="820" spans="1:27" x14ac:dyDescent="0.25">
      <c r="A820" t="s">
        <v>615</v>
      </c>
      <c r="B820">
        <v>15.2446508407593</v>
      </c>
      <c r="C820">
        <v>16.0964660644531</v>
      </c>
      <c r="D820">
        <v>22.0368041992188</v>
      </c>
      <c r="E820">
        <v>14.6258354187012</v>
      </c>
      <c r="F820">
        <v>18.117679595947301</v>
      </c>
      <c r="G820">
        <v>20.790958404541001</v>
      </c>
      <c r="H820">
        <v>23.098089218139599</v>
      </c>
      <c r="I820">
        <v>25.277437210083001</v>
      </c>
      <c r="J820">
        <v>28.108070373535199</v>
      </c>
      <c r="K820">
        <v>30.063097000122099</v>
      </c>
      <c r="L820">
        <v>31.2007732391357</v>
      </c>
      <c r="M820">
        <v>32.563095092773402</v>
      </c>
      <c r="N820">
        <v>33.216217041015597</v>
      </c>
      <c r="O820">
        <v>33.609565734863303</v>
      </c>
      <c r="P820">
        <v>33.985622406005902</v>
      </c>
      <c r="Q820">
        <v>33.9229927062988</v>
      </c>
      <c r="R820">
        <v>34.1160697937012</v>
      </c>
      <c r="S820">
        <v>34.517745971679702</v>
      </c>
      <c r="T820">
        <v>34.4479789733887</v>
      </c>
      <c r="U820">
        <v>34.882648468017599</v>
      </c>
      <c r="V820">
        <v>35.356975555419901</v>
      </c>
      <c r="W820">
        <v>35.6980171203613</v>
      </c>
      <c r="X820">
        <v>36.117191314697301</v>
      </c>
      <c r="Y820">
        <v>36.502471923828097</v>
      </c>
      <c r="Z820">
        <v>36.943180084228501</v>
      </c>
      <c r="AA820">
        <v>3.6781191825866699E-2</v>
      </c>
    </row>
    <row r="821" spans="1:27" x14ac:dyDescent="0.25">
      <c r="A821" t="s">
        <v>599</v>
      </c>
      <c r="B821">
        <v>19.1713962554932</v>
      </c>
      <c r="C821">
        <v>19.9431247711182</v>
      </c>
      <c r="D821">
        <v>25.703296661376999</v>
      </c>
      <c r="E821">
        <v>18.5521545410156</v>
      </c>
      <c r="F821">
        <v>20.9619140625</v>
      </c>
      <c r="G821">
        <v>23.6791477203369</v>
      </c>
      <c r="H821">
        <v>26.0628471374512</v>
      </c>
      <c r="I821">
        <v>28.599927902221701</v>
      </c>
      <c r="J821">
        <v>31.3183403015137</v>
      </c>
      <c r="K821">
        <v>33.263851165771499</v>
      </c>
      <c r="L821">
        <v>34.408931732177699</v>
      </c>
      <c r="M821">
        <v>35.652828216552699</v>
      </c>
      <c r="N821">
        <v>36.441574096679702</v>
      </c>
      <c r="O821">
        <v>36.859718322753899</v>
      </c>
      <c r="P821">
        <v>37.242115020752003</v>
      </c>
      <c r="Q821">
        <v>37.054904937744098</v>
      </c>
      <c r="R821">
        <v>37.2623291015625</v>
      </c>
      <c r="S821">
        <v>37.674507141113303</v>
      </c>
      <c r="T821">
        <v>37.684783935546903</v>
      </c>
      <c r="U821">
        <v>38.020187377929702</v>
      </c>
      <c r="V821">
        <v>38.413318634033203</v>
      </c>
      <c r="W821">
        <v>38.774890899658203</v>
      </c>
      <c r="X821">
        <v>39.204498291015597</v>
      </c>
      <c r="Y821">
        <v>39.593456268310497</v>
      </c>
      <c r="Z821">
        <v>40.074676513671903</v>
      </c>
      <c r="AA821">
        <v>3.0806779861450199E-2</v>
      </c>
    </row>
    <row r="822" spans="1:27" x14ac:dyDescent="0.25">
      <c r="A822" t="s">
        <v>600</v>
      </c>
      <c r="B822">
        <v>8.4246597290039098</v>
      </c>
      <c r="C822">
        <v>9.2489309310913104</v>
      </c>
      <c r="D822">
        <v>13.7205715179443</v>
      </c>
      <c r="E822">
        <v>7.74660301208496</v>
      </c>
      <c r="F822">
        <v>14.567358970642101</v>
      </c>
      <c r="G822">
        <v>16.791095733642599</v>
      </c>
      <c r="H822">
        <v>19.158735275268601</v>
      </c>
      <c r="I822">
        <v>21.380689620971701</v>
      </c>
      <c r="J822">
        <v>23.7013645172119</v>
      </c>
      <c r="K822">
        <v>25.618089675903299</v>
      </c>
      <c r="L822">
        <v>26.856208801269499</v>
      </c>
      <c r="M822">
        <v>28.053350448608398</v>
      </c>
      <c r="N822">
        <v>28.769941329956101</v>
      </c>
      <c r="O822">
        <v>29.23703956604</v>
      </c>
      <c r="P822">
        <v>29.5975856781006</v>
      </c>
      <c r="Q822">
        <v>29.6960258483887</v>
      </c>
      <c r="R822">
        <v>29.894676208496101</v>
      </c>
      <c r="S822">
        <v>30.160924911498999</v>
      </c>
      <c r="T822">
        <v>30.265388488769499</v>
      </c>
      <c r="U822">
        <v>30.587467193603501</v>
      </c>
      <c r="V822">
        <v>31.0885925292969</v>
      </c>
      <c r="W822">
        <v>31.417993545532202</v>
      </c>
      <c r="X822">
        <v>31.8338527679443</v>
      </c>
      <c r="Y822">
        <v>32.200790405273402</v>
      </c>
      <c r="Z822">
        <v>32.660762786865199</v>
      </c>
      <c r="AA822">
        <v>5.6387543678283698E-2</v>
      </c>
    </row>
    <row r="823" spans="1:27" x14ac:dyDescent="0.25">
      <c r="A823" t="s">
        <v>500</v>
      </c>
      <c r="B823">
        <v>9.5026035308837908</v>
      </c>
      <c r="C823">
        <v>9.0057582855224592</v>
      </c>
      <c r="D823">
        <v>10.3350286483765</v>
      </c>
      <c r="E823">
        <v>8.2461471557617205</v>
      </c>
      <c r="F823">
        <v>8.7815446853637695</v>
      </c>
      <c r="G823">
        <v>8.7498798370361293</v>
      </c>
      <c r="H823">
        <v>8.8216104507446307</v>
      </c>
      <c r="I823">
        <v>8.8623371124267596</v>
      </c>
      <c r="J823">
        <v>9.0222139358520508</v>
      </c>
      <c r="K823">
        <v>9.1982822418212908</v>
      </c>
      <c r="L823">
        <v>9.3107128143310494</v>
      </c>
      <c r="M823">
        <v>9.4842357635497994</v>
      </c>
      <c r="N823">
        <v>9.6566028594970703</v>
      </c>
      <c r="O823">
        <v>9.6935338973999006</v>
      </c>
      <c r="P823">
        <v>9.4843921661377006</v>
      </c>
      <c r="Q823">
        <v>9.1274719238281303</v>
      </c>
      <c r="R823">
        <v>9.1924381256103498</v>
      </c>
      <c r="S823">
        <v>9.4196281433105504</v>
      </c>
      <c r="T823">
        <v>9.6638069152831996</v>
      </c>
      <c r="U823">
        <v>9.8748388290405291</v>
      </c>
      <c r="V823">
        <v>10.1317024230957</v>
      </c>
      <c r="W823">
        <v>10.353573799133301</v>
      </c>
      <c r="X823">
        <v>10.619698524475099</v>
      </c>
      <c r="Y823">
        <v>10.875740051269499</v>
      </c>
      <c r="Z823">
        <v>11.0649738311768</v>
      </c>
      <c r="AA823">
        <v>8.99326801300049E-3</v>
      </c>
    </row>
    <row r="824" spans="1:27" x14ac:dyDescent="0.25">
      <c r="A824" t="s">
        <v>603</v>
      </c>
      <c r="B824">
        <v>3.6353600025177002</v>
      </c>
      <c r="C824">
        <v>3.6099998950958301</v>
      </c>
      <c r="D824">
        <v>4.0379996299743697</v>
      </c>
      <c r="E824">
        <v>4.5020823478698704</v>
      </c>
      <c r="F824">
        <v>4.3855228424072301</v>
      </c>
      <c r="G824">
        <v>4.3762397766113299</v>
      </c>
      <c r="H824">
        <v>4.3997368812561</v>
      </c>
      <c r="I824">
        <v>4.4189567565918004</v>
      </c>
      <c r="J824">
        <v>4.4347076416015598</v>
      </c>
      <c r="K824">
        <v>4.4522905349731401</v>
      </c>
      <c r="L824">
        <v>4.4603638648986799</v>
      </c>
      <c r="M824">
        <v>4.4635276794433603</v>
      </c>
      <c r="N824">
        <v>4.4729104042053196</v>
      </c>
      <c r="O824">
        <v>4.4708456993103001</v>
      </c>
      <c r="P824">
        <v>4.4873232841491699</v>
      </c>
      <c r="Q824">
        <v>4.5196957588195801</v>
      </c>
      <c r="R824">
        <v>4.5735583305358896</v>
      </c>
      <c r="S824">
        <v>4.6242790222168004</v>
      </c>
      <c r="T824">
        <v>4.6478152275085396</v>
      </c>
      <c r="U824">
        <v>4.6480631828308097</v>
      </c>
      <c r="V824">
        <v>4.6606159210205096</v>
      </c>
      <c r="W824">
        <v>4.6456594467163104</v>
      </c>
      <c r="X824">
        <v>4.6185407638549796</v>
      </c>
      <c r="Y824">
        <v>4.56589651107788</v>
      </c>
      <c r="Z824">
        <v>4.4889969825744602</v>
      </c>
      <c r="AA824">
        <v>9.5199346542358398E-3</v>
      </c>
    </row>
    <row r="825" spans="1:27" x14ac:dyDescent="0.25">
      <c r="A825" t="s">
        <v>616</v>
      </c>
      <c r="B825">
        <v>1.77764248847961</v>
      </c>
      <c r="C825">
        <v>1.81885325908661</v>
      </c>
      <c r="D825">
        <v>1.9807318449020399</v>
      </c>
      <c r="E825">
        <v>1.95691537857056</v>
      </c>
      <c r="F825">
        <v>1.96047616004944</v>
      </c>
      <c r="G825">
        <v>1.9828474521637001</v>
      </c>
      <c r="H825">
        <v>2.0030708312988299</v>
      </c>
      <c r="I825">
        <v>2.0230474472045898</v>
      </c>
      <c r="J825">
        <v>2.04939866065979</v>
      </c>
      <c r="K825">
        <v>2.0778627395629901</v>
      </c>
      <c r="L825">
        <v>2.0609514713287398</v>
      </c>
      <c r="M825">
        <v>2.0600180625915501</v>
      </c>
      <c r="N825">
        <v>2.0618624687194802</v>
      </c>
      <c r="O825">
        <v>2.0638909339904798</v>
      </c>
      <c r="P825">
        <v>2.06605005264282</v>
      </c>
      <c r="Q825">
        <v>2.0636281967163099</v>
      </c>
      <c r="R825">
        <v>2.0698127746582</v>
      </c>
      <c r="S825">
        <v>2.0836849212646502</v>
      </c>
      <c r="T825">
        <v>2.0928261280059801</v>
      </c>
      <c r="U825">
        <v>2.1075301170349099</v>
      </c>
      <c r="V825">
        <v>2.11965775489807</v>
      </c>
      <c r="W825">
        <v>2.12851786613464</v>
      </c>
      <c r="X825">
        <v>2.1413710117340101</v>
      </c>
      <c r="Y825">
        <v>2.1563785076141402</v>
      </c>
      <c r="Z825">
        <v>2.1716537475585902</v>
      </c>
      <c r="AA825">
        <v>7.7377557754516602E-3</v>
      </c>
    </row>
    <row r="826" spans="1:27" x14ac:dyDescent="0.25">
      <c r="A826" t="s">
        <v>605</v>
      </c>
      <c r="B826" t="s">
        <v>777</v>
      </c>
      <c r="C826" t="s">
        <v>777</v>
      </c>
      <c r="D826">
        <v>0</v>
      </c>
      <c r="E826">
        <v>0</v>
      </c>
      <c r="F826">
        <v>0</v>
      </c>
      <c r="G826">
        <v>1.41293036937714</v>
      </c>
      <c r="H826">
        <v>1.2184369564056401</v>
      </c>
      <c r="I826">
        <v>1.17754483222961</v>
      </c>
      <c r="J826">
        <v>1.3116322755813601</v>
      </c>
      <c r="K826">
        <v>1.2733211517334</v>
      </c>
      <c r="L826">
        <v>1.2851463556289699</v>
      </c>
      <c r="M826">
        <v>1.28024590015411</v>
      </c>
      <c r="N826">
        <v>1.30277991294861</v>
      </c>
      <c r="O826">
        <v>1.29882299900055</v>
      </c>
      <c r="P826">
        <v>1.29265284538269</v>
      </c>
      <c r="Q826">
        <v>1.32939457893372</v>
      </c>
      <c r="R826">
        <v>1.3688597679138199</v>
      </c>
      <c r="S826">
        <v>1.4024136066436801</v>
      </c>
      <c r="T826">
        <v>1.4137438535690301</v>
      </c>
      <c r="U826">
        <v>1.42857146263123</v>
      </c>
      <c r="V826">
        <v>1.43632352352142</v>
      </c>
      <c r="W826">
        <v>1.44281482696533</v>
      </c>
      <c r="X826">
        <v>1.44536685943604</v>
      </c>
      <c r="Y826">
        <v>1.4501197338104199</v>
      </c>
      <c r="Z826">
        <v>1.4655066728591899</v>
      </c>
      <c r="AA826" t="s">
        <v>777</v>
      </c>
    </row>
    <row r="827" spans="1:27" x14ac:dyDescent="0.25">
      <c r="A827" t="s">
        <v>469</v>
      </c>
      <c r="B827">
        <v>26.6758422851563</v>
      </c>
      <c r="C827">
        <v>26.701194763183601</v>
      </c>
      <c r="D827">
        <v>28.207727432251001</v>
      </c>
      <c r="E827">
        <v>28.274074554443398</v>
      </c>
      <c r="F827">
        <v>26.651882171630898</v>
      </c>
      <c r="G827">
        <v>27.076250076293899</v>
      </c>
      <c r="H827">
        <v>26.8856010437012</v>
      </c>
      <c r="I827">
        <v>27.034772872924801</v>
      </c>
      <c r="J827">
        <v>27.029661178588899</v>
      </c>
      <c r="K827">
        <v>27.3082084655762</v>
      </c>
      <c r="L827">
        <v>27.613113403320298</v>
      </c>
      <c r="M827">
        <v>27.833410263061499</v>
      </c>
      <c r="N827">
        <v>28.1487426757813</v>
      </c>
      <c r="O827">
        <v>28.391799926757798</v>
      </c>
      <c r="P827">
        <v>28.5583095550537</v>
      </c>
      <c r="Q827">
        <v>28.353569030761701</v>
      </c>
      <c r="R827">
        <v>28.399204254150401</v>
      </c>
      <c r="S827">
        <v>28.738731384277301</v>
      </c>
      <c r="T827">
        <v>29.230339050293001</v>
      </c>
      <c r="U827">
        <v>29.757205963134801</v>
      </c>
      <c r="V827">
        <v>30.155431747436499</v>
      </c>
      <c r="W827">
        <v>30.516889572143601</v>
      </c>
      <c r="X827">
        <v>30.855388641357401</v>
      </c>
      <c r="Y827">
        <v>31.007261276245099</v>
      </c>
      <c r="Z827">
        <v>31.1231689453125</v>
      </c>
      <c r="AA827">
        <v>6.6850185394287101E-3</v>
      </c>
    </row>
    <row r="829" spans="1:27" x14ac:dyDescent="0.25">
      <c r="A829" t="s">
        <v>503</v>
      </c>
    </row>
    <row r="830" spans="1:27" x14ac:dyDescent="0.25">
      <c r="A830" t="s">
        <v>714</v>
      </c>
    </row>
    <row r="831" spans="1:27" x14ac:dyDescent="0.25">
      <c r="A831" t="s">
        <v>463</v>
      </c>
      <c r="B831">
        <v>231.08920288085901</v>
      </c>
      <c r="C831">
        <v>238.37773132324199</v>
      </c>
      <c r="D831">
        <v>252.94381713867199</v>
      </c>
      <c r="E831">
        <v>239.17680358886699</v>
      </c>
      <c r="F831">
        <v>239.69950866699199</v>
      </c>
      <c r="G831">
        <v>245.75201416015599</v>
      </c>
      <c r="H831">
        <v>249.44010925293</v>
      </c>
      <c r="I831">
        <v>251.653884887695</v>
      </c>
      <c r="J831">
        <v>255.77357482910199</v>
      </c>
      <c r="K831">
        <v>260.52627563476602</v>
      </c>
      <c r="L831">
        <v>265.15460205078102</v>
      </c>
      <c r="M831">
        <v>269.22512817382801</v>
      </c>
      <c r="N831">
        <v>274.38430786132801</v>
      </c>
      <c r="O831">
        <v>278.28405761718801</v>
      </c>
      <c r="P831">
        <v>280.47280883789102</v>
      </c>
      <c r="Q831">
        <v>279.25845336914102</v>
      </c>
      <c r="R831">
        <v>282.19268798828102</v>
      </c>
      <c r="S831">
        <v>287.70663452148398</v>
      </c>
      <c r="T831">
        <v>294.26138305664102</v>
      </c>
      <c r="U831">
        <v>299.7646484375</v>
      </c>
      <c r="V831">
        <v>305.77548217773398</v>
      </c>
      <c r="W831">
        <v>311.16711425781301</v>
      </c>
      <c r="X831">
        <v>317.20748901367199</v>
      </c>
      <c r="Y831">
        <v>320.85021972656301</v>
      </c>
      <c r="Z831">
        <v>324.46701049804699</v>
      </c>
      <c r="AA831">
        <v>1.34958028793335E-2</v>
      </c>
    </row>
    <row r="832" spans="1:27" x14ac:dyDescent="0.25">
      <c r="A832" t="s">
        <v>470</v>
      </c>
      <c r="B832">
        <v>170.28286743164099</v>
      </c>
      <c r="C832">
        <v>173.08578491210901</v>
      </c>
      <c r="D832">
        <v>185.76397705078099</v>
      </c>
      <c r="E832">
        <v>178.33143615722699</v>
      </c>
      <c r="F832">
        <v>175.53163146972699</v>
      </c>
      <c r="G832">
        <v>180.70600891113301</v>
      </c>
      <c r="H832">
        <v>182.55152893066401</v>
      </c>
      <c r="I832">
        <v>186.30380249023401</v>
      </c>
      <c r="J832">
        <v>190.25302124023401</v>
      </c>
      <c r="K832">
        <v>195.77976989746099</v>
      </c>
      <c r="L832">
        <v>200.96725463867199</v>
      </c>
      <c r="M832">
        <v>206.10406494140599</v>
      </c>
      <c r="N832">
        <v>211.46237182617199</v>
      </c>
      <c r="O832">
        <v>215.83396911621099</v>
      </c>
      <c r="P832">
        <v>218.91777038574199</v>
      </c>
      <c r="Q832">
        <v>219.36863708496099</v>
      </c>
      <c r="R832">
        <v>222.59973144531301</v>
      </c>
      <c r="S832">
        <v>228.27235412597699</v>
      </c>
      <c r="T832">
        <v>234.30972290039099</v>
      </c>
      <c r="U832">
        <v>240.46255493164099</v>
      </c>
      <c r="V832">
        <v>246.24565124511699</v>
      </c>
      <c r="W832">
        <v>251.95404052734401</v>
      </c>
      <c r="X832">
        <v>257.89071655273398</v>
      </c>
      <c r="Y832">
        <v>262.67080688476602</v>
      </c>
      <c r="Z832">
        <v>267.35046386718801</v>
      </c>
      <c r="AA832">
        <v>1.9083023071289101E-2</v>
      </c>
    </row>
    <row r="833" spans="1:27" x14ac:dyDescent="0.25">
      <c r="A833" t="s">
        <v>505</v>
      </c>
      <c r="B833">
        <v>216.12767028808599</v>
      </c>
      <c r="C833">
        <v>226.84164428710901</v>
      </c>
      <c r="D833">
        <v>256.28231811523398</v>
      </c>
      <c r="E833">
        <v>205.24591064453099</v>
      </c>
      <c r="F833">
        <v>215.22320556640599</v>
      </c>
      <c r="G833">
        <v>231.62438964843801</v>
      </c>
      <c r="H833">
        <v>251.65115356445301</v>
      </c>
      <c r="I833">
        <v>268.80010986328102</v>
      </c>
      <c r="J833">
        <v>283.12625122070301</v>
      </c>
      <c r="K833">
        <v>295.85977172851602</v>
      </c>
      <c r="L833">
        <v>303.21740722656301</v>
      </c>
      <c r="M833">
        <v>310.33920288085898</v>
      </c>
      <c r="N833">
        <v>314.45690917968801</v>
      </c>
      <c r="O833">
        <v>315.63778686523398</v>
      </c>
      <c r="P833">
        <v>314.44158935546898</v>
      </c>
      <c r="Q833">
        <v>311.38638305664102</v>
      </c>
      <c r="R833">
        <v>313.677490234375</v>
      </c>
      <c r="S833">
        <v>317.87069702148398</v>
      </c>
      <c r="T833">
        <v>322.22720336914102</v>
      </c>
      <c r="U833">
        <v>327.49166870117199</v>
      </c>
      <c r="V833">
        <v>332.22317504882801</v>
      </c>
      <c r="W833">
        <v>336.22024536132801</v>
      </c>
      <c r="X833">
        <v>341.05575561523398</v>
      </c>
      <c r="Y833">
        <v>345.55453491210898</v>
      </c>
      <c r="Z833">
        <v>349.17462158203102</v>
      </c>
      <c r="AA833">
        <v>1.8929958343505901E-2</v>
      </c>
    </row>
    <row r="834" spans="1:27" x14ac:dyDescent="0.25">
      <c r="A834" t="s">
        <v>477</v>
      </c>
      <c r="B834">
        <v>564.63043212890602</v>
      </c>
      <c r="C834">
        <v>596.754638671875</v>
      </c>
      <c r="D834">
        <v>694.30163574218795</v>
      </c>
      <c r="E834">
        <v>484.89761352539102</v>
      </c>
      <c r="F834">
        <v>634.28308105468795</v>
      </c>
      <c r="G834">
        <v>713.26568603515602</v>
      </c>
      <c r="H834">
        <v>779.22229003906295</v>
      </c>
      <c r="I834">
        <v>844.09631347656295</v>
      </c>
      <c r="J834">
        <v>905.84466552734398</v>
      </c>
      <c r="K834">
        <v>934.9755859375</v>
      </c>
      <c r="L834">
        <v>954.39727783203102</v>
      </c>
      <c r="M834">
        <v>974.517578125</v>
      </c>
      <c r="N834">
        <v>987.50305175781295</v>
      </c>
      <c r="O834">
        <v>994.324462890625</v>
      </c>
      <c r="P834">
        <v>995.15118408203102</v>
      </c>
      <c r="Q834">
        <v>988.80041503906295</v>
      </c>
      <c r="R834">
        <v>994.07275390625</v>
      </c>
      <c r="S834">
        <v>1004.81390380859</v>
      </c>
      <c r="T834">
        <v>1007.67785644531</v>
      </c>
      <c r="U834">
        <v>1021.18786621094</v>
      </c>
      <c r="V834">
        <v>1038.30029296875</v>
      </c>
      <c r="W834">
        <v>1054.15161132813</v>
      </c>
      <c r="X834">
        <v>1073.83544921875</v>
      </c>
      <c r="Y834">
        <v>1093.56530761719</v>
      </c>
      <c r="Z834">
        <v>1116.07727050781</v>
      </c>
      <c r="AA834">
        <v>2.7594208717346198E-2</v>
      </c>
    </row>
    <row r="835" spans="1:27" x14ac:dyDescent="0.25">
      <c r="A835" t="s">
        <v>506</v>
      </c>
      <c r="B835">
        <v>1182.13012695313</v>
      </c>
      <c r="C835">
        <v>1235.05981445313</v>
      </c>
      <c r="D835">
        <v>1389.29174804688</v>
      </c>
      <c r="E835">
        <v>1107.65173339844</v>
      </c>
      <c r="F835">
        <v>1264.73742675781</v>
      </c>
      <c r="G835">
        <v>1371.34814453125</v>
      </c>
      <c r="H835">
        <v>1462.86511230469</v>
      </c>
      <c r="I835">
        <v>1550.85412597656</v>
      </c>
      <c r="J835">
        <v>1634.99755859375</v>
      </c>
      <c r="K835">
        <v>1687.14135742188</v>
      </c>
      <c r="L835">
        <v>1723.73657226563</v>
      </c>
      <c r="M835">
        <v>1760.18603515625</v>
      </c>
      <c r="N835">
        <v>1787.806640625</v>
      </c>
      <c r="O835">
        <v>1804.08032226563</v>
      </c>
      <c r="P835">
        <v>1808.9833984375</v>
      </c>
      <c r="Q835">
        <v>1798.81384277344</v>
      </c>
      <c r="R835">
        <v>1812.54272460938</v>
      </c>
      <c r="S835">
        <v>1838.66357421875</v>
      </c>
      <c r="T835">
        <v>1858.47619628906</v>
      </c>
      <c r="U835">
        <v>1888.90673828125</v>
      </c>
      <c r="V835">
        <v>1922.54455566406</v>
      </c>
      <c r="W835">
        <v>1953.49304199219</v>
      </c>
      <c r="X835">
        <v>1989.98937988281</v>
      </c>
      <c r="Y835">
        <v>2022.64086914063</v>
      </c>
      <c r="Z835">
        <v>2057.0693359375</v>
      </c>
      <c r="AA835">
        <v>2.2428870201110802E-2</v>
      </c>
    </row>
    <row r="836" spans="1:27" x14ac:dyDescent="0.25">
      <c r="A836" t="s">
        <v>618</v>
      </c>
      <c r="B836">
        <v>3.2134380191564602E-2</v>
      </c>
      <c r="C836">
        <v>4.0766973048448597E-2</v>
      </c>
      <c r="D836">
        <v>3.9758257567882503E-2</v>
      </c>
      <c r="E836">
        <v>2.0912932232022299E-2</v>
      </c>
      <c r="F836">
        <v>6.9471828639507294E-2</v>
      </c>
      <c r="G836">
        <v>8.6778029799461406E-2</v>
      </c>
      <c r="H836">
        <v>0.106363005936146</v>
      </c>
      <c r="I836">
        <v>0.55913984775543202</v>
      </c>
      <c r="J836">
        <v>7.9643964767456099</v>
      </c>
      <c r="K836">
        <v>27.973939895629901</v>
      </c>
      <c r="L836">
        <v>38.499557495117202</v>
      </c>
      <c r="M836">
        <v>49.285560607910199</v>
      </c>
      <c r="N836">
        <v>55.498867034912102</v>
      </c>
      <c r="O836">
        <v>59.983543395996101</v>
      </c>
      <c r="P836">
        <v>63.057430267333999</v>
      </c>
      <c r="Q836">
        <v>67.662658691406307</v>
      </c>
      <c r="R836">
        <v>73.058197021484403</v>
      </c>
      <c r="S836">
        <v>78.445304870605497</v>
      </c>
      <c r="T836">
        <v>82.808517456054702</v>
      </c>
      <c r="U836">
        <v>87.534194946289105</v>
      </c>
      <c r="V836">
        <v>92.150848388671903</v>
      </c>
      <c r="W836">
        <v>96.100090026855497</v>
      </c>
      <c r="X836">
        <v>99.981544494628906</v>
      </c>
      <c r="Y836">
        <v>103.37892150878901</v>
      </c>
      <c r="Z836">
        <v>106.394973754883</v>
      </c>
      <c r="AA836">
        <v>0.407824020385742</v>
      </c>
    </row>
    <row r="837" spans="1:27" x14ac:dyDescent="0.25">
      <c r="A837" t="s">
        <v>508</v>
      </c>
      <c r="B837">
        <v>1182.16223144531</v>
      </c>
      <c r="C837">
        <v>1235.1005859375</v>
      </c>
      <c r="D837">
        <v>1389.33154296875</v>
      </c>
      <c r="E837">
        <v>1107.67260742188</v>
      </c>
      <c r="F837">
        <v>1264.80688476563</v>
      </c>
      <c r="G837">
        <v>1371.43493652344</v>
      </c>
      <c r="H837">
        <v>1462.97143554688</v>
      </c>
      <c r="I837">
        <v>1551.41320800781</v>
      </c>
      <c r="J837">
        <v>1642.9619140625</v>
      </c>
      <c r="K837">
        <v>1715.11535644531</v>
      </c>
      <c r="L837">
        <v>1762.23608398438</v>
      </c>
      <c r="M837">
        <v>1809.47155761719</v>
      </c>
      <c r="N837">
        <v>1843.30554199219</v>
      </c>
      <c r="O837">
        <v>1864.06384277344</v>
      </c>
      <c r="P837">
        <v>1872.04077148438</v>
      </c>
      <c r="Q837">
        <v>1866.4765625</v>
      </c>
      <c r="R837">
        <v>1885.60095214844</v>
      </c>
      <c r="S837">
        <v>1917.10888671875</v>
      </c>
      <c r="T837">
        <v>1941.28466796875</v>
      </c>
      <c r="U837">
        <v>1976.44091796875</v>
      </c>
      <c r="V837">
        <v>2014.69543457031</v>
      </c>
      <c r="W837">
        <v>2049.59301757813</v>
      </c>
      <c r="X837">
        <v>2089.97094726563</v>
      </c>
      <c r="Y837">
        <v>2126.01977539063</v>
      </c>
      <c r="Z837">
        <v>2163.46435546875</v>
      </c>
      <c r="AA837">
        <v>2.4671554565429701E-2</v>
      </c>
    </row>
    <row r="840" spans="1:27" x14ac:dyDescent="0.25">
      <c r="A840" t="s">
        <v>715</v>
      </c>
    </row>
    <row r="841" spans="1:27" x14ac:dyDescent="0.25">
      <c r="A841" t="s">
        <v>463</v>
      </c>
    </row>
    <row r="842" spans="1:27" x14ac:dyDescent="0.25">
      <c r="A842" t="s">
        <v>598</v>
      </c>
      <c r="B842">
        <v>23.257051467895501</v>
      </c>
      <c r="C842">
        <v>24.976987838745099</v>
      </c>
      <c r="D842">
        <v>29.065778732299801</v>
      </c>
      <c r="E842">
        <v>23.2960910797119</v>
      </c>
      <c r="F842">
        <v>29.4280681610107</v>
      </c>
      <c r="G842">
        <v>32.889183044433601</v>
      </c>
      <c r="H842">
        <v>36.6288871765137</v>
      </c>
      <c r="I842">
        <v>40.505104064941399</v>
      </c>
      <c r="J842">
        <v>44.8352661132813</v>
      </c>
      <c r="K842">
        <v>48.719963073730497</v>
      </c>
      <c r="L842">
        <v>52.086635589599602</v>
      </c>
      <c r="M842">
        <v>54.978519439697301</v>
      </c>
      <c r="N842">
        <v>57.4362182617188</v>
      </c>
      <c r="O842">
        <v>59.445770263671903</v>
      </c>
      <c r="P842">
        <v>61.391433715820298</v>
      </c>
      <c r="Q842">
        <v>62.804817199707003</v>
      </c>
      <c r="R842">
        <v>63.970870971679702</v>
      </c>
      <c r="S842">
        <v>65.233825683593807</v>
      </c>
      <c r="T842">
        <v>66.208908081054702</v>
      </c>
      <c r="U842">
        <v>67.332000732421903</v>
      </c>
      <c r="V842">
        <v>68.596176147460895</v>
      </c>
      <c r="W842">
        <v>69.652244567871094</v>
      </c>
      <c r="X842">
        <v>70.7481689453125</v>
      </c>
      <c r="Y842">
        <v>71.979537963867202</v>
      </c>
      <c r="Z842">
        <v>73.22802734375</v>
      </c>
      <c r="AA842">
        <v>4.7877073287963902E-2</v>
      </c>
    </row>
    <row r="843" spans="1:27" x14ac:dyDescent="0.25">
      <c r="A843" t="s">
        <v>599</v>
      </c>
      <c r="B843">
        <v>17.9798793792725</v>
      </c>
      <c r="C843">
        <v>19.6639919281006</v>
      </c>
      <c r="D843">
        <v>24.3671779632568</v>
      </c>
      <c r="E843">
        <v>19.1102085113525</v>
      </c>
      <c r="F843">
        <v>21.806400299072301</v>
      </c>
      <c r="G843">
        <v>24.6327724456787</v>
      </c>
      <c r="H843">
        <v>27.526374816894499</v>
      </c>
      <c r="I843">
        <v>30.2902221679688</v>
      </c>
      <c r="J843">
        <v>34.194293975830099</v>
      </c>
      <c r="K843">
        <v>37.316211700439503</v>
      </c>
      <c r="L843">
        <v>39.8068237304688</v>
      </c>
      <c r="M843">
        <v>41.9394340515137</v>
      </c>
      <c r="N843">
        <v>44.014728546142599</v>
      </c>
      <c r="O843">
        <v>45.545963287353501</v>
      </c>
      <c r="P843">
        <v>47.042560577392599</v>
      </c>
      <c r="Q843">
        <v>47.727027893066399</v>
      </c>
      <c r="R843">
        <v>48.543346405029297</v>
      </c>
      <c r="S843">
        <v>49.706432342529297</v>
      </c>
      <c r="T843">
        <v>50.280788421630902</v>
      </c>
      <c r="U843">
        <v>51.184494018554702</v>
      </c>
      <c r="V843">
        <v>52.296066284179702</v>
      </c>
      <c r="W843">
        <v>53.400947570800803</v>
      </c>
      <c r="X843">
        <v>54.528671264648402</v>
      </c>
      <c r="Y843">
        <v>55.612415313720703</v>
      </c>
      <c r="Z843">
        <v>56.540290832519503</v>
      </c>
      <c r="AA843">
        <v>4.6990871429443401E-2</v>
      </c>
    </row>
    <row r="844" spans="1:27" x14ac:dyDescent="0.25">
      <c r="A844" t="s">
        <v>500</v>
      </c>
      <c r="B844">
        <v>13.3406887054443</v>
      </c>
      <c r="C844">
        <v>12.691158294677701</v>
      </c>
      <c r="D844">
        <v>13.3287906646729</v>
      </c>
      <c r="E844">
        <v>12.1788377761841</v>
      </c>
      <c r="F844">
        <v>12.9910278320313</v>
      </c>
      <c r="G844">
        <v>13.095386505126999</v>
      </c>
      <c r="H844">
        <v>13.3549995422363</v>
      </c>
      <c r="I844">
        <v>13.6636142730713</v>
      </c>
      <c r="J844">
        <v>14.100858688354499</v>
      </c>
      <c r="K844">
        <v>14.6119728088379</v>
      </c>
      <c r="L844">
        <v>15.068768501281699</v>
      </c>
      <c r="M844">
        <v>15.646878242492701</v>
      </c>
      <c r="N844">
        <v>16.202325820922901</v>
      </c>
      <c r="O844">
        <v>16.6011772155762</v>
      </c>
      <c r="P844">
        <v>16.638313293456999</v>
      </c>
      <c r="Q844">
        <v>16.434179306030298</v>
      </c>
      <c r="R844">
        <v>16.716007232666001</v>
      </c>
      <c r="S844">
        <v>17.266981124877901</v>
      </c>
      <c r="T844">
        <v>17.790235519409201</v>
      </c>
      <c r="U844">
        <v>18.257511138916001</v>
      </c>
      <c r="V844">
        <v>18.8174343109131</v>
      </c>
      <c r="W844">
        <v>19.361801147460898</v>
      </c>
      <c r="X844">
        <v>19.9677219390869</v>
      </c>
      <c r="Y844">
        <v>20.5712070465088</v>
      </c>
      <c r="Z844">
        <v>21.078121185302699</v>
      </c>
      <c r="AA844">
        <v>2.2302865982055699E-2</v>
      </c>
    </row>
    <row r="845" spans="1:27" x14ac:dyDescent="0.25">
      <c r="A845" t="s">
        <v>469</v>
      </c>
      <c r="B845">
        <v>30.388185501098601</v>
      </c>
      <c r="C845">
        <v>31.187788009643601</v>
      </c>
      <c r="D845">
        <v>33.115669250488303</v>
      </c>
      <c r="E845">
        <v>33.781986236572301</v>
      </c>
      <c r="F845">
        <v>32.814785003662102</v>
      </c>
      <c r="G845">
        <v>34.077308654785199</v>
      </c>
      <c r="H845">
        <v>34.736278533935497</v>
      </c>
      <c r="I845">
        <v>35.890495300292997</v>
      </c>
      <c r="J845">
        <v>36.7275390625</v>
      </c>
      <c r="K845">
        <v>37.879070281982401</v>
      </c>
      <c r="L845">
        <v>39.014167785644503</v>
      </c>
      <c r="M845">
        <v>40.139362335205099</v>
      </c>
      <c r="N845">
        <v>41.365802764892599</v>
      </c>
      <c r="O845">
        <v>42.518196105957003</v>
      </c>
      <c r="P845">
        <v>43.5210151672363</v>
      </c>
      <c r="Q845">
        <v>43.962184906005902</v>
      </c>
      <c r="R845">
        <v>44.622589111328097</v>
      </c>
      <c r="S845">
        <v>45.6438598632813</v>
      </c>
      <c r="T845">
        <v>46.812854766845703</v>
      </c>
      <c r="U845">
        <v>48.041049957275398</v>
      </c>
      <c r="V845">
        <v>49.098915100097699</v>
      </c>
      <c r="W845">
        <v>50.119911193847699</v>
      </c>
      <c r="X845">
        <v>51.109226226806598</v>
      </c>
      <c r="Y845">
        <v>51.910655975341797</v>
      </c>
      <c r="Z845">
        <v>52.645065307617202</v>
      </c>
      <c r="AA845">
        <v>2.3023962974548302E-2</v>
      </c>
    </row>
    <row r="847" spans="1:27" x14ac:dyDescent="0.25">
      <c r="A847" t="s">
        <v>470</v>
      </c>
    </row>
    <row r="848" spans="1:27" x14ac:dyDescent="0.25">
      <c r="A848" t="s">
        <v>598</v>
      </c>
      <c r="B848">
        <v>20.6414604187012</v>
      </c>
      <c r="C848">
        <v>23.041419982910199</v>
      </c>
      <c r="D848">
        <v>24.172060012817401</v>
      </c>
      <c r="E848">
        <v>19.4689617156982</v>
      </c>
      <c r="F848">
        <v>26.076234817504901</v>
      </c>
      <c r="G848">
        <v>29.4727878570557</v>
      </c>
      <c r="H848">
        <v>33.1359672546387</v>
      </c>
      <c r="I848">
        <v>36.924243927002003</v>
      </c>
      <c r="J848">
        <v>41.162197113037102</v>
      </c>
      <c r="K848">
        <v>44.950904846191399</v>
      </c>
      <c r="L848">
        <v>48.2210884094238</v>
      </c>
      <c r="M848">
        <v>51.014842987060497</v>
      </c>
      <c r="N848">
        <v>53.374961853027301</v>
      </c>
      <c r="O848">
        <v>55.285846710205099</v>
      </c>
      <c r="P848">
        <v>57.140815734863303</v>
      </c>
      <c r="Q848">
        <v>58.478668212890597</v>
      </c>
      <c r="R848">
        <v>59.577701568603501</v>
      </c>
      <c r="S848">
        <v>60.778411865234403</v>
      </c>
      <c r="T848">
        <v>61.698631286621101</v>
      </c>
      <c r="U848">
        <v>62.76953125</v>
      </c>
      <c r="V848">
        <v>63.9805717468262</v>
      </c>
      <c r="W848">
        <v>64.980018615722699</v>
      </c>
      <c r="X848">
        <v>66.018135070800795</v>
      </c>
      <c r="Y848">
        <v>67.190345764160199</v>
      </c>
      <c r="Z848">
        <v>68.376495361328097</v>
      </c>
      <c r="AA848">
        <v>4.8429012298583998E-2</v>
      </c>
    </row>
    <row r="849" spans="1:27" x14ac:dyDescent="0.25">
      <c r="A849" t="s">
        <v>599</v>
      </c>
      <c r="B849">
        <v>14.6259565353394</v>
      </c>
      <c r="C849">
        <v>16.054103851318398</v>
      </c>
      <c r="D849">
        <v>21.337766647338899</v>
      </c>
      <c r="E849">
        <v>16.734783172607401</v>
      </c>
      <c r="F849">
        <v>19.112129211425799</v>
      </c>
      <c r="G849">
        <v>22.201026916503899</v>
      </c>
      <c r="H849">
        <v>25.113124847412099</v>
      </c>
      <c r="I849">
        <v>28.0792446136475</v>
      </c>
      <c r="J849">
        <v>31.9088649749756</v>
      </c>
      <c r="K849">
        <v>34.911155700683601</v>
      </c>
      <c r="L849">
        <v>37.174346923828097</v>
      </c>
      <c r="M849">
        <v>39.3967475891113</v>
      </c>
      <c r="N849">
        <v>41.302574157714801</v>
      </c>
      <c r="O849">
        <v>42.740764617919901</v>
      </c>
      <c r="P849">
        <v>44.103927612304702</v>
      </c>
      <c r="Q849">
        <v>44.6142768859863</v>
      </c>
      <c r="R849">
        <v>45.439685821533203</v>
      </c>
      <c r="S849">
        <v>46.523967742919901</v>
      </c>
      <c r="T849">
        <v>47.052040100097699</v>
      </c>
      <c r="U849">
        <v>47.945369720458999</v>
      </c>
      <c r="V849">
        <v>49.002445220947301</v>
      </c>
      <c r="W849">
        <v>50.046310424804702</v>
      </c>
      <c r="X849">
        <v>51.161643981933601</v>
      </c>
      <c r="Y849">
        <v>52.236690521240199</v>
      </c>
      <c r="Z849">
        <v>53.3607368469238</v>
      </c>
      <c r="AA849">
        <v>5.3609848022460903E-2</v>
      </c>
    </row>
    <row r="850" spans="1:27" x14ac:dyDescent="0.25">
      <c r="A850" t="s">
        <v>712</v>
      </c>
      <c r="B850">
        <v>8.64862155914307</v>
      </c>
      <c r="C850">
        <v>10.2142028808594</v>
      </c>
      <c r="D850">
        <v>13.678780555725099</v>
      </c>
      <c r="E850">
        <v>7.0478959083557102</v>
      </c>
      <c r="F850">
        <v>13.512396812439</v>
      </c>
      <c r="G850">
        <v>16.3985290527344</v>
      </c>
      <c r="H850">
        <v>19.012569427490199</v>
      </c>
      <c r="I850">
        <v>21.890174865722699</v>
      </c>
      <c r="J850">
        <v>24.128501892089801</v>
      </c>
      <c r="K850">
        <v>25.886793136596701</v>
      </c>
      <c r="L850">
        <v>28.2118015289307</v>
      </c>
      <c r="M850">
        <v>30.3311157226563</v>
      </c>
      <c r="N850">
        <v>32.112957000732401</v>
      </c>
      <c r="O850">
        <v>33.514438629150398</v>
      </c>
      <c r="P850">
        <v>34.8145141601563</v>
      </c>
      <c r="Q850">
        <v>35.560783386230497</v>
      </c>
      <c r="R850">
        <v>36.361560821533203</v>
      </c>
      <c r="S850">
        <v>37.261711120605497</v>
      </c>
      <c r="T850">
        <v>38.001945495605497</v>
      </c>
      <c r="U850">
        <v>38.855312347412102</v>
      </c>
      <c r="V850">
        <v>39.703739166259801</v>
      </c>
      <c r="W850">
        <v>40.496681213378899</v>
      </c>
      <c r="X850">
        <v>41.409446716308601</v>
      </c>
      <c r="Y850">
        <v>42.337013244628899</v>
      </c>
      <c r="Z850">
        <v>43.256912231445298</v>
      </c>
      <c r="AA850">
        <v>6.4766526222229004E-2</v>
      </c>
    </row>
    <row r="851" spans="1:27" x14ac:dyDescent="0.25">
      <c r="A851" t="s">
        <v>500</v>
      </c>
      <c r="B851">
        <v>11.5840444564819</v>
      </c>
      <c r="C851">
        <v>10.9898433685303</v>
      </c>
      <c r="D851">
        <v>11.799612998962401</v>
      </c>
      <c r="E851">
        <v>10.6018285751343</v>
      </c>
      <c r="F851">
        <v>11.362260818481399</v>
      </c>
      <c r="G851">
        <v>11.475154876709</v>
      </c>
      <c r="H851">
        <v>11.7514343261719</v>
      </c>
      <c r="I851">
        <v>12.0277652740479</v>
      </c>
      <c r="J851">
        <v>12.4501762390137</v>
      </c>
      <c r="K851">
        <v>12.9494619369507</v>
      </c>
      <c r="L851">
        <v>13.3789005279541</v>
      </c>
      <c r="M851">
        <v>13.921801567077599</v>
      </c>
      <c r="N851">
        <v>14.449187278747599</v>
      </c>
      <c r="O851">
        <v>14.8212032318115</v>
      </c>
      <c r="P851">
        <v>14.8503885269165</v>
      </c>
      <c r="Q851">
        <v>14.6376485824585</v>
      </c>
      <c r="R851">
        <v>14.924715995788601</v>
      </c>
      <c r="S851">
        <v>15.472354888916</v>
      </c>
      <c r="T851">
        <v>15.9942817687988</v>
      </c>
      <c r="U851">
        <v>16.425422668456999</v>
      </c>
      <c r="V851">
        <v>16.961009979248001</v>
      </c>
      <c r="W851">
        <v>17.481918334960898</v>
      </c>
      <c r="X851">
        <v>18.074787139892599</v>
      </c>
      <c r="Y851">
        <v>18.633848190307599</v>
      </c>
      <c r="Z851">
        <v>19.104610443115199</v>
      </c>
      <c r="AA851">
        <v>2.43330001831055E-2</v>
      </c>
    </row>
    <row r="852" spans="1:27" x14ac:dyDescent="0.25">
      <c r="A852" t="s">
        <v>469</v>
      </c>
      <c r="B852">
        <v>27.631908416748001</v>
      </c>
      <c r="C852">
        <v>28.073511123657202</v>
      </c>
      <c r="D852">
        <v>30.269506454467798</v>
      </c>
      <c r="E852">
        <v>30.8216876983643</v>
      </c>
      <c r="F852">
        <v>29.006034851074201</v>
      </c>
      <c r="G852">
        <v>29.8260498046875</v>
      </c>
      <c r="H852">
        <v>30.060043334960898</v>
      </c>
      <c r="I852">
        <v>30.832170486450199</v>
      </c>
      <c r="J852">
        <v>31.454517364501999</v>
      </c>
      <c r="K852">
        <v>32.508445739746101</v>
      </c>
      <c r="L852">
        <v>33.630722045898402</v>
      </c>
      <c r="M852">
        <v>34.661285400390597</v>
      </c>
      <c r="N852">
        <v>35.815185546875</v>
      </c>
      <c r="O852">
        <v>36.874931335449197</v>
      </c>
      <c r="P852">
        <v>37.752494812011697</v>
      </c>
      <c r="Q852">
        <v>37.956661224365199</v>
      </c>
      <c r="R852">
        <v>38.443679809570298</v>
      </c>
      <c r="S852">
        <v>39.3442993164063</v>
      </c>
      <c r="T852">
        <v>40.383541107177699</v>
      </c>
      <c r="U852">
        <v>41.463935852050803</v>
      </c>
      <c r="V852">
        <v>42.393783569335902</v>
      </c>
      <c r="W852">
        <v>43.349544525146499</v>
      </c>
      <c r="X852">
        <v>44.305282592773402</v>
      </c>
      <c r="Y852">
        <v>44.995758056640597</v>
      </c>
      <c r="Z852">
        <v>45.729721069335902</v>
      </c>
      <c r="AA852">
        <v>2.1440625190734901E-2</v>
      </c>
    </row>
    <row r="854" spans="1:27" x14ac:dyDescent="0.25">
      <c r="A854" t="s">
        <v>601</v>
      </c>
    </row>
    <row r="855" spans="1:27" x14ac:dyDescent="0.25">
      <c r="A855" t="s">
        <v>598</v>
      </c>
      <c r="B855">
        <v>20.489151000976602</v>
      </c>
      <c r="C855">
        <v>23.3795356750488</v>
      </c>
      <c r="D855">
        <v>26.133235931396499</v>
      </c>
      <c r="E855">
        <v>19.561550140380898</v>
      </c>
      <c r="F855">
        <v>25.202880859375</v>
      </c>
      <c r="G855">
        <v>28.5882358551025</v>
      </c>
      <c r="H855">
        <v>32.290554046630902</v>
      </c>
      <c r="I855">
        <v>36.061496734619098</v>
      </c>
      <c r="J855">
        <v>40.28466796875</v>
      </c>
      <c r="K855">
        <v>44.048030853271499</v>
      </c>
      <c r="L855">
        <v>47.2955131530762</v>
      </c>
      <c r="M855">
        <v>50.066734313964801</v>
      </c>
      <c r="N855">
        <v>52.406539916992202</v>
      </c>
      <c r="O855">
        <v>54.297653198242202</v>
      </c>
      <c r="P855">
        <v>56.132820129394503</v>
      </c>
      <c r="Q855">
        <v>57.455539703369098</v>
      </c>
      <c r="R855">
        <v>58.540603637695298</v>
      </c>
      <c r="S855">
        <v>59.729427337646499</v>
      </c>
      <c r="T855">
        <v>60.639110565185497</v>
      </c>
      <c r="U855">
        <v>61.701614379882798</v>
      </c>
      <c r="V855">
        <v>62.903518676757798</v>
      </c>
      <c r="W855">
        <v>63.889602661132798</v>
      </c>
      <c r="X855">
        <v>64.916366577148395</v>
      </c>
      <c r="Y855">
        <v>66.076919555664105</v>
      </c>
      <c r="Z855">
        <v>67.252586364746094</v>
      </c>
      <c r="AA855">
        <v>4.7010421752929701E-2</v>
      </c>
    </row>
    <row r="856" spans="1:27" x14ac:dyDescent="0.25">
      <c r="A856" t="s">
        <v>599</v>
      </c>
      <c r="B856">
        <v>15.3226890563965</v>
      </c>
      <c r="C856">
        <v>16.821935653686499</v>
      </c>
      <c r="D856">
        <v>22.332750320434599</v>
      </c>
      <c r="E856">
        <v>17.412950515747099</v>
      </c>
      <c r="F856">
        <v>18.955553054809599</v>
      </c>
      <c r="G856">
        <v>22.4802551269531</v>
      </c>
      <c r="H856">
        <v>25.400894165039102</v>
      </c>
      <c r="I856">
        <v>28.652246475219702</v>
      </c>
      <c r="J856">
        <v>32.3572998046875</v>
      </c>
      <c r="K856">
        <v>35.336254119872997</v>
      </c>
      <c r="L856">
        <v>37.494544982910199</v>
      </c>
      <c r="M856">
        <v>39.832122802734403</v>
      </c>
      <c r="N856">
        <v>41.674594879150398</v>
      </c>
      <c r="O856">
        <v>43.103801727294901</v>
      </c>
      <c r="P856">
        <v>44.428688049316399</v>
      </c>
      <c r="Q856">
        <v>44.866687774658203</v>
      </c>
      <c r="R856">
        <v>45.735679626464801</v>
      </c>
      <c r="S856">
        <v>46.827323913574197</v>
      </c>
      <c r="T856">
        <v>47.345386505127003</v>
      </c>
      <c r="U856">
        <v>48.241344451904297</v>
      </c>
      <c r="V856">
        <v>49.266075134277301</v>
      </c>
      <c r="W856">
        <v>50.299819946289098</v>
      </c>
      <c r="X856">
        <v>51.440353393554702</v>
      </c>
      <c r="Y856">
        <v>52.541526794433601</v>
      </c>
      <c r="Z856">
        <v>53.812774658203097</v>
      </c>
      <c r="AA856">
        <v>5.1857590675353997E-2</v>
      </c>
    </row>
    <row r="857" spans="1:27" x14ac:dyDescent="0.25">
      <c r="A857" t="s">
        <v>600</v>
      </c>
      <c r="B857">
        <v>8.9708585739135707</v>
      </c>
      <c r="C857">
        <v>10.494535446166999</v>
      </c>
      <c r="D857">
        <v>14.024219512939499</v>
      </c>
      <c r="E857">
        <v>7.2929735183715803</v>
      </c>
      <c r="F857">
        <v>18.1905612945557</v>
      </c>
      <c r="G857">
        <v>20.858524322509801</v>
      </c>
      <c r="H857">
        <v>23.838066101074201</v>
      </c>
      <c r="I857">
        <v>26.7543754577637</v>
      </c>
      <c r="J857">
        <v>29.785404205322301</v>
      </c>
      <c r="K857">
        <v>32.473640441894503</v>
      </c>
      <c r="L857">
        <v>34.549385070800803</v>
      </c>
      <c r="M857">
        <v>36.836536407470703</v>
      </c>
      <c r="N857">
        <v>38.547210693359403</v>
      </c>
      <c r="O857">
        <v>39.921348571777301</v>
      </c>
      <c r="P857">
        <v>41.286190032958999</v>
      </c>
      <c r="Q857">
        <v>41.854972839355497</v>
      </c>
      <c r="R857">
        <v>42.746166229247997</v>
      </c>
      <c r="S857">
        <v>43.609909057617202</v>
      </c>
      <c r="T857">
        <v>44.267074584960902</v>
      </c>
      <c r="U857">
        <v>45.101306915283203</v>
      </c>
      <c r="V857">
        <v>46.015933990478501</v>
      </c>
      <c r="W857">
        <v>46.857711791992202</v>
      </c>
      <c r="X857">
        <v>47.978397369384801</v>
      </c>
      <c r="Y857">
        <v>48.9557075500488</v>
      </c>
      <c r="Z857">
        <v>49.742916107177699</v>
      </c>
      <c r="AA857">
        <v>6.9993734359741197E-2</v>
      </c>
    </row>
    <row r="858" spans="1:27" x14ac:dyDescent="0.25">
      <c r="A858" t="s">
        <v>602</v>
      </c>
      <c r="B858">
        <v>7.7475991249084499</v>
      </c>
      <c r="C858">
        <v>7.5151352882385298</v>
      </c>
      <c r="D858">
        <v>9.17633056640625</v>
      </c>
      <c r="E858">
        <v>6.9004168510437003</v>
      </c>
      <c r="F858">
        <v>7.5063500404357901</v>
      </c>
      <c r="G858">
        <v>7.5587930679321298</v>
      </c>
      <c r="H858">
        <v>7.7836766242981001</v>
      </c>
      <c r="I858">
        <v>8.0238990783691406</v>
      </c>
      <c r="J858">
        <v>8.3780012130737305</v>
      </c>
      <c r="K858">
        <v>8.8080673217773402</v>
      </c>
      <c r="L858">
        <v>9.1142396926879901</v>
      </c>
      <c r="M858">
        <v>9.5323905944824201</v>
      </c>
      <c r="N858">
        <v>9.9432659149169904</v>
      </c>
      <c r="O858">
        <v>10.195965766906699</v>
      </c>
      <c r="P858">
        <v>10.1233129501343</v>
      </c>
      <c r="Q858">
        <v>9.8314371109008807</v>
      </c>
      <c r="R858">
        <v>10.063985824585</v>
      </c>
      <c r="S858">
        <v>10.473736763000501</v>
      </c>
      <c r="T858">
        <v>10.920739173889199</v>
      </c>
      <c r="U858">
        <v>11.339237213134799</v>
      </c>
      <c r="V858">
        <v>11.7850589752197</v>
      </c>
      <c r="W858">
        <v>12.198199272155801</v>
      </c>
      <c r="X858">
        <v>12.6780385971069</v>
      </c>
      <c r="Y858">
        <v>13.1651611328125</v>
      </c>
      <c r="Z858">
        <v>13.585069656372101</v>
      </c>
      <c r="AA858">
        <v>2.6075601577758799E-2</v>
      </c>
    </row>
    <row r="859" spans="1:27" x14ac:dyDescent="0.25">
      <c r="A859" t="s">
        <v>603</v>
      </c>
      <c r="B859">
        <v>3.53999996185303</v>
      </c>
      <c r="C859">
        <v>3.6099998950958301</v>
      </c>
      <c r="D859">
        <v>4.1350817680358896</v>
      </c>
      <c r="E859">
        <v>4.6917557716369602</v>
      </c>
      <c r="F859">
        <v>4.6212515830993697</v>
      </c>
      <c r="G859">
        <v>4.6784477233886701</v>
      </c>
      <c r="H859">
        <v>4.7876124382018999</v>
      </c>
      <c r="I859">
        <v>4.9100909233093297</v>
      </c>
      <c r="J859">
        <v>5.03440189361572</v>
      </c>
      <c r="K859">
        <v>5.1670279502868697</v>
      </c>
      <c r="L859">
        <v>5.2901754379272496</v>
      </c>
      <c r="M859">
        <v>5.4099502563476598</v>
      </c>
      <c r="N859">
        <v>5.5372896194457999</v>
      </c>
      <c r="O859">
        <v>5.6526045799255398</v>
      </c>
      <c r="P859">
        <v>5.7818107604980504</v>
      </c>
      <c r="Q859">
        <v>5.9127135276794398</v>
      </c>
      <c r="R859">
        <v>6.0622472763061497</v>
      </c>
      <c r="S859">
        <v>6.2033557891845703</v>
      </c>
      <c r="T859">
        <v>6.2995529174804696</v>
      </c>
      <c r="U859">
        <v>6.3608093261718803</v>
      </c>
      <c r="V859">
        <v>6.4405817985534703</v>
      </c>
      <c r="W859">
        <v>6.4879999160766602</v>
      </c>
      <c r="X859">
        <v>6.5189485549926802</v>
      </c>
      <c r="Y859">
        <v>6.51357221603394</v>
      </c>
      <c r="Z859">
        <v>6.4756422042846697</v>
      </c>
      <c r="AA859">
        <v>2.57315635681152E-2</v>
      </c>
    </row>
    <row r="860" spans="1:27" x14ac:dyDescent="0.25">
      <c r="A860" t="s">
        <v>604</v>
      </c>
      <c r="B860">
        <v>2.3399641513824498</v>
      </c>
      <c r="C860">
        <v>2.4299483299255402</v>
      </c>
      <c r="D860">
        <v>2.6186611652374299</v>
      </c>
      <c r="E860">
        <v>2.6695497035980198</v>
      </c>
      <c r="F860">
        <v>2.70549392700195</v>
      </c>
      <c r="G860">
        <v>2.7891905307769802</v>
      </c>
      <c r="H860">
        <v>2.8548843860626198</v>
      </c>
      <c r="I860">
        <v>2.9311156272888201</v>
      </c>
      <c r="J860">
        <v>3.00704789161682</v>
      </c>
      <c r="K860">
        <v>3.1051175594329798</v>
      </c>
      <c r="L860">
        <v>3.1378228664398198</v>
      </c>
      <c r="M860">
        <v>3.19195532798767</v>
      </c>
      <c r="N860">
        <v>3.2634260654449498</v>
      </c>
      <c r="O860">
        <v>3.3311228752136199</v>
      </c>
      <c r="P860">
        <v>3.39320969581604</v>
      </c>
      <c r="Q860">
        <v>3.4386153221130402</v>
      </c>
      <c r="R860">
        <v>3.4906363487243701</v>
      </c>
      <c r="S860">
        <v>3.5510332584381099</v>
      </c>
      <c r="T860">
        <v>3.60041379928589</v>
      </c>
      <c r="U860">
        <v>3.6530005931854199</v>
      </c>
      <c r="V860">
        <v>3.7035679817199698</v>
      </c>
      <c r="W860">
        <v>3.7612707614898699</v>
      </c>
      <c r="X860">
        <v>3.82802057266235</v>
      </c>
      <c r="Y860">
        <v>3.89715647697449</v>
      </c>
      <c r="Z860">
        <v>3.9654450416564901</v>
      </c>
      <c r="AA860">
        <v>2.1521687507629401E-2</v>
      </c>
    </row>
    <row r="861" spans="1:27" x14ac:dyDescent="0.25">
      <c r="A861" t="s">
        <v>605</v>
      </c>
      <c r="B861" t="s">
        <v>777</v>
      </c>
      <c r="C861" t="s">
        <v>777</v>
      </c>
      <c r="D861">
        <v>0</v>
      </c>
      <c r="E861">
        <v>0</v>
      </c>
      <c r="F861">
        <v>0</v>
      </c>
      <c r="G861">
        <v>1.5105023384094201</v>
      </c>
      <c r="H861">
        <v>1.3258528709411599</v>
      </c>
      <c r="I861">
        <v>1.3084201812744101</v>
      </c>
      <c r="J861">
        <v>1.4890010356903101</v>
      </c>
      <c r="K861">
        <v>1.4777305126190201</v>
      </c>
      <c r="L861">
        <v>1.52423667907715</v>
      </c>
      <c r="M861">
        <v>1.55170238018036</v>
      </c>
      <c r="N861">
        <v>1.6127909421920801</v>
      </c>
      <c r="O861">
        <v>1.64213514328003</v>
      </c>
      <c r="P861">
        <v>1.6655528545379601</v>
      </c>
      <c r="Q861">
        <v>1.7391279935836801</v>
      </c>
      <c r="R861">
        <v>1.8144223690032999</v>
      </c>
      <c r="S861">
        <v>1.881303191185</v>
      </c>
      <c r="T861">
        <v>1.91615927219391</v>
      </c>
      <c r="U861">
        <v>1.9549800157546999</v>
      </c>
      <c r="V861">
        <v>1.98487901687622</v>
      </c>
      <c r="W861">
        <v>2.0149953365325901</v>
      </c>
      <c r="X861">
        <v>2.0400972366332999</v>
      </c>
      <c r="Y861">
        <v>2.06869769096375</v>
      </c>
      <c r="Z861">
        <v>2.1140794754028298</v>
      </c>
      <c r="AA861" t="s">
        <v>777</v>
      </c>
    </row>
    <row r="862" spans="1:27" x14ac:dyDescent="0.25">
      <c r="A862" t="s">
        <v>469</v>
      </c>
      <c r="B862">
        <v>17.9283123016357</v>
      </c>
      <c r="C862">
        <v>18.634252548217798</v>
      </c>
      <c r="D862">
        <v>21.204389572143601</v>
      </c>
      <c r="E862">
        <v>21.5094089508057</v>
      </c>
      <c r="F862">
        <v>19.916519165039102</v>
      </c>
      <c r="G862">
        <v>20.2857875823975</v>
      </c>
      <c r="H862">
        <v>20.401430130004901</v>
      </c>
      <c r="I862">
        <v>20.8285102844238</v>
      </c>
      <c r="J862">
        <v>21.1411457061768</v>
      </c>
      <c r="K862">
        <v>21.845851898193398</v>
      </c>
      <c r="L862">
        <v>22.630865097045898</v>
      </c>
      <c r="M862">
        <v>23.2962131500244</v>
      </c>
      <c r="N862">
        <v>24.0742092132568</v>
      </c>
      <c r="O862">
        <v>24.791343688964801</v>
      </c>
      <c r="P862">
        <v>25.377799987793001</v>
      </c>
      <c r="Q862">
        <v>25.517387390136701</v>
      </c>
      <c r="R862">
        <v>25.912757873535199</v>
      </c>
      <c r="S862">
        <v>26.5639553070068</v>
      </c>
      <c r="T862">
        <v>27.422914505004901</v>
      </c>
      <c r="U862">
        <v>28.318119049072301</v>
      </c>
      <c r="V862">
        <v>29.052991867065401</v>
      </c>
      <c r="W862">
        <v>29.802448272705099</v>
      </c>
      <c r="X862">
        <v>30.529249191284201</v>
      </c>
      <c r="Y862">
        <v>31.004766464233398</v>
      </c>
      <c r="Z862">
        <v>31.394081115722699</v>
      </c>
      <c r="AA862">
        <v>2.29382514953613E-2</v>
      </c>
    </row>
    <row r="864" spans="1:27" x14ac:dyDescent="0.25">
      <c r="A864" s="299" t="s">
        <v>477</v>
      </c>
      <c r="B864" s="299"/>
      <c r="C864" s="299"/>
      <c r="D864" s="299"/>
      <c r="E864" s="299"/>
      <c r="F864" s="299"/>
      <c r="G864" s="299"/>
      <c r="H864" s="299"/>
      <c r="I864" s="299"/>
      <c r="J864" s="299"/>
      <c r="K864" s="299"/>
      <c r="L864" s="299"/>
      <c r="M864" s="299"/>
      <c r="N864" s="299"/>
      <c r="O864" s="299"/>
      <c r="P864" s="299"/>
      <c r="Q864" s="299"/>
      <c r="R864" s="299"/>
      <c r="S864" s="299"/>
      <c r="T864" s="299"/>
      <c r="U864" s="299"/>
      <c r="V864" s="299"/>
      <c r="W864" s="299"/>
      <c r="X864" s="299"/>
      <c r="Y864" s="299"/>
      <c r="Z864" s="299"/>
    </row>
    <row r="865" spans="1:27" x14ac:dyDescent="0.25">
      <c r="A865" t="s">
        <v>606</v>
      </c>
      <c r="B865">
        <v>21.711505889892599</v>
      </c>
      <c r="C865">
        <v>25.0072422027588</v>
      </c>
      <c r="D865">
        <v>29.143922805786101</v>
      </c>
      <c r="E865">
        <v>23.416013717651399</v>
      </c>
      <c r="F865">
        <v>29.225816726684599</v>
      </c>
      <c r="G865">
        <v>32.6855278015137</v>
      </c>
      <c r="H865">
        <v>36.423408508300803</v>
      </c>
      <c r="I865">
        <v>40.289470672607401</v>
      </c>
      <c r="J865">
        <v>44.605060577392599</v>
      </c>
      <c r="K865">
        <v>48.473209381103501</v>
      </c>
      <c r="L865">
        <v>51.827091217041001</v>
      </c>
      <c r="M865">
        <v>54.695976257324197</v>
      </c>
      <c r="N865">
        <v>57.1353759765625</v>
      </c>
      <c r="O865">
        <v>59.121578216552699</v>
      </c>
      <c r="P865">
        <v>61.049320220947301</v>
      </c>
      <c r="Q865">
        <v>62.447345733642599</v>
      </c>
      <c r="R865">
        <v>63.594524383544901</v>
      </c>
      <c r="S865">
        <v>64.838249206542997</v>
      </c>
      <c r="T865">
        <v>65.797332763671903</v>
      </c>
      <c r="U865">
        <v>66.904335021972699</v>
      </c>
      <c r="V865">
        <v>68.152259826660199</v>
      </c>
      <c r="W865">
        <v>69.191001892089801</v>
      </c>
      <c r="X865">
        <v>70.269203186035199</v>
      </c>
      <c r="Y865">
        <v>71.483169555664105</v>
      </c>
      <c r="Z865">
        <v>72.713973999023395</v>
      </c>
      <c r="AA865">
        <v>4.7500967979431201E-2</v>
      </c>
    </row>
    <row r="866" spans="1:27" x14ac:dyDescent="0.25">
      <c r="A866" t="s">
        <v>607</v>
      </c>
      <c r="B866">
        <v>24.84494972229</v>
      </c>
      <c r="C866">
        <v>26.671012878418001</v>
      </c>
      <c r="D866">
        <v>34.663047790527301</v>
      </c>
      <c r="E866">
        <v>35.0013427734375</v>
      </c>
      <c r="F866">
        <v>29.174674987793001</v>
      </c>
      <c r="G866">
        <v>32.315399169921903</v>
      </c>
      <c r="H866">
        <v>35.536281585693402</v>
      </c>
      <c r="I866">
        <v>36.4298706054688</v>
      </c>
      <c r="J866">
        <v>36.720230102539098</v>
      </c>
      <c r="K866">
        <v>39.4169311523438</v>
      </c>
      <c r="L866">
        <v>42.331146240234403</v>
      </c>
      <c r="M866">
        <v>45.341171264648402</v>
      </c>
      <c r="N866">
        <v>46.730594635009801</v>
      </c>
      <c r="O866">
        <v>47.723148345947301</v>
      </c>
      <c r="P866">
        <v>46.603786468505902</v>
      </c>
      <c r="Q866">
        <v>46.931846618652301</v>
      </c>
      <c r="R866">
        <v>47.933681488037102</v>
      </c>
      <c r="S866">
        <v>49.053524017333999</v>
      </c>
      <c r="T866">
        <v>49.634002685546903</v>
      </c>
      <c r="U866">
        <v>50.5943794250488</v>
      </c>
      <c r="V866">
        <v>51.695419311523402</v>
      </c>
      <c r="W866">
        <v>52.666557312011697</v>
      </c>
      <c r="X866">
        <v>53.829563140869098</v>
      </c>
      <c r="Y866">
        <v>54.958328247070298</v>
      </c>
      <c r="Z866">
        <v>56.1272163391113</v>
      </c>
      <c r="AA866">
        <v>3.2878637313842801E-2</v>
      </c>
    </row>
    <row r="867" spans="1:27" x14ac:dyDescent="0.25">
      <c r="A867" t="s">
        <v>608</v>
      </c>
      <c r="B867">
        <v>21.213121414184599</v>
      </c>
      <c r="C867">
        <v>22.982162475585898</v>
      </c>
      <c r="D867">
        <v>27.130744934081999</v>
      </c>
      <c r="E867">
        <v>19.658454895019499</v>
      </c>
      <c r="F867">
        <v>26.805238723754901</v>
      </c>
      <c r="G867">
        <v>29.6935729980469</v>
      </c>
      <c r="H867">
        <v>32.618450164794901</v>
      </c>
      <c r="I867">
        <v>35.946395874023402</v>
      </c>
      <c r="J867">
        <v>39.7942924499512</v>
      </c>
      <c r="K867">
        <v>43.123409271240199</v>
      </c>
      <c r="L867">
        <v>45.641952514648402</v>
      </c>
      <c r="M867">
        <v>48.460178375244098</v>
      </c>
      <c r="N867">
        <v>50.493659973144503</v>
      </c>
      <c r="O867">
        <v>52.285430908203097</v>
      </c>
      <c r="P867">
        <v>53.706020355224602</v>
      </c>
      <c r="Q867">
        <v>54.488346099853501</v>
      </c>
      <c r="R867">
        <v>55.6558227539063</v>
      </c>
      <c r="S867">
        <v>56.964015960693402</v>
      </c>
      <c r="T867">
        <v>57.636627197265597</v>
      </c>
      <c r="U867">
        <v>58.7601127624512</v>
      </c>
      <c r="V867">
        <v>60.052177429199197</v>
      </c>
      <c r="W867">
        <v>61.191566467285199</v>
      </c>
      <c r="X867">
        <v>62.552440643310497</v>
      </c>
      <c r="Y867">
        <v>63.8705863952637</v>
      </c>
      <c r="Z867">
        <v>65.240806579589801</v>
      </c>
      <c r="AA867">
        <v>4.6408414840698201E-2</v>
      </c>
    </row>
    <row r="868" spans="1:27" x14ac:dyDescent="0.25">
      <c r="A868" t="s">
        <v>609</v>
      </c>
      <c r="B868">
        <v>14.844763755798301</v>
      </c>
      <c r="C868">
        <v>16.0964660644531</v>
      </c>
      <c r="D868">
        <v>22.566616058349599</v>
      </c>
      <c r="E868">
        <v>15.2420244216919</v>
      </c>
      <c r="F868">
        <v>19.09153175354</v>
      </c>
      <c r="G868">
        <v>22.226709365844702</v>
      </c>
      <c r="H868">
        <v>25.1343898773193</v>
      </c>
      <c r="I868">
        <v>28.086837768554702</v>
      </c>
      <c r="J868">
        <v>31.909053802490199</v>
      </c>
      <c r="K868">
        <v>34.889202117919901</v>
      </c>
      <c r="L868">
        <v>37.005405426025398</v>
      </c>
      <c r="M868">
        <v>39.467597961425803</v>
      </c>
      <c r="N868">
        <v>41.120388031005902</v>
      </c>
      <c r="O868">
        <v>42.493434906005902</v>
      </c>
      <c r="P868">
        <v>43.789676666259801</v>
      </c>
      <c r="Q868">
        <v>44.378414154052699</v>
      </c>
      <c r="R868">
        <v>45.220821380615199</v>
      </c>
      <c r="S868">
        <v>46.304702758789098</v>
      </c>
      <c r="T868">
        <v>46.690078735351598</v>
      </c>
      <c r="U868">
        <v>47.736415863037102</v>
      </c>
      <c r="V868">
        <v>48.860385894775398</v>
      </c>
      <c r="W868">
        <v>49.854866027832003</v>
      </c>
      <c r="X868">
        <v>50.978462219238303</v>
      </c>
      <c r="Y868">
        <v>52.073341369628899</v>
      </c>
      <c r="Z868">
        <v>53.292709350585902</v>
      </c>
      <c r="AA868">
        <v>5.3430676460266099E-2</v>
      </c>
    </row>
    <row r="869" spans="1:27" x14ac:dyDescent="0.25">
      <c r="A869" t="s">
        <v>713</v>
      </c>
      <c r="B869">
        <v>19.740650177001999</v>
      </c>
      <c r="C869">
        <v>20.921422958373999</v>
      </c>
      <c r="D869">
        <v>27.790218353271499</v>
      </c>
      <c r="E869">
        <v>19.978439331054702</v>
      </c>
      <c r="F869">
        <v>23.2125549316406</v>
      </c>
      <c r="G869">
        <v>26.4206447601318</v>
      </c>
      <c r="H869">
        <v>29.3924560546875</v>
      </c>
      <c r="I869">
        <v>32.773857116699197</v>
      </c>
      <c r="J869">
        <v>36.535545349121101</v>
      </c>
      <c r="K869">
        <v>39.555255889892599</v>
      </c>
      <c r="L869">
        <v>41.702842712402301</v>
      </c>
      <c r="M869">
        <v>44.177524566650398</v>
      </c>
      <c r="N869">
        <v>46.0505561828613</v>
      </c>
      <c r="O869">
        <v>47.553874969482401</v>
      </c>
      <c r="P869">
        <v>48.899986267089801</v>
      </c>
      <c r="Q869">
        <v>49.381351470947301</v>
      </c>
      <c r="R869">
        <v>50.3130912780762</v>
      </c>
      <c r="S869">
        <v>51.4498100280762</v>
      </c>
      <c r="T869">
        <v>51.9561157226563</v>
      </c>
      <c r="U869">
        <v>52.937068939208999</v>
      </c>
      <c r="V869">
        <v>53.967716217041001</v>
      </c>
      <c r="W869">
        <v>55.002819061279297</v>
      </c>
      <c r="X869">
        <v>56.193782806396499</v>
      </c>
      <c r="Y869">
        <v>57.337295532226598</v>
      </c>
      <c r="Z869">
        <v>58.685737609863303</v>
      </c>
      <c r="AA869">
        <v>4.5865178108215297E-2</v>
      </c>
    </row>
    <row r="870" spans="1:27" x14ac:dyDescent="0.25">
      <c r="A870" t="s">
        <v>600</v>
      </c>
      <c r="B870">
        <v>7.9912142753601101</v>
      </c>
      <c r="C870">
        <v>9.3524312973022496</v>
      </c>
      <c r="D870">
        <v>14.067081451416</v>
      </c>
      <c r="E870">
        <v>8.2378034591674805</v>
      </c>
      <c r="F870">
        <v>14.7508955001831</v>
      </c>
      <c r="G870">
        <v>17.360763549804702</v>
      </c>
      <c r="H870">
        <v>20.2582302093506</v>
      </c>
      <c r="I870">
        <v>23.1502380371094</v>
      </c>
      <c r="J870">
        <v>26.3954048156738</v>
      </c>
      <c r="K870">
        <v>29.3618679046631</v>
      </c>
      <c r="L870">
        <v>31.454713821411101</v>
      </c>
      <c r="M870">
        <v>33.599609375</v>
      </c>
      <c r="N870">
        <v>35.185657501220703</v>
      </c>
      <c r="O870">
        <v>36.532318115234403</v>
      </c>
      <c r="P870">
        <v>37.666736602783203</v>
      </c>
      <c r="Q870">
        <v>38.401439666747997</v>
      </c>
      <c r="R870">
        <v>39.158885955810497</v>
      </c>
      <c r="S870">
        <v>39.991481781005902</v>
      </c>
      <c r="T870">
        <v>40.503440856933601</v>
      </c>
      <c r="U870">
        <v>41.339633941650398</v>
      </c>
      <c r="V870">
        <v>42.498569488525398</v>
      </c>
      <c r="W870">
        <v>43.445716857910199</v>
      </c>
      <c r="X870">
        <v>44.508998870849602</v>
      </c>
      <c r="Y870">
        <v>45.530326843261697</v>
      </c>
      <c r="Z870">
        <v>46.819606781005902</v>
      </c>
      <c r="AA870">
        <v>7.2539210319519001E-2</v>
      </c>
    </row>
    <row r="871" spans="1:27" x14ac:dyDescent="0.25">
      <c r="A871" t="s">
        <v>611</v>
      </c>
      <c r="B871">
        <v>15.6228637695313</v>
      </c>
      <c r="C871">
        <v>15.4583129882813</v>
      </c>
      <c r="D871">
        <v>17.4287223815918</v>
      </c>
      <c r="E871">
        <v>15.2119998931885</v>
      </c>
      <c r="F871">
        <v>15.9378957748413</v>
      </c>
      <c r="G871">
        <v>16.094272613525401</v>
      </c>
      <c r="H871">
        <v>16.403812408447301</v>
      </c>
      <c r="I871">
        <v>16.724969863891602</v>
      </c>
      <c r="J871">
        <v>17.189661026001001</v>
      </c>
      <c r="K871">
        <v>17.746465682983398</v>
      </c>
      <c r="L871">
        <v>18.191225051879901</v>
      </c>
      <c r="M871">
        <v>18.7521057128906</v>
      </c>
      <c r="N871">
        <v>19.291521072387699</v>
      </c>
      <c r="O871">
        <v>19.686790466308601</v>
      </c>
      <c r="P871">
        <v>19.718795776367202</v>
      </c>
      <c r="Q871">
        <v>19.5051784515381</v>
      </c>
      <c r="R871">
        <v>19.827426910400401</v>
      </c>
      <c r="S871">
        <v>20.369035720825199</v>
      </c>
      <c r="T871">
        <v>20.871717453002901</v>
      </c>
      <c r="U871">
        <v>21.304979324340799</v>
      </c>
      <c r="V871">
        <v>21.807193756103501</v>
      </c>
      <c r="W871">
        <v>22.319299697876001</v>
      </c>
      <c r="X871">
        <v>22.895399093627901</v>
      </c>
      <c r="Y871">
        <v>23.444755554199201</v>
      </c>
      <c r="Z871">
        <v>23.898975372314499</v>
      </c>
      <c r="AA871">
        <v>1.91235542297363E-2</v>
      </c>
    </row>
    <row r="872" spans="1:27" x14ac:dyDescent="0.25">
      <c r="A872" t="s">
        <v>469</v>
      </c>
      <c r="B872">
        <v>29.592140197753899</v>
      </c>
      <c r="C872">
        <v>30.640342712402301</v>
      </c>
      <c r="D872">
        <v>34.984100341796903</v>
      </c>
      <c r="E872">
        <v>35.239852905273402</v>
      </c>
      <c r="F872">
        <v>32.175140380859403</v>
      </c>
      <c r="G872">
        <v>33.0386352539063</v>
      </c>
      <c r="H872">
        <v>33.47314453125</v>
      </c>
      <c r="I872">
        <v>34.064102172851598</v>
      </c>
      <c r="J872">
        <v>34.293540954589801</v>
      </c>
      <c r="K872">
        <v>34.922073364257798</v>
      </c>
      <c r="L872">
        <v>35.810970306396499</v>
      </c>
      <c r="M872">
        <v>36.366832733154297</v>
      </c>
      <c r="N872">
        <v>37.128005981445298</v>
      </c>
      <c r="O872">
        <v>38.410163879394503</v>
      </c>
      <c r="P872">
        <v>39.373786926269503</v>
      </c>
      <c r="Q872">
        <v>39.675365447997997</v>
      </c>
      <c r="R872">
        <v>40.513767242431598</v>
      </c>
      <c r="S872">
        <v>41.9388618469238</v>
      </c>
      <c r="T872">
        <v>43.566810607910199</v>
      </c>
      <c r="U872">
        <v>45.140434265136697</v>
      </c>
      <c r="V872">
        <v>46.407882690429702</v>
      </c>
      <c r="W872">
        <v>47.717372894287102</v>
      </c>
      <c r="X872">
        <v>48.982990264892599</v>
      </c>
      <c r="Y872">
        <v>49.711910247802699</v>
      </c>
      <c r="Z872">
        <v>50.466556549072301</v>
      </c>
      <c r="AA872">
        <v>2.1920561790466302E-2</v>
      </c>
    </row>
    <row r="874" spans="1:27" x14ac:dyDescent="0.25">
      <c r="A874" t="s">
        <v>612</v>
      </c>
    </row>
    <row r="875" spans="1:27" x14ac:dyDescent="0.25">
      <c r="A875" t="s">
        <v>599</v>
      </c>
      <c r="B875">
        <v>13.411901473999</v>
      </c>
      <c r="C875">
        <v>14.7723951339722</v>
      </c>
      <c r="D875">
        <v>19.510114669799801</v>
      </c>
      <c r="E875">
        <v>15.2233066558838</v>
      </c>
      <c r="F875">
        <v>18.0020847320557</v>
      </c>
      <c r="G875">
        <v>20.662237167358398</v>
      </c>
      <c r="H875">
        <v>23.4976692199707</v>
      </c>
      <c r="I875">
        <v>26.205204010009801</v>
      </c>
      <c r="J875">
        <v>29.975025177001999</v>
      </c>
      <c r="K875">
        <v>32.983203887939503</v>
      </c>
      <c r="L875">
        <v>35.344711303710902</v>
      </c>
      <c r="M875">
        <v>37.368736267089801</v>
      </c>
      <c r="N875">
        <v>39.350601196289098</v>
      </c>
      <c r="O875">
        <v>40.795433044433601</v>
      </c>
      <c r="P875">
        <v>42.204059600830099</v>
      </c>
      <c r="Q875">
        <v>42.842506408691399</v>
      </c>
      <c r="R875">
        <v>43.6065864562988</v>
      </c>
      <c r="S875">
        <v>44.603294372558601</v>
      </c>
      <c r="T875">
        <v>45.108348846435497</v>
      </c>
      <c r="U875">
        <v>46.002567291259801</v>
      </c>
      <c r="V875">
        <v>47.177719116210902</v>
      </c>
      <c r="W875">
        <v>48.209484100341797</v>
      </c>
      <c r="X875">
        <v>49.2816352844238</v>
      </c>
      <c r="Y875">
        <v>50.311172485351598</v>
      </c>
      <c r="Z875">
        <v>51.270523071289098</v>
      </c>
      <c r="AA875">
        <v>5.5592775344848598E-2</v>
      </c>
    </row>
    <row r="876" spans="1:27" x14ac:dyDescent="0.25">
      <c r="A876" t="s">
        <v>600</v>
      </c>
      <c r="B876">
        <v>8.1584053039550799</v>
      </c>
      <c r="C876">
        <v>8.3772602081298793</v>
      </c>
      <c r="D876">
        <v>14.098869323730501</v>
      </c>
      <c r="E876">
        <v>8.3447675704956108</v>
      </c>
      <c r="F876">
        <v>15.9650764465332</v>
      </c>
      <c r="G876">
        <v>18.64990234375</v>
      </c>
      <c r="H876">
        <v>21.555006027221701</v>
      </c>
      <c r="I876">
        <v>24.477008819580099</v>
      </c>
      <c r="J876">
        <v>27.6055908203125</v>
      </c>
      <c r="K876">
        <v>30.387323379516602</v>
      </c>
      <c r="L876">
        <v>32.525520324707003</v>
      </c>
      <c r="M876">
        <v>34.668350219726598</v>
      </c>
      <c r="N876">
        <v>36.2988090515137</v>
      </c>
      <c r="O876">
        <v>37.644645690917997</v>
      </c>
      <c r="P876">
        <v>38.824489593505902</v>
      </c>
      <c r="Q876">
        <v>39.542682647705099</v>
      </c>
      <c r="R876">
        <v>40.317581176757798</v>
      </c>
      <c r="S876">
        <v>41.134811401367202</v>
      </c>
      <c r="T876">
        <v>41.744674682617202</v>
      </c>
      <c r="U876">
        <v>42.580486297607401</v>
      </c>
      <c r="V876">
        <v>43.661422729492202</v>
      </c>
      <c r="W876">
        <v>44.548267364502003</v>
      </c>
      <c r="X876">
        <v>45.583328247070298</v>
      </c>
      <c r="Y876">
        <v>46.565509796142599</v>
      </c>
      <c r="Z876">
        <v>47.657505035400398</v>
      </c>
      <c r="AA876">
        <v>7.8517913818359403E-2</v>
      </c>
    </row>
    <row r="877" spans="1:27" x14ac:dyDescent="0.25">
      <c r="A877" t="s">
        <v>500</v>
      </c>
      <c r="B877">
        <v>6.8695855140686</v>
      </c>
      <c r="C877">
        <v>7.0191588401794398</v>
      </c>
      <c r="D877">
        <v>9.3990793228149396</v>
      </c>
      <c r="E877">
        <v>6.5896801948547399</v>
      </c>
      <c r="F877">
        <v>7.1510548591613796</v>
      </c>
      <c r="G877">
        <v>7.2219285964965803</v>
      </c>
      <c r="H877">
        <v>7.50463819503784</v>
      </c>
      <c r="I877">
        <v>7.6677107810974103</v>
      </c>
      <c r="J877">
        <v>7.9887604713439897</v>
      </c>
      <c r="K877">
        <v>8.4015712738037092</v>
      </c>
      <c r="L877">
        <v>8.7127790451049805</v>
      </c>
      <c r="M877">
        <v>9.1062192916870099</v>
      </c>
      <c r="N877">
        <v>9.5045261383056605</v>
      </c>
      <c r="O877">
        <v>9.7363777160644496</v>
      </c>
      <c r="P877">
        <v>9.6275825500488299</v>
      </c>
      <c r="Q877">
        <v>9.3482122421264595</v>
      </c>
      <c r="R877">
        <v>9.6186761856079102</v>
      </c>
      <c r="S877">
        <v>10.053201675415</v>
      </c>
      <c r="T877">
        <v>10.4964952468872</v>
      </c>
      <c r="U877">
        <v>10.919364929199199</v>
      </c>
      <c r="V877">
        <v>11.3265085220337</v>
      </c>
      <c r="W877">
        <v>11.7266225814819</v>
      </c>
      <c r="X877">
        <v>12.160493850708001</v>
      </c>
      <c r="Y877">
        <v>12.623664855956999</v>
      </c>
      <c r="Z877">
        <v>12.993863105773899</v>
      </c>
      <c r="AA877">
        <v>2.71370410919189E-2</v>
      </c>
    </row>
    <row r="878" spans="1:27" x14ac:dyDescent="0.25">
      <c r="A878" t="s">
        <v>613</v>
      </c>
      <c r="B878">
        <v>1.6900000572204601</v>
      </c>
      <c r="C878">
        <v>1.78000032901764</v>
      </c>
      <c r="D878">
        <v>1.9897937774658201</v>
      </c>
      <c r="E878">
        <v>1.9967122077941899</v>
      </c>
      <c r="F878">
        <v>2.0248651504516602</v>
      </c>
      <c r="G878">
        <v>2.07804608345032</v>
      </c>
      <c r="H878">
        <v>2.1381585597991899</v>
      </c>
      <c r="I878">
        <v>2.2066454887390101</v>
      </c>
      <c r="J878">
        <v>2.2861962318420401</v>
      </c>
      <c r="K878">
        <v>2.3704271316528298</v>
      </c>
      <c r="L878">
        <v>2.4035921096801802</v>
      </c>
      <c r="M878">
        <v>2.4561846256256099</v>
      </c>
      <c r="N878">
        <v>2.5112030506134002</v>
      </c>
      <c r="O878">
        <v>2.5676970481872599</v>
      </c>
      <c r="P878">
        <v>2.6197137832641602</v>
      </c>
      <c r="Q878">
        <v>2.6567192077636701</v>
      </c>
      <c r="R878">
        <v>2.70013451576233</v>
      </c>
      <c r="S878">
        <v>2.7515239715576199</v>
      </c>
      <c r="T878">
        <v>2.79274225234985</v>
      </c>
      <c r="U878">
        <v>2.8401501178741499</v>
      </c>
      <c r="V878">
        <v>2.8854753971099898</v>
      </c>
      <c r="W878">
        <v>2.9287014007568399</v>
      </c>
      <c r="X878">
        <v>2.97832083702087</v>
      </c>
      <c r="Y878">
        <v>3.03217673301697</v>
      </c>
      <c r="Z878">
        <v>3.0889301300048801</v>
      </c>
      <c r="AA878">
        <v>2.4255156517028802E-2</v>
      </c>
    </row>
    <row r="880" spans="1:27" x14ac:dyDescent="0.25">
      <c r="A880" t="s">
        <v>614</v>
      </c>
    </row>
    <row r="881" spans="1:27" x14ac:dyDescent="0.25">
      <c r="A881" t="s">
        <v>598</v>
      </c>
      <c r="B881">
        <v>15.2467098236084</v>
      </c>
      <c r="C881">
        <v>18.532711029052699</v>
      </c>
      <c r="D881">
        <v>20.059770584106399</v>
      </c>
      <c r="E881">
        <v>18.4413356781006</v>
      </c>
      <c r="F881">
        <v>24.128513336181602</v>
      </c>
      <c r="G881">
        <v>27.2885227203369</v>
      </c>
      <c r="H881">
        <v>30.6157550811768</v>
      </c>
      <c r="I881">
        <v>34.107528686523402</v>
      </c>
      <c r="J881">
        <v>38.046356201171903</v>
      </c>
      <c r="K881">
        <v>41.594432830810497</v>
      </c>
      <c r="L881">
        <v>44.694419860839801</v>
      </c>
      <c r="M881">
        <v>47.326686859130902</v>
      </c>
      <c r="N881">
        <v>49.5726127624512</v>
      </c>
      <c r="O881">
        <v>51.390285491943402</v>
      </c>
      <c r="P881">
        <v>53.120773315429702</v>
      </c>
      <c r="Q881">
        <v>54.365833282470703</v>
      </c>
      <c r="R881">
        <v>55.411079406738303</v>
      </c>
      <c r="S881">
        <v>56.523338317871101</v>
      </c>
      <c r="T881">
        <v>57.4269409179688</v>
      </c>
      <c r="U881">
        <v>58.440696716308601</v>
      </c>
      <c r="V881">
        <v>59.596019744872997</v>
      </c>
      <c r="W881">
        <v>60.543582916259801</v>
      </c>
      <c r="X881">
        <v>61.561973571777301</v>
      </c>
      <c r="Y881">
        <v>62.674179077148402</v>
      </c>
      <c r="Z881">
        <v>63.812778472900398</v>
      </c>
      <c r="AA881">
        <v>5.5228352546691901E-2</v>
      </c>
    </row>
    <row r="882" spans="1:27" x14ac:dyDescent="0.25">
      <c r="A882" t="s">
        <v>607</v>
      </c>
      <c r="B882">
        <v>24.84494972229</v>
      </c>
      <c r="C882">
        <v>26.671012878418001</v>
      </c>
      <c r="D882">
        <v>34.663047790527301</v>
      </c>
      <c r="E882">
        <v>35.0013427734375</v>
      </c>
      <c r="F882">
        <v>29.174674987793001</v>
      </c>
      <c r="G882">
        <v>32.315399169921903</v>
      </c>
      <c r="H882">
        <v>35.536281585693402</v>
      </c>
      <c r="I882">
        <v>36.4298706054688</v>
      </c>
      <c r="J882">
        <v>36.720230102539098</v>
      </c>
      <c r="K882">
        <v>39.4169311523438</v>
      </c>
      <c r="L882">
        <v>42.331146240234403</v>
      </c>
      <c r="M882">
        <v>45.341171264648402</v>
      </c>
      <c r="N882">
        <v>46.730594635009801</v>
      </c>
      <c r="O882">
        <v>47.723148345947301</v>
      </c>
      <c r="P882">
        <v>46.603786468505902</v>
      </c>
      <c r="Q882">
        <v>46.931846618652301</v>
      </c>
      <c r="R882">
        <v>47.933681488037102</v>
      </c>
      <c r="S882">
        <v>49.053524017333999</v>
      </c>
      <c r="T882">
        <v>49.634002685546903</v>
      </c>
      <c r="U882">
        <v>50.5943794250488</v>
      </c>
      <c r="V882">
        <v>51.695419311523402</v>
      </c>
      <c r="W882">
        <v>52.666557312011697</v>
      </c>
      <c r="X882">
        <v>53.829563140869098</v>
      </c>
      <c r="Y882">
        <v>54.958328247070298</v>
      </c>
      <c r="Z882">
        <v>56.1272163391113</v>
      </c>
      <c r="AA882">
        <v>3.2878637313842801E-2</v>
      </c>
    </row>
    <row r="883" spans="1:27" x14ac:dyDescent="0.25">
      <c r="A883" t="s">
        <v>608</v>
      </c>
      <c r="B883">
        <v>21.081117630004901</v>
      </c>
      <c r="C883">
        <v>22.819190979003899</v>
      </c>
      <c r="D883">
        <v>26.955116271972699</v>
      </c>
      <c r="E883">
        <v>19.714763641357401</v>
      </c>
      <c r="F883">
        <v>26.803747177123999</v>
      </c>
      <c r="G883">
        <v>29.690465927123999</v>
      </c>
      <c r="H883">
        <v>32.615406036377003</v>
      </c>
      <c r="I883">
        <v>35.943241119384801</v>
      </c>
      <c r="J883">
        <v>39.790805816650398</v>
      </c>
      <c r="K883">
        <v>43.1203804016113</v>
      </c>
      <c r="L883">
        <v>45.639060974121101</v>
      </c>
      <c r="M883">
        <v>48.456787109375</v>
      </c>
      <c r="N883">
        <v>50.490329742431598</v>
      </c>
      <c r="O883">
        <v>52.282016754150398</v>
      </c>
      <c r="P883">
        <v>53.702690124511697</v>
      </c>
      <c r="Q883">
        <v>54.484706878662102</v>
      </c>
      <c r="R883">
        <v>55.652065277099602</v>
      </c>
      <c r="S883">
        <v>56.960758209228501</v>
      </c>
      <c r="T883">
        <v>57.633979797363303</v>
      </c>
      <c r="U883">
        <v>58.757045745849602</v>
      </c>
      <c r="V883">
        <v>60.0491943359375</v>
      </c>
      <c r="W883">
        <v>61.189689636230497</v>
      </c>
      <c r="X883">
        <v>62.551162719726598</v>
      </c>
      <c r="Y883">
        <v>63.869960784912102</v>
      </c>
      <c r="Z883">
        <v>65.240898132324205</v>
      </c>
      <c r="AA883">
        <v>4.6732306480407701E-2</v>
      </c>
    </row>
    <row r="884" spans="1:27" x14ac:dyDescent="0.25">
      <c r="A884" t="s">
        <v>615</v>
      </c>
      <c r="B884">
        <v>14.844763755798301</v>
      </c>
      <c r="C884">
        <v>16.0964660644531</v>
      </c>
      <c r="D884">
        <v>22.566616058349599</v>
      </c>
      <c r="E884">
        <v>15.2420244216919</v>
      </c>
      <c r="F884">
        <v>19.09153175354</v>
      </c>
      <c r="G884">
        <v>22.226709365844702</v>
      </c>
      <c r="H884">
        <v>25.1343898773193</v>
      </c>
      <c r="I884">
        <v>28.086837768554702</v>
      </c>
      <c r="J884">
        <v>31.909053802490199</v>
      </c>
      <c r="K884">
        <v>34.889202117919901</v>
      </c>
      <c r="L884">
        <v>37.005405426025398</v>
      </c>
      <c r="M884">
        <v>39.467597961425803</v>
      </c>
      <c r="N884">
        <v>41.120388031005902</v>
      </c>
      <c r="O884">
        <v>42.493434906005902</v>
      </c>
      <c r="P884">
        <v>43.789676666259801</v>
      </c>
      <c r="Q884">
        <v>44.378414154052699</v>
      </c>
      <c r="R884">
        <v>45.220821380615199</v>
      </c>
      <c r="S884">
        <v>46.304702758789098</v>
      </c>
      <c r="T884">
        <v>46.690078735351598</v>
      </c>
      <c r="U884">
        <v>47.736415863037102</v>
      </c>
      <c r="V884">
        <v>48.860385894775398</v>
      </c>
      <c r="W884">
        <v>49.854866027832003</v>
      </c>
      <c r="X884">
        <v>50.978462219238303</v>
      </c>
      <c r="Y884">
        <v>52.073341369628899</v>
      </c>
      <c r="Z884">
        <v>53.292709350585902</v>
      </c>
      <c r="AA884">
        <v>5.3430676460266099E-2</v>
      </c>
    </row>
    <row r="885" spans="1:27" x14ac:dyDescent="0.25">
      <c r="A885" t="s">
        <v>599</v>
      </c>
      <c r="B885">
        <v>18.668506622314499</v>
      </c>
      <c r="C885">
        <v>19.9431247711182</v>
      </c>
      <c r="D885">
        <v>26.3212585449219</v>
      </c>
      <c r="E885">
        <v>19.3337593078613</v>
      </c>
      <c r="F885">
        <v>22.088649749755898</v>
      </c>
      <c r="G885">
        <v>25.314346313476602</v>
      </c>
      <c r="H885">
        <v>28.360517501831101</v>
      </c>
      <c r="I885">
        <v>31.778598785400401</v>
      </c>
      <c r="J885">
        <v>35.553440093994098</v>
      </c>
      <c r="K885">
        <v>38.6037788391113</v>
      </c>
      <c r="L885">
        <v>40.810413360595703</v>
      </c>
      <c r="M885">
        <v>43.2124633789063</v>
      </c>
      <c r="N885">
        <v>45.113254547119098</v>
      </c>
      <c r="O885">
        <v>46.602684020996101</v>
      </c>
      <c r="P885">
        <v>47.985591888427699</v>
      </c>
      <c r="Q885">
        <v>48.475616455078097</v>
      </c>
      <c r="R885">
        <v>49.391181945800803</v>
      </c>
      <c r="S885">
        <v>50.539421081542997</v>
      </c>
      <c r="T885">
        <v>51.077178955078097</v>
      </c>
      <c r="U885">
        <v>52.030094146728501</v>
      </c>
      <c r="V885">
        <v>53.083995819091797</v>
      </c>
      <c r="W885">
        <v>54.151943206787102</v>
      </c>
      <c r="X885">
        <v>55.336112976074197</v>
      </c>
      <c r="Y885">
        <v>56.4828491210938</v>
      </c>
      <c r="Z885">
        <v>57.8100776672363</v>
      </c>
      <c r="AA885">
        <v>4.7360301017761203E-2</v>
      </c>
    </row>
    <row r="886" spans="1:27" x14ac:dyDescent="0.25">
      <c r="A886" t="s">
        <v>600</v>
      </c>
      <c r="B886">
        <v>8.2036705017089808</v>
      </c>
      <c r="C886">
        <v>9.2489309310913104</v>
      </c>
      <c r="D886">
        <v>14.050442695617701</v>
      </c>
      <c r="E886">
        <v>8.0729684829711896</v>
      </c>
      <c r="F886">
        <v>15.3503770828247</v>
      </c>
      <c r="G886">
        <v>17.950630187988299</v>
      </c>
      <c r="H886">
        <v>20.8477458953857</v>
      </c>
      <c r="I886">
        <v>23.756994247436499</v>
      </c>
      <c r="J886">
        <v>26.906440734863299</v>
      </c>
      <c r="K886">
        <v>29.730625152587901</v>
      </c>
      <c r="L886">
        <v>31.8525714874268</v>
      </c>
      <c r="M886">
        <v>34.001632690429702</v>
      </c>
      <c r="N886">
        <v>35.6160697937012</v>
      </c>
      <c r="O886">
        <v>36.965137481689503</v>
      </c>
      <c r="P886">
        <v>38.135795593261697</v>
      </c>
      <c r="Q886">
        <v>38.8486518859863</v>
      </c>
      <c r="R886">
        <v>39.6253662109375</v>
      </c>
      <c r="S886">
        <v>40.460136413574197</v>
      </c>
      <c r="T886">
        <v>41.021083831787102</v>
      </c>
      <c r="U886">
        <v>41.8585205078125</v>
      </c>
      <c r="V886">
        <v>42.961837768554702</v>
      </c>
      <c r="W886">
        <v>43.8775024414063</v>
      </c>
      <c r="X886">
        <v>44.932643890380902</v>
      </c>
      <c r="Y886">
        <v>45.936691284179702</v>
      </c>
      <c r="Z886">
        <v>47.115070343017599</v>
      </c>
      <c r="AA886">
        <v>7.3351860046386705E-2</v>
      </c>
    </row>
    <row r="887" spans="1:27" x14ac:dyDescent="0.25">
      <c r="A887" t="s">
        <v>500</v>
      </c>
      <c r="B887">
        <v>9.2533378601074201</v>
      </c>
      <c r="C887">
        <v>9.0057582855224592</v>
      </c>
      <c r="D887">
        <v>10.5835046768188</v>
      </c>
      <c r="E887">
        <v>8.5935592651367205</v>
      </c>
      <c r="F887">
        <v>9.2535657882690394</v>
      </c>
      <c r="G887">
        <v>9.3541154861450195</v>
      </c>
      <c r="H887">
        <v>9.5993127822875994</v>
      </c>
      <c r="I887">
        <v>9.8473205566406303</v>
      </c>
      <c r="J887">
        <v>10.2422647476196</v>
      </c>
      <c r="K887">
        <v>10.6749057769775</v>
      </c>
      <c r="L887">
        <v>11.042889595031699</v>
      </c>
      <c r="M887">
        <v>11.495222091674799</v>
      </c>
      <c r="N887">
        <v>11.954499244689901</v>
      </c>
      <c r="O887">
        <v>12.2557830810547</v>
      </c>
      <c r="P887">
        <v>12.220417022705099</v>
      </c>
      <c r="Q887">
        <v>11.9406547546387</v>
      </c>
      <c r="R887">
        <v>12.184568405151399</v>
      </c>
      <c r="S887">
        <v>12.6361980438232</v>
      </c>
      <c r="T887">
        <v>13.0981245040894</v>
      </c>
      <c r="U887">
        <v>13.513578414916999</v>
      </c>
      <c r="V887">
        <v>14.0011653900146</v>
      </c>
      <c r="W887">
        <v>14.459515571594199</v>
      </c>
      <c r="X887">
        <v>14.989423751831101</v>
      </c>
      <c r="Y887">
        <v>15.515007019043001</v>
      </c>
      <c r="Z887">
        <v>15.961875915527299</v>
      </c>
      <c r="AA887">
        <v>2.51965522766113E-2</v>
      </c>
    </row>
    <row r="888" spans="1:27" x14ac:dyDescent="0.25">
      <c r="A888" t="s">
        <v>603</v>
      </c>
      <c r="B888">
        <v>3.53999996185303</v>
      </c>
      <c r="C888">
        <v>3.6099998950958301</v>
      </c>
      <c r="D888">
        <v>4.1350817680358896</v>
      </c>
      <c r="E888">
        <v>4.6917557716369602</v>
      </c>
      <c r="F888">
        <v>4.6212515830993697</v>
      </c>
      <c r="G888">
        <v>4.6784477233886701</v>
      </c>
      <c r="H888">
        <v>4.7876124382018999</v>
      </c>
      <c r="I888">
        <v>4.9100909233093297</v>
      </c>
      <c r="J888">
        <v>5.03440189361572</v>
      </c>
      <c r="K888">
        <v>5.1670279502868697</v>
      </c>
      <c r="L888">
        <v>5.2901754379272496</v>
      </c>
      <c r="M888">
        <v>5.4099502563476598</v>
      </c>
      <c r="N888">
        <v>5.5372896194457999</v>
      </c>
      <c r="O888">
        <v>5.6526045799255398</v>
      </c>
      <c r="P888">
        <v>5.7818107604980504</v>
      </c>
      <c r="Q888">
        <v>5.9127135276794398</v>
      </c>
      <c r="R888">
        <v>6.0622472763061497</v>
      </c>
      <c r="S888">
        <v>6.2033557891845703</v>
      </c>
      <c r="T888">
        <v>6.2995529174804696</v>
      </c>
      <c r="U888">
        <v>6.3608093261718803</v>
      </c>
      <c r="V888">
        <v>6.4405817985534703</v>
      </c>
      <c r="W888">
        <v>6.4879999160766602</v>
      </c>
      <c r="X888">
        <v>6.5189485549926802</v>
      </c>
      <c r="Y888">
        <v>6.51357221603394</v>
      </c>
      <c r="Z888">
        <v>6.4756422042846697</v>
      </c>
      <c r="AA888">
        <v>2.57315635681152E-2</v>
      </c>
    </row>
    <row r="889" spans="1:27" x14ac:dyDescent="0.25">
      <c r="A889" t="s">
        <v>616</v>
      </c>
      <c r="B889">
        <v>1.73101270198822</v>
      </c>
      <c r="C889">
        <v>1.81885325908661</v>
      </c>
      <c r="D889">
        <v>2.02835273742676</v>
      </c>
      <c r="E889">
        <v>2.0393605232238801</v>
      </c>
      <c r="F889">
        <v>2.0658547878265399</v>
      </c>
      <c r="G889">
        <v>2.1197760105133101</v>
      </c>
      <c r="H889">
        <v>2.17965912818909</v>
      </c>
      <c r="I889">
        <v>2.2478942871093799</v>
      </c>
      <c r="J889">
        <v>2.3265335559845002</v>
      </c>
      <c r="K889">
        <v>2.41142725944519</v>
      </c>
      <c r="L889">
        <v>2.4443736076354998</v>
      </c>
      <c r="M889">
        <v>2.4968132972717298</v>
      </c>
      <c r="N889">
        <v>2.5525057315826398</v>
      </c>
      <c r="O889">
        <v>2.6094300746917698</v>
      </c>
      <c r="P889">
        <v>2.6620569229125999</v>
      </c>
      <c r="Q889">
        <v>2.6996600627899201</v>
      </c>
      <c r="R889">
        <v>2.7435350418090798</v>
      </c>
      <c r="S889">
        <v>2.7952117919921902</v>
      </c>
      <c r="T889">
        <v>2.8365733623504599</v>
      </c>
      <c r="U889">
        <v>2.8841254711151101</v>
      </c>
      <c r="V889">
        <v>2.9291899204254199</v>
      </c>
      <c r="W889">
        <v>2.9726293087005602</v>
      </c>
      <c r="X889">
        <v>3.0224885940551802</v>
      </c>
      <c r="Y889">
        <v>3.0762255191803001</v>
      </c>
      <c r="Z889">
        <v>3.1327383518218999</v>
      </c>
      <c r="AA889">
        <v>2.3920774459838898E-2</v>
      </c>
    </row>
    <row r="890" spans="1:27" x14ac:dyDescent="0.25">
      <c r="A890" t="s">
        <v>605</v>
      </c>
      <c r="B890" t="s">
        <v>777</v>
      </c>
      <c r="C890" t="s">
        <v>777</v>
      </c>
      <c r="D890">
        <v>0</v>
      </c>
      <c r="E890">
        <v>0</v>
      </c>
      <c r="F890">
        <v>0</v>
      </c>
      <c r="G890">
        <v>1.5105023384094201</v>
      </c>
      <c r="H890">
        <v>1.3258528709411599</v>
      </c>
      <c r="I890">
        <v>1.3084201812744101</v>
      </c>
      <c r="J890">
        <v>1.4890010356903101</v>
      </c>
      <c r="K890">
        <v>1.4777305126190201</v>
      </c>
      <c r="L890">
        <v>1.52423667907715</v>
      </c>
      <c r="M890">
        <v>1.55170238018036</v>
      </c>
      <c r="N890">
        <v>1.6127909421920801</v>
      </c>
      <c r="O890">
        <v>1.64213514328003</v>
      </c>
      <c r="P890">
        <v>1.6655528545379601</v>
      </c>
      <c r="Q890">
        <v>1.7391279935836801</v>
      </c>
      <c r="R890">
        <v>1.8144223690032999</v>
      </c>
      <c r="S890">
        <v>1.881303191185</v>
      </c>
      <c r="T890">
        <v>1.91615927219391</v>
      </c>
      <c r="U890">
        <v>1.9549800157546999</v>
      </c>
      <c r="V890">
        <v>1.98487901687622</v>
      </c>
      <c r="W890">
        <v>2.0149953365325901</v>
      </c>
      <c r="X890">
        <v>2.0400972366332999</v>
      </c>
      <c r="Y890">
        <v>2.06869769096375</v>
      </c>
      <c r="Z890">
        <v>2.1140794754028298</v>
      </c>
      <c r="AA890" t="s">
        <v>777</v>
      </c>
    </row>
    <row r="891" spans="1:27" x14ac:dyDescent="0.25">
      <c r="A891" t="s">
        <v>469</v>
      </c>
      <c r="B891">
        <v>25.976100921630898</v>
      </c>
      <c r="C891">
        <v>26.701194763183601</v>
      </c>
      <c r="D891">
        <v>28.885900497436499</v>
      </c>
      <c r="E891">
        <v>29.465267181396499</v>
      </c>
      <c r="F891">
        <v>28.0844612121582</v>
      </c>
      <c r="G891">
        <v>28.946041107177699</v>
      </c>
      <c r="H891">
        <v>29.255804061889599</v>
      </c>
      <c r="I891">
        <v>30.039487838745099</v>
      </c>
      <c r="J891">
        <v>30.684814453125</v>
      </c>
      <c r="K891">
        <v>31.692062377929702</v>
      </c>
      <c r="L891">
        <v>32.750293731689503</v>
      </c>
      <c r="M891">
        <v>33.735057830810497</v>
      </c>
      <c r="N891">
        <v>34.847049713134801</v>
      </c>
      <c r="O891">
        <v>35.896480560302699</v>
      </c>
      <c r="P891">
        <v>36.796710968017599</v>
      </c>
      <c r="Q891">
        <v>37.092437744140597</v>
      </c>
      <c r="R891">
        <v>37.643119812011697</v>
      </c>
      <c r="S891">
        <v>38.552295684814503</v>
      </c>
      <c r="T891">
        <v>39.618198394775398</v>
      </c>
      <c r="U891">
        <v>40.722320556640597</v>
      </c>
      <c r="V891">
        <v>41.672286987304702</v>
      </c>
      <c r="W891">
        <v>42.619045257568402</v>
      </c>
      <c r="X891">
        <v>43.551567077636697</v>
      </c>
      <c r="Y891">
        <v>44.234035491943402</v>
      </c>
      <c r="Z891">
        <v>44.897003173828097</v>
      </c>
      <c r="AA891">
        <v>2.2851228713989299E-2</v>
      </c>
    </row>
    <row r="893" spans="1:27" x14ac:dyDescent="0.25">
      <c r="A893" t="s">
        <v>503</v>
      </c>
    </row>
    <row r="894" spans="1:27" x14ac:dyDescent="0.25">
      <c r="A894" t="s">
        <v>716</v>
      </c>
    </row>
    <row r="895" spans="1:27" x14ac:dyDescent="0.25">
      <c r="A895" t="s">
        <v>463</v>
      </c>
      <c r="B895">
        <v>225.02744706750701</v>
      </c>
      <c r="C895">
        <v>238.37773132324199</v>
      </c>
      <c r="D895">
        <v>259.02512631031902</v>
      </c>
      <c r="E895">
        <v>249.25337512780601</v>
      </c>
      <c r="F895">
        <v>252.583736500312</v>
      </c>
      <c r="G895">
        <v>262.72278901234898</v>
      </c>
      <c r="H895">
        <v>271.43045070142699</v>
      </c>
      <c r="I895">
        <v>279.62336448741098</v>
      </c>
      <c r="J895">
        <v>290.36118712182201</v>
      </c>
      <c r="K895">
        <v>302.34922046937697</v>
      </c>
      <c r="L895">
        <v>314.484301838607</v>
      </c>
      <c r="M895">
        <v>326.31017799182001</v>
      </c>
      <c r="N895">
        <v>339.67713347638499</v>
      </c>
      <c r="O895">
        <v>351.841652659175</v>
      </c>
      <c r="P895">
        <v>361.38263928723802</v>
      </c>
      <c r="Q895">
        <v>365.32884829527302</v>
      </c>
      <c r="R895">
        <v>374.04615460167003</v>
      </c>
      <c r="S895">
        <v>385.95134111753299</v>
      </c>
      <c r="T895">
        <v>398.835809936602</v>
      </c>
      <c r="U895">
        <v>410.22373705988099</v>
      </c>
      <c r="V895">
        <v>422.55616886606703</v>
      </c>
      <c r="W895">
        <v>434.56743167122602</v>
      </c>
      <c r="X895">
        <v>447.73002080536401</v>
      </c>
      <c r="Y895">
        <v>457.71538257287102</v>
      </c>
      <c r="Z895">
        <v>468.062769957282</v>
      </c>
      <c r="AA895">
        <v>2.9771340183983201E-2</v>
      </c>
    </row>
    <row r="896" spans="1:27" x14ac:dyDescent="0.25">
      <c r="A896" t="s">
        <v>470</v>
      </c>
      <c r="B896">
        <v>165.816137057829</v>
      </c>
      <c r="C896">
        <v>173.08578491210901</v>
      </c>
      <c r="D896">
        <v>190.230139498157</v>
      </c>
      <c r="E896">
        <v>185.844578933267</v>
      </c>
      <c r="F896">
        <v>184.96673437998101</v>
      </c>
      <c r="G896">
        <v>193.184934067249</v>
      </c>
      <c r="H896">
        <v>198.64505320450101</v>
      </c>
      <c r="I896">
        <v>207.01010076743199</v>
      </c>
      <c r="J896">
        <v>215.98045512613399</v>
      </c>
      <c r="K896">
        <v>227.20879369248601</v>
      </c>
      <c r="L896">
        <v>238.355458583971</v>
      </c>
      <c r="M896">
        <v>249.80526361731199</v>
      </c>
      <c r="N896">
        <v>261.78221655566898</v>
      </c>
      <c r="O896">
        <v>272.88440826998601</v>
      </c>
      <c r="P896">
        <v>282.07041522732101</v>
      </c>
      <c r="Q896">
        <v>286.98036020566298</v>
      </c>
      <c r="R896">
        <v>295.05574420107399</v>
      </c>
      <c r="S896">
        <v>306.22172255954098</v>
      </c>
      <c r="T896">
        <v>317.57856616547701</v>
      </c>
      <c r="U896">
        <v>329.069649877649</v>
      </c>
      <c r="V896">
        <v>340.29091622717101</v>
      </c>
      <c r="W896">
        <v>351.87208183072499</v>
      </c>
      <c r="X896">
        <v>364.00595788799001</v>
      </c>
      <c r="Y896">
        <v>374.718362251543</v>
      </c>
      <c r="Z896">
        <v>385.668787945372</v>
      </c>
      <c r="AA896">
        <v>3.54482424126734E-2</v>
      </c>
    </row>
    <row r="897" spans="1:27" x14ac:dyDescent="0.25">
      <c r="A897" t="s">
        <v>505</v>
      </c>
      <c r="B897">
        <v>210.45837399270499</v>
      </c>
      <c r="C897">
        <v>226.84164428710901</v>
      </c>
      <c r="D897">
        <v>262.44389197505598</v>
      </c>
      <c r="E897">
        <v>213.892966172706</v>
      </c>
      <c r="F897">
        <v>226.79179338269401</v>
      </c>
      <c r="G897">
        <v>247.619560147584</v>
      </c>
      <c r="H897">
        <v>273.83641803280398</v>
      </c>
      <c r="I897">
        <v>298.67526634090802</v>
      </c>
      <c r="J897">
        <v>321.41269661935701</v>
      </c>
      <c r="K897">
        <v>343.35489244766001</v>
      </c>
      <c r="L897">
        <v>359.62835975479601</v>
      </c>
      <c r="M897">
        <v>376.14186022230598</v>
      </c>
      <c r="N897">
        <v>389.28546003433701</v>
      </c>
      <c r="O897">
        <v>399.06892807031301</v>
      </c>
      <c r="P897">
        <v>405.15061668110599</v>
      </c>
      <c r="Q897">
        <v>407.35894410523099</v>
      </c>
      <c r="R897">
        <v>415.77923171469001</v>
      </c>
      <c r="S897">
        <v>426.41568562175598</v>
      </c>
      <c r="T897">
        <v>436.74010603899097</v>
      </c>
      <c r="U897">
        <v>448.16777725737001</v>
      </c>
      <c r="V897">
        <v>459.10467071246399</v>
      </c>
      <c r="W897">
        <v>469.55594536729899</v>
      </c>
      <c r="X897">
        <v>481.39122134917898</v>
      </c>
      <c r="Y897">
        <v>492.95782400236197</v>
      </c>
      <c r="Z897">
        <v>503.70495393538602</v>
      </c>
      <c r="AA897">
        <v>3.5292797975979E-2</v>
      </c>
    </row>
    <row r="898" spans="1:27" x14ac:dyDescent="0.25">
      <c r="A898" t="s">
        <v>477</v>
      </c>
      <c r="B898">
        <v>549.81947704453</v>
      </c>
      <c r="C898">
        <v>596.754638671875</v>
      </c>
      <c r="D898">
        <v>710.99412877519103</v>
      </c>
      <c r="E898">
        <v>505.32645703543398</v>
      </c>
      <c r="F898">
        <v>668.37680019736001</v>
      </c>
      <c r="G898">
        <v>762.52132045534597</v>
      </c>
      <c r="H898">
        <v>847.91759438910901</v>
      </c>
      <c r="I898">
        <v>937.91141444555603</v>
      </c>
      <c r="J898">
        <v>1028.33974387788</v>
      </c>
      <c r="K898">
        <v>1085.06959183805</v>
      </c>
      <c r="L898">
        <v>1131.9545626373499</v>
      </c>
      <c r="M898">
        <v>1181.14904998321</v>
      </c>
      <c r="N898">
        <v>1222.4904861899099</v>
      </c>
      <c r="O898">
        <v>1257.1498536367301</v>
      </c>
      <c r="P898">
        <v>1282.2289721541099</v>
      </c>
      <c r="Q898">
        <v>1293.5591115037901</v>
      </c>
      <c r="R898">
        <v>1317.64254291509</v>
      </c>
      <c r="S898">
        <v>1347.93302348928</v>
      </c>
      <c r="T898">
        <v>1365.7857849230099</v>
      </c>
      <c r="U898">
        <v>1397.4813404476599</v>
      </c>
      <c r="V898">
        <v>1434.8442550222801</v>
      </c>
      <c r="W898">
        <v>1472.1991410293999</v>
      </c>
      <c r="X898">
        <v>1515.6904697150001</v>
      </c>
      <c r="Y898">
        <v>1560.0477492924799</v>
      </c>
      <c r="Z898">
        <v>1610.00718661163</v>
      </c>
      <c r="AA898">
        <v>4.4096217008691797E-2</v>
      </c>
    </row>
    <row r="899" spans="1:27" x14ac:dyDescent="0.25">
      <c r="A899" t="s">
        <v>506</v>
      </c>
      <c r="B899">
        <v>1151.1213905869799</v>
      </c>
      <c r="C899">
        <v>1235.05981445313</v>
      </c>
      <c r="D899">
        <v>1422.6932865587301</v>
      </c>
      <c r="E899">
        <v>1154.31734546592</v>
      </c>
      <c r="F899">
        <v>1332.71906446034</v>
      </c>
      <c r="G899">
        <v>1466.04865262005</v>
      </c>
      <c r="H899">
        <v>1591.82954953581</v>
      </c>
      <c r="I899">
        <v>1723.220162996</v>
      </c>
      <c r="J899">
        <v>1856.09413471179</v>
      </c>
      <c r="K899">
        <v>1957.9824453226099</v>
      </c>
      <c r="L899">
        <v>2044.42271900984</v>
      </c>
      <c r="M899">
        <v>2133.4064257913801</v>
      </c>
      <c r="N899">
        <v>2213.2352962563</v>
      </c>
      <c r="O899">
        <v>2280.9449005124402</v>
      </c>
      <c r="P899">
        <v>2330.8327023315501</v>
      </c>
      <c r="Q899">
        <v>2353.2272042248301</v>
      </c>
      <c r="R899">
        <v>2402.5237543345802</v>
      </c>
      <c r="S899">
        <v>2466.5217523188298</v>
      </c>
      <c r="T899">
        <v>2518.9403084269702</v>
      </c>
      <c r="U899">
        <v>2584.9425046425499</v>
      </c>
      <c r="V899">
        <v>2656.7959475688699</v>
      </c>
      <c r="W899">
        <v>2728.1946425186502</v>
      </c>
      <c r="X899">
        <v>2808.81762668277</v>
      </c>
      <c r="Y899">
        <v>2885.4393181192499</v>
      </c>
      <c r="Z899">
        <v>2967.4436544262699</v>
      </c>
      <c r="AA899">
        <v>3.8847823819442302E-2</v>
      </c>
    </row>
    <row r="900" spans="1:27" x14ac:dyDescent="0.25">
      <c r="A900" t="s">
        <v>618</v>
      </c>
      <c r="B900">
        <v>3.1291455626044802E-2</v>
      </c>
      <c r="C900">
        <v>4.0766973048448597E-2</v>
      </c>
      <c r="D900">
        <v>4.0714130927948497E-2</v>
      </c>
      <c r="E900">
        <v>2.1793998683964599E-2</v>
      </c>
      <c r="F900">
        <v>7.3206049344282806E-2</v>
      </c>
      <c r="G900">
        <v>9.2770617127286306E-2</v>
      </c>
      <c r="H900">
        <v>0.115739841221496</v>
      </c>
      <c r="I900">
        <v>0.62128413204559196</v>
      </c>
      <c r="J900">
        <v>9.0414016273646407</v>
      </c>
      <c r="K900">
        <v>32.464667528422702</v>
      </c>
      <c r="L900">
        <v>45.662064193132402</v>
      </c>
      <c r="M900">
        <v>59.735806102059101</v>
      </c>
      <c r="N900">
        <v>68.705445338854702</v>
      </c>
      <c r="O900">
        <v>75.838728317784501</v>
      </c>
      <c r="P900">
        <v>81.248020694409604</v>
      </c>
      <c r="Q900">
        <v>88.517002347113603</v>
      </c>
      <c r="R900">
        <v>96.838574567007299</v>
      </c>
      <c r="S900">
        <v>105.232438138034</v>
      </c>
      <c r="T900">
        <v>112.23695677008899</v>
      </c>
      <c r="U900">
        <v>119.789323919834</v>
      </c>
      <c r="V900">
        <v>127.344773281206</v>
      </c>
      <c r="W900">
        <v>134.21074205079</v>
      </c>
      <c r="X900">
        <v>141.121318213276</v>
      </c>
      <c r="Y900">
        <v>147.47729532082599</v>
      </c>
      <c r="Z900">
        <v>153.48101506159901</v>
      </c>
      <c r="AA900">
        <v>0.43043202909376699</v>
      </c>
    </row>
    <row r="901" spans="1:27" x14ac:dyDescent="0.25">
      <c r="A901" t="s">
        <v>508</v>
      </c>
      <c r="B901">
        <v>1151.1526529385901</v>
      </c>
      <c r="C901">
        <v>1235.1005859375</v>
      </c>
      <c r="D901">
        <v>1422.73403823545</v>
      </c>
      <c r="E901">
        <v>1154.33909891658</v>
      </c>
      <c r="F901">
        <v>1332.7922559459801</v>
      </c>
      <c r="G901">
        <v>1466.1414381637601</v>
      </c>
      <c r="H901">
        <v>1591.9452461077601</v>
      </c>
      <c r="I901">
        <v>1723.8413828856601</v>
      </c>
      <c r="J901">
        <v>1865.13548978575</v>
      </c>
      <c r="K901">
        <v>1990.4471814707699</v>
      </c>
      <c r="L901">
        <v>2090.0847289103099</v>
      </c>
      <c r="M901">
        <v>2193.14218565799</v>
      </c>
      <c r="N901">
        <v>2281.9407840971799</v>
      </c>
      <c r="O901">
        <v>2356.78359989211</v>
      </c>
      <c r="P901">
        <v>2412.0806492987499</v>
      </c>
      <c r="Q901">
        <v>2441.7442864187801</v>
      </c>
      <c r="R901">
        <v>2499.3623693526101</v>
      </c>
      <c r="S901">
        <v>2571.7542006915</v>
      </c>
      <c r="T901">
        <v>2631.1772031527198</v>
      </c>
      <c r="U901">
        <v>2704.7318076809502</v>
      </c>
      <c r="V901">
        <v>2784.14076302281</v>
      </c>
      <c r="W901">
        <v>2862.4052247444101</v>
      </c>
      <c r="X901">
        <v>2949.93897720213</v>
      </c>
      <c r="Y901">
        <v>3032.91659167235</v>
      </c>
      <c r="Z901">
        <v>3120.92473552298</v>
      </c>
      <c r="AA901">
        <v>4.1126546811574502E-2</v>
      </c>
    </row>
    <row r="905" spans="1:27" x14ac:dyDescent="0.25">
      <c r="A905" t="s">
        <v>619</v>
      </c>
    </row>
    <row r="906" spans="1:27" x14ac:dyDescent="0.25">
      <c r="A906" t="s">
        <v>620</v>
      </c>
    </row>
    <row r="907" spans="1:27" x14ac:dyDescent="0.25">
      <c r="A907" t="s">
        <v>621</v>
      </c>
    </row>
    <row r="908" spans="1:27" x14ac:dyDescent="0.25">
      <c r="A908" t="s">
        <v>717</v>
      </c>
    </row>
    <row r="909" spans="1:27" x14ac:dyDescent="0.25">
      <c r="A909" t="s">
        <v>718</v>
      </c>
    </row>
    <row r="910" spans="1:27" x14ac:dyDescent="0.25">
      <c r="A910" t="s">
        <v>638</v>
      </c>
    </row>
    <row r="911" spans="1:27" x14ac:dyDescent="0.25">
      <c r="A911" t="s">
        <v>639</v>
      </c>
    </row>
    <row r="912" spans="1:27" x14ac:dyDescent="0.25">
      <c r="A912" t="s">
        <v>640</v>
      </c>
    </row>
    <row r="913" spans="1:1" x14ac:dyDescent="0.25">
      <c r="A913" t="s">
        <v>641</v>
      </c>
    </row>
    <row r="914" spans="1:1" x14ac:dyDescent="0.25">
      <c r="A914" t="s">
        <v>642</v>
      </c>
    </row>
    <row r="915" spans="1:1" x14ac:dyDescent="0.25">
      <c r="A915" t="s">
        <v>643</v>
      </c>
    </row>
    <row r="916" spans="1:1" x14ac:dyDescent="0.25">
      <c r="A916" t="s">
        <v>535</v>
      </c>
    </row>
    <row r="917" spans="1:1" x14ac:dyDescent="0.25">
      <c r="A917" t="s">
        <v>719</v>
      </c>
    </row>
    <row r="918" spans="1:1" x14ac:dyDescent="0.25">
      <c r="A918" t="s">
        <v>720</v>
      </c>
    </row>
    <row r="919" spans="1:1" x14ac:dyDescent="0.25">
      <c r="A919" t="s">
        <v>721</v>
      </c>
    </row>
    <row r="920" spans="1:1" x14ac:dyDescent="0.25">
      <c r="A920" t="s">
        <v>722</v>
      </c>
    </row>
    <row r="921" spans="1:1" x14ac:dyDescent="0.25">
      <c r="A921" t="s">
        <v>723</v>
      </c>
    </row>
    <row r="922" spans="1:1" x14ac:dyDescent="0.25">
      <c r="A922" t="s">
        <v>724</v>
      </c>
    </row>
    <row r="923" spans="1:1" x14ac:dyDescent="0.25">
      <c r="A923" t="s">
        <v>725</v>
      </c>
    </row>
    <row r="924" spans="1:1" x14ac:dyDescent="0.25">
      <c r="A924" t="s">
        <v>726</v>
      </c>
    </row>
    <row r="925" spans="1:1" x14ac:dyDescent="0.25">
      <c r="A925" t="s">
        <v>727</v>
      </c>
    </row>
    <row r="926" spans="1:1" x14ac:dyDescent="0.25">
      <c r="A926" t="s">
        <v>728</v>
      </c>
    </row>
    <row r="927" spans="1:1" x14ac:dyDescent="0.25">
      <c r="A927" t="s">
        <v>800</v>
      </c>
    </row>
    <row r="928" spans="1:1" x14ac:dyDescent="0.25">
      <c r="A928" t="s">
        <v>730</v>
      </c>
    </row>
    <row r="929" spans="1:1" x14ac:dyDescent="0.25">
      <c r="A929" t="s">
        <v>801</v>
      </c>
    </row>
  </sheetData>
  <mergeCells count="26">
    <mergeCell ref="J27:K27"/>
    <mergeCell ref="J28:J29"/>
    <mergeCell ref="K28:K29"/>
    <mergeCell ref="A36:D37"/>
    <mergeCell ref="A56:K56"/>
    <mergeCell ref="A38:B38"/>
    <mergeCell ref="E38:I38"/>
    <mergeCell ref="J45:K48"/>
    <mergeCell ref="A53:K53"/>
    <mergeCell ref="A54:K55"/>
    <mergeCell ref="A1:BT1"/>
    <mergeCell ref="A2:BT3"/>
    <mergeCell ref="A5:BT5"/>
    <mergeCell ref="A9:BT9"/>
    <mergeCell ref="E749:I749"/>
    <mergeCell ref="A736:C736"/>
    <mergeCell ref="A732:M732"/>
    <mergeCell ref="C619:Y619"/>
    <mergeCell ref="C620:Y620"/>
    <mergeCell ref="A14:BT14"/>
    <mergeCell ref="A19:BT19"/>
    <mergeCell ref="A21:T21"/>
    <mergeCell ref="A23:T23"/>
    <mergeCell ref="A25:K25"/>
    <mergeCell ref="A26:K26"/>
    <mergeCell ref="E27:I37"/>
  </mergeCells>
  <phoneticPr fontId="3" type="noConversion"/>
  <hyperlinks>
    <hyperlink ref="A56:K56" r:id="rId1" display="../../2.2 Production Cost Target/James Milford Review/Available from Short Term Enehttp:/www.eia.doe.gov/emeu/steo/pub/a2tab.html" xr:uid="{00000000-0004-0000-0D00-000000000000}"/>
  </hyperlinks>
  <pageMargins left="0.75" right="0.75" top="1" bottom="1" header="0.5" footer="0.5"/>
  <pageSetup scale="98" orientation="landscape" r:id="rId2"/>
  <headerFooter alignWithMargins="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tabColor indexed="51"/>
    <pageSetUpPr fitToPage="1"/>
  </sheetPr>
  <dimension ref="A1:W526"/>
  <sheetViews>
    <sheetView topLeftCell="A91" zoomScale="85" zoomScaleNormal="85" workbookViewId="0">
      <selection activeCell="L95" sqref="L95:L124"/>
    </sheetView>
  </sheetViews>
  <sheetFormatPr defaultRowHeight="13.2" x14ac:dyDescent="0.25"/>
  <cols>
    <col min="1" max="1" width="33" customWidth="1"/>
    <col min="2" max="2" width="28.5546875" customWidth="1"/>
    <col min="3" max="3" width="14" customWidth="1"/>
    <col min="4" max="4" width="12.6640625" customWidth="1"/>
    <col min="5" max="5" width="15.33203125" customWidth="1"/>
    <col min="6" max="6" width="21.44140625" customWidth="1"/>
    <col min="7" max="8" width="14" customWidth="1"/>
    <col min="9" max="9" width="15.33203125" customWidth="1"/>
    <col min="10" max="10" width="17.6640625" customWidth="1"/>
    <col min="11" max="11" width="19.33203125" customWidth="1"/>
    <col min="12" max="12" width="17.33203125" customWidth="1"/>
    <col min="13" max="14" width="18.6640625" customWidth="1"/>
    <col min="15" max="15" width="8.5546875" customWidth="1"/>
    <col min="16" max="18" width="18.6640625" customWidth="1"/>
    <col min="19" max="20" width="13.44140625" customWidth="1"/>
    <col min="23" max="23" width="12.44140625" bestFit="1" customWidth="1"/>
  </cols>
  <sheetData>
    <row r="1" spans="1:23" ht="13.8" x14ac:dyDescent="0.25">
      <c r="A1" s="466" t="s">
        <v>300</v>
      </c>
      <c r="B1" s="467"/>
      <c r="C1" s="467"/>
      <c r="D1" s="468"/>
      <c r="E1" s="467"/>
      <c r="F1" s="467"/>
      <c r="G1" s="467"/>
      <c r="H1" s="467"/>
      <c r="I1" s="467"/>
      <c r="J1" s="467"/>
      <c r="K1" s="467"/>
    </row>
    <row r="2" spans="1:23" ht="12.75" customHeight="1" x14ac:dyDescent="0.3">
      <c r="A2" s="1654" t="s">
        <v>855</v>
      </c>
      <c r="B2" s="1655"/>
      <c r="C2" s="1655"/>
      <c r="D2" s="1655"/>
      <c r="E2" s="1655"/>
      <c r="F2" s="1655"/>
      <c r="G2" s="1655"/>
      <c r="H2" s="1655"/>
      <c r="I2" s="1655"/>
      <c r="J2" s="1655"/>
      <c r="K2" s="1655"/>
    </row>
    <row r="3" spans="1:23" ht="13.8" thickBot="1" x14ac:dyDescent="0.3">
      <c r="A3" s="1656"/>
      <c r="B3" s="1656"/>
      <c r="C3" s="1656"/>
      <c r="D3" s="1656"/>
      <c r="E3" s="1656"/>
      <c r="F3" s="1656"/>
      <c r="G3" s="1656"/>
      <c r="H3" s="1656"/>
      <c r="I3" s="1656"/>
      <c r="J3" s="1656"/>
      <c r="K3" s="1656"/>
    </row>
    <row r="4" spans="1:23" ht="13.8" x14ac:dyDescent="0.25">
      <c r="A4" s="3" t="s">
        <v>301</v>
      </c>
      <c r="B4" s="4"/>
      <c r="C4" s="1657" t="s">
        <v>302</v>
      </c>
      <c r="D4" s="1657"/>
      <c r="E4" s="1657"/>
      <c r="F4" s="5"/>
      <c r="G4" s="1657" t="s">
        <v>303</v>
      </c>
      <c r="H4" s="1657"/>
      <c r="I4" s="1657"/>
      <c r="J4" s="5"/>
      <c r="K4" s="6" t="s">
        <v>304</v>
      </c>
      <c r="O4" s="2" t="s">
        <v>622</v>
      </c>
    </row>
    <row r="5" spans="1:23" x14ac:dyDescent="0.25">
      <c r="A5" s="7" t="s">
        <v>856</v>
      </c>
      <c r="B5" s="8"/>
      <c r="C5" s="9" t="s">
        <v>857</v>
      </c>
      <c r="D5" s="9" t="s">
        <v>305</v>
      </c>
      <c r="E5" s="9" t="s">
        <v>306</v>
      </c>
      <c r="F5" s="9"/>
      <c r="G5" s="9" t="s">
        <v>857</v>
      </c>
      <c r="H5" s="9" t="s">
        <v>305</v>
      </c>
      <c r="I5" s="9" t="s">
        <v>306</v>
      </c>
      <c r="J5" s="9"/>
      <c r="K5" s="10" t="s">
        <v>858</v>
      </c>
      <c r="O5" s="1"/>
      <c r="P5" s="1"/>
      <c r="Q5" s="477"/>
      <c r="R5" s="477">
        <v>2005</v>
      </c>
      <c r="S5" s="477">
        <v>2007</v>
      </c>
      <c r="T5" s="477">
        <v>2005</v>
      </c>
      <c r="U5" s="477">
        <v>2007</v>
      </c>
      <c r="V5" s="476"/>
      <c r="W5" s="476"/>
    </row>
    <row r="6" spans="1:23" x14ac:dyDescent="0.25">
      <c r="A6" s="15" t="s">
        <v>519</v>
      </c>
      <c r="B6" s="12"/>
      <c r="C6" s="13">
        <v>983</v>
      </c>
      <c r="D6" s="14">
        <f>C6/$K6*453.59</f>
        <v>20267.225909090906</v>
      </c>
      <c r="E6" s="469">
        <f>D6*1.05506/1000*2.2046</f>
        <v>47.141269049911173</v>
      </c>
      <c r="F6" s="13"/>
      <c r="G6" s="13">
        <v>1089</v>
      </c>
      <c r="H6" s="14">
        <f>G6/$K6*453.59</f>
        <v>22452.704999999998</v>
      </c>
      <c r="I6" s="469">
        <f>H6*1.05506/1000*2.2046</f>
        <v>52.224661236371581</v>
      </c>
      <c r="J6" s="13"/>
      <c r="K6" s="470">
        <v>22</v>
      </c>
      <c r="O6" s="1" t="s">
        <v>247</v>
      </c>
      <c r="P6" s="1" t="s">
        <v>1031</v>
      </c>
      <c r="Q6" s="477" t="s">
        <v>626</v>
      </c>
      <c r="R6" s="477" t="s">
        <v>625</v>
      </c>
      <c r="S6" s="477" t="s">
        <v>625</v>
      </c>
      <c r="T6" s="477" t="s">
        <v>1020</v>
      </c>
      <c r="U6" s="477" t="s">
        <v>1020</v>
      </c>
      <c r="V6" s="476"/>
      <c r="W6" s="476"/>
    </row>
    <row r="7" spans="1:23" x14ac:dyDescent="0.25">
      <c r="A7" s="15" t="s">
        <v>859</v>
      </c>
      <c r="B7" s="16"/>
      <c r="C7" s="471">
        <v>290</v>
      </c>
      <c r="D7" s="17">
        <f t="shared" ref="D7:D40" si="0">C7/K7*453.59</f>
        <v>51682.028917177428</v>
      </c>
      <c r="E7" s="472">
        <f t="shared" ref="E7:E40" si="1">D7*1.05506/1000*2.2046</f>
        <v>120.21163829516094</v>
      </c>
      <c r="F7" s="18"/>
      <c r="G7" s="19">
        <v>343</v>
      </c>
      <c r="H7" s="17">
        <f t="shared" ref="H7:H40" si="2">G7/$K7*453.59</f>
        <v>61127.365236523648</v>
      </c>
      <c r="I7" s="472">
        <f t="shared" ref="I7:I40" si="3">H7*1.05506/1000*2.2046</f>
        <v>142.1813515008283</v>
      </c>
      <c r="J7" s="18"/>
      <c r="K7" s="473">
        <v>2.5451999999999999</v>
      </c>
      <c r="O7" t="s">
        <v>838</v>
      </c>
      <c r="P7" t="s">
        <v>627</v>
      </c>
      <c r="Q7" s="476">
        <v>930</v>
      </c>
      <c r="R7" s="476">
        <v>1027</v>
      </c>
      <c r="S7" s="476">
        <v>1030</v>
      </c>
      <c r="T7" s="476">
        <f>R7/Q7</f>
        <v>1.1043010752688172</v>
      </c>
      <c r="U7" s="476">
        <f>S7/Q7</f>
        <v>1.10752688172043</v>
      </c>
      <c r="V7" s="476"/>
      <c r="W7" s="476"/>
    </row>
    <row r="8" spans="1:23" x14ac:dyDescent="0.25">
      <c r="A8" s="15" t="s">
        <v>860</v>
      </c>
      <c r="B8" s="16"/>
      <c r="C8" s="471">
        <v>1458</v>
      </c>
      <c r="D8" s="17">
        <f t="shared" si="0"/>
        <v>20162.628658536585</v>
      </c>
      <c r="E8" s="469">
        <f t="shared" si="1"/>
        <v>46.897977385211739</v>
      </c>
      <c r="F8" s="18"/>
      <c r="G8" s="19">
        <v>1584</v>
      </c>
      <c r="H8" s="17">
        <f t="shared" si="2"/>
        <v>21905.078048780488</v>
      </c>
      <c r="I8" s="469">
        <f t="shared" si="3"/>
        <v>50.950889011094226</v>
      </c>
      <c r="J8" s="18"/>
      <c r="K8" s="20">
        <v>32.799999999999997</v>
      </c>
      <c r="O8" t="s">
        <v>839</v>
      </c>
      <c r="P8" t="s">
        <v>627</v>
      </c>
      <c r="Q8" s="476">
        <v>930</v>
      </c>
      <c r="R8" s="476">
        <v>1027</v>
      </c>
      <c r="S8" s="476">
        <v>1030</v>
      </c>
      <c r="T8" s="476">
        <f>R8/Q8</f>
        <v>1.1043010752688172</v>
      </c>
      <c r="U8" s="476">
        <f>S8/Q8</f>
        <v>1.10752688172043</v>
      </c>
      <c r="V8" s="476"/>
      <c r="W8" s="476"/>
    </row>
    <row r="9" spans="1:23" x14ac:dyDescent="0.25">
      <c r="A9" s="7" t="s">
        <v>307</v>
      </c>
      <c r="B9" s="8"/>
      <c r="C9" s="9" t="s">
        <v>308</v>
      </c>
      <c r="D9" s="9" t="s">
        <v>305</v>
      </c>
      <c r="E9" s="9" t="s">
        <v>306</v>
      </c>
      <c r="F9" s="9"/>
      <c r="G9" s="9" t="s">
        <v>308</v>
      </c>
      <c r="H9" s="9" t="s">
        <v>305</v>
      </c>
      <c r="I9" s="9" t="s">
        <v>306</v>
      </c>
      <c r="J9" s="9"/>
      <c r="K9" s="10" t="s">
        <v>309</v>
      </c>
      <c r="O9" t="s">
        <v>840</v>
      </c>
      <c r="P9" t="s">
        <v>627</v>
      </c>
      <c r="Q9" s="476">
        <v>930</v>
      </c>
      <c r="R9" s="476">
        <v>1027</v>
      </c>
      <c r="S9" s="476">
        <v>1030</v>
      </c>
      <c r="T9" s="476">
        <f>R9/Q9</f>
        <v>1.1043010752688172</v>
      </c>
      <c r="U9" s="476">
        <f>S9/Q9</f>
        <v>1.10752688172043</v>
      </c>
      <c r="V9" s="476"/>
      <c r="W9" s="476"/>
    </row>
    <row r="10" spans="1:23" x14ac:dyDescent="0.25">
      <c r="A10" s="11" t="s">
        <v>861</v>
      </c>
      <c r="B10" s="16"/>
      <c r="C10" s="19">
        <v>129670</v>
      </c>
      <c r="D10" s="17">
        <f t="shared" si="0"/>
        <v>18351.642839313572</v>
      </c>
      <c r="E10" s="469">
        <f t="shared" si="1"/>
        <v>42.685651034654214</v>
      </c>
      <c r="F10" s="18"/>
      <c r="G10" s="19">
        <v>138350</v>
      </c>
      <c r="H10" s="17">
        <f t="shared" si="2"/>
        <v>19580.086271450855</v>
      </c>
      <c r="I10" s="469">
        <f t="shared" si="3"/>
        <v>45.542992370204438</v>
      </c>
      <c r="J10" s="18"/>
      <c r="K10" s="21">
        <v>3205</v>
      </c>
      <c r="O10" t="s">
        <v>915</v>
      </c>
      <c r="Q10" s="476"/>
      <c r="R10" s="476"/>
      <c r="S10" s="476"/>
      <c r="T10" s="476">
        <v>1</v>
      </c>
      <c r="U10" s="476">
        <v>1</v>
      </c>
      <c r="V10" s="476"/>
      <c r="W10" s="476"/>
    </row>
    <row r="11" spans="1:23" x14ac:dyDescent="0.25">
      <c r="A11" s="11" t="s">
        <v>862</v>
      </c>
      <c r="B11" s="16"/>
      <c r="C11" s="19">
        <v>116090</v>
      </c>
      <c r="D11" s="17">
        <f t="shared" si="0"/>
        <v>18679.412238382403</v>
      </c>
      <c r="E11" s="469">
        <f t="shared" si="1"/>
        <v>43.448037830811678</v>
      </c>
      <c r="F11" s="18"/>
      <c r="G11" s="19">
        <v>124340</v>
      </c>
      <c r="H11" s="17">
        <f t="shared" si="2"/>
        <v>20006.874991131608</v>
      </c>
      <c r="I11" s="469">
        <f t="shared" si="3"/>
        <v>46.535696648144757</v>
      </c>
      <c r="J11" s="18"/>
      <c r="K11" s="21">
        <v>2819</v>
      </c>
      <c r="O11" t="s">
        <v>917</v>
      </c>
      <c r="Q11" s="476"/>
      <c r="R11" s="476"/>
      <c r="S11" s="476"/>
      <c r="T11" s="476">
        <v>1</v>
      </c>
      <c r="U11" s="476">
        <v>1</v>
      </c>
      <c r="V11" s="476"/>
      <c r="W11" s="476"/>
    </row>
    <row r="12" spans="1:23" x14ac:dyDescent="0.25">
      <c r="A12" s="11" t="s">
        <v>863</v>
      </c>
      <c r="B12" s="16"/>
      <c r="C12" s="19">
        <v>113601.50975397152</v>
      </c>
      <c r="D12" s="17">
        <f t="shared" si="0"/>
        <v>18210.67343395916</v>
      </c>
      <c r="E12" s="469">
        <f t="shared" si="1"/>
        <v>42.357758273433376</v>
      </c>
      <c r="F12" s="18"/>
      <c r="G12" s="19">
        <v>121848.38036482914</v>
      </c>
      <c r="H12" s="17">
        <f t="shared" si="2"/>
        <v>19532.672304147527</v>
      </c>
      <c r="I12" s="469">
        <f t="shared" si="3"/>
        <v>45.432708180380153</v>
      </c>
      <c r="J12" s="18"/>
      <c r="K12" s="21">
        <v>2829.5773353012783</v>
      </c>
      <c r="O12" t="s">
        <v>841</v>
      </c>
      <c r="P12" t="s">
        <v>628</v>
      </c>
      <c r="Q12" s="478">
        <v>19546300</v>
      </c>
      <c r="R12" s="478">
        <v>20754000</v>
      </c>
      <c r="S12" s="478">
        <v>20231000</v>
      </c>
      <c r="T12" s="476">
        <f>R12/Q12</f>
        <v>1.0617866296946226</v>
      </c>
      <c r="U12" s="476">
        <f>S12/Q12</f>
        <v>1.0350296475547802</v>
      </c>
      <c r="V12" s="476"/>
      <c r="W12" s="476"/>
    </row>
    <row r="13" spans="1:23" x14ac:dyDescent="0.25">
      <c r="A13" s="11" t="s">
        <v>864</v>
      </c>
      <c r="B13" s="16"/>
      <c r="C13" s="19">
        <v>113927.15396104372</v>
      </c>
      <c r="D13" s="17">
        <f t="shared" si="0"/>
        <v>18271.813278014368</v>
      </c>
      <c r="E13" s="469">
        <f t="shared" si="1"/>
        <v>42.499968650482714</v>
      </c>
      <c r="F13" s="18"/>
      <c r="G13" s="19">
        <v>122174.43408423416</v>
      </c>
      <c r="H13" s="17">
        <f t="shared" si="2"/>
        <v>19594.524828536756</v>
      </c>
      <c r="I13" s="469">
        <f t="shared" si="3"/>
        <v>45.576576241392928</v>
      </c>
      <c r="J13" s="18"/>
      <c r="K13" s="21">
        <v>2828.193183616288</v>
      </c>
      <c r="O13" t="s">
        <v>898</v>
      </c>
      <c r="P13" t="s">
        <v>629</v>
      </c>
      <c r="Q13" s="478">
        <v>128450</v>
      </c>
      <c r="R13" s="478">
        <f>5825000/42</f>
        <v>138690.47619047618</v>
      </c>
      <c r="S13" s="478">
        <f>5799000/42</f>
        <v>138071.42857142858</v>
      </c>
      <c r="T13" s="476">
        <f>R13/Q13</f>
        <v>1.0797234425105191</v>
      </c>
      <c r="U13" s="476">
        <f>S13/Q13</f>
        <v>1.0749040760718458</v>
      </c>
      <c r="V13" s="476"/>
      <c r="W13" s="476"/>
    </row>
    <row r="14" spans="1:23" x14ac:dyDescent="0.25">
      <c r="A14" s="11" t="s">
        <v>865</v>
      </c>
      <c r="B14" s="16"/>
      <c r="C14" s="19">
        <v>128450</v>
      </c>
      <c r="D14" s="17">
        <f t="shared" si="0"/>
        <v>18397.106251973477</v>
      </c>
      <c r="E14" s="469">
        <f t="shared" si="1"/>
        <v>42.791398263097854</v>
      </c>
      <c r="F14" s="18"/>
      <c r="G14" s="19">
        <v>137380</v>
      </c>
      <c r="H14" s="17">
        <f t="shared" si="2"/>
        <v>19676.095421534574</v>
      </c>
      <c r="I14" s="469">
        <f t="shared" si="3"/>
        <v>45.766308239660439</v>
      </c>
      <c r="J14" s="18"/>
      <c r="K14" s="21">
        <v>3167</v>
      </c>
      <c r="O14" t="s">
        <v>896</v>
      </c>
      <c r="P14" t="s">
        <v>629</v>
      </c>
      <c r="Q14" s="478">
        <v>86668</v>
      </c>
      <c r="R14" s="478">
        <v>94706</v>
      </c>
      <c r="S14" s="478">
        <v>94854</v>
      </c>
      <c r="T14" s="476">
        <f>R14/Q14</f>
        <v>1.0927447270041999</v>
      </c>
      <c r="U14" s="476">
        <f>S14/Q14</f>
        <v>1.0944523930401071</v>
      </c>
      <c r="V14" s="476"/>
      <c r="W14" s="476"/>
    </row>
    <row r="15" spans="1:23" x14ac:dyDescent="0.25">
      <c r="A15" s="11" t="s">
        <v>518</v>
      </c>
      <c r="B15" s="16"/>
      <c r="C15" s="19">
        <v>129487.84757606639</v>
      </c>
      <c r="D15" s="17">
        <f t="shared" si="0"/>
        <v>18320.147467881456</v>
      </c>
      <c r="E15" s="469">
        <f t="shared" si="1"/>
        <v>42.612393264440954</v>
      </c>
      <c r="F15" s="18"/>
      <c r="G15" s="19">
        <v>138490</v>
      </c>
      <c r="H15" s="17">
        <f t="shared" si="2"/>
        <v>19593.786369307545</v>
      </c>
      <c r="I15" s="469">
        <f t="shared" si="3"/>
        <v>45.574858596098856</v>
      </c>
      <c r="J15" s="18"/>
      <c r="K15" s="21">
        <v>3206</v>
      </c>
      <c r="O15" t="s">
        <v>842</v>
      </c>
      <c r="P15" t="s">
        <v>629</v>
      </c>
      <c r="Q15" s="478"/>
      <c r="R15" s="478"/>
      <c r="S15" s="478"/>
      <c r="T15" s="476">
        <f>$I$19/$E$19</f>
        <v>1.1388646288209607</v>
      </c>
      <c r="U15" s="476">
        <f>$I$19/$E$19</f>
        <v>1.1388646288209607</v>
      </c>
      <c r="V15" s="476"/>
      <c r="W15" s="476"/>
    </row>
    <row r="16" spans="1:23" x14ac:dyDescent="0.25">
      <c r="A16" s="11" t="s">
        <v>866</v>
      </c>
      <c r="B16" s="16"/>
      <c r="C16" s="19">
        <v>116920</v>
      </c>
      <c r="D16" s="17">
        <f t="shared" si="0"/>
        <v>19320.124881602911</v>
      </c>
      <c r="E16" s="469">
        <f t="shared" si="1"/>
        <v>44.938326005089621</v>
      </c>
      <c r="F16" s="18"/>
      <c r="G16" s="19">
        <v>125080</v>
      </c>
      <c r="H16" s="17">
        <f t="shared" si="2"/>
        <v>20668.501712204008</v>
      </c>
      <c r="I16" s="469">
        <f t="shared" si="3"/>
        <v>48.074630659567319</v>
      </c>
      <c r="J16" s="18"/>
      <c r="K16" s="22">
        <v>2745</v>
      </c>
      <c r="O16" t="s">
        <v>901</v>
      </c>
      <c r="P16" t="s">
        <v>629</v>
      </c>
      <c r="Q16" s="478">
        <v>116090</v>
      </c>
      <c r="R16" s="478">
        <f>5194000/42</f>
        <v>123666.66666666667</v>
      </c>
      <c r="S16" s="478">
        <f>5218000/42</f>
        <v>124238.09523809524</v>
      </c>
      <c r="T16" s="476">
        <f>R16/Q16</f>
        <v>1.0652654549631033</v>
      </c>
      <c r="U16" s="476">
        <f>S16/Q16</f>
        <v>1.0701877443198831</v>
      </c>
      <c r="V16" s="476"/>
      <c r="W16" s="476"/>
    </row>
    <row r="17" spans="1:23" x14ac:dyDescent="0.25">
      <c r="A17" s="11" t="s">
        <v>867</v>
      </c>
      <c r="B17" s="16"/>
      <c r="C17" s="19">
        <v>111520</v>
      </c>
      <c r="D17" s="17">
        <f t="shared" si="0"/>
        <v>19081.236061863448</v>
      </c>
      <c r="E17" s="469">
        <f t="shared" si="1"/>
        <v>44.382674127774621</v>
      </c>
      <c r="F17" s="18"/>
      <c r="G17" s="19">
        <v>119740</v>
      </c>
      <c r="H17" s="17">
        <f t="shared" si="2"/>
        <v>20487.69015465862</v>
      </c>
      <c r="I17" s="469">
        <f t="shared" si="3"/>
        <v>47.654065638986118</v>
      </c>
      <c r="J17" s="18"/>
      <c r="K17" s="21">
        <v>2651</v>
      </c>
      <c r="O17" t="s">
        <v>843</v>
      </c>
      <c r="P17" t="s">
        <v>628</v>
      </c>
      <c r="Q17" s="478">
        <v>16811000</v>
      </c>
      <c r="R17" s="478">
        <v>17200000</v>
      </c>
      <c r="S17" s="478">
        <v>17200000</v>
      </c>
      <c r="T17" s="476">
        <f>R17/Q17</f>
        <v>1.0231396109690083</v>
      </c>
      <c r="U17" s="476">
        <f>S17/Q17</f>
        <v>1.0231396109690083</v>
      </c>
      <c r="V17" s="476"/>
      <c r="W17" s="476"/>
    </row>
    <row r="18" spans="1:23" x14ac:dyDescent="0.25">
      <c r="A18" s="11" t="s">
        <v>868</v>
      </c>
      <c r="B18" s="16"/>
      <c r="C18" s="19">
        <v>140352.52220119376</v>
      </c>
      <c r="D18" s="17">
        <f t="shared" si="0"/>
        <v>16967.617416108602</v>
      </c>
      <c r="E18" s="469">
        <f t="shared" si="1"/>
        <v>39.466428278669781</v>
      </c>
      <c r="F18" s="18"/>
      <c r="G18" s="19">
        <v>150110</v>
      </c>
      <c r="H18" s="17">
        <f t="shared" si="2"/>
        <v>18147.226785714287</v>
      </c>
      <c r="I18" s="469">
        <f t="shared" si="3"/>
        <v>42.210182303804245</v>
      </c>
      <c r="J18" s="18"/>
      <c r="K18" s="21">
        <v>3752</v>
      </c>
      <c r="O18" t="s">
        <v>844</v>
      </c>
      <c r="P18" t="s">
        <v>630</v>
      </c>
      <c r="Q18" s="479">
        <v>2.8300000000000001E-3</v>
      </c>
      <c r="R18" s="478"/>
      <c r="S18" s="478"/>
      <c r="T18" s="476">
        <v>1</v>
      </c>
      <c r="U18" s="476">
        <v>1</v>
      </c>
      <c r="V18" s="476"/>
      <c r="W18" s="476"/>
    </row>
    <row r="19" spans="1:23" x14ac:dyDescent="0.25">
      <c r="A19" s="11" t="s">
        <v>310</v>
      </c>
      <c r="B19" s="23"/>
      <c r="C19" s="19">
        <v>57250</v>
      </c>
      <c r="D19" s="17">
        <f t="shared" si="0"/>
        <v>8638.7317032601459</v>
      </c>
      <c r="E19" s="469">
        <f t="shared" si="1"/>
        <v>20.093562745097504</v>
      </c>
      <c r="F19" s="18"/>
      <c r="G19" s="19">
        <v>65200</v>
      </c>
      <c r="H19" s="17">
        <f t="shared" si="2"/>
        <v>9838.345974717231</v>
      </c>
      <c r="I19" s="469">
        <f t="shared" si="3"/>
        <v>22.883847877386152</v>
      </c>
      <c r="J19" s="18"/>
      <c r="K19" s="22">
        <v>3006</v>
      </c>
      <c r="Q19" s="476"/>
      <c r="R19" s="476"/>
      <c r="S19" s="476"/>
      <c r="T19" s="476"/>
      <c r="U19" s="476"/>
      <c r="V19" s="476"/>
      <c r="W19" s="476"/>
    </row>
    <row r="20" spans="1:23" x14ac:dyDescent="0.25">
      <c r="A20" s="11" t="s">
        <v>311</v>
      </c>
      <c r="B20" s="23"/>
      <c r="C20" s="19">
        <v>76330</v>
      </c>
      <c r="D20" s="17">
        <f t="shared" si="0"/>
        <v>11587.19032797858</v>
      </c>
      <c r="E20" s="469">
        <f t="shared" si="1"/>
        <v>26.95163409308779</v>
      </c>
      <c r="F20" s="18"/>
      <c r="G20" s="19">
        <v>84530</v>
      </c>
      <c r="H20" s="17">
        <f t="shared" si="2"/>
        <v>12831.982161981257</v>
      </c>
      <c r="I20" s="469">
        <f t="shared" si="3"/>
        <v>29.847001570663057</v>
      </c>
      <c r="J20" s="18"/>
      <c r="K20" s="22">
        <v>2988</v>
      </c>
      <c r="Q20" s="476"/>
      <c r="R20" s="476"/>
      <c r="S20" s="476"/>
      <c r="T20" s="476"/>
      <c r="U20" s="476"/>
      <c r="V20" s="476"/>
      <c r="W20" s="476"/>
    </row>
    <row r="21" spans="1:23" x14ac:dyDescent="0.25">
      <c r="A21" s="11" t="s">
        <v>949</v>
      </c>
      <c r="B21" s="23"/>
      <c r="C21" s="19">
        <v>99837</v>
      </c>
      <c r="D21" s="17">
        <f t="shared" si="0"/>
        <v>14774.898802610114</v>
      </c>
      <c r="E21" s="469">
        <f t="shared" si="1"/>
        <v>34.366197069261162</v>
      </c>
      <c r="F21" s="18"/>
      <c r="G21" s="19">
        <v>108458</v>
      </c>
      <c r="H21" s="17">
        <f t="shared" si="2"/>
        <v>16050.722420880913</v>
      </c>
      <c r="I21" s="469">
        <f t="shared" si="3"/>
        <v>37.33374402013208</v>
      </c>
      <c r="J21" s="18"/>
      <c r="K21" s="22">
        <v>3065</v>
      </c>
      <c r="Q21" s="476"/>
      <c r="R21" s="476"/>
      <c r="S21" s="476"/>
      <c r="T21" s="476"/>
      <c r="U21" s="476"/>
      <c r="V21" s="476"/>
      <c r="W21" s="476"/>
    </row>
    <row r="22" spans="1:23" x14ac:dyDescent="0.25">
      <c r="A22" s="11" t="s">
        <v>950</v>
      </c>
      <c r="B22" s="23"/>
      <c r="C22" s="19">
        <v>83127</v>
      </c>
      <c r="D22" s="17">
        <f t="shared" si="0"/>
        <v>12721.179463562754</v>
      </c>
      <c r="E22" s="469">
        <f t="shared" si="1"/>
        <v>29.589276125600549</v>
      </c>
      <c r="F22" s="18"/>
      <c r="G22" s="19">
        <v>89511</v>
      </c>
      <c r="H22" s="17">
        <f t="shared" si="2"/>
        <v>13698.142540485829</v>
      </c>
      <c r="I22" s="469">
        <f t="shared" si="3"/>
        <v>31.861677857719279</v>
      </c>
      <c r="J22" s="18"/>
      <c r="K22" s="22">
        <v>2964</v>
      </c>
      <c r="Q22" s="476"/>
      <c r="R22" s="476"/>
      <c r="S22" s="476"/>
      <c r="T22" s="476"/>
      <c r="U22" s="476"/>
      <c r="V22" s="476"/>
      <c r="W22" s="476"/>
    </row>
    <row r="23" spans="1:23" x14ac:dyDescent="0.25">
      <c r="A23" s="11" t="s">
        <v>869</v>
      </c>
      <c r="B23" s="23"/>
      <c r="C23" s="19">
        <v>116090</v>
      </c>
      <c r="D23" s="17">
        <f t="shared" si="0"/>
        <v>18679.412238382403</v>
      </c>
      <c r="E23" s="469">
        <f t="shared" si="1"/>
        <v>43.448037830811678</v>
      </c>
      <c r="F23" s="18"/>
      <c r="G23" s="19">
        <v>124340</v>
      </c>
      <c r="H23" s="17">
        <f t="shared" si="2"/>
        <v>20006.874991131608</v>
      </c>
      <c r="I23" s="469">
        <f t="shared" si="3"/>
        <v>46.535696648144757</v>
      </c>
      <c r="J23" s="18"/>
      <c r="K23" s="22">
        <v>2819</v>
      </c>
      <c r="Q23" s="476"/>
      <c r="R23" s="476"/>
      <c r="S23" s="476"/>
      <c r="T23" s="476"/>
      <c r="U23" s="476"/>
      <c r="V23" s="476"/>
      <c r="W23" s="476"/>
    </row>
    <row r="24" spans="1:23" x14ac:dyDescent="0.25">
      <c r="A24" s="11" t="s">
        <v>870</v>
      </c>
      <c r="B24" s="23"/>
      <c r="C24" s="19">
        <v>84950</v>
      </c>
      <c r="D24" s="17">
        <f t="shared" si="0"/>
        <v>20037.686167446696</v>
      </c>
      <c r="E24" s="469">
        <f t="shared" si="1"/>
        <v>46.607362990589891</v>
      </c>
      <c r="F24" s="18"/>
      <c r="G24" s="19">
        <v>91410</v>
      </c>
      <c r="H24" s="17">
        <f t="shared" si="2"/>
        <v>21561.446645865835</v>
      </c>
      <c r="I24" s="469">
        <f t="shared" si="3"/>
        <v>50.151607427543532</v>
      </c>
      <c r="J24" s="18"/>
      <c r="K24" s="22">
        <v>1923</v>
      </c>
      <c r="Q24" s="476"/>
      <c r="R24" s="476"/>
      <c r="S24" s="476"/>
      <c r="T24" s="476"/>
      <c r="U24" s="476"/>
      <c r="V24" s="476"/>
      <c r="W24" s="476"/>
    </row>
    <row r="25" spans="1:23" x14ac:dyDescent="0.25">
      <c r="A25" s="11" t="s">
        <v>871</v>
      </c>
      <c r="B25" s="23"/>
      <c r="C25" s="19">
        <v>74720</v>
      </c>
      <c r="D25" s="17">
        <f t="shared" si="0"/>
        <v>20908.23244910549</v>
      </c>
      <c r="E25" s="469">
        <f t="shared" si="1"/>
        <v>48.632240823804793</v>
      </c>
      <c r="F25" s="18"/>
      <c r="G25" s="19">
        <v>84820</v>
      </c>
      <c r="H25" s="17">
        <f t="shared" si="2"/>
        <v>23734.425539790249</v>
      </c>
      <c r="I25" s="469">
        <f t="shared" si="3"/>
        <v>55.205924339870478</v>
      </c>
      <c r="J25" s="18"/>
      <c r="K25" s="22">
        <v>1621</v>
      </c>
      <c r="Q25" s="476"/>
      <c r="R25" s="476"/>
      <c r="S25" s="476"/>
      <c r="T25" s="476"/>
      <c r="U25" s="476"/>
      <c r="V25" s="476"/>
      <c r="W25" s="476"/>
    </row>
    <row r="26" spans="1:23" x14ac:dyDescent="0.25">
      <c r="A26" s="11" t="s">
        <v>872</v>
      </c>
      <c r="B26" s="23"/>
      <c r="C26" s="19">
        <v>68930</v>
      </c>
      <c r="D26" s="17">
        <f t="shared" si="0"/>
        <v>12416.981215250198</v>
      </c>
      <c r="E26" s="469">
        <f t="shared" si="1"/>
        <v>28.881715479040551</v>
      </c>
      <c r="F26" s="18"/>
      <c r="G26" s="19">
        <v>75610</v>
      </c>
      <c r="H26" s="17">
        <f t="shared" si="2"/>
        <v>13620.3097299444</v>
      </c>
      <c r="I26" s="469">
        <f t="shared" si="3"/>
        <v>31.680639886410216</v>
      </c>
      <c r="J26" s="18"/>
      <c r="K26" s="22">
        <v>2518</v>
      </c>
      <c r="Q26" s="476"/>
      <c r="R26" s="476"/>
      <c r="S26" s="476"/>
      <c r="T26" s="476"/>
      <c r="U26" s="476"/>
      <c r="V26" s="476"/>
      <c r="W26" s="476"/>
    </row>
    <row r="27" spans="1:23" x14ac:dyDescent="0.25">
      <c r="A27" s="11" t="s">
        <v>873</v>
      </c>
      <c r="B27" s="23"/>
      <c r="C27" s="19">
        <v>72200</v>
      </c>
      <c r="D27" s="17">
        <f t="shared" si="0"/>
        <v>10061.197542242702</v>
      </c>
      <c r="E27" s="469">
        <f t="shared" si="1"/>
        <v>23.402197342183918</v>
      </c>
      <c r="F27" s="18"/>
      <c r="G27" s="19">
        <v>79196.89540113158</v>
      </c>
      <c r="H27" s="17">
        <f t="shared" si="2"/>
        <v>11036.227276497471</v>
      </c>
      <c r="I27" s="469">
        <f t="shared" si="3"/>
        <v>25.670102147722705</v>
      </c>
      <c r="J27" s="18"/>
      <c r="K27" s="22">
        <v>3255</v>
      </c>
      <c r="Q27" s="476"/>
      <c r="R27" s="476"/>
      <c r="S27" s="476"/>
      <c r="T27" s="476"/>
      <c r="U27" s="476"/>
      <c r="V27" s="476"/>
      <c r="W27" s="476"/>
    </row>
    <row r="28" spans="1:23" x14ac:dyDescent="0.25">
      <c r="A28" s="11" t="s">
        <v>874</v>
      </c>
      <c r="B28" s="23"/>
      <c r="C28" s="19">
        <v>119550</v>
      </c>
      <c r="D28" s="17">
        <f t="shared" si="0"/>
        <v>16134.09238321928</v>
      </c>
      <c r="E28" s="469">
        <f t="shared" si="1"/>
        <v>37.527661324991804</v>
      </c>
      <c r="F28" s="18"/>
      <c r="G28" s="19">
        <v>127960</v>
      </c>
      <c r="H28" s="17">
        <f t="shared" si="2"/>
        <v>17269.079559654863</v>
      </c>
      <c r="I28" s="469">
        <f t="shared" si="3"/>
        <v>40.167624785829787</v>
      </c>
      <c r="J28" s="18"/>
      <c r="K28" s="22">
        <v>3361</v>
      </c>
      <c r="Q28" s="476"/>
      <c r="R28" s="476"/>
      <c r="S28" s="476"/>
      <c r="T28" s="476"/>
      <c r="U28" s="476"/>
      <c r="V28" s="476"/>
      <c r="W28" s="476"/>
    </row>
    <row r="29" spans="1:23" x14ac:dyDescent="0.25">
      <c r="A29" s="11" t="s">
        <v>875</v>
      </c>
      <c r="B29" s="23"/>
      <c r="C29" s="19">
        <v>123670</v>
      </c>
      <c r="D29" s="17">
        <f t="shared" si="0"/>
        <v>18593.130692741131</v>
      </c>
      <c r="E29" s="469">
        <f t="shared" si="1"/>
        <v>43.247348226059557</v>
      </c>
      <c r="F29" s="18"/>
      <c r="G29" s="19">
        <v>130030</v>
      </c>
      <c r="H29" s="17">
        <f t="shared" si="2"/>
        <v>19549.323069274113</v>
      </c>
      <c r="I29" s="469">
        <f t="shared" si="3"/>
        <v>45.471437614898726</v>
      </c>
      <c r="J29" s="18"/>
      <c r="K29" s="22">
        <v>3017</v>
      </c>
      <c r="Q29" s="476"/>
      <c r="R29" s="476"/>
      <c r="S29" s="476"/>
      <c r="T29" s="476"/>
      <c r="U29" s="476"/>
      <c r="V29" s="476"/>
      <c r="W29" s="476"/>
    </row>
    <row r="30" spans="1:23" x14ac:dyDescent="0.25">
      <c r="A30" s="11" t="s">
        <v>951</v>
      </c>
      <c r="B30" s="23"/>
      <c r="C30" s="19">
        <v>117059</v>
      </c>
      <c r="D30" s="17">
        <f t="shared" si="0"/>
        <v>18729.027093474426</v>
      </c>
      <c r="E30" s="469">
        <f t="shared" si="1"/>
        <v>43.563441253226593</v>
      </c>
      <c r="F30" s="18"/>
      <c r="G30" s="19">
        <v>125294</v>
      </c>
      <c r="H30" s="17">
        <f t="shared" si="2"/>
        <v>20046.598045855379</v>
      </c>
      <c r="I30" s="469">
        <f t="shared" si="3"/>
        <v>46.628091888549989</v>
      </c>
      <c r="J30" s="18"/>
      <c r="K30" s="22">
        <v>2835</v>
      </c>
      <c r="Q30" s="476"/>
      <c r="R30" s="476"/>
      <c r="S30" s="476"/>
      <c r="T30" s="476"/>
      <c r="U30" s="476"/>
      <c r="V30" s="476"/>
      <c r="W30" s="476"/>
    </row>
    <row r="31" spans="1:23" x14ac:dyDescent="0.25">
      <c r="A31" s="11" t="s">
        <v>952</v>
      </c>
      <c r="B31" s="23"/>
      <c r="C31" s="19">
        <v>122887</v>
      </c>
      <c r="D31" s="17">
        <f t="shared" si="0"/>
        <v>18907.840681818183</v>
      </c>
      <c r="E31" s="469">
        <f t="shared" si="1"/>
        <v>43.979359026862895</v>
      </c>
      <c r="F31" s="18"/>
      <c r="G31" s="19">
        <v>130817</v>
      </c>
      <c r="H31" s="17">
        <f t="shared" si="2"/>
        <v>20127.979318181817</v>
      </c>
      <c r="I31" s="469">
        <f t="shared" si="3"/>
        <v>46.817383529723436</v>
      </c>
      <c r="J31" s="18"/>
      <c r="K31" s="22">
        <v>2948</v>
      </c>
      <c r="Q31" s="476"/>
      <c r="R31" s="476"/>
      <c r="S31" s="476"/>
      <c r="T31" s="476"/>
      <c r="U31" s="476"/>
      <c r="V31" s="476"/>
      <c r="W31" s="476"/>
    </row>
    <row r="32" spans="1:23" x14ac:dyDescent="0.25">
      <c r="A32" s="11" t="s">
        <v>953</v>
      </c>
      <c r="B32" s="23"/>
      <c r="C32" s="19">
        <v>115983</v>
      </c>
      <c r="D32" s="17">
        <f t="shared" si="0"/>
        <v>18589.656879858656</v>
      </c>
      <c r="E32" s="469">
        <f t="shared" si="1"/>
        <v>43.23926818844334</v>
      </c>
      <c r="F32" s="18"/>
      <c r="G32" s="19">
        <v>124230</v>
      </c>
      <c r="H32" s="17">
        <f t="shared" si="2"/>
        <v>19911.479045936394</v>
      </c>
      <c r="I32" s="469">
        <f t="shared" si="3"/>
        <v>46.313807084230582</v>
      </c>
      <c r="J32" s="18"/>
      <c r="K32" s="22">
        <v>2830</v>
      </c>
      <c r="Q32" s="476"/>
      <c r="R32" s="476"/>
      <c r="S32" s="476"/>
      <c r="T32" s="476"/>
      <c r="U32" s="476"/>
      <c r="V32" s="476"/>
      <c r="W32" s="476"/>
    </row>
    <row r="33" spans="1:23" x14ac:dyDescent="0.25">
      <c r="A33" s="11" t="s">
        <v>876</v>
      </c>
      <c r="B33" s="23"/>
      <c r="C33" s="19">
        <v>30500</v>
      </c>
      <c r="D33" s="17">
        <f t="shared" si="0"/>
        <v>51621.249999999993</v>
      </c>
      <c r="E33" s="472">
        <f t="shared" si="1"/>
        <v>120.070267428715</v>
      </c>
      <c r="F33" s="18"/>
      <c r="G33" s="19">
        <v>36020</v>
      </c>
      <c r="H33" s="17">
        <f t="shared" si="2"/>
        <v>60963.849999999991</v>
      </c>
      <c r="I33" s="472">
        <f t="shared" si="3"/>
        <v>141.80101746827262</v>
      </c>
      <c r="J33" s="18"/>
      <c r="K33" s="22">
        <v>268</v>
      </c>
      <c r="Q33" s="476"/>
      <c r="R33" s="476"/>
      <c r="S33" s="476"/>
      <c r="T33" s="476"/>
      <c r="U33" s="476"/>
      <c r="V33" s="476"/>
      <c r="W33" s="476"/>
    </row>
    <row r="34" spans="1:23" x14ac:dyDescent="0.25">
      <c r="A34" s="11" t="s">
        <v>877</v>
      </c>
      <c r="B34" s="23"/>
      <c r="C34" s="19">
        <v>93540</v>
      </c>
      <c r="D34" s="17">
        <f t="shared" si="0"/>
        <v>15093.848665955175</v>
      </c>
      <c r="E34" s="469">
        <f t="shared" si="1"/>
        <v>35.108069755183983</v>
      </c>
      <c r="F34" s="18"/>
      <c r="G34" s="19">
        <v>101130</v>
      </c>
      <c r="H34" s="17">
        <f t="shared" si="2"/>
        <v>16318.59007470651</v>
      </c>
      <c r="I34" s="469">
        <f t="shared" si="3"/>
        <v>37.95680023884708</v>
      </c>
      <c r="J34" s="18"/>
      <c r="K34" s="22">
        <v>2811</v>
      </c>
      <c r="Q34" s="476"/>
      <c r="R34" s="476"/>
      <c r="S34" s="476"/>
      <c r="T34" s="476"/>
      <c r="U34" s="476"/>
      <c r="V34" s="476"/>
      <c r="W34" s="476"/>
    </row>
    <row r="35" spans="1:23" x14ac:dyDescent="0.25">
      <c r="A35" s="11" t="s">
        <v>878</v>
      </c>
      <c r="B35" s="16"/>
      <c r="C35" s="19">
        <v>96720</v>
      </c>
      <c r="D35" s="17">
        <f t="shared" si="0"/>
        <v>15612.535516014234</v>
      </c>
      <c r="E35" s="469">
        <f t="shared" si="1"/>
        <v>36.314527731276172</v>
      </c>
      <c r="F35" s="18"/>
      <c r="G35" s="19">
        <v>104530</v>
      </c>
      <c r="H35" s="17">
        <f t="shared" si="2"/>
        <v>16873.225160142349</v>
      </c>
      <c r="I35" s="469">
        <f t="shared" si="3"/>
        <v>39.246873281123854</v>
      </c>
      <c r="J35" s="18"/>
      <c r="K35" s="21">
        <v>2810</v>
      </c>
      <c r="Q35" s="476"/>
      <c r="R35" s="476"/>
      <c r="S35" s="476"/>
      <c r="T35" s="476"/>
      <c r="U35" s="476"/>
      <c r="V35" s="476"/>
      <c r="W35" s="476"/>
    </row>
    <row r="36" spans="1:23" x14ac:dyDescent="0.25">
      <c r="A36" s="11" t="s">
        <v>879</v>
      </c>
      <c r="B36" s="16"/>
      <c r="C36" s="19">
        <v>100480</v>
      </c>
      <c r="D36" s="17">
        <f t="shared" si="0"/>
        <v>15645.974322004806</v>
      </c>
      <c r="E36" s="469">
        <f t="shared" si="1"/>
        <v>36.392305901657274</v>
      </c>
      <c r="F36" s="18"/>
      <c r="G36" s="19">
        <v>108570</v>
      </c>
      <c r="H36" s="17">
        <f t="shared" si="2"/>
        <v>16905.687023686918</v>
      </c>
      <c r="I36" s="469">
        <f t="shared" si="3"/>
        <v>39.322379097760042</v>
      </c>
      <c r="J36" s="18"/>
      <c r="K36" s="21">
        <v>2913</v>
      </c>
      <c r="Q36" s="476"/>
      <c r="R36" s="476"/>
      <c r="S36" s="476"/>
      <c r="T36" s="476"/>
      <c r="U36" s="476"/>
      <c r="V36" s="476"/>
      <c r="W36" s="476"/>
    </row>
    <row r="37" spans="1:23" x14ac:dyDescent="0.25">
      <c r="A37" s="11" t="s">
        <v>880</v>
      </c>
      <c r="B37" s="16"/>
      <c r="C37" s="19">
        <v>94970</v>
      </c>
      <c r="D37" s="17">
        <f t="shared" si="0"/>
        <v>19465.631405332126</v>
      </c>
      <c r="E37" s="469">
        <f t="shared" si="1"/>
        <v>45.27677203684572</v>
      </c>
      <c r="F37" s="18"/>
      <c r="G37" s="19">
        <v>103220</v>
      </c>
      <c r="H37" s="17">
        <f t="shared" si="2"/>
        <v>21156.601807501127</v>
      </c>
      <c r="I37" s="469">
        <f t="shared" si="3"/>
        <v>49.209944294442614</v>
      </c>
      <c r="J37" s="18"/>
      <c r="K37" s="21">
        <v>2213</v>
      </c>
      <c r="Q37" s="476"/>
      <c r="R37" s="476"/>
      <c r="S37" s="476"/>
      <c r="T37" s="476"/>
      <c r="U37" s="476"/>
      <c r="V37" s="476"/>
      <c r="W37" s="476"/>
    </row>
    <row r="38" spans="1:23" x14ac:dyDescent="0.25">
      <c r="A38" s="11" t="s">
        <v>881</v>
      </c>
      <c r="B38" s="16"/>
      <c r="C38" s="19">
        <v>90060</v>
      </c>
      <c r="D38" s="17">
        <f t="shared" si="0"/>
        <v>19287.212181303115</v>
      </c>
      <c r="E38" s="469">
        <f t="shared" si="1"/>
        <v>44.861771548798892</v>
      </c>
      <c r="F38" s="18"/>
      <c r="G38" s="19">
        <v>98560</v>
      </c>
      <c r="H38" s="17">
        <f t="shared" si="2"/>
        <v>21107.568649669498</v>
      </c>
      <c r="I38" s="469">
        <f t="shared" si="3"/>
        <v>49.095893891290459</v>
      </c>
      <c r="J38" s="18"/>
      <c r="K38" s="21">
        <v>2118</v>
      </c>
      <c r="Q38" s="476"/>
      <c r="R38" s="476"/>
      <c r="S38" s="476"/>
      <c r="T38" s="476"/>
      <c r="U38" s="476"/>
      <c r="V38" s="476"/>
      <c r="W38" s="476"/>
    </row>
    <row r="39" spans="1:23" x14ac:dyDescent="0.25">
      <c r="A39" s="11" t="s">
        <v>882</v>
      </c>
      <c r="B39" s="16"/>
      <c r="C39" s="19">
        <v>95720</v>
      </c>
      <c r="D39" s="17">
        <f t="shared" si="0"/>
        <v>19271.031868619615</v>
      </c>
      <c r="E39" s="469">
        <f t="shared" si="1"/>
        <v>44.824136379735997</v>
      </c>
      <c r="F39" s="18"/>
      <c r="G39" s="19">
        <v>103010</v>
      </c>
      <c r="H39" s="17">
        <f t="shared" si="2"/>
        <v>20738.706569019083</v>
      </c>
      <c r="I39" s="469">
        <f t="shared" si="3"/>
        <v>48.237926122822877</v>
      </c>
      <c r="J39" s="18"/>
      <c r="K39" s="21">
        <v>2253</v>
      </c>
      <c r="Q39" s="476"/>
      <c r="R39" s="476"/>
      <c r="S39" s="476"/>
      <c r="T39" s="476"/>
      <c r="U39" s="476"/>
      <c r="V39" s="476"/>
      <c r="W39" s="476"/>
    </row>
    <row r="40" spans="1:23" x14ac:dyDescent="0.25">
      <c r="A40" s="11" t="s">
        <v>312</v>
      </c>
      <c r="B40" s="16"/>
      <c r="C40" s="19">
        <v>84250</v>
      </c>
      <c r="D40" s="17">
        <f t="shared" si="0"/>
        <v>19903.623697916668</v>
      </c>
      <c r="E40" s="469">
        <f t="shared" si="1"/>
        <v>46.295535660398848</v>
      </c>
      <c r="F40" s="18"/>
      <c r="G40" s="19">
        <v>91420</v>
      </c>
      <c r="H40" s="17">
        <f t="shared" si="2"/>
        <v>21597.498854166668</v>
      </c>
      <c r="I40" s="469">
        <f t="shared" si="3"/>
        <v>50.235464333218552</v>
      </c>
      <c r="J40" s="18"/>
      <c r="K40" s="21">
        <v>1920</v>
      </c>
      <c r="Q40" s="476"/>
      <c r="R40" s="476"/>
      <c r="S40" s="476"/>
      <c r="T40" s="476"/>
      <c r="U40" s="476"/>
      <c r="V40" s="476"/>
      <c r="W40" s="476"/>
    </row>
    <row r="41" spans="1:23" x14ac:dyDescent="0.25">
      <c r="A41" s="7" t="s">
        <v>313</v>
      </c>
      <c r="B41" s="8"/>
      <c r="C41" s="9" t="s">
        <v>314</v>
      </c>
      <c r="D41" s="9" t="s">
        <v>315</v>
      </c>
      <c r="E41" s="9" t="s">
        <v>306</v>
      </c>
      <c r="F41" s="9"/>
      <c r="G41" s="9" t="s">
        <v>314</v>
      </c>
      <c r="H41" s="9" t="s">
        <v>315</v>
      </c>
      <c r="I41" s="9" t="s">
        <v>306</v>
      </c>
      <c r="J41" s="9"/>
      <c r="K41" s="10"/>
      <c r="Q41" s="476"/>
      <c r="R41" s="476"/>
      <c r="S41" s="476"/>
      <c r="T41" s="476"/>
      <c r="U41" s="476"/>
      <c r="V41" s="476"/>
      <c r="W41" s="476"/>
    </row>
    <row r="42" spans="1:23" x14ac:dyDescent="0.25">
      <c r="A42" s="15" t="s">
        <v>883</v>
      </c>
      <c r="B42" s="16"/>
      <c r="C42" s="24">
        <v>19546300</v>
      </c>
      <c r="D42" s="17">
        <f t="shared" ref="D42:D50" si="4">C42/2000</f>
        <v>9773.15</v>
      </c>
      <c r="E42" s="469">
        <f t="shared" ref="E42:E50" si="5">D42*1.05506/1000*2.2046</f>
        <v>22.7322030001394</v>
      </c>
      <c r="F42" s="18"/>
      <c r="G42" s="19">
        <v>20608570</v>
      </c>
      <c r="H42" s="17">
        <f>G42/2000</f>
        <v>10304.285</v>
      </c>
      <c r="I42" s="469">
        <f t="shared" ref="I42:I50" si="6">H42*1.05506/1000*2.2046</f>
        <v>23.967615189707661</v>
      </c>
      <c r="J42" s="18"/>
      <c r="K42" s="22"/>
      <c r="Q42" s="476"/>
      <c r="R42" s="476"/>
      <c r="S42" s="476"/>
      <c r="T42" s="476"/>
      <c r="U42" s="476"/>
      <c r="V42" s="476"/>
      <c r="W42" s="476"/>
    </row>
    <row r="43" spans="1:23" x14ac:dyDescent="0.25">
      <c r="A43" s="15" t="s">
        <v>884</v>
      </c>
      <c r="B43" s="16"/>
      <c r="C43" s="24">
        <v>22460600</v>
      </c>
      <c r="D43" s="17">
        <f t="shared" si="4"/>
        <v>11230.3</v>
      </c>
      <c r="E43" s="469">
        <f t="shared" si="5"/>
        <v>26.121512445062798</v>
      </c>
      <c r="F43" s="18"/>
      <c r="G43" s="19">
        <v>23445900</v>
      </c>
      <c r="H43" s="17">
        <f t="shared" ref="H43:H50" si="7">G43/2000</f>
        <v>11722.95</v>
      </c>
      <c r="I43" s="469">
        <f t="shared" si="6"/>
        <v>27.267409091284208</v>
      </c>
      <c r="J43" s="18"/>
      <c r="K43" s="22"/>
      <c r="Q43" s="476"/>
      <c r="R43" s="476"/>
      <c r="S43" s="476"/>
      <c r="T43" s="476"/>
      <c r="U43" s="476"/>
      <c r="V43" s="476"/>
      <c r="W43" s="476"/>
    </row>
    <row r="44" spans="1:23" x14ac:dyDescent="0.25">
      <c r="A44" s="11" t="s">
        <v>885</v>
      </c>
      <c r="B44" s="12"/>
      <c r="C44" s="24">
        <v>24600497.144575384</v>
      </c>
      <c r="D44" s="17">
        <f t="shared" si="4"/>
        <v>12300.248572287692</v>
      </c>
      <c r="E44" s="469">
        <f t="shared" si="5"/>
        <v>28.610197070281195</v>
      </c>
      <c r="F44" s="18"/>
      <c r="G44" s="19">
        <v>25679670</v>
      </c>
      <c r="H44" s="17">
        <f t="shared" si="7"/>
        <v>12839.834999999999</v>
      </c>
      <c r="I44" s="469">
        <f t="shared" si="6"/>
        <v>29.865267156269461</v>
      </c>
      <c r="J44" s="18"/>
      <c r="K44" s="22"/>
    </row>
    <row r="45" spans="1:23" x14ac:dyDescent="0.25">
      <c r="A45" s="15" t="s">
        <v>886</v>
      </c>
      <c r="B45" s="16"/>
      <c r="C45" s="24">
        <v>16811000</v>
      </c>
      <c r="D45" s="17">
        <f t="shared" si="4"/>
        <v>8405.5</v>
      </c>
      <c r="E45" s="469">
        <f t="shared" si="5"/>
        <v>19.551069237418005</v>
      </c>
      <c r="F45" s="18"/>
      <c r="G45" s="19">
        <v>17703170</v>
      </c>
      <c r="H45" s="17">
        <f t="shared" si="7"/>
        <v>8851.5849999999991</v>
      </c>
      <c r="I45" s="469">
        <f t="shared" si="6"/>
        <v>20.588656379262464</v>
      </c>
      <c r="J45" s="18"/>
      <c r="K45" s="22"/>
    </row>
    <row r="46" spans="1:23" x14ac:dyDescent="0.25">
      <c r="A46" s="15" t="s">
        <v>887</v>
      </c>
      <c r="B46" s="16"/>
      <c r="C46" s="24">
        <v>14797554.763920812</v>
      </c>
      <c r="D46" s="17">
        <f t="shared" si="4"/>
        <v>7398.7773819604063</v>
      </c>
      <c r="E46" s="469">
        <f t="shared" si="5"/>
        <v>17.209447250841734</v>
      </c>
      <c r="F46" s="18"/>
      <c r="G46" s="19">
        <v>15582870</v>
      </c>
      <c r="H46" s="17">
        <f t="shared" si="7"/>
        <v>7791.4350000000004</v>
      </c>
      <c r="I46" s="469">
        <f t="shared" si="6"/>
        <v>18.122763088911064</v>
      </c>
      <c r="J46" s="18"/>
      <c r="K46" s="22"/>
    </row>
    <row r="47" spans="1:23" x14ac:dyDescent="0.25">
      <c r="A47" s="15" t="s">
        <v>888</v>
      </c>
      <c r="B47" s="16"/>
      <c r="C47" s="24">
        <v>14075990</v>
      </c>
      <c r="D47" s="17">
        <f t="shared" si="4"/>
        <v>7037.9949999999999</v>
      </c>
      <c r="E47" s="469">
        <f t="shared" si="5"/>
        <v>16.370272742561625</v>
      </c>
      <c r="F47" s="18"/>
      <c r="G47" s="19">
        <v>14974460</v>
      </c>
      <c r="H47" s="17">
        <f t="shared" si="7"/>
        <v>7487.23</v>
      </c>
      <c r="I47" s="469">
        <f t="shared" si="6"/>
        <v>17.415186738025483</v>
      </c>
      <c r="J47" s="18"/>
      <c r="K47" s="22"/>
    </row>
    <row r="48" spans="1:23" x14ac:dyDescent="0.25">
      <c r="A48" s="15" t="s">
        <v>889</v>
      </c>
      <c r="B48" s="16"/>
      <c r="C48" s="24">
        <v>13243490</v>
      </c>
      <c r="D48" s="17">
        <f t="shared" si="4"/>
        <v>6621.7449999999999</v>
      </c>
      <c r="E48" s="469">
        <f t="shared" si="5"/>
        <v>15.40208137142662</v>
      </c>
      <c r="F48" s="18"/>
      <c r="G48" s="19">
        <v>14164160</v>
      </c>
      <c r="H48" s="17">
        <f t="shared" si="7"/>
        <v>7082.08</v>
      </c>
      <c r="I48" s="469">
        <f t="shared" si="6"/>
        <v>16.472813803454081</v>
      </c>
      <c r="J48" s="18"/>
      <c r="K48" s="22"/>
    </row>
    <row r="49" spans="1:11" x14ac:dyDescent="0.25">
      <c r="A49" s="15" t="s">
        <v>954</v>
      </c>
      <c r="B49" s="16"/>
      <c r="C49" s="24">
        <v>12947318</v>
      </c>
      <c r="D49" s="17">
        <f t="shared" si="4"/>
        <v>6473.6589999999997</v>
      </c>
      <c r="E49" s="469">
        <f t="shared" si="5"/>
        <v>15.057635515844886</v>
      </c>
      <c r="F49" s="18"/>
      <c r="G49" s="19">
        <v>14062678</v>
      </c>
      <c r="H49" s="17">
        <f t="shared" si="7"/>
        <v>7031.3389999999999</v>
      </c>
      <c r="I49" s="469">
        <f t="shared" si="6"/>
        <v>16.354790984564566</v>
      </c>
      <c r="J49" s="18"/>
      <c r="K49" s="22"/>
    </row>
    <row r="50" spans="1:11" x14ac:dyDescent="0.25">
      <c r="A50" s="15" t="s">
        <v>955</v>
      </c>
      <c r="B50" s="16"/>
      <c r="C50" s="24">
        <v>25370000</v>
      </c>
      <c r="D50" s="17">
        <f t="shared" si="4"/>
        <v>12685</v>
      </c>
      <c r="E50" s="469">
        <f t="shared" si="5"/>
        <v>29.505123226060004</v>
      </c>
      <c r="F50" s="18"/>
      <c r="G50" s="19">
        <v>26920000</v>
      </c>
      <c r="H50" s="17">
        <f t="shared" si="7"/>
        <v>13460</v>
      </c>
      <c r="I50" s="469">
        <f t="shared" si="6"/>
        <v>31.307761814960006</v>
      </c>
      <c r="J50" s="18"/>
      <c r="K50" s="22"/>
    </row>
    <row r="51" spans="1:11" x14ac:dyDescent="0.25">
      <c r="A51" s="1651" t="s">
        <v>316</v>
      </c>
      <c r="B51" s="1652"/>
      <c r="C51" s="1652"/>
      <c r="D51" s="1652"/>
      <c r="E51" s="1652"/>
      <c r="F51" s="1652"/>
      <c r="G51" s="1652"/>
      <c r="H51" s="1652"/>
      <c r="I51" s="1652"/>
      <c r="J51" s="1652"/>
      <c r="K51" s="1653"/>
    </row>
    <row r="52" spans="1:11" x14ac:dyDescent="0.25">
      <c r="A52" s="1648" t="s">
        <v>890</v>
      </c>
      <c r="B52" s="1649"/>
      <c r="C52" s="1649"/>
      <c r="D52" s="1649"/>
      <c r="E52" s="1649"/>
      <c r="F52" s="1649"/>
      <c r="G52" s="1649"/>
      <c r="H52" s="1649"/>
      <c r="I52" s="1649"/>
      <c r="J52" s="1649"/>
      <c r="K52" s="1650"/>
    </row>
    <row r="53" spans="1:11" x14ac:dyDescent="0.25">
      <c r="A53" s="1637" t="s">
        <v>891</v>
      </c>
      <c r="B53" s="1638"/>
      <c r="C53" s="1638"/>
      <c r="D53" s="1638"/>
      <c r="E53" s="1638"/>
      <c r="F53" s="1638"/>
      <c r="G53" s="1638"/>
      <c r="H53" s="1638"/>
      <c r="I53" s="1638"/>
      <c r="J53" s="1638"/>
      <c r="K53" s="1639"/>
    </row>
    <row r="54" spans="1:11" x14ac:dyDescent="0.25">
      <c r="A54" s="1637" t="s">
        <v>892</v>
      </c>
      <c r="B54" s="1638"/>
      <c r="C54" s="1638"/>
      <c r="D54" s="1638"/>
      <c r="E54" s="1638"/>
      <c r="F54" s="1638"/>
      <c r="G54" s="1638"/>
      <c r="H54" s="1638"/>
      <c r="I54" s="1638"/>
      <c r="J54" s="1638"/>
      <c r="K54" s="1639"/>
    </row>
    <row r="55" spans="1:11" x14ac:dyDescent="0.25">
      <c r="A55" s="1637" t="s">
        <v>893</v>
      </c>
      <c r="B55" s="1638"/>
      <c r="C55" s="1638"/>
      <c r="D55" s="1638"/>
      <c r="E55" s="1638"/>
      <c r="F55" s="1638"/>
      <c r="G55" s="1638"/>
      <c r="H55" s="1638"/>
      <c r="I55" s="1638"/>
      <c r="J55" s="1638"/>
      <c r="K55" s="1639"/>
    </row>
    <row r="56" spans="1:11" x14ac:dyDescent="0.25">
      <c r="A56" s="1658" t="s">
        <v>317</v>
      </c>
      <c r="B56" s="1659"/>
      <c r="C56" s="1659"/>
      <c r="D56" s="1659"/>
      <c r="E56" s="1659"/>
      <c r="F56" s="1659"/>
      <c r="G56" s="1659"/>
      <c r="H56" s="1659"/>
      <c r="I56" s="1659"/>
      <c r="J56" s="1659"/>
      <c r="K56" s="1660"/>
    </row>
    <row r="57" spans="1:11" x14ac:dyDescent="0.25">
      <c r="A57" s="1637" t="s">
        <v>318</v>
      </c>
      <c r="B57" s="1638"/>
      <c r="C57" s="1638"/>
      <c r="D57" s="1638"/>
      <c r="E57" s="1638"/>
      <c r="F57" s="1638"/>
      <c r="G57" s="1638"/>
      <c r="H57" s="1638"/>
      <c r="I57" s="1638"/>
      <c r="J57" s="1638"/>
      <c r="K57" s="1639"/>
    </row>
    <row r="58" spans="1:11" x14ac:dyDescent="0.25">
      <c r="A58" s="1637" t="s">
        <v>894</v>
      </c>
      <c r="B58" s="1638"/>
      <c r="C58" s="1638"/>
      <c r="D58" s="1638"/>
      <c r="E58" s="1638"/>
      <c r="F58" s="1638"/>
      <c r="G58" s="1638"/>
      <c r="H58" s="1638"/>
      <c r="I58" s="1638"/>
      <c r="J58" s="1638"/>
      <c r="K58" s="1639"/>
    </row>
    <row r="59" spans="1:11" x14ac:dyDescent="0.25">
      <c r="A59" s="1637" t="s">
        <v>895</v>
      </c>
      <c r="B59" s="1638"/>
      <c r="C59" s="1638"/>
      <c r="D59" s="1638"/>
      <c r="E59" s="1638"/>
      <c r="F59" s="1638"/>
      <c r="G59" s="1638"/>
      <c r="H59" s="1638"/>
      <c r="I59" s="1638"/>
      <c r="J59" s="1638"/>
      <c r="K59" s="1639"/>
    </row>
    <row r="60" spans="1:11" x14ac:dyDescent="0.25">
      <c r="A60" s="25"/>
      <c r="B60" s="26"/>
      <c r="C60" s="26"/>
      <c r="D60" s="26"/>
      <c r="E60" s="26"/>
      <c r="F60" s="26"/>
      <c r="G60" s="26"/>
      <c r="H60" s="26"/>
      <c r="I60" s="26"/>
      <c r="J60" s="26"/>
      <c r="K60" s="27"/>
    </row>
    <row r="61" spans="1:11" x14ac:dyDescent="0.25">
      <c r="A61" s="1637" t="s">
        <v>319</v>
      </c>
      <c r="B61" s="1638"/>
      <c r="C61" s="1638"/>
      <c r="D61" s="1638"/>
      <c r="E61" s="1638"/>
      <c r="F61" s="1638"/>
      <c r="G61" s="1638"/>
      <c r="H61" s="1638"/>
      <c r="I61" s="1638"/>
      <c r="J61" s="1638"/>
      <c r="K61" s="1639"/>
    </row>
    <row r="62" spans="1:11" ht="13.8" thickBot="1" x14ac:dyDescent="0.3">
      <c r="A62" s="1643" t="s">
        <v>956</v>
      </c>
      <c r="B62" s="1644"/>
      <c r="C62" s="1644"/>
      <c r="D62" s="1644"/>
      <c r="E62" s="1644"/>
      <c r="F62" s="1644"/>
      <c r="G62" s="1644"/>
      <c r="H62" s="1644"/>
      <c r="I62" s="1644"/>
      <c r="J62" s="1644"/>
      <c r="K62" s="1645"/>
    </row>
    <row r="63" spans="1:11" x14ac:dyDescent="0.25">
      <c r="A63" s="464"/>
      <c r="B63" s="465"/>
      <c r="C63" s="465"/>
      <c r="D63" s="465"/>
      <c r="E63" s="465"/>
      <c r="F63" s="465"/>
      <c r="G63" s="465"/>
      <c r="H63" s="465"/>
      <c r="I63" s="465"/>
      <c r="J63" s="465"/>
      <c r="K63" s="465"/>
    </row>
    <row r="64" spans="1:11" x14ac:dyDescent="0.25">
      <c r="A64" s="464"/>
      <c r="B64" s="465"/>
      <c r="C64" s="465"/>
      <c r="D64" s="465"/>
      <c r="E64" s="465"/>
      <c r="F64" s="465"/>
      <c r="G64" s="465"/>
      <c r="H64" s="465"/>
      <c r="I64" s="465"/>
      <c r="J64" s="465"/>
      <c r="K64" s="465"/>
    </row>
    <row r="65" spans="1:14" x14ac:dyDescent="0.25">
      <c r="A65" s="464"/>
      <c r="B65" s="465"/>
      <c r="C65" s="465"/>
      <c r="D65" s="465"/>
      <c r="E65" s="465"/>
      <c r="F65" s="465"/>
      <c r="G65" s="465"/>
      <c r="H65" s="465"/>
      <c r="I65" s="465"/>
      <c r="J65" s="465"/>
      <c r="K65" s="465"/>
    </row>
    <row r="66" spans="1:14" x14ac:dyDescent="0.25">
      <c r="A66" s="464"/>
      <c r="B66" s="465"/>
      <c r="C66" s="465"/>
      <c r="D66" s="465"/>
      <c r="E66" s="465"/>
      <c r="F66" s="465"/>
      <c r="G66" s="465"/>
      <c r="H66" s="465"/>
      <c r="I66" s="465"/>
      <c r="J66" s="465"/>
      <c r="K66" s="465"/>
    </row>
    <row r="68" spans="1:14" ht="13.8" thickBot="1" x14ac:dyDescent="0.3"/>
    <row r="69" spans="1:14" ht="43.5" customHeight="1" thickTop="1" thickBot="1" x14ac:dyDescent="0.3">
      <c r="A69" s="351" t="s">
        <v>1065</v>
      </c>
      <c r="B69" s="352"/>
      <c r="C69" s="352"/>
      <c r="D69" s="352"/>
      <c r="E69" s="352"/>
      <c r="F69" s="352"/>
      <c r="G69" s="352"/>
      <c r="H69" s="352"/>
      <c r="I69" s="352"/>
      <c r="J69" s="352"/>
      <c r="K69" s="353"/>
      <c r="L69" s="353"/>
      <c r="M69" s="545"/>
      <c r="N69" s="546"/>
    </row>
    <row r="70" spans="1:14" ht="55.8" thickTop="1" x14ac:dyDescent="0.25">
      <c r="A70" s="547" t="s">
        <v>1072</v>
      </c>
      <c r="B70" s="548" t="s">
        <v>1013</v>
      </c>
      <c r="C70" s="549" t="s">
        <v>1022</v>
      </c>
      <c r="D70" s="549" t="s">
        <v>1023</v>
      </c>
      <c r="E70" s="548" t="s">
        <v>189</v>
      </c>
      <c r="F70" s="548" t="s">
        <v>1021</v>
      </c>
      <c r="G70" s="550" t="s">
        <v>1020</v>
      </c>
      <c r="H70" s="551" t="s">
        <v>266</v>
      </c>
      <c r="I70" s="548" t="s">
        <v>692</v>
      </c>
      <c r="J70" s="548" t="s">
        <v>1038</v>
      </c>
      <c r="K70" s="552" t="s">
        <v>691</v>
      </c>
      <c r="L70" s="552" t="s">
        <v>918</v>
      </c>
      <c r="M70" s="553" t="s">
        <v>523</v>
      </c>
      <c r="N70" s="554" t="s">
        <v>524</v>
      </c>
    </row>
    <row r="71" spans="1:14" ht="52.8" x14ac:dyDescent="0.25">
      <c r="A71" s="744" t="s">
        <v>1067</v>
      </c>
      <c r="B71" s="559" t="s">
        <v>852</v>
      </c>
      <c r="C71" s="745" t="s">
        <v>688</v>
      </c>
      <c r="D71" s="559">
        <v>2007</v>
      </c>
      <c r="E71" s="746" t="s">
        <v>689</v>
      </c>
      <c r="F71" s="560"/>
      <c r="G71" s="559"/>
      <c r="H71" s="746" t="s">
        <v>851</v>
      </c>
      <c r="I71" s="707">
        <f>mmBTU_to_GJ</f>
        <v>1.0549999999999999</v>
      </c>
      <c r="J71" s="555" t="s">
        <v>1040</v>
      </c>
      <c r="K71" s="556">
        <v>56.31533863997597</v>
      </c>
      <c r="L71" s="556" t="s">
        <v>919</v>
      </c>
      <c r="M71" s="557"/>
      <c r="N71" s="558"/>
    </row>
    <row r="72" spans="1:14" ht="52.8" x14ac:dyDescent="0.25">
      <c r="A72" s="744" t="s">
        <v>282</v>
      </c>
      <c r="B72" s="559" t="s">
        <v>852</v>
      </c>
      <c r="C72" s="745" t="s">
        <v>688</v>
      </c>
      <c r="D72" s="559">
        <v>2007</v>
      </c>
      <c r="E72" s="746" t="s">
        <v>689</v>
      </c>
      <c r="F72" s="560"/>
      <c r="G72" s="559"/>
      <c r="H72" s="746" t="s">
        <v>851</v>
      </c>
      <c r="I72" s="707">
        <f>mmBTU_to_GJ</f>
        <v>1.0549999999999999</v>
      </c>
      <c r="J72" s="555" t="s">
        <v>1040</v>
      </c>
      <c r="K72" s="556">
        <v>56.31533863997597</v>
      </c>
      <c r="L72" s="556" t="s">
        <v>919</v>
      </c>
      <c r="M72" s="557"/>
      <c r="N72" s="558"/>
    </row>
    <row r="73" spans="1:14" ht="52.8" x14ac:dyDescent="0.25">
      <c r="A73" s="744" t="s">
        <v>670</v>
      </c>
      <c r="B73" s="559" t="s">
        <v>852</v>
      </c>
      <c r="C73" s="745" t="s">
        <v>688</v>
      </c>
      <c r="D73" s="559">
        <v>2007</v>
      </c>
      <c r="E73" s="746" t="s">
        <v>689</v>
      </c>
      <c r="F73" s="560"/>
      <c r="G73" s="559"/>
      <c r="H73" s="746" t="s">
        <v>851</v>
      </c>
      <c r="I73" s="707">
        <f>mmBTU_to_GJ</f>
        <v>1.0549999999999999</v>
      </c>
      <c r="J73" s="555" t="s">
        <v>1040</v>
      </c>
      <c r="K73" s="556">
        <v>56.31533863997597</v>
      </c>
      <c r="L73" s="556" t="s">
        <v>919</v>
      </c>
      <c r="M73" s="557"/>
      <c r="N73" s="558"/>
    </row>
    <row r="74" spans="1:14" ht="52.8" x14ac:dyDescent="0.25">
      <c r="A74" s="744" t="s">
        <v>1068</v>
      </c>
      <c r="B74" s="559" t="s">
        <v>852</v>
      </c>
      <c r="C74" s="745" t="s">
        <v>688</v>
      </c>
      <c r="D74" s="559">
        <v>2007</v>
      </c>
      <c r="E74" s="746" t="s">
        <v>689</v>
      </c>
      <c r="F74" s="560"/>
      <c r="G74" s="559"/>
      <c r="H74" s="746" t="s">
        <v>851</v>
      </c>
      <c r="I74" s="707">
        <f>mmBTU_to_GJ</f>
        <v>1.0549999999999999</v>
      </c>
      <c r="J74" s="555" t="s">
        <v>1040</v>
      </c>
      <c r="K74" s="556">
        <v>56.31533863997597</v>
      </c>
      <c r="L74" s="556" t="s">
        <v>919</v>
      </c>
      <c r="M74" s="557"/>
      <c r="N74" s="558"/>
    </row>
    <row r="75" spans="1:14" ht="26.4" x14ac:dyDescent="0.25">
      <c r="A75" s="744" t="s">
        <v>671</v>
      </c>
      <c r="B75" s="559"/>
      <c r="C75" s="745" t="s">
        <v>688</v>
      </c>
      <c r="D75" s="559">
        <v>2007</v>
      </c>
      <c r="E75" s="746" t="s">
        <v>689</v>
      </c>
      <c r="F75" s="560"/>
      <c r="G75" s="559"/>
      <c r="H75" s="746" t="s">
        <v>851</v>
      </c>
      <c r="I75" s="707">
        <f>mmBTU_to_GJ</f>
        <v>1.0549999999999999</v>
      </c>
      <c r="J75" s="555" t="s">
        <v>1040</v>
      </c>
      <c r="K75" s="556">
        <v>56.31533863997597</v>
      </c>
      <c r="L75" s="556" t="s">
        <v>919</v>
      </c>
      <c r="M75" s="557"/>
      <c r="N75" s="558"/>
    </row>
    <row r="76" spans="1:14" ht="52.8" x14ac:dyDescent="0.25">
      <c r="A76" s="744" t="s">
        <v>672</v>
      </c>
      <c r="B76" s="559" t="s">
        <v>852</v>
      </c>
      <c r="C76" s="745" t="s">
        <v>688</v>
      </c>
      <c r="D76" s="559">
        <v>2007</v>
      </c>
      <c r="E76" s="746" t="s">
        <v>690</v>
      </c>
      <c r="F76" s="559"/>
      <c r="G76" s="559"/>
      <c r="H76" s="555" t="s">
        <v>295</v>
      </c>
      <c r="I76" s="707">
        <f>1/MJ_to_kWh/1000</f>
        <v>3.5999999999999995E-3</v>
      </c>
      <c r="J76" s="555" t="s">
        <v>1053</v>
      </c>
      <c r="K76" s="556">
        <v>0</v>
      </c>
      <c r="L76" s="556" t="s">
        <v>919</v>
      </c>
      <c r="M76" s="557"/>
      <c r="N76" s="558"/>
    </row>
    <row r="77" spans="1:14" ht="52.8" x14ac:dyDescent="0.25">
      <c r="A77" s="744" t="s">
        <v>687</v>
      </c>
      <c r="B77" s="559" t="s">
        <v>852</v>
      </c>
      <c r="C77" s="745" t="s">
        <v>688</v>
      </c>
      <c r="D77" s="559">
        <v>2007</v>
      </c>
      <c r="E77" s="746" t="s">
        <v>690</v>
      </c>
      <c r="F77" s="559"/>
      <c r="G77" s="559"/>
      <c r="H77" s="555" t="s">
        <v>295</v>
      </c>
      <c r="I77" s="707">
        <f>1/MJ_to_kWh/1000</f>
        <v>3.5999999999999995E-3</v>
      </c>
      <c r="J77" s="555" t="s">
        <v>1053</v>
      </c>
      <c r="K77" s="556">
        <v>0</v>
      </c>
      <c r="L77" s="556" t="s">
        <v>919</v>
      </c>
      <c r="M77" s="557"/>
      <c r="N77" s="558"/>
    </row>
    <row r="78" spans="1:14" ht="52.8" x14ac:dyDescent="0.25">
      <c r="A78" s="744" t="s">
        <v>673</v>
      </c>
      <c r="B78" s="559" t="s">
        <v>852</v>
      </c>
      <c r="C78" s="745" t="s">
        <v>688</v>
      </c>
      <c r="D78" s="559">
        <v>2007</v>
      </c>
      <c r="E78" s="746" t="s">
        <v>690</v>
      </c>
      <c r="F78" s="559"/>
      <c r="G78" s="559"/>
      <c r="H78" s="555" t="s">
        <v>295</v>
      </c>
      <c r="I78" s="707">
        <f>1/MJ_to_kWh/1000</f>
        <v>3.5999999999999995E-3</v>
      </c>
      <c r="J78" s="555" t="s">
        <v>1053</v>
      </c>
      <c r="K78" s="556">
        <v>0</v>
      </c>
      <c r="L78" s="556" t="s">
        <v>919</v>
      </c>
      <c r="M78" s="557"/>
      <c r="N78" s="558"/>
    </row>
    <row r="79" spans="1:14" ht="52.8" x14ac:dyDescent="0.25">
      <c r="A79" s="744" t="s">
        <v>1069</v>
      </c>
      <c r="B79" s="559" t="s">
        <v>852</v>
      </c>
      <c r="C79" s="745" t="s">
        <v>688</v>
      </c>
      <c r="D79" s="559">
        <v>2007</v>
      </c>
      <c r="E79" s="746" t="s">
        <v>689</v>
      </c>
      <c r="F79" s="560"/>
      <c r="G79" s="559"/>
      <c r="H79" s="555" t="s">
        <v>267</v>
      </c>
      <c r="I79" s="707">
        <f>$C$42/2000/lb_to_kg/1000000*mmBTU_to_GJ</f>
        <v>2.2735034516249999E-2</v>
      </c>
      <c r="J79" s="555" t="s">
        <v>1034</v>
      </c>
      <c r="K79" s="556">
        <v>102.75287348239476</v>
      </c>
      <c r="L79" s="556" t="s">
        <v>919</v>
      </c>
      <c r="M79" s="557"/>
      <c r="N79" s="558"/>
    </row>
    <row r="80" spans="1:14" ht="52.8" x14ac:dyDescent="0.25">
      <c r="A80" s="744" t="s">
        <v>705</v>
      </c>
      <c r="B80" s="559" t="s">
        <v>852</v>
      </c>
      <c r="C80" s="745" t="s">
        <v>688</v>
      </c>
      <c r="D80" s="559">
        <v>2007</v>
      </c>
      <c r="E80" s="746" t="s">
        <v>689</v>
      </c>
      <c r="F80" s="560"/>
      <c r="G80" s="559"/>
      <c r="H80" s="555" t="s">
        <v>267</v>
      </c>
      <c r="I80" s="707">
        <f>$C$42/2000/lb_to_kg/1000000*mmBTU_to_GJ</f>
        <v>2.2735034516249999E-2</v>
      </c>
      <c r="J80" s="555" t="s">
        <v>1034</v>
      </c>
      <c r="K80" s="556">
        <v>102.75287348239476</v>
      </c>
      <c r="L80" s="556" t="s">
        <v>919</v>
      </c>
      <c r="M80" s="557"/>
      <c r="N80" s="558"/>
    </row>
    <row r="81" spans="1:14" ht="52.8" x14ac:dyDescent="0.25">
      <c r="A81" s="744" t="s">
        <v>706</v>
      </c>
      <c r="B81" s="559" t="s">
        <v>852</v>
      </c>
      <c r="C81" s="745" t="s">
        <v>688</v>
      </c>
      <c r="D81" s="559">
        <v>2007</v>
      </c>
      <c r="E81" s="746" t="s">
        <v>689</v>
      </c>
      <c r="F81" s="560"/>
      <c r="G81" s="559"/>
      <c r="H81" s="555" t="s">
        <v>267</v>
      </c>
      <c r="I81" s="707">
        <f>$C$42/2000/lb_to_kg/1000000*mmBTU_to_GJ</f>
        <v>2.2735034516249999E-2</v>
      </c>
      <c r="J81" s="555" t="s">
        <v>1034</v>
      </c>
      <c r="K81" s="556">
        <v>102.75287348239476</v>
      </c>
      <c r="L81" s="556" t="s">
        <v>919</v>
      </c>
      <c r="M81" s="557"/>
      <c r="N81" s="558"/>
    </row>
    <row r="82" spans="1:14" ht="52.8" x14ac:dyDescent="0.25">
      <c r="A82" s="744" t="s">
        <v>899</v>
      </c>
      <c r="B82" s="559" t="s">
        <v>852</v>
      </c>
      <c r="C82" s="745" t="s">
        <v>688</v>
      </c>
      <c r="D82" s="559">
        <v>2007</v>
      </c>
      <c r="E82" s="746" t="s">
        <v>689</v>
      </c>
      <c r="F82" s="560"/>
      <c r="G82" s="559"/>
      <c r="H82" s="555" t="s">
        <v>268</v>
      </c>
      <c r="I82" s="707">
        <f>$C$14/gal_to_liters*mmBTU_to_GJ/1000000</f>
        <v>3.5803104359313075E-2</v>
      </c>
      <c r="J82" s="555" t="s">
        <v>1040</v>
      </c>
      <c r="K82" s="556">
        <v>74.122324937568308</v>
      </c>
      <c r="L82" s="556" t="s">
        <v>919</v>
      </c>
      <c r="M82" s="557"/>
      <c r="N82" s="558"/>
    </row>
    <row r="83" spans="1:14" ht="52.8" x14ac:dyDescent="0.25">
      <c r="A83" s="744" t="s">
        <v>897</v>
      </c>
      <c r="B83" s="559" t="s">
        <v>852</v>
      </c>
      <c r="C83" s="745" t="s">
        <v>688</v>
      </c>
      <c r="D83" s="559">
        <v>2007</v>
      </c>
      <c r="E83" s="746" t="s">
        <v>689</v>
      </c>
      <c r="F83" s="560"/>
      <c r="G83" s="559"/>
      <c r="H83" s="555" t="s">
        <v>268</v>
      </c>
      <c r="I83" s="707">
        <f>$Q$14/gal_to_liters*mmBTU_to_GJ/1000000</f>
        <v>2.4157130779392338E-2</v>
      </c>
      <c r="J83" s="555" t="s">
        <v>1034</v>
      </c>
      <c r="K83" s="556">
        <v>71.019041167591709</v>
      </c>
      <c r="L83" s="556" t="s">
        <v>919</v>
      </c>
      <c r="M83" s="557"/>
      <c r="N83" s="558"/>
    </row>
    <row r="84" spans="1:14" ht="52.8" x14ac:dyDescent="0.25">
      <c r="A84" s="744" t="s">
        <v>900</v>
      </c>
      <c r="B84" s="559" t="s">
        <v>852</v>
      </c>
      <c r="C84" s="745" t="s">
        <v>688</v>
      </c>
      <c r="D84" s="559">
        <v>2007</v>
      </c>
      <c r="E84" s="746" t="s">
        <v>689</v>
      </c>
      <c r="F84" s="560"/>
      <c r="G84" s="559"/>
      <c r="H84" s="555" t="s">
        <v>268</v>
      </c>
      <c r="I84" s="707">
        <f>$C$11/gal_to_liters*mmBTU_to_GJ/1000000</f>
        <v>3.2357978863936591E-2</v>
      </c>
      <c r="J84" s="555" t="s">
        <v>1034</v>
      </c>
      <c r="K84" s="556">
        <v>72.833307273582633</v>
      </c>
      <c r="L84" s="556" t="s">
        <v>919</v>
      </c>
      <c r="M84" s="557"/>
      <c r="N84" s="558"/>
    </row>
    <row r="85" spans="1:14" ht="290.39999999999998" x14ac:dyDescent="0.25">
      <c r="A85" s="744" t="s">
        <v>1063</v>
      </c>
      <c r="B85" s="706" t="s">
        <v>427</v>
      </c>
      <c r="C85" s="745" t="s">
        <v>688</v>
      </c>
      <c r="D85" s="559">
        <v>2007</v>
      </c>
      <c r="E85" s="746" t="s">
        <v>690</v>
      </c>
      <c r="F85" s="560"/>
      <c r="G85" s="559"/>
      <c r="H85" s="555" t="s">
        <v>267</v>
      </c>
      <c r="I85" s="707">
        <f>$E$45/1000</f>
        <v>1.9551069237418006E-2</v>
      </c>
      <c r="J85" s="555" t="s">
        <v>1034</v>
      </c>
      <c r="K85" s="556">
        <v>97.876597052612851</v>
      </c>
      <c r="L85" s="556" t="s">
        <v>919</v>
      </c>
      <c r="M85" s="557"/>
      <c r="N85" s="558"/>
    </row>
    <row r="86" spans="1:14" x14ac:dyDescent="0.25">
      <c r="A86" s="744" t="s">
        <v>804</v>
      </c>
      <c r="B86" s="706"/>
      <c r="C86" s="745"/>
      <c r="D86" s="559"/>
      <c r="E86" s="746" t="s">
        <v>690</v>
      </c>
      <c r="F86" s="560"/>
      <c r="G86" s="559"/>
      <c r="H86" s="555" t="s">
        <v>267</v>
      </c>
      <c r="I86" s="707">
        <f>$E$45/1000</f>
        <v>1.9551069237418006E-2</v>
      </c>
      <c r="J86" s="555" t="s">
        <v>1034</v>
      </c>
      <c r="K86" s="556">
        <v>97.876597052612851</v>
      </c>
      <c r="L86" s="556" t="s">
        <v>919</v>
      </c>
      <c r="M86" s="557"/>
      <c r="N86" s="558"/>
    </row>
    <row r="87" spans="1:14" ht="79.2" x14ac:dyDescent="0.25">
      <c r="A87" s="744" t="s">
        <v>812</v>
      </c>
      <c r="B87" s="821" t="s">
        <v>819</v>
      </c>
      <c r="C87" s="745"/>
      <c r="D87" s="559"/>
      <c r="E87" s="746" t="s">
        <v>690</v>
      </c>
      <c r="F87" s="560"/>
      <c r="G87" s="559"/>
      <c r="H87" s="555" t="s">
        <v>267</v>
      </c>
      <c r="I87" s="707">
        <f>18.608/1000</f>
        <v>1.8608E-2</v>
      </c>
      <c r="J87" s="555" t="s">
        <v>1034</v>
      </c>
      <c r="K87" s="556">
        <v>97.876597052612851</v>
      </c>
      <c r="L87" s="556" t="s">
        <v>919</v>
      </c>
      <c r="M87" s="557"/>
      <c r="N87" s="558"/>
    </row>
    <row r="88" spans="1:14" ht="52.8" x14ac:dyDescent="0.25">
      <c r="A88" s="1461" t="s">
        <v>311</v>
      </c>
      <c r="B88" s="1462" t="s">
        <v>1631</v>
      </c>
      <c r="C88" s="1463">
        <v>2007</v>
      </c>
      <c r="D88" s="559">
        <f t="shared" ref="D88" si="8">ref_year</f>
        <v>2016</v>
      </c>
      <c r="E88" s="1464" t="s">
        <v>689</v>
      </c>
      <c r="F88" s="1463" t="s">
        <v>1632</v>
      </c>
      <c r="G88" s="1463" t="s">
        <v>1064</v>
      </c>
      <c r="H88" s="1464" t="s">
        <v>289</v>
      </c>
      <c r="I88" s="1465">
        <v>8.1000000000000003E-2</v>
      </c>
      <c r="J88" s="1466" t="s">
        <v>1034</v>
      </c>
      <c r="K88" s="1467">
        <v>70.89</v>
      </c>
      <c r="L88" s="1467" t="s">
        <v>919</v>
      </c>
      <c r="M88" s="557"/>
      <c r="N88" s="558"/>
    </row>
    <row r="89" spans="1:14" ht="79.2" x14ac:dyDescent="0.25">
      <c r="A89" s="744" t="s">
        <v>1070</v>
      </c>
      <c r="B89" s="559" t="s">
        <v>1071</v>
      </c>
      <c r="C89" s="745" t="s">
        <v>688</v>
      </c>
      <c r="D89" s="559">
        <v>2007</v>
      </c>
      <c r="E89" s="746" t="s">
        <v>690</v>
      </c>
      <c r="F89" s="560"/>
      <c r="G89" s="559"/>
      <c r="H89" s="555" t="s">
        <v>267</v>
      </c>
      <c r="I89" s="707">
        <v>2.8300000000000001E-3</v>
      </c>
      <c r="J89" s="555" t="s">
        <v>1053</v>
      </c>
      <c r="K89" s="556">
        <v>0</v>
      </c>
      <c r="L89" s="556" t="s">
        <v>919</v>
      </c>
      <c r="M89" s="557"/>
      <c r="N89" s="558"/>
    </row>
    <row r="91" spans="1:14" ht="13.8" thickBot="1" x14ac:dyDescent="0.3"/>
    <row r="92" spans="1:14" ht="33.75" customHeight="1" thickTop="1" x14ac:dyDescent="0.25">
      <c r="A92" s="1635" t="s">
        <v>975</v>
      </c>
      <c r="B92" s="1636"/>
      <c r="D92" s="1635" t="s">
        <v>674</v>
      </c>
      <c r="E92" s="1636"/>
      <c r="G92" s="1635" t="s">
        <v>675</v>
      </c>
      <c r="H92" s="1636"/>
      <c r="K92" s="1646" t="s">
        <v>677</v>
      </c>
      <c r="L92" s="1647"/>
    </row>
    <row r="93" spans="1:14" ht="41.25" customHeight="1" thickBot="1" x14ac:dyDescent="0.3">
      <c r="A93" s="1010" t="s">
        <v>1081</v>
      </c>
      <c r="B93" s="830"/>
      <c r="D93" s="1633" t="s">
        <v>676</v>
      </c>
      <c r="E93" s="1634"/>
      <c r="G93" s="1010" t="s">
        <v>1082</v>
      </c>
      <c r="H93" s="830"/>
      <c r="K93" s="1633" t="s">
        <v>678</v>
      </c>
      <c r="L93" s="1634"/>
      <c r="N93" s="1039"/>
    </row>
    <row r="94" spans="1:14" ht="13.8" x14ac:dyDescent="0.25">
      <c r="A94" s="30" t="s">
        <v>1066</v>
      </c>
      <c r="B94" s="31" t="s">
        <v>1074</v>
      </c>
      <c r="D94" s="30" t="s">
        <v>1066</v>
      </c>
      <c r="E94" s="31" t="s">
        <v>1074</v>
      </c>
      <c r="G94" s="30" t="s">
        <v>1066</v>
      </c>
      <c r="H94" s="31" t="s">
        <v>1074</v>
      </c>
      <c r="K94" s="30" t="s">
        <v>1066</v>
      </c>
      <c r="L94" s="31" t="s">
        <v>1074</v>
      </c>
    </row>
    <row r="95" spans="1:14" x14ac:dyDescent="0.25">
      <c r="A95" s="828">
        <v>1992</v>
      </c>
      <c r="B95" s="829">
        <v>70.800676680058203</v>
      </c>
      <c r="D95" s="1011">
        <v>1992</v>
      </c>
      <c r="E95" s="1012">
        <v>358.2</v>
      </c>
      <c r="F95" s="1043"/>
      <c r="G95" s="1011">
        <v>1992</v>
      </c>
      <c r="H95" s="1013">
        <v>13.7</v>
      </c>
      <c r="K95" s="1011">
        <v>1992</v>
      </c>
      <c r="L95" s="1014">
        <v>80.280791320995533</v>
      </c>
    </row>
    <row r="96" spans="1:14" x14ac:dyDescent="0.25">
      <c r="A96" s="828">
        <v>1993</v>
      </c>
      <c r="B96" s="829">
        <v>72.480274460589698</v>
      </c>
      <c r="D96" s="1011">
        <v>1993</v>
      </c>
      <c r="E96" s="1012">
        <v>359.2</v>
      </c>
      <c r="F96" s="1043"/>
      <c r="G96" s="1011">
        <v>1993</v>
      </c>
      <c r="H96" s="1013">
        <v>13.97</v>
      </c>
      <c r="K96" s="1011">
        <v>1993</v>
      </c>
      <c r="L96" s="1014">
        <v>81.174218251435875</v>
      </c>
    </row>
    <row r="97" spans="1:15" x14ac:dyDescent="0.25">
      <c r="A97" s="828">
        <v>1994</v>
      </c>
      <c r="B97" s="829">
        <v>74.02700932145197</v>
      </c>
      <c r="D97" s="1011">
        <v>1994</v>
      </c>
      <c r="E97" s="1012">
        <v>368.1</v>
      </c>
      <c r="F97" s="1043"/>
      <c r="G97" s="1011">
        <v>1994</v>
      </c>
      <c r="H97" s="1013">
        <v>14.33</v>
      </c>
      <c r="K97" s="1011">
        <v>1994</v>
      </c>
      <c r="L97" s="1014">
        <v>82.961072112316543</v>
      </c>
    </row>
    <row r="98" spans="1:15" x14ac:dyDescent="0.25">
      <c r="A98" s="828">
        <v>1995</v>
      </c>
      <c r="B98" s="829">
        <v>75.581637029027263</v>
      </c>
      <c r="D98" s="1011">
        <v>1995</v>
      </c>
      <c r="E98" s="1012">
        <v>381.1</v>
      </c>
      <c r="F98" s="1043"/>
      <c r="G98" s="1011">
        <v>1995</v>
      </c>
      <c r="H98" s="1013">
        <v>14.86</v>
      </c>
      <c r="K98" s="1011">
        <v>1995</v>
      </c>
      <c r="L98" s="1014">
        <v>91.512444160816855</v>
      </c>
    </row>
    <row r="99" spans="1:15" x14ac:dyDescent="0.25">
      <c r="A99" s="828">
        <v>1996</v>
      </c>
      <c r="B99" s="829">
        <v>76.96367448847775</v>
      </c>
      <c r="D99" s="1011">
        <v>1996</v>
      </c>
      <c r="E99" s="1012">
        <v>381.7</v>
      </c>
      <c r="F99" s="1043"/>
      <c r="G99" s="1011">
        <v>1996</v>
      </c>
      <c r="H99" s="1013">
        <v>15.37</v>
      </c>
      <c r="K99" s="1011">
        <v>1996</v>
      </c>
      <c r="L99" s="1014">
        <v>93.044033184428855</v>
      </c>
    </row>
    <row r="100" spans="1:15" x14ac:dyDescent="0.25">
      <c r="A100" s="828">
        <v>1997</v>
      </c>
      <c r="B100" s="829">
        <v>78.291514400498826</v>
      </c>
      <c r="D100" s="1011">
        <v>1997</v>
      </c>
      <c r="E100" s="1012">
        <v>386.5</v>
      </c>
      <c r="F100" s="1043"/>
      <c r="G100" s="1011">
        <v>1997</v>
      </c>
      <c r="H100" s="1013">
        <v>15.78</v>
      </c>
      <c r="K100" s="1011">
        <v>1997</v>
      </c>
      <c r="L100" s="1014">
        <v>93.873643905552015</v>
      </c>
      <c r="M100" s="1040"/>
    </row>
    <row r="101" spans="1:15" x14ac:dyDescent="0.25">
      <c r="A101" s="828">
        <v>1998</v>
      </c>
      <c r="B101" s="829">
        <v>79.172882283453163</v>
      </c>
      <c r="D101" s="1011">
        <v>1998</v>
      </c>
      <c r="E101" s="1012">
        <v>389.5</v>
      </c>
      <c r="F101" s="1043"/>
      <c r="G101" s="1011">
        <v>1998</v>
      </c>
      <c r="H101" s="1013">
        <v>16.23</v>
      </c>
      <c r="K101" s="1011">
        <v>1998</v>
      </c>
      <c r="L101" s="1014">
        <v>94.894703254626677</v>
      </c>
      <c r="M101" s="1040"/>
      <c r="N101" s="1041"/>
      <c r="O101" s="1041"/>
    </row>
    <row r="102" spans="1:15" x14ac:dyDescent="0.25">
      <c r="A102" s="828">
        <v>1999</v>
      </c>
      <c r="B102" s="829">
        <v>80.287352239332165</v>
      </c>
      <c r="D102" s="1011">
        <v>1999</v>
      </c>
      <c r="E102" s="1012">
        <v>390.6</v>
      </c>
      <c r="F102" s="1043"/>
      <c r="G102" s="1011">
        <v>1999</v>
      </c>
      <c r="H102" s="1013">
        <v>16.399999999999999</v>
      </c>
      <c r="K102" s="1011">
        <v>1999</v>
      </c>
      <c r="L102" s="1014">
        <v>95.532865347798349</v>
      </c>
      <c r="M102" s="1040"/>
      <c r="N102" s="1041"/>
      <c r="O102" s="1041"/>
    </row>
    <row r="103" spans="1:15" x14ac:dyDescent="0.25">
      <c r="A103" s="828">
        <v>2000</v>
      </c>
      <c r="B103" s="829">
        <v>82.107442691355487</v>
      </c>
      <c r="D103" s="1011">
        <v>2000</v>
      </c>
      <c r="E103" s="1012">
        <v>394.1</v>
      </c>
      <c r="F103" s="1043"/>
      <c r="G103" s="1011">
        <v>2000</v>
      </c>
      <c r="H103" s="1013">
        <v>17.09</v>
      </c>
      <c r="K103" s="1011">
        <v>2000</v>
      </c>
      <c r="L103" s="1014">
        <v>100</v>
      </c>
      <c r="M103" s="1040"/>
      <c r="N103" s="1041"/>
      <c r="O103" s="1041"/>
    </row>
    <row r="104" spans="1:15" x14ac:dyDescent="0.25">
      <c r="A104" s="828">
        <v>2001</v>
      </c>
      <c r="B104" s="829">
        <v>83.960946194463943</v>
      </c>
      <c r="D104" s="1011">
        <v>2001</v>
      </c>
      <c r="E104" s="1012">
        <v>394.3</v>
      </c>
      <c r="F104" s="1043"/>
      <c r="G104" s="1011">
        <v>2001</v>
      </c>
      <c r="H104" s="1013">
        <v>17.57</v>
      </c>
      <c r="K104" s="1011">
        <v>2001</v>
      </c>
      <c r="L104" s="1014">
        <v>101.08487555839186</v>
      </c>
      <c r="M104" s="1040"/>
      <c r="N104" s="1041"/>
      <c r="O104" s="1041"/>
    </row>
    <row r="105" spans="1:15" x14ac:dyDescent="0.25">
      <c r="A105" s="828">
        <v>2002</v>
      </c>
      <c r="B105" s="829">
        <v>85.268264705031157</v>
      </c>
      <c r="D105" s="1011">
        <v>2002</v>
      </c>
      <c r="E105" s="1012">
        <v>395.6</v>
      </c>
      <c r="F105" s="1043"/>
      <c r="G105" s="1011">
        <v>2002</v>
      </c>
      <c r="H105" s="1013">
        <v>17.97</v>
      </c>
      <c r="K105" s="1011">
        <v>2002</v>
      </c>
      <c r="L105" s="1014">
        <v>100.38289725590302</v>
      </c>
      <c r="M105" s="1040"/>
      <c r="N105" s="1041"/>
      <c r="O105" s="1041"/>
    </row>
    <row r="106" spans="1:15" x14ac:dyDescent="0.25">
      <c r="A106" s="828">
        <v>2003</v>
      </c>
      <c r="B106" s="829">
        <v>86.946283916220068</v>
      </c>
      <c r="D106" s="1011">
        <v>2003</v>
      </c>
      <c r="E106" s="1012">
        <v>402</v>
      </c>
      <c r="F106" s="1043"/>
      <c r="G106" s="1011">
        <v>2003</v>
      </c>
      <c r="H106" s="1013">
        <v>18.5</v>
      </c>
      <c r="K106" s="1011">
        <v>2003</v>
      </c>
      <c r="L106" s="1014">
        <v>105.04148053605616</v>
      </c>
      <c r="M106" s="1040"/>
      <c r="N106" s="1041"/>
      <c r="O106" s="1041"/>
    </row>
    <row r="107" spans="1:15" x14ac:dyDescent="0.25">
      <c r="A107" s="828">
        <v>2004</v>
      </c>
      <c r="B107" s="829">
        <v>89.280198689261255</v>
      </c>
      <c r="D107" s="1011">
        <v>2004</v>
      </c>
      <c r="E107" s="1012">
        <v>444.2</v>
      </c>
      <c r="F107" s="1043"/>
      <c r="G107" s="1011">
        <v>2004</v>
      </c>
      <c r="H107" s="1013">
        <v>19.170000000000002</v>
      </c>
      <c r="K107" s="1011">
        <v>2004</v>
      </c>
      <c r="L107" s="1014">
        <v>110.27440970006384</v>
      </c>
      <c r="M107" s="1043"/>
      <c r="N107" s="1041"/>
      <c r="O107" s="1041"/>
    </row>
    <row r="108" spans="1:15" x14ac:dyDescent="0.25">
      <c r="A108" s="828">
        <v>2005</v>
      </c>
      <c r="B108" s="829">
        <v>92.081633082603915</v>
      </c>
      <c r="D108" s="1011">
        <v>2005</v>
      </c>
      <c r="E108" s="1012">
        <v>468.2</v>
      </c>
      <c r="F108" s="1043"/>
      <c r="G108" s="1011">
        <v>2005</v>
      </c>
      <c r="H108" s="1075">
        <v>19.670000000000002</v>
      </c>
      <c r="K108" s="1011">
        <v>2005</v>
      </c>
      <c r="L108" s="1014">
        <v>119.52776005105299</v>
      </c>
      <c r="M108" s="1040"/>
      <c r="N108" s="1041"/>
      <c r="O108" s="1041"/>
    </row>
    <row r="109" spans="1:15" x14ac:dyDescent="0.25">
      <c r="A109" s="828">
        <v>2006</v>
      </c>
      <c r="B109" s="829">
        <v>94.92568884819687</v>
      </c>
      <c r="D109" s="1011">
        <v>2006</v>
      </c>
      <c r="E109" s="1012">
        <v>499.6</v>
      </c>
      <c r="F109" s="1043"/>
      <c r="G109" s="1011">
        <v>2006</v>
      </c>
      <c r="H109" s="1013">
        <v>19.600000000000001</v>
      </c>
      <c r="K109" s="1011">
        <v>2006</v>
      </c>
      <c r="L109" s="1014">
        <v>125.5902999361838</v>
      </c>
      <c r="M109" s="1040"/>
      <c r="N109" s="1041"/>
      <c r="O109" s="1041"/>
    </row>
    <row r="110" spans="1:15" x14ac:dyDescent="0.25">
      <c r="A110" s="828">
        <v>2007</v>
      </c>
      <c r="B110" s="829">
        <v>97.490337840148811</v>
      </c>
      <c r="D110" s="1011">
        <v>2007</v>
      </c>
      <c r="E110" s="1012">
        <v>525.4</v>
      </c>
      <c r="F110" s="1046"/>
      <c r="G110" s="1011">
        <v>2007</v>
      </c>
      <c r="H110" s="1013">
        <v>19.55</v>
      </c>
      <c r="K110" s="1011">
        <v>2007</v>
      </c>
      <c r="L110" s="1014">
        <v>129.73835354179963</v>
      </c>
      <c r="M110" s="1040"/>
      <c r="N110" s="1041"/>
      <c r="O110" s="1041"/>
    </row>
    <row r="111" spans="1:15" x14ac:dyDescent="0.25">
      <c r="A111" s="828">
        <v>2008</v>
      </c>
      <c r="B111" s="829">
        <v>99.368309168067654</v>
      </c>
      <c r="D111" s="1011">
        <v>2008</v>
      </c>
      <c r="E111" s="1012">
        <v>575.4</v>
      </c>
      <c r="F111" s="1043"/>
      <c r="G111" s="1011">
        <v>2008</v>
      </c>
      <c r="H111" s="1013">
        <v>19.5</v>
      </c>
      <c r="K111" s="1011">
        <v>2008</v>
      </c>
      <c r="L111" s="1014">
        <v>145.6285896617741</v>
      </c>
      <c r="M111" s="1040"/>
      <c r="N111" s="1041"/>
      <c r="O111" s="1041"/>
    </row>
    <row r="112" spans="1:15" ht="14.4" x14ac:dyDescent="0.3">
      <c r="A112" s="828">
        <v>2009</v>
      </c>
      <c r="B112" s="829">
        <v>100</v>
      </c>
      <c r="D112" s="718">
        <v>2009</v>
      </c>
      <c r="E112" s="1012">
        <v>521.9</v>
      </c>
      <c r="F112" s="1043"/>
      <c r="G112" s="718">
        <v>2009</v>
      </c>
      <c r="H112" s="831">
        <v>20.3</v>
      </c>
      <c r="K112" s="1011">
        <v>2009</v>
      </c>
      <c r="L112" s="1015">
        <v>143.39502233567327</v>
      </c>
      <c r="M112" s="1040"/>
      <c r="N112" s="1041"/>
      <c r="O112" s="1041"/>
    </row>
    <row r="113" spans="1:15" ht="14.4" x14ac:dyDescent="0.3">
      <c r="A113" s="828">
        <v>2010</v>
      </c>
      <c r="B113" s="829">
        <v>101.19839722592747</v>
      </c>
      <c r="D113" s="718">
        <v>2010</v>
      </c>
      <c r="E113" s="1012">
        <v>550.79999999999995</v>
      </c>
      <c r="F113" s="1043"/>
      <c r="G113" s="718">
        <v>2010</v>
      </c>
      <c r="H113" s="831">
        <v>21.07</v>
      </c>
      <c r="K113" s="1011">
        <v>2010</v>
      </c>
      <c r="L113" s="1015">
        <v>149.13848117421827</v>
      </c>
      <c r="M113" s="1040"/>
      <c r="N113" s="1041"/>
      <c r="O113" s="1041"/>
    </row>
    <row r="114" spans="1:15" ht="14.4" x14ac:dyDescent="0.3">
      <c r="A114" s="828">
        <v>2011</v>
      </c>
      <c r="B114" s="829">
        <v>103.30263015961967</v>
      </c>
      <c r="D114" s="718">
        <v>2011</v>
      </c>
      <c r="E114" s="1012">
        <v>585.70000000000005</v>
      </c>
      <c r="F114" s="1043"/>
      <c r="G114" s="718">
        <v>2011</v>
      </c>
      <c r="H114" s="831">
        <v>21.45</v>
      </c>
      <c r="K114" s="1011">
        <v>2011</v>
      </c>
      <c r="L114" s="1015">
        <v>160.8806636885769</v>
      </c>
      <c r="M114" s="1040"/>
      <c r="N114" s="1041"/>
      <c r="O114" s="1041"/>
    </row>
    <row r="115" spans="1:15" ht="14.4" x14ac:dyDescent="0.3">
      <c r="A115" s="828">
        <v>2012</v>
      </c>
      <c r="B115" s="829">
        <v>105.23637760431055</v>
      </c>
      <c r="D115" s="718">
        <v>2012</v>
      </c>
      <c r="E115" s="1012">
        <v>584.6</v>
      </c>
      <c r="F115" s="1043"/>
      <c r="G115" s="718">
        <v>2012</v>
      </c>
      <c r="H115" s="831">
        <v>21.447500000000002</v>
      </c>
      <c r="K115" s="1011">
        <v>2012</v>
      </c>
      <c r="L115" s="1015">
        <v>166.11359285258459</v>
      </c>
      <c r="M115" s="1040"/>
      <c r="N115" s="1041"/>
      <c r="O115" s="1041"/>
    </row>
    <row r="116" spans="1:15" ht="14.4" x14ac:dyDescent="0.3">
      <c r="A116" s="828">
        <v>2013</v>
      </c>
      <c r="B116" s="829">
        <v>107.07698945778775</v>
      </c>
      <c r="D116" s="718">
        <v>2013</v>
      </c>
      <c r="E116" s="1012">
        <v>567.29999999999995</v>
      </c>
      <c r="F116" s="1043"/>
      <c r="G116" s="718">
        <v>2013</v>
      </c>
      <c r="H116" s="831">
        <v>21.4025</v>
      </c>
      <c r="K116" s="1011">
        <v>2013</v>
      </c>
      <c r="L116" s="1015">
        <v>168.41097638800255</v>
      </c>
      <c r="M116" s="1040"/>
      <c r="N116" s="1041"/>
      <c r="O116" s="1041"/>
    </row>
    <row r="117" spans="1:15" ht="14.4" x14ac:dyDescent="0.3">
      <c r="A117" s="828">
        <v>2014</v>
      </c>
      <c r="B117" s="829">
        <v>109.07756300464888</v>
      </c>
      <c r="D117" s="718">
        <v>2014</v>
      </c>
      <c r="E117" s="1012">
        <v>576.1</v>
      </c>
      <c r="F117" s="1043"/>
      <c r="G117" s="718">
        <v>2014</v>
      </c>
      <c r="H117" s="831">
        <v>21.488333333333333</v>
      </c>
      <c r="K117" s="1011">
        <v>2014</v>
      </c>
      <c r="L117" s="1015">
        <v>171.79323548181239</v>
      </c>
      <c r="M117" s="1040"/>
      <c r="N117" s="1041"/>
      <c r="O117" s="1041"/>
    </row>
    <row r="118" spans="1:15" ht="14.4" x14ac:dyDescent="0.3">
      <c r="A118" s="828">
        <v>2015</v>
      </c>
      <c r="B118" s="829">
        <v>110.1730901284166</v>
      </c>
      <c r="D118" s="718">
        <v>2015</v>
      </c>
      <c r="E118" s="1012">
        <v>556.79999999999995</v>
      </c>
      <c r="F118" s="1043"/>
      <c r="G118" s="718">
        <v>2015</v>
      </c>
      <c r="H118" s="831">
        <v>21.754999999999999</v>
      </c>
      <c r="K118" s="1011">
        <v>2015</v>
      </c>
      <c r="L118" s="1015">
        <v>168.98532227185709</v>
      </c>
      <c r="M118" s="1040"/>
      <c r="N118" s="1041"/>
      <c r="O118" s="1041"/>
    </row>
    <row r="119" spans="1:15" ht="14.4" x14ac:dyDescent="0.3">
      <c r="A119" s="828">
        <v>2016</v>
      </c>
      <c r="B119" s="829">
        <v>111.27519462444519</v>
      </c>
      <c r="D119" s="718">
        <f>+D118+1</f>
        <v>2016</v>
      </c>
      <c r="E119" s="1012">
        <v>541.70000000000005</v>
      </c>
      <c r="F119" s="1043"/>
      <c r="G119" s="718">
        <v>2016</v>
      </c>
      <c r="H119" s="831">
        <v>22.714999999999993</v>
      </c>
      <c r="K119" s="1011">
        <v>2016</v>
      </c>
      <c r="L119" s="1015">
        <v>170.4530950861519</v>
      </c>
      <c r="M119" s="1040"/>
      <c r="N119" s="1041"/>
      <c r="O119" s="1041"/>
    </row>
    <row r="120" spans="1:15" ht="14.4" x14ac:dyDescent="0.3">
      <c r="A120" s="828">
        <v>2017</v>
      </c>
      <c r="B120" s="829">
        <v>113.38521564572694</v>
      </c>
      <c r="D120" s="1157">
        <f t="shared" ref="D120:D123" si="9">+D119+1</f>
        <v>2017</v>
      </c>
      <c r="E120" s="1158">
        <v>567.5</v>
      </c>
      <c r="G120" s="1157">
        <v>2017</v>
      </c>
      <c r="H120" s="1160">
        <v>24.275833333333328</v>
      </c>
      <c r="K120" s="1157">
        <f>+K119+1</f>
        <v>2017</v>
      </c>
      <c r="L120" s="1167">
        <v>177.13905876096783</v>
      </c>
      <c r="M120" s="1040"/>
      <c r="N120" s="1041"/>
      <c r="O120" s="1041"/>
    </row>
    <row r="121" spans="1:15" ht="14.4" x14ac:dyDescent="0.3">
      <c r="A121" s="1162">
        <v>2018</v>
      </c>
      <c r="B121" s="1163">
        <v>116.09509301719851</v>
      </c>
      <c r="D121" s="1157">
        <f t="shared" si="9"/>
        <v>2018</v>
      </c>
      <c r="E121" s="1158">
        <v>603.1</v>
      </c>
      <c r="G121" s="1157">
        <v>2018</v>
      </c>
      <c r="H121" s="1160">
        <v>25.462500000000002</v>
      </c>
      <c r="K121" s="1157">
        <f>+K120+1</f>
        <v>2018</v>
      </c>
      <c r="L121" s="1167">
        <v>185.15820260568998</v>
      </c>
      <c r="M121" s="1040"/>
      <c r="N121" s="1041"/>
      <c r="O121" s="1041"/>
    </row>
    <row r="122" spans="1:15" ht="14.4" x14ac:dyDescent="0.3">
      <c r="A122" s="1162">
        <v>2019</v>
      </c>
      <c r="B122" s="1163">
        <v>118.17196408228557</v>
      </c>
      <c r="D122" s="1157">
        <f t="shared" si="9"/>
        <v>2019</v>
      </c>
      <c r="E122" s="1158">
        <v>607.5</v>
      </c>
      <c r="G122" s="1157">
        <v>2019</v>
      </c>
      <c r="H122" s="1160">
        <v>25.46083333333333</v>
      </c>
      <c r="K122" s="1157">
        <f>+K121+1</f>
        <v>2019</v>
      </c>
      <c r="L122" s="1167">
        <v>186.37596383940442</v>
      </c>
      <c r="M122" s="1040"/>
      <c r="N122" s="1041"/>
      <c r="O122" s="1041"/>
    </row>
    <row r="123" spans="1:15" ht="14.4" x14ac:dyDescent="0.3">
      <c r="A123" s="1162">
        <v>2020</v>
      </c>
      <c r="B123" s="1163">
        <v>119.58504673880728</v>
      </c>
      <c r="D123" s="1157">
        <f t="shared" si="9"/>
        <v>2020</v>
      </c>
      <c r="E123" s="1158">
        <v>596.20000000000005</v>
      </c>
      <c r="G123" s="1157">
        <v>2020</v>
      </c>
      <c r="H123" s="1160">
        <v>26.035833333333333</v>
      </c>
      <c r="K123" s="1157">
        <f>+K122+1</f>
        <v>2020</v>
      </c>
      <c r="L123" s="1167">
        <v>184.41371975538419</v>
      </c>
      <c r="M123" s="1040"/>
      <c r="N123" s="1041"/>
      <c r="O123" s="1041"/>
    </row>
    <row r="124" spans="1:15" ht="15" thickBot="1" x14ac:dyDescent="0.35">
      <c r="A124" s="1164">
        <v>2021</v>
      </c>
      <c r="B124" s="1165">
        <v>124.54122828480547</v>
      </c>
      <c r="D124" s="1155">
        <v>2021</v>
      </c>
      <c r="E124" s="1156">
        <v>708.01666666666677</v>
      </c>
      <c r="G124" s="1155">
        <v>2021</v>
      </c>
      <c r="H124" s="1161">
        <v>26.685000000000002</v>
      </c>
      <c r="K124" s="1155">
        <f>+K123+1</f>
        <v>2021</v>
      </c>
      <c r="L124" s="1168">
        <v>205.95490561021009</v>
      </c>
      <c r="M124" s="1040"/>
      <c r="N124" s="1041"/>
      <c r="O124" s="1041"/>
    </row>
    <row r="125" spans="1:15" ht="13.8" thickTop="1" x14ac:dyDescent="0.25">
      <c r="A125" s="299" t="s">
        <v>1262</v>
      </c>
      <c r="D125" s="299" t="s">
        <v>1263</v>
      </c>
      <c r="G125" s="299" t="s">
        <v>1261</v>
      </c>
      <c r="K125" s="299" t="s">
        <v>1184</v>
      </c>
      <c r="M125" s="1040"/>
      <c r="N125" s="1041"/>
      <c r="O125" s="1041"/>
    </row>
    <row r="126" spans="1:15" x14ac:dyDescent="0.25">
      <c r="K126" s="299" t="s">
        <v>1186</v>
      </c>
      <c r="M126" s="1040"/>
      <c r="N126" s="1041"/>
      <c r="O126" s="1041"/>
    </row>
    <row r="127" spans="1:15" x14ac:dyDescent="0.25">
      <c r="K127" s="299" t="s">
        <v>1260</v>
      </c>
      <c r="M127" s="1040"/>
      <c r="N127" s="1041"/>
      <c r="O127" s="1041"/>
    </row>
    <row r="128" spans="1:15" x14ac:dyDescent="0.25">
      <c r="M128" s="1040"/>
      <c r="N128" s="1041"/>
      <c r="O128" s="1041"/>
    </row>
    <row r="129" spans="1:15" x14ac:dyDescent="0.25">
      <c r="M129" s="1043"/>
      <c r="N129" s="1041"/>
      <c r="O129" s="1041"/>
    </row>
    <row r="130" spans="1:15" x14ac:dyDescent="0.25">
      <c r="M130" s="1043"/>
      <c r="N130" s="1041"/>
      <c r="O130" s="1041"/>
    </row>
    <row r="131" spans="1:15" x14ac:dyDescent="0.25">
      <c r="M131" s="1043"/>
      <c r="N131" s="1041"/>
      <c r="O131" s="1041"/>
    </row>
    <row r="132" spans="1:15" x14ac:dyDescent="0.25">
      <c r="M132" s="1043"/>
      <c r="N132" s="1041"/>
    </row>
    <row r="133" spans="1:15" ht="13.8" thickBot="1" x14ac:dyDescent="0.3">
      <c r="M133" s="1043"/>
      <c r="N133" s="1041"/>
    </row>
    <row r="134" spans="1:15" ht="28.2" thickBot="1" x14ac:dyDescent="0.3">
      <c r="A134" s="1118" t="s">
        <v>1083</v>
      </c>
      <c r="B134" s="1119"/>
      <c r="C134" s="1119"/>
      <c r="D134" s="1119"/>
      <c r="E134" s="1119"/>
      <c r="F134" s="1119"/>
      <c r="G134" s="1119"/>
      <c r="H134" s="1119"/>
      <c r="I134" s="1120"/>
      <c r="M134" s="1043"/>
      <c r="N134" s="1041"/>
    </row>
    <row r="135" spans="1:15" ht="52.8" x14ac:dyDescent="0.25">
      <c r="A135" s="1102"/>
      <c r="B135" s="518"/>
      <c r="C135" s="1640" t="s">
        <v>123</v>
      </c>
      <c r="D135" s="1640"/>
      <c r="E135" s="1640"/>
      <c r="F135" s="1641" t="s">
        <v>124</v>
      </c>
      <c r="G135" s="1640"/>
      <c r="H135" s="1642"/>
      <c r="I135" s="1103" t="s">
        <v>125</v>
      </c>
    </row>
    <row r="136" spans="1:15" ht="30" customHeight="1" thickBot="1" x14ac:dyDescent="0.3">
      <c r="A136" s="494" t="s">
        <v>126</v>
      </c>
      <c r="B136" s="519" t="s">
        <v>127</v>
      </c>
      <c r="C136" s="520" t="s">
        <v>128</v>
      </c>
      <c r="D136" s="520" t="s">
        <v>395</v>
      </c>
      <c r="E136" s="520" t="s">
        <v>396</v>
      </c>
      <c r="F136" s="494" t="s">
        <v>400</v>
      </c>
      <c r="G136" s="495" t="s">
        <v>401</v>
      </c>
      <c r="H136" s="496" t="s">
        <v>402</v>
      </c>
      <c r="I136" s="1104" t="s">
        <v>129</v>
      </c>
    </row>
    <row r="137" spans="1:15" x14ac:dyDescent="0.25">
      <c r="A137" s="1105" t="s">
        <v>1067</v>
      </c>
      <c r="B137" s="521" t="s">
        <v>130</v>
      </c>
      <c r="C137" s="708">
        <f t="shared" ref="C137:I146" si="10">+AVERAGEIFS(D$167:D$526,$B$167:$B$526,$A137,$C$167:$C$526,"&gt;="&amp;startup_year,$C$167:$C$526,"&lt;="&amp;(startup_year+anal_period))</f>
        <v>1092600</v>
      </c>
      <c r="D137" s="709">
        <f t="shared" si="10"/>
        <v>1092000</v>
      </c>
      <c r="E137" s="710">
        <f t="shared" si="10"/>
        <v>3991.8</v>
      </c>
      <c r="F137" s="711">
        <f t="shared" si="10"/>
        <v>5.7817600000000002</v>
      </c>
      <c r="G137" s="711">
        <f t="shared" si="10"/>
        <v>0.18464100000000003</v>
      </c>
      <c r="H137" s="711">
        <f t="shared" si="10"/>
        <v>8.6175999999999993E-4</v>
      </c>
      <c r="I137" s="1106">
        <f t="shared" si="10"/>
        <v>11.6076</v>
      </c>
    </row>
    <row r="138" spans="1:15" ht="16.5" customHeight="1" x14ac:dyDescent="0.25">
      <c r="A138" s="1107" t="s">
        <v>282</v>
      </c>
      <c r="B138" s="522" t="s">
        <v>130</v>
      </c>
      <c r="C138" s="712">
        <f t="shared" si="10"/>
        <v>1092600</v>
      </c>
      <c r="D138" s="713">
        <f t="shared" si="10"/>
        <v>1092000</v>
      </c>
      <c r="E138" s="714">
        <f t="shared" si="10"/>
        <v>3991.8</v>
      </c>
      <c r="F138" s="715">
        <f t="shared" si="10"/>
        <v>5.7817600000000002</v>
      </c>
      <c r="G138" s="715">
        <f t="shared" si="10"/>
        <v>0.18464100000000003</v>
      </c>
      <c r="H138" s="715">
        <f t="shared" si="10"/>
        <v>8.6175999999999993E-4</v>
      </c>
      <c r="I138" s="1108">
        <f t="shared" si="10"/>
        <v>11.6076</v>
      </c>
    </row>
    <row r="139" spans="1:15" x14ac:dyDescent="0.25">
      <c r="A139" s="1109" t="s">
        <v>1068</v>
      </c>
      <c r="B139" s="1097" t="s">
        <v>130</v>
      </c>
      <c r="C139" s="1098">
        <f t="shared" si="10"/>
        <v>1092600</v>
      </c>
      <c r="D139" s="1099">
        <f t="shared" si="10"/>
        <v>1092000</v>
      </c>
      <c r="E139" s="1100">
        <f t="shared" si="10"/>
        <v>3991.8</v>
      </c>
      <c r="F139" s="1101">
        <f t="shared" si="10"/>
        <v>5.7817600000000002</v>
      </c>
      <c r="G139" s="1101">
        <f t="shared" si="10"/>
        <v>0.18464100000000003</v>
      </c>
      <c r="H139" s="1101">
        <f t="shared" si="10"/>
        <v>8.6175999999999993E-4</v>
      </c>
      <c r="I139" s="1110">
        <f t="shared" si="10"/>
        <v>11.6076</v>
      </c>
    </row>
    <row r="140" spans="1:15" x14ac:dyDescent="0.25">
      <c r="A140" s="1107" t="s">
        <v>670</v>
      </c>
      <c r="B140" s="523" t="s">
        <v>130</v>
      </c>
      <c r="C140" s="713">
        <f t="shared" si="10"/>
        <v>1092600</v>
      </c>
      <c r="D140" s="713">
        <f t="shared" si="10"/>
        <v>1092000</v>
      </c>
      <c r="E140" s="713">
        <f t="shared" si="10"/>
        <v>3991.8</v>
      </c>
      <c r="F140" s="716">
        <f t="shared" si="10"/>
        <v>5.7817600000000002</v>
      </c>
      <c r="G140" s="715">
        <f t="shared" si="10"/>
        <v>0.18464100000000003</v>
      </c>
      <c r="H140" s="717">
        <f t="shared" si="10"/>
        <v>8.6175999999999993E-4</v>
      </c>
      <c r="I140" s="1108">
        <f t="shared" si="10"/>
        <v>11.6076</v>
      </c>
      <c r="K140" s="1159"/>
      <c r="M140" s="299"/>
    </row>
    <row r="141" spans="1:15" x14ac:dyDescent="0.25">
      <c r="A141" s="1107" t="s">
        <v>671</v>
      </c>
      <c r="B141" s="523" t="s">
        <v>1202</v>
      </c>
      <c r="C141" s="713">
        <f t="shared" si="10"/>
        <v>-1186800</v>
      </c>
      <c r="D141" s="713">
        <f t="shared" si="10"/>
        <v>0</v>
      </c>
      <c r="E141" s="713">
        <f t="shared" si="10"/>
        <v>0</v>
      </c>
      <c r="F141" s="716">
        <f t="shared" si="10"/>
        <v>-85.798000000000002</v>
      </c>
      <c r="G141" s="715">
        <f t="shared" si="10"/>
        <v>0.54692000000000007</v>
      </c>
      <c r="H141" s="717">
        <f t="shared" si="10"/>
        <v>-1.8314E-3</v>
      </c>
      <c r="I141" s="1108">
        <f t="shared" si="10"/>
        <v>-70.083999999999989</v>
      </c>
      <c r="K141" s="1166"/>
      <c r="M141" s="299"/>
    </row>
    <row r="142" spans="1:15" x14ac:dyDescent="0.25">
      <c r="A142" s="1107" t="s">
        <v>672</v>
      </c>
      <c r="B142" s="523" t="s">
        <v>131</v>
      </c>
      <c r="C142" s="713">
        <f t="shared" si="10"/>
        <v>1837000</v>
      </c>
      <c r="D142" s="713">
        <f t="shared" si="10"/>
        <v>1430400</v>
      </c>
      <c r="E142" s="713">
        <f t="shared" si="10"/>
        <v>25410</v>
      </c>
      <c r="F142" s="716">
        <f t="shared" si="10"/>
        <v>150.98000000000002</v>
      </c>
      <c r="G142" s="715">
        <f t="shared" si="10"/>
        <v>0.21918739999999998</v>
      </c>
      <c r="H142" s="717">
        <f t="shared" si="10"/>
        <v>2.2404E-3</v>
      </c>
      <c r="I142" s="1108">
        <f t="shared" si="10"/>
        <v>156.858</v>
      </c>
      <c r="K142" s="1159"/>
      <c r="M142" s="299"/>
    </row>
    <row r="143" spans="1:15" x14ac:dyDescent="0.25">
      <c r="A143" s="1107" t="s">
        <v>687</v>
      </c>
      <c r="B143" s="523" t="s">
        <v>131</v>
      </c>
      <c r="C143" s="713">
        <f t="shared" si="10"/>
        <v>1837000</v>
      </c>
      <c r="D143" s="713">
        <f t="shared" si="10"/>
        <v>1430400</v>
      </c>
      <c r="E143" s="713">
        <f t="shared" si="10"/>
        <v>25410</v>
      </c>
      <c r="F143" s="716">
        <f t="shared" si="10"/>
        <v>150.98000000000002</v>
      </c>
      <c r="G143" s="715">
        <f t="shared" si="10"/>
        <v>0.21918739999999998</v>
      </c>
      <c r="H143" s="717">
        <f t="shared" si="10"/>
        <v>2.2404E-3</v>
      </c>
      <c r="I143" s="1108">
        <f t="shared" si="10"/>
        <v>156.858</v>
      </c>
    </row>
    <row r="144" spans="1:15" x14ac:dyDescent="0.25">
      <c r="A144" s="1107" t="s">
        <v>673</v>
      </c>
      <c r="B144" s="523" t="s">
        <v>131</v>
      </c>
      <c r="C144" s="713">
        <f t="shared" si="10"/>
        <v>1837000</v>
      </c>
      <c r="D144" s="713">
        <f t="shared" si="10"/>
        <v>1430400</v>
      </c>
      <c r="E144" s="713">
        <f t="shared" si="10"/>
        <v>25410</v>
      </c>
      <c r="F144" s="716">
        <f t="shared" si="10"/>
        <v>150.98000000000002</v>
      </c>
      <c r="G144" s="715">
        <f t="shared" si="10"/>
        <v>0.21918739999999998</v>
      </c>
      <c r="H144" s="717">
        <f t="shared" si="10"/>
        <v>2.2404E-3</v>
      </c>
      <c r="I144" s="1108">
        <f t="shared" si="10"/>
        <v>156.858</v>
      </c>
    </row>
    <row r="145" spans="1:9" x14ac:dyDescent="0.25">
      <c r="A145" s="1107" t="s">
        <v>1069</v>
      </c>
      <c r="B145" s="523" t="s">
        <v>132</v>
      </c>
      <c r="C145" s="713">
        <f t="shared" si="10"/>
        <v>1022000</v>
      </c>
      <c r="D145" s="713">
        <f t="shared" si="10"/>
        <v>1021000</v>
      </c>
      <c r="E145" s="713">
        <f t="shared" si="10"/>
        <v>15538</v>
      </c>
      <c r="F145" s="716">
        <f t="shared" si="10"/>
        <v>1.7482800000000001</v>
      </c>
      <c r="G145" s="715">
        <f t="shared" si="10"/>
        <v>0.14098174399999999</v>
      </c>
      <c r="H145" s="717">
        <f t="shared" si="10"/>
        <v>3.36786E-5</v>
      </c>
      <c r="I145" s="1108">
        <f t="shared" si="10"/>
        <v>6.0087799999999998</v>
      </c>
    </row>
    <row r="146" spans="1:9" x14ac:dyDescent="0.25">
      <c r="A146" s="1107" t="s">
        <v>705</v>
      </c>
      <c r="B146" s="523" t="s">
        <v>132</v>
      </c>
      <c r="C146" s="713">
        <f t="shared" si="10"/>
        <v>1022000</v>
      </c>
      <c r="D146" s="713">
        <f t="shared" si="10"/>
        <v>1021000</v>
      </c>
      <c r="E146" s="713">
        <f t="shared" si="10"/>
        <v>15538</v>
      </c>
      <c r="F146" s="716">
        <f t="shared" si="10"/>
        <v>1.7482800000000001</v>
      </c>
      <c r="G146" s="715">
        <f t="shared" si="10"/>
        <v>0.14098174399999999</v>
      </c>
      <c r="H146" s="717">
        <f t="shared" si="10"/>
        <v>3.36786E-5</v>
      </c>
      <c r="I146" s="1108">
        <f t="shared" si="10"/>
        <v>6.0087799999999998</v>
      </c>
    </row>
    <row r="147" spans="1:9" x14ac:dyDescent="0.25">
      <c r="A147" s="1107" t="s">
        <v>706</v>
      </c>
      <c r="B147" s="523" t="s">
        <v>132</v>
      </c>
      <c r="C147" s="713">
        <f t="shared" ref="C147:I155" si="11">+AVERAGEIFS(D$167:D$526,$B$167:$B$526,$A147,$C$167:$C$526,"&gt;="&amp;startup_year,$C$167:$C$526,"&lt;="&amp;(startup_year+anal_period))</f>
        <v>1022000</v>
      </c>
      <c r="D147" s="713">
        <f t="shared" si="11"/>
        <v>1021000</v>
      </c>
      <c r="E147" s="713">
        <f t="shared" si="11"/>
        <v>15538</v>
      </c>
      <c r="F147" s="716">
        <f t="shared" si="11"/>
        <v>1.7482800000000001</v>
      </c>
      <c r="G147" s="715">
        <f t="shared" si="11"/>
        <v>0.14098174399999999</v>
      </c>
      <c r="H147" s="717">
        <f t="shared" si="11"/>
        <v>3.36786E-5</v>
      </c>
      <c r="I147" s="1108">
        <f t="shared" si="11"/>
        <v>6.0087799999999998</v>
      </c>
    </row>
    <row r="148" spans="1:9" x14ac:dyDescent="0.25">
      <c r="A148" s="1107" t="s">
        <v>899</v>
      </c>
      <c r="B148" s="523" t="s">
        <v>133</v>
      </c>
      <c r="C148" s="713">
        <f t="shared" si="11"/>
        <v>1209800</v>
      </c>
      <c r="D148" s="713">
        <f t="shared" si="11"/>
        <v>1203200</v>
      </c>
      <c r="E148" s="713">
        <f t="shared" si="11"/>
        <v>1052200</v>
      </c>
      <c r="F148" s="716">
        <f t="shared" si="11"/>
        <v>18.333400000000001</v>
      </c>
      <c r="G148" s="715">
        <f t="shared" si="11"/>
        <v>0.1638558</v>
      </c>
      <c r="H148" s="717">
        <f t="shared" si="11"/>
        <v>2.9598999999999999E-4</v>
      </c>
      <c r="I148" s="1108">
        <f t="shared" si="11"/>
        <v>23.360400000000002</v>
      </c>
    </row>
    <row r="149" spans="1:9" x14ac:dyDescent="0.25">
      <c r="A149" s="1107" t="s">
        <v>897</v>
      </c>
      <c r="B149" s="523" t="s">
        <v>1084</v>
      </c>
      <c r="C149" s="713">
        <f t="shared" si="11"/>
        <v>1598600</v>
      </c>
      <c r="D149" s="713">
        <f t="shared" si="11"/>
        <v>703960</v>
      </c>
      <c r="E149" s="713">
        <f t="shared" si="11"/>
        <v>287120</v>
      </c>
      <c r="F149" s="716">
        <f t="shared" si="11"/>
        <v>39.183399999999999</v>
      </c>
      <c r="G149" s="715">
        <f t="shared" si="11"/>
        <v>0.11269999999999999</v>
      </c>
      <c r="H149" s="717">
        <f t="shared" si="11"/>
        <v>2.5806000000000003E-2</v>
      </c>
      <c r="I149" s="1108">
        <f t="shared" si="11"/>
        <v>46.212000000000003</v>
      </c>
    </row>
    <row r="150" spans="1:9" x14ac:dyDescent="0.25">
      <c r="A150" s="1109" t="s">
        <v>311</v>
      </c>
      <c r="B150" s="1471" t="s">
        <v>1639</v>
      </c>
      <c r="C150" s="713">
        <v>1813320.0000000002</v>
      </c>
      <c r="D150" s="713">
        <v>547200</v>
      </c>
      <c r="E150" s="713">
        <v>48780.72</v>
      </c>
      <c r="F150" s="716">
        <v>32.962800000000001</v>
      </c>
      <c r="G150" s="715">
        <v>9.4511600000000001E-2</v>
      </c>
      <c r="H150" s="717">
        <v>7.9808599999999993E-2</v>
      </c>
      <c r="I150" s="1108">
        <v>53.151400000000002</v>
      </c>
    </row>
    <row r="151" spans="1:9" x14ac:dyDescent="0.25">
      <c r="A151" s="1107" t="s">
        <v>900</v>
      </c>
      <c r="B151" s="523" t="s">
        <v>133</v>
      </c>
      <c r="C151" s="713">
        <f t="shared" si="11"/>
        <v>1251000</v>
      </c>
      <c r="D151" s="713">
        <f t="shared" si="11"/>
        <v>1243400</v>
      </c>
      <c r="E151" s="713">
        <f t="shared" si="11"/>
        <v>1078600</v>
      </c>
      <c r="F151" s="716">
        <f t="shared" si="11"/>
        <v>24.240199999999998</v>
      </c>
      <c r="G151" s="715">
        <f t="shared" si="11"/>
        <v>0.1695246</v>
      </c>
      <c r="H151" s="717">
        <f t="shared" si="11"/>
        <v>3.8440400000000003E-4</v>
      </c>
      <c r="I151" s="1108">
        <f t="shared" si="11"/>
        <v>29.561399999999999</v>
      </c>
    </row>
    <row r="152" spans="1:9" x14ac:dyDescent="0.25">
      <c r="A152" s="1107" t="s">
        <v>1063</v>
      </c>
      <c r="B152" s="523" t="s">
        <v>1203</v>
      </c>
      <c r="C152" s="713">
        <f t="shared" si="11"/>
        <v>1190200</v>
      </c>
      <c r="D152" s="713">
        <f t="shared" si="11"/>
        <v>52136</v>
      </c>
      <c r="E152" s="713">
        <f t="shared" si="11"/>
        <v>29376</v>
      </c>
      <c r="F152" s="716">
        <f t="shared" si="11"/>
        <v>3.8460799999999997</v>
      </c>
      <c r="G152" s="715">
        <f t="shared" si="11"/>
        <v>8.4834799999999981E-3</v>
      </c>
      <c r="H152" s="717">
        <f t="shared" si="11"/>
        <v>-3.8248612000000002E-3</v>
      </c>
      <c r="I152" s="1108">
        <f t="shared" si="11"/>
        <v>3.0997200000000005</v>
      </c>
    </row>
    <row r="153" spans="1:9" x14ac:dyDescent="0.25">
      <c r="A153" s="1107" t="s">
        <v>804</v>
      </c>
      <c r="B153" s="523" t="s">
        <v>1203</v>
      </c>
      <c r="C153" s="713">
        <f t="shared" si="11"/>
        <v>1190200</v>
      </c>
      <c r="D153" s="713">
        <f t="shared" si="11"/>
        <v>52136</v>
      </c>
      <c r="E153" s="713">
        <f t="shared" si="11"/>
        <v>29376</v>
      </c>
      <c r="F153" s="716">
        <f t="shared" si="11"/>
        <v>3.8460799999999997</v>
      </c>
      <c r="G153" s="715">
        <f t="shared" si="11"/>
        <v>8.4834799999999981E-3</v>
      </c>
      <c r="H153" s="717">
        <f t="shared" si="11"/>
        <v>-3.8248612000000002E-3</v>
      </c>
      <c r="I153" s="1108">
        <f t="shared" si="11"/>
        <v>3.0997200000000005</v>
      </c>
    </row>
    <row r="154" spans="1:9" x14ac:dyDescent="0.25">
      <c r="A154" s="1107" t="s">
        <v>812</v>
      </c>
      <c r="B154" s="523" t="s">
        <v>1203</v>
      </c>
      <c r="C154" s="713">
        <f t="shared" si="11"/>
        <v>1190200</v>
      </c>
      <c r="D154" s="713">
        <f t="shared" si="11"/>
        <v>52136</v>
      </c>
      <c r="E154" s="713">
        <f t="shared" si="11"/>
        <v>29376</v>
      </c>
      <c r="F154" s="716">
        <f t="shared" si="11"/>
        <v>3.8460799999999997</v>
      </c>
      <c r="G154" s="715">
        <f t="shared" si="11"/>
        <v>8.4834799999999981E-3</v>
      </c>
      <c r="H154" s="717">
        <f t="shared" si="11"/>
        <v>-3.8248612000000002E-3</v>
      </c>
      <c r="I154" s="1108">
        <f t="shared" si="11"/>
        <v>3.0997200000000005</v>
      </c>
    </row>
    <row r="155" spans="1:9" ht="13.8" thickBot="1" x14ac:dyDescent="0.3">
      <c r="A155" s="1111" t="s">
        <v>1070</v>
      </c>
      <c r="B155" s="1112" t="s">
        <v>1204</v>
      </c>
      <c r="C155" s="1113">
        <f t="shared" si="11"/>
        <v>1384200</v>
      </c>
      <c r="D155" s="1113">
        <f t="shared" si="11"/>
        <v>1383400</v>
      </c>
      <c r="E155" s="1113">
        <f t="shared" si="11"/>
        <v>5061.2</v>
      </c>
      <c r="F155" s="1114">
        <f t="shared" si="11"/>
        <v>78.630040000000008</v>
      </c>
      <c r="G155" s="1115">
        <f t="shared" si="11"/>
        <v>0.27492</v>
      </c>
      <c r="H155" s="1116">
        <f t="shared" si="11"/>
        <v>2.33154E-3</v>
      </c>
      <c r="I155" s="1117">
        <f t="shared" si="11"/>
        <v>87.653500000000008</v>
      </c>
    </row>
    <row r="164" spans="2:10" ht="13.8" thickBot="1" x14ac:dyDescent="0.3">
      <c r="B164" s="299" t="s">
        <v>1201</v>
      </c>
    </row>
    <row r="165" spans="2:10" ht="39.6" x14ac:dyDescent="0.25">
      <c r="D165" s="1079" t="s">
        <v>123</v>
      </c>
      <c r="E165" s="1080"/>
      <c r="F165" s="1081"/>
      <c r="G165" s="1079" t="s">
        <v>124</v>
      </c>
      <c r="H165" s="1080"/>
      <c r="I165" s="1080"/>
      <c r="J165" s="1081" t="s">
        <v>125</v>
      </c>
    </row>
    <row r="166" spans="2:10" ht="13.8" thickBot="1" x14ac:dyDescent="0.3">
      <c r="B166" s="1" t="s">
        <v>247</v>
      </c>
      <c r="C166" s="1" t="s">
        <v>1066</v>
      </c>
      <c r="D166" s="1082" t="s">
        <v>128</v>
      </c>
      <c r="E166" s="1083" t="s">
        <v>395</v>
      </c>
      <c r="F166" s="1084" t="s">
        <v>396</v>
      </c>
      <c r="G166" s="1082" t="s">
        <v>400</v>
      </c>
      <c r="H166" s="1083" t="s">
        <v>401</v>
      </c>
      <c r="I166" s="1083" t="s">
        <v>402</v>
      </c>
      <c r="J166" s="1084" t="s">
        <v>129</v>
      </c>
    </row>
    <row r="167" spans="2:10" x14ac:dyDescent="0.25">
      <c r="B167" s="1085" t="s">
        <v>1067</v>
      </c>
      <c r="C167" s="1086">
        <v>2005</v>
      </c>
      <c r="D167" s="1085">
        <v>1094000</v>
      </c>
      <c r="E167" s="1087">
        <v>1094000</v>
      </c>
      <c r="F167" s="1088">
        <v>4252</v>
      </c>
      <c r="G167" s="1085">
        <v>5.9984999999999999</v>
      </c>
      <c r="H167" s="1087">
        <v>0.18232600000000002</v>
      </c>
      <c r="I167" s="1087">
        <v>8.8801999999999994E-5</v>
      </c>
      <c r="J167" s="1088">
        <v>11.536999999999999</v>
      </c>
    </row>
    <row r="168" spans="2:10" x14ac:dyDescent="0.25">
      <c r="B168" s="1089" t="s">
        <v>282</v>
      </c>
      <c r="C168" s="1090">
        <v>2005</v>
      </c>
      <c r="D168" s="1089">
        <v>1094000</v>
      </c>
      <c r="E168" s="1091">
        <v>1094000</v>
      </c>
      <c r="F168" s="1092">
        <v>4252</v>
      </c>
      <c r="G168" s="1089">
        <v>5.9984999999999999</v>
      </c>
      <c r="H168" s="1091">
        <v>0.18232600000000002</v>
      </c>
      <c r="I168" s="1091">
        <v>8.8801999999999994E-5</v>
      </c>
      <c r="J168" s="1092">
        <v>11.536999999999999</v>
      </c>
    </row>
    <row r="169" spans="2:10" x14ac:dyDescent="0.25">
      <c r="B169" s="1089" t="s">
        <v>1068</v>
      </c>
      <c r="C169" s="1090">
        <v>2005</v>
      </c>
      <c r="D169" s="1089">
        <v>1094000</v>
      </c>
      <c r="E169" s="1091">
        <v>1094000</v>
      </c>
      <c r="F169" s="1092">
        <v>4252</v>
      </c>
      <c r="G169" s="1089">
        <v>5.9984999999999999</v>
      </c>
      <c r="H169" s="1091">
        <v>0.18232600000000002</v>
      </c>
      <c r="I169" s="1091">
        <v>8.8801999999999994E-5</v>
      </c>
      <c r="J169" s="1092">
        <v>11.536999999999999</v>
      </c>
    </row>
    <row r="170" spans="2:10" x14ac:dyDescent="0.25">
      <c r="B170" s="1089" t="s">
        <v>670</v>
      </c>
      <c r="C170" s="1090">
        <v>2005</v>
      </c>
      <c r="D170" s="1089">
        <v>1094000</v>
      </c>
      <c r="E170" s="1091">
        <v>1094000</v>
      </c>
      <c r="F170" s="1092">
        <v>4252</v>
      </c>
      <c r="G170" s="1089">
        <v>5.9984999999999999</v>
      </c>
      <c r="H170" s="1091">
        <v>0.18232600000000002</v>
      </c>
      <c r="I170" s="1091">
        <v>8.8801999999999994E-5</v>
      </c>
      <c r="J170" s="1092">
        <v>11.536999999999999</v>
      </c>
    </row>
    <row r="171" spans="2:10" x14ac:dyDescent="0.25">
      <c r="B171" s="1089" t="s">
        <v>671</v>
      </c>
      <c r="C171" s="1090">
        <v>2005</v>
      </c>
      <c r="D171" s="1089">
        <v>-1208000</v>
      </c>
      <c r="E171" s="1091">
        <v>0</v>
      </c>
      <c r="F171" s="1092">
        <v>0</v>
      </c>
      <c r="G171" s="1089">
        <v>-85.789999999999992</v>
      </c>
      <c r="H171" s="1091">
        <v>0.54689999999999994</v>
      </c>
      <c r="I171" s="1091">
        <v>-1.4884E-3</v>
      </c>
      <c r="J171" s="1092">
        <v>-70</v>
      </c>
    </row>
    <row r="172" spans="2:10" x14ac:dyDescent="0.25">
      <c r="B172" s="1089" t="s">
        <v>672</v>
      </c>
      <c r="C172" s="1090">
        <v>2005</v>
      </c>
      <c r="D172" s="1089">
        <v>2475000</v>
      </c>
      <c r="E172" s="1091">
        <v>2129000</v>
      </c>
      <c r="F172" s="1092">
        <v>124000</v>
      </c>
      <c r="G172" s="1089">
        <v>251.83</v>
      </c>
      <c r="H172" s="1091">
        <v>0.31369799999999998</v>
      </c>
      <c r="I172" s="1091">
        <v>3.6604999999999997E-3</v>
      </c>
      <c r="J172" s="1092">
        <v>255.85999999999999</v>
      </c>
    </row>
    <row r="173" spans="2:10" x14ac:dyDescent="0.25">
      <c r="B173" s="1089" t="s">
        <v>687</v>
      </c>
      <c r="C173" s="1090">
        <v>2005</v>
      </c>
      <c r="D173" s="1089">
        <v>2475000</v>
      </c>
      <c r="E173" s="1091">
        <v>2129000</v>
      </c>
      <c r="F173" s="1092">
        <v>124000</v>
      </c>
      <c r="G173" s="1089">
        <v>251.83</v>
      </c>
      <c r="H173" s="1091">
        <v>0.31369799999999998</v>
      </c>
      <c r="I173" s="1091">
        <v>3.6604999999999997E-3</v>
      </c>
      <c r="J173" s="1092">
        <v>255.85999999999999</v>
      </c>
    </row>
    <row r="174" spans="2:10" x14ac:dyDescent="0.25">
      <c r="B174" s="1089" t="s">
        <v>673</v>
      </c>
      <c r="C174" s="1090">
        <v>2005</v>
      </c>
      <c r="D174" s="1089">
        <v>2475000</v>
      </c>
      <c r="E174" s="1091">
        <v>2129000</v>
      </c>
      <c r="F174" s="1092">
        <v>124000</v>
      </c>
      <c r="G174" s="1089">
        <v>251.83</v>
      </c>
      <c r="H174" s="1091">
        <v>0.31369799999999998</v>
      </c>
      <c r="I174" s="1091">
        <v>3.6604999999999997E-3</v>
      </c>
      <c r="J174" s="1092">
        <v>255.85999999999999</v>
      </c>
    </row>
    <row r="175" spans="2:10" x14ac:dyDescent="0.25">
      <c r="B175" s="1089" t="s">
        <v>1069</v>
      </c>
      <c r="C175" s="1090">
        <v>2005</v>
      </c>
      <c r="D175" s="1089">
        <v>1023000</v>
      </c>
      <c r="E175" s="1091">
        <v>1022000</v>
      </c>
      <c r="F175" s="1092">
        <v>15840</v>
      </c>
      <c r="G175" s="1089">
        <v>1.9352</v>
      </c>
      <c r="H175" s="1091">
        <v>0.14136591000000001</v>
      </c>
      <c r="I175" s="1091">
        <v>3.6392E-5</v>
      </c>
      <c r="J175" s="1092">
        <v>6.2023000000000001</v>
      </c>
    </row>
    <row r="176" spans="2:10" x14ac:dyDescent="0.25">
      <c r="B176" s="1089" t="s">
        <v>705</v>
      </c>
      <c r="C176" s="1090">
        <v>2005</v>
      </c>
      <c r="D176" s="1089">
        <v>1023000</v>
      </c>
      <c r="E176" s="1091">
        <v>1022000</v>
      </c>
      <c r="F176" s="1092">
        <v>15840</v>
      </c>
      <c r="G176" s="1089">
        <v>1.9352</v>
      </c>
      <c r="H176" s="1091">
        <v>0.14136591000000001</v>
      </c>
      <c r="I176" s="1091">
        <v>3.6392E-5</v>
      </c>
      <c r="J176" s="1092">
        <v>6.2023000000000001</v>
      </c>
    </row>
    <row r="177" spans="2:10" x14ac:dyDescent="0.25">
      <c r="B177" s="1089" t="s">
        <v>706</v>
      </c>
      <c r="C177" s="1090">
        <v>2005</v>
      </c>
      <c r="D177" s="1089">
        <v>1023000</v>
      </c>
      <c r="E177" s="1091">
        <v>1022000</v>
      </c>
      <c r="F177" s="1092">
        <v>15840</v>
      </c>
      <c r="G177" s="1089">
        <v>1.9352</v>
      </c>
      <c r="H177" s="1091">
        <v>0.14136591000000001</v>
      </c>
      <c r="I177" s="1091">
        <v>3.6392E-5</v>
      </c>
      <c r="J177" s="1092">
        <v>6.2023000000000001</v>
      </c>
    </row>
    <row r="178" spans="2:10" x14ac:dyDescent="0.25">
      <c r="B178" s="1089" t="s">
        <v>899</v>
      </c>
      <c r="C178" s="1090">
        <v>2005</v>
      </c>
      <c r="D178" s="1089">
        <v>1205000</v>
      </c>
      <c r="E178" s="1091">
        <v>1200000</v>
      </c>
      <c r="F178" s="1092">
        <v>1056000</v>
      </c>
      <c r="G178" s="1089">
        <v>18.433</v>
      </c>
      <c r="H178" s="1091">
        <v>0.18217</v>
      </c>
      <c r="I178" s="1091">
        <v>2.0549999999999998E-4</v>
      </c>
      <c r="J178" s="1092">
        <v>23.908999999999999</v>
      </c>
    </row>
    <row r="179" spans="2:10" x14ac:dyDescent="0.25">
      <c r="B179" s="1089" t="s">
        <v>897</v>
      </c>
      <c r="C179" s="1090">
        <v>2005</v>
      </c>
      <c r="D179" s="1089">
        <v>1760000</v>
      </c>
      <c r="E179" s="1091">
        <v>783400</v>
      </c>
      <c r="F179" s="1092">
        <v>307400</v>
      </c>
      <c r="G179" s="1089">
        <v>47.923999999999999</v>
      </c>
      <c r="H179" s="1091">
        <v>0.13161500000000001</v>
      </c>
      <c r="I179" s="1091">
        <v>3.3619999999999997E-2</v>
      </c>
      <c r="J179" s="1092">
        <v>56.43</v>
      </c>
    </row>
    <row r="180" spans="2:10" x14ac:dyDescent="0.25">
      <c r="B180" s="1089" t="s">
        <v>900</v>
      </c>
      <c r="C180" s="1090">
        <v>2005</v>
      </c>
      <c r="D180" s="1089">
        <v>1248000</v>
      </c>
      <c r="E180" s="1091">
        <v>1242000</v>
      </c>
      <c r="F180" s="1092">
        <v>1084000</v>
      </c>
      <c r="G180" s="1089">
        <v>24.465</v>
      </c>
      <c r="H180" s="1091">
        <v>0.18840200000000001</v>
      </c>
      <c r="I180" s="1091">
        <v>2.7361999999999997E-4</v>
      </c>
      <c r="J180" s="1092">
        <v>30.237000000000002</v>
      </c>
    </row>
    <row r="181" spans="2:10" x14ac:dyDescent="0.25">
      <c r="B181" s="1089" t="s">
        <v>1063</v>
      </c>
      <c r="C181" s="1090">
        <v>2005</v>
      </c>
      <c r="D181" s="1089">
        <v>1195000</v>
      </c>
      <c r="E181" s="1091">
        <v>56800</v>
      </c>
      <c r="F181" s="1092">
        <v>32280</v>
      </c>
      <c r="G181" s="1089">
        <v>4.3339999999999996</v>
      </c>
      <c r="H181" s="1091">
        <v>9.434399999999999E-3</v>
      </c>
      <c r="I181" s="1091">
        <v>-3.8369229999999999E-3</v>
      </c>
      <c r="J181" s="1092">
        <v>3.6147</v>
      </c>
    </row>
    <row r="182" spans="2:10" x14ac:dyDescent="0.25">
      <c r="B182" s="1089" t="s">
        <v>804</v>
      </c>
      <c r="C182" s="1090">
        <v>2005</v>
      </c>
      <c r="D182" s="1089">
        <v>1195000</v>
      </c>
      <c r="E182" s="1091">
        <v>56800</v>
      </c>
      <c r="F182" s="1092">
        <v>32280</v>
      </c>
      <c r="G182" s="1089">
        <v>4.3339999999999996</v>
      </c>
      <c r="H182" s="1091">
        <v>9.434399999999999E-3</v>
      </c>
      <c r="I182" s="1091">
        <v>-3.8369229999999999E-3</v>
      </c>
      <c r="J182" s="1092">
        <v>3.6147</v>
      </c>
    </row>
    <row r="183" spans="2:10" x14ac:dyDescent="0.25">
      <c r="B183" s="1089" t="s">
        <v>812</v>
      </c>
      <c r="C183" s="1090">
        <v>2005</v>
      </c>
      <c r="D183" s="1089">
        <v>1195000</v>
      </c>
      <c r="E183" s="1091">
        <v>56800</v>
      </c>
      <c r="F183" s="1092">
        <v>32280</v>
      </c>
      <c r="G183" s="1089">
        <v>4.3339999999999996</v>
      </c>
      <c r="H183" s="1091">
        <v>9.434399999999999E-3</v>
      </c>
      <c r="I183" s="1091">
        <v>-3.8369229999999999E-3</v>
      </c>
      <c r="J183" s="1092">
        <v>3.6147</v>
      </c>
    </row>
    <row r="184" spans="2:10" ht="13.8" thickBot="1" x14ac:dyDescent="0.3">
      <c r="B184" s="1093" t="s">
        <v>1070</v>
      </c>
      <c r="C184" s="1094">
        <v>2005</v>
      </c>
      <c r="D184" s="1093">
        <v>1387000</v>
      </c>
      <c r="E184" s="1095">
        <v>1386000</v>
      </c>
      <c r="F184" s="1096">
        <v>5427</v>
      </c>
      <c r="G184" s="1093">
        <v>78.934799999999996</v>
      </c>
      <c r="H184" s="1095">
        <v>0.27050000000000002</v>
      </c>
      <c r="I184" s="1095">
        <v>1.418723E-3</v>
      </c>
      <c r="J184" s="1096">
        <v>87.571399999999997</v>
      </c>
    </row>
    <row r="185" spans="2:10" x14ac:dyDescent="0.25">
      <c r="B185" s="1085" t="s">
        <v>1067</v>
      </c>
      <c r="C185" s="1086">
        <v>2010</v>
      </c>
      <c r="D185" s="1085">
        <v>1094000</v>
      </c>
      <c r="E185" s="1087">
        <v>1093000</v>
      </c>
      <c r="F185" s="1088">
        <v>4104</v>
      </c>
      <c r="G185" s="1085">
        <v>5.9177</v>
      </c>
      <c r="H185" s="1087">
        <v>0.18431800000000001</v>
      </c>
      <c r="I185" s="1087">
        <v>8.6370000000000001E-4</v>
      </c>
      <c r="J185" s="1088">
        <v>11.7387</v>
      </c>
    </row>
    <row r="186" spans="2:10" x14ac:dyDescent="0.25">
      <c r="B186" s="1089" t="s">
        <v>282</v>
      </c>
      <c r="C186" s="1090">
        <v>2010</v>
      </c>
      <c r="D186" s="1089">
        <v>1094000</v>
      </c>
      <c r="E186" s="1091">
        <v>1093000</v>
      </c>
      <c r="F186" s="1092">
        <v>4104</v>
      </c>
      <c r="G186" s="1089">
        <v>5.9177</v>
      </c>
      <c r="H186" s="1091">
        <v>0.18431800000000001</v>
      </c>
      <c r="I186" s="1091">
        <v>8.6370000000000001E-4</v>
      </c>
      <c r="J186" s="1092">
        <v>11.7387</v>
      </c>
    </row>
    <row r="187" spans="2:10" x14ac:dyDescent="0.25">
      <c r="B187" s="1089" t="s">
        <v>1068</v>
      </c>
      <c r="C187" s="1090">
        <v>2010</v>
      </c>
      <c r="D187" s="1089">
        <v>1094000</v>
      </c>
      <c r="E187" s="1091">
        <v>1093000</v>
      </c>
      <c r="F187" s="1092">
        <v>4104</v>
      </c>
      <c r="G187" s="1089">
        <v>5.9177</v>
      </c>
      <c r="H187" s="1091">
        <v>0.18431800000000001</v>
      </c>
      <c r="I187" s="1091">
        <v>8.6370000000000001E-4</v>
      </c>
      <c r="J187" s="1092">
        <v>11.7387</v>
      </c>
    </row>
    <row r="188" spans="2:10" x14ac:dyDescent="0.25">
      <c r="B188" s="1089" t="s">
        <v>670</v>
      </c>
      <c r="C188" s="1090">
        <v>2010</v>
      </c>
      <c r="D188" s="1089">
        <v>1094000</v>
      </c>
      <c r="E188" s="1091">
        <v>1093000</v>
      </c>
      <c r="F188" s="1092">
        <v>4104</v>
      </c>
      <c r="G188" s="1089">
        <v>5.9177</v>
      </c>
      <c r="H188" s="1091">
        <v>0.18431800000000001</v>
      </c>
      <c r="I188" s="1091">
        <v>8.6370000000000001E-4</v>
      </c>
      <c r="J188" s="1092">
        <v>11.7387</v>
      </c>
    </row>
    <row r="189" spans="2:10" x14ac:dyDescent="0.25">
      <c r="B189" s="1089" t="s">
        <v>671</v>
      </c>
      <c r="C189" s="1090">
        <v>2010</v>
      </c>
      <c r="D189" s="1089">
        <v>-1208000</v>
      </c>
      <c r="E189" s="1091">
        <v>0</v>
      </c>
      <c r="F189" s="1092">
        <v>0</v>
      </c>
      <c r="G189" s="1089">
        <v>-85.789999999999992</v>
      </c>
      <c r="H189" s="1091">
        <v>0.54600000000000004</v>
      </c>
      <c r="I189" s="1091">
        <v>-1.8614999999999999E-3</v>
      </c>
      <c r="J189" s="1092">
        <v>-70.12</v>
      </c>
    </row>
    <row r="190" spans="2:10" x14ac:dyDescent="0.25">
      <c r="B190" s="1089" t="s">
        <v>672</v>
      </c>
      <c r="C190" s="1090">
        <v>2010</v>
      </c>
      <c r="D190" s="1089">
        <v>2254000</v>
      </c>
      <c r="E190" s="1091">
        <v>1938000</v>
      </c>
      <c r="F190" s="1092">
        <v>52730</v>
      </c>
      <c r="G190" s="1089">
        <v>220.67</v>
      </c>
      <c r="H190" s="1091">
        <v>0.288267</v>
      </c>
      <c r="I190" s="1091">
        <v>3.4012000000000001E-3</v>
      </c>
      <c r="J190" s="1092">
        <v>228.91000000000003</v>
      </c>
    </row>
    <row r="191" spans="2:10" x14ac:dyDescent="0.25">
      <c r="B191" s="1089" t="s">
        <v>687</v>
      </c>
      <c r="C191" s="1090">
        <v>2010</v>
      </c>
      <c r="D191" s="1089">
        <v>2254000</v>
      </c>
      <c r="E191" s="1091">
        <v>1938000</v>
      </c>
      <c r="F191" s="1092">
        <v>52730</v>
      </c>
      <c r="G191" s="1089">
        <v>220.67</v>
      </c>
      <c r="H191" s="1091">
        <v>0.288267</v>
      </c>
      <c r="I191" s="1091">
        <v>3.4012000000000001E-3</v>
      </c>
      <c r="J191" s="1092">
        <v>228.91000000000003</v>
      </c>
    </row>
    <row r="192" spans="2:10" x14ac:dyDescent="0.25">
      <c r="B192" s="1089" t="s">
        <v>673</v>
      </c>
      <c r="C192" s="1090">
        <v>2010</v>
      </c>
      <c r="D192" s="1089">
        <v>2254000</v>
      </c>
      <c r="E192" s="1091">
        <v>1938000</v>
      </c>
      <c r="F192" s="1092">
        <v>52730</v>
      </c>
      <c r="G192" s="1089">
        <v>220.67</v>
      </c>
      <c r="H192" s="1091">
        <v>0.288267</v>
      </c>
      <c r="I192" s="1091">
        <v>3.4012000000000001E-3</v>
      </c>
      <c r="J192" s="1092">
        <v>228.91000000000003</v>
      </c>
    </row>
    <row r="193" spans="2:10" x14ac:dyDescent="0.25">
      <c r="B193" s="1089" t="s">
        <v>1069</v>
      </c>
      <c r="C193" s="1090">
        <v>2010</v>
      </c>
      <c r="D193" s="1089">
        <v>1023000</v>
      </c>
      <c r="E193" s="1091">
        <v>1022000</v>
      </c>
      <c r="F193" s="1092">
        <v>15710</v>
      </c>
      <c r="G193" s="1089">
        <v>1.8761000000000001</v>
      </c>
      <c r="H193" s="1091">
        <v>0.14136795000000002</v>
      </c>
      <c r="I193" s="1091">
        <v>3.5802E-5</v>
      </c>
      <c r="J193" s="1092">
        <v>6.1511000000000005</v>
      </c>
    </row>
    <row r="194" spans="2:10" x14ac:dyDescent="0.25">
      <c r="B194" s="1089" t="s">
        <v>705</v>
      </c>
      <c r="C194" s="1090">
        <v>2010</v>
      </c>
      <c r="D194" s="1089">
        <v>1023000</v>
      </c>
      <c r="E194" s="1091">
        <v>1022000</v>
      </c>
      <c r="F194" s="1092">
        <v>15710</v>
      </c>
      <c r="G194" s="1089">
        <v>1.8761000000000001</v>
      </c>
      <c r="H194" s="1091">
        <v>0.14136795000000002</v>
      </c>
      <c r="I194" s="1091">
        <v>3.5802E-5</v>
      </c>
      <c r="J194" s="1092">
        <v>6.1511000000000005</v>
      </c>
    </row>
    <row r="195" spans="2:10" x14ac:dyDescent="0.25">
      <c r="B195" s="1089" t="s">
        <v>706</v>
      </c>
      <c r="C195" s="1090">
        <v>2010</v>
      </c>
      <c r="D195" s="1089">
        <v>1023000</v>
      </c>
      <c r="E195" s="1091">
        <v>1022000</v>
      </c>
      <c r="F195" s="1092">
        <v>15710</v>
      </c>
      <c r="G195" s="1089">
        <v>1.8761000000000001</v>
      </c>
      <c r="H195" s="1091">
        <v>0.14136795000000002</v>
      </c>
      <c r="I195" s="1091">
        <v>3.5802E-5</v>
      </c>
      <c r="J195" s="1092">
        <v>6.1511000000000005</v>
      </c>
    </row>
    <row r="196" spans="2:10" x14ac:dyDescent="0.25">
      <c r="B196" s="1089" t="s">
        <v>899</v>
      </c>
      <c r="C196" s="1090">
        <v>2010</v>
      </c>
      <c r="D196" s="1089">
        <v>1206000</v>
      </c>
      <c r="E196" s="1091">
        <v>1201000</v>
      </c>
      <c r="F196" s="1092">
        <v>1056000</v>
      </c>
      <c r="G196" s="1089">
        <v>18.166999999999998</v>
      </c>
      <c r="H196" s="1091">
        <v>0.18199899999999999</v>
      </c>
      <c r="I196" s="1091">
        <v>2.9639E-4</v>
      </c>
      <c r="J196" s="1092">
        <v>23.741999999999997</v>
      </c>
    </row>
    <row r="197" spans="2:10" x14ac:dyDescent="0.25">
      <c r="B197" s="1089" t="s">
        <v>897</v>
      </c>
      <c r="C197" s="1090">
        <v>2010</v>
      </c>
      <c r="D197" s="1089">
        <v>1687000</v>
      </c>
      <c r="E197" s="1091">
        <v>740000</v>
      </c>
      <c r="F197" s="1092">
        <v>297100</v>
      </c>
      <c r="G197" s="1089">
        <v>42.921999999999997</v>
      </c>
      <c r="H197" s="1091">
        <v>0.12687100000000001</v>
      </c>
      <c r="I197" s="1091">
        <v>2.955E-2</v>
      </c>
      <c r="J197" s="1092">
        <v>50.54</v>
      </c>
    </row>
    <row r="198" spans="2:10" x14ac:dyDescent="0.25">
      <c r="B198" s="1089" t="s">
        <v>900</v>
      </c>
      <c r="C198" s="1090">
        <v>2010</v>
      </c>
      <c r="D198" s="1089">
        <v>1248000</v>
      </c>
      <c r="E198" s="1091">
        <v>1242000</v>
      </c>
      <c r="F198" s="1092">
        <v>1083000</v>
      </c>
      <c r="G198" s="1089">
        <v>24.158999999999999</v>
      </c>
      <c r="H198" s="1091">
        <v>0.18823500000000001</v>
      </c>
      <c r="I198" s="1091">
        <v>3.8572999999999998E-4</v>
      </c>
      <c r="J198" s="1092">
        <v>30.041</v>
      </c>
    </row>
    <row r="199" spans="2:10" x14ac:dyDescent="0.25">
      <c r="B199" s="1089" t="s">
        <v>1063</v>
      </c>
      <c r="C199" s="1090">
        <v>2010</v>
      </c>
      <c r="D199" s="1089">
        <v>1194000</v>
      </c>
      <c r="E199" s="1091">
        <v>56320</v>
      </c>
      <c r="F199" s="1092">
        <v>32080</v>
      </c>
      <c r="G199" s="1089">
        <v>4.2514000000000003</v>
      </c>
      <c r="H199" s="1091">
        <v>9.6048000000000001E-3</v>
      </c>
      <c r="I199" s="1091">
        <v>-3.820487E-3</v>
      </c>
      <c r="J199" s="1092">
        <v>3.5488999999999997</v>
      </c>
    </row>
    <row r="200" spans="2:10" x14ac:dyDescent="0.25">
      <c r="B200" s="1089" t="s">
        <v>804</v>
      </c>
      <c r="C200" s="1090">
        <v>2010</v>
      </c>
      <c r="D200" s="1089">
        <v>1194000</v>
      </c>
      <c r="E200" s="1091">
        <v>56320</v>
      </c>
      <c r="F200" s="1092">
        <v>32080</v>
      </c>
      <c r="G200" s="1089">
        <v>4.2514000000000003</v>
      </c>
      <c r="H200" s="1091">
        <v>9.6048000000000001E-3</v>
      </c>
      <c r="I200" s="1091">
        <v>-3.820487E-3</v>
      </c>
      <c r="J200" s="1092">
        <v>3.5488999999999997</v>
      </c>
    </row>
    <row r="201" spans="2:10" x14ac:dyDescent="0.25">
      <c r="B201" s="1089" t="s">
        <v>812</v>
      </c>
      <c r="C201" s="1090">
        <v>2010</v>
      </c>
      <c r="D201" s="1089">
        <v>1194000</v>
      </c>
      <c r="E201" s="1091">
        <v>56320</v>
      </c>
      <c r="F201" s="1092">
        <v>32080</v>
      </c>
      <c r="G201" s="1089">
        <v>4.2514000000000003</v>
      </c>
      <c r="H201" s="1091">
        <v>9.6048000000000001E-3</v>
      </c>
      <c r="I201" s="1091">
        <v>-3.820487E-3</v>
      </c>
      <c r="J201" s="1092">
        <v>3.5488999999999997</v>
      </c>
    </row>
    <row r="202" spans="2:10" ht="13.8" thickBot="1" x14ac:dyDescent="0.3">
      <c r="B202" s="1093" t="s">
        <v>1070</v>
      </c>
      <c r="C202" s="1094">
        <v>2010</v>
      </c>
      <c r="D202" s="1093">
        <v>1386000</v>
      </c>
      <c r="E202" s="1095">
        <v>1385000</v>
      </c>
      <c r="F202" s="1096">
        <v>5215</v>
      </c>
      <c r="G202" s="1093">
        <v>78.8352</v>
      </c>
      <c r="H202" s="1095">
        <v>0.27453</v>
      </c>
      <c r="I202" s="1095">
        <v>2.3346E-3</v>
      </c>
      <c r="J202" s="1096">
        <v>87.848799999999997</v>
      </c>
    </row>
    <row r="203" spans="2:10" x14ac:dyDescent="0.25">
      <c r="B203" s="1085" t="s">
        <v>1067</v>
      </c>
      <c r="C203" s="1086">
        <v>2015</v>
      </c>
      <c r="D203" s="1085">
        <v>1093000</v>
      </c>
      <c r="E203" s="1087">
        <v>1092000</v>
      </c>
      <c r="F203" s="1088">
        <v>4020</v>
      </c>
      <c r="G203" s="1085">
        <v>5.8287000000000004</v>
      </c>
      <c r="H203" s="1087">
        <v>0.18472100000000002</v>
      </c>
      <c r="I203" s="1087">
        <v>8.6249999999999999E-4</v>
      </c>
      <c r="J203" s="1088">
        <v>11.659600000000001</v>
      </c>
    </row>
    <row r="204" spans="2:10" x14ac:dyDescent="0.25">
      <c r="B204" s="1089" t="s">
        <v>282</v>
      </c>
      <c r="C204" s="1090">
        <v>2015</v>
      </c>
      <c r="D204" s="1089">
        <v>1093000</v>
      </c>
      <c r="E204" s="1091">
        <v>1092000</v>
      </c>
      <c r="F204" s="1092">
        <v>4020</v>
      </c>
      <c r="G204" s="1089">
        <v>5.8287000000000004</v>
      </c>
      <c r="H204" s="1091">
        <v>0.18472100000000002</v>
      </c>
      <c r="I204" s="1091">
        <v>8.6249999999999999E-4</v>
      </c>
      <c r="J204" s="1092">
        <v>11.659600000000001</v>
      </c>
    </row>
    <row r="205" spans="2:10" x14ac:dyDescent="0.25">
      <c r="B205" s="1089" t="s">
        <v>1068</v>
      </c>
      <c r="C205" s="1090">
        <v>2015</v>
      </c>
      <c r="D205" s="1089">
        <v>1093000</v>
      </c>
      <c r="E205" s="1091">
        <v>1092000</v>
      </c>
      <c r="F205" s="1092">
        <v>4020</v>
      </c>
      <c r="G205" s="1089">
        <v>5.8287000000000004</v>
      </c>
      <c r="H205" s="1091">
        <v>0.18472100000000002</v>
      </c>
      <c r="I205" s="1091">
        <v>8.6249999999999999E-4</v>
      </c>
      <c r="J205" s="1092">
        <v>11.659600000000001</v>
      </c>
    </row>
    <row r="206" spans="2:10" x14ac:dyDescent="0.25">
      <c r="B206" s="1089" t="s">
        <v>670</v>
      </c>
      <c r="C206" s="1090">
        <v>2015</v>
      </c>
      <c r="D206" s="1089">
        <v>1093000</v>
      </c>
      <c r="E206" s="1091">
        <v>1092000</v>
      </c>
      <c r="F206" s="1092">
        <v>4020</v>
      </c>
      <c r="G206" s="1089">
        <v>5.8287000000000004</v>
      </c>
      <c r="H206" s="1091">
        <v>0.18472100000000002</v>
      </c>
      <c r="I206" s="1091">
        <v>8.6249999999999999E-4</v>
      </c>
      <c r="J206" s="1092">
        <v>11.659600000000001</v>
      </c>
    </row>
    <row r="207" spans="2:10" x14ac:dyDescent="0.25">
      <c r="B207" s="1089" t="s">
        <v>671</v>
      </c>
      <c r="C207" s="1090">
        <v>2015</v>
      </c>
      <c r="D207" s="1089">
        <v>-1194000</v>
      </c>
      <c r="E207" s="1091">
        <v>0</v>
      </c>
      <c r="F207" s="1092">
        <v>0</v>
      </c>
      <c r="G207" s="1089">
        <v>-85.789999999999992</v>
      </c>
      <c r="H207" s="1091">
        <v>0.54659999999999997</v>
      </c>
      <c r="I207" s="1091">
        <v>-1.8422E-3</v>
      </c>
      <c r="J207" s="1092">
        <v>-70.099999999999994</v>
      </c>
    </row>
    <row r="208" spans="2:10" x14ac:dyDescent="0.25">
      <c r="B208" s="1089" t="s">
        <v>672</v>
      </c>
      <c r="C208" s="1090">
        <v>2015</v>
      </c>
      <c r="D208" s="1089">
        <v>2038000</v>
      </c>
      <c r="E208" s="1091">
        <v>1688000</v>
      </c>
      <c r="F208" s="1092">
        <v>38920</v>
      </c>
      <c r="G208" s="1089">
        <v>180.61</v>
      </c>
      <c r="H208" s="1091">
        <v>0.25748300000000002</v>
      </c>
      <c r="I208" s="1091">
        <v>2.7356999999999998E-3</v>
      </c>
      <c r="J208" s="1092">
        <v>187.32</v>
      </c>
    </row>
    <row r="209" spans="2:10" x14ac:dyDescent="0.25">
      <c r="B209" s="1089" t="s">
        <v>687</v>
      </c>
      <c r="C209" s="1090">
        <v>2015</v>
      </c>
      <c r="D209" s="1089">
        <v>2038000</v>
      </c>
      <c r="E209" s="1091">
        <v>1688000</v>
      </c>
      <c r="F209" s="1092">
        <v>38920</v>
      </c>
      <c r="G209" s="1089">
        <v>180.61</v>
      </c>
      <c r="H209" s="1091">
        <v>0.25748300000000002</v>
      </c>
      <c r="I209" s="1091">
        <v>2.7356999999999998E-3</v>
      </c>
      <c r="J209" s="1092">
        <v>187.32</v>
      </c>
    </row>
    <row r="210" spans="2:10" x14ac:dyDescent="0.25">
      <c r="B210" s="1089" t="s">
        <v>673</v>
      </c>
      <c r="C210" s="1090">
        <v>2015</v>
      </c>
      <c r="D210" s="1089">
        <v>2038000</v>
      </c>
      <c r="E210" s="1091">
        <v>1688000</v>
      </c>
      <c r="F210" s="1092">
        <v>38920</v>
      </c>
      <c r="G210" s="1089">
        <v>180.61</v>
      </c>
      <c r="H210" s="1091">
        <v>0.25748300000000002</v>
      </c>
      <c r="I210" s="1091">
        <v>2.7356999999999998E-3</v>
      </c>
      <c r="J210" s="1092">
        <v>187.32</v>
      </c>
    </row>
    <row r="211" spans="2:10" x14ac:dyDescent="0.25">
      <c r="B211" s="1089" t="s">
        <v>1069</v>
      </c>
      <c r="C211" s="1090">
        <v>2015</v>
      </c>
      <c r="D211" s="1089">
        <v>1022000</v>
      </c>
      <c r="E211" s="1091">
        <v>1021000</v>
      </c>
      <c r="F211" s="1092">
        <v>15590</v>
      </c>
      <c r="G211" s="1089">
        <v>1.8048999999999999</v>
      </c>
      <c r="H211" s="1091">
        <v>0.14106285999999998</v>
      </c>
      <c r="I211" s="1091">
        <v>3.4603000000000001E-5</v>
      </c>
      <c r="J211" s="1092">
        <v>6.0683999999999996</v>
      </c>
    </row>
    <row r="212" spans="2:10" x14ac:dyDescent="0.25">
      <c r="B212" s="1089" t="s">
        <v>705</v>
      </c>
      <c r="C212" s="1090">
        <v>2015</v>
      </c>
      <c r="D212" s="1089">
        <v>1022000</v>
      </c>
      <c r="E212" s="1091">
        <v>1021000</v>
      </c>
      <c r="F212" s="1092">
        <v>15590</v>
      </c>
      <c r="G212" s="1089">
        <v>1.8048999999999999</v>
      </c>
      <c r="H212" s="1091">
        <v>0.14106285999999998</v>
      </c>
      <c r="I212" s="1091">
        <v>3.4603000000000001E-5</v>
      </c>
      <c r="J212" s="1092">
        <v>6.0683999999999996</v>
      </c>
    </row>
    <row r="213" spans="2:10" x14ac:dyDescent="0.25">
      <c r="B213" s="1089" t="s">
        <v>706</v>
      </c>
      <c r="C213" s="1090">
        <v>2015</v>
      </c>
      <c r="D213" s="1089">
        <v>1022000</v>
      </c>
      <c r="E213" s="1091">
        <v>1021000</v>
      </c>
      <c r="F213" s="1092">
        <v>15590</v>
      </c>
      <c r="G213" s="1089">
        <v>1.8048999999999999</v>
      </c>
      <c r="H213" s="1091">
        <v>0.14106285999999998</v>
      </c>
      <c r="I213" s="1091">
        <v>3.4603000000000001E-5</v>
      </c>
      <c r="J213" s="1092">
        <v>6.0683999999999996</v>
      </c>
    </row>
    <row r="214" spans="2:10" x14ac:dyDescent="0.25">
      <c r="B214" s="1089" t="s">
        <v>899</v>
      </c>
      <c r="C214" s="1090">
        <v>2015</v>
      </c>
      <c r="D214" s="1089">
        <v>1210000</v>
      </c>
      <c r="E214" s="1091">
        <v>1204000</v>
      </c>
      <c r="F214" s="1092">
        <v>1053000</v>
      </c>
      <c r="G214" s="1089">
        <v>18.527999999999999</v>
      </c>
      <c r="H214" s="1091">
        <v>0.16494200000000001</v>
      </c>
      <c r="I214" s="1091">
        <v>2.9771000000000002E-4</v>
      </c>
      <c r="J214" s="1092">
        <v>23.579000000000001</v>
      </c>
    </row>
    <row r="215" spans="2:10" x14ac:dyDescent="0.25">
      <c r="B215" s="1089" t="s">
        <v>897</v>
      </c>
      <c r="C215" s="1090">
        <v>2015</v>
      </c>
      <c r="D215" s="1089">
        <v>1642000</v>
      </c>
      <c r="E215" s="1091">
        <v>724000</v>
      </c>
      <c r="F215" s="1092">
        <v>290600</v>
      </c>
      <c r="G215" s="1089">
        <v>41.042999999999999</v>
      </c>
      <c r="H215" s="1091">
        <v>0.1162</v>
      </c>
      <c r="I215" s="1091">
        <v>2.7609999999999999E-2</v>
      </c>
      <c r="J215" s="1092">
        <v>48.36</v>
      </c>
    </row>
    <row r="216" spans="2:10" x14ac:dyDescent="0.25">
      <c r="B216" s="1089" t="s">
        <v>900</v>
      </c>
      <c r="C216" s="1090">
        <v>2015</v>
      </c>
      <c r="D216" s="1089">
        <v>1252000</v>
      </c>
      <c r="E216" s="1091">
        <v>1245000</v>
      </c>
      <c r="F216" s="1092">
        <v>1081000</v>
      </c>
      <c r="G216" s="1089">
        <v>24.462</v>
      </c>
      <c r="H216" s="1091">
        <v>0.17067199999999999</v>
      </c>
      <c r="I216" s="1091">
        <v>3.8633E-4</v>
      </c>
      <c r="J216" s="1092">
        <v>29.811999999999998</v>
      </c>
    </row>
    <row r="217" spans="2:10" x14ac:dyDescent="0.25">
      <c r="B217" s="1089" t="s">
        <v>1063</v>
      </c>
      <c r="C217" s="1090">
        <v>2015</v>
      </c>
      <c r="D217" s="1089">
        <v>1191000</v>
      </c>
      <c r="E217" s="1091">
        <v>53390</v>
      </c>
      <c r="F217" s="1092">
        <v>29910</v>
      </c>
      <c r="G217" s="1089">
        <v>3.9701</v>
      </c>
      <c r="H217" s="1091">
        <v>8.6864999999999998E-3</v>
      </c>
      <c r="I217" s="1091">
        <v>-3.8232459999999998E-3</v>
      </c>
      <c r="J217" s="1092">
        <v>3.2326999999999999</v>
      </c>
    </row>
    <row r="218" spans="2:10" x14ac:dyDescent="0.25">
      <c r="B218" s="1089" t="s">
        <v>804</v>
      </c>
      <c r="C218" s="1090">
        <v>2015</v>
      </c>
      <c r="D218" s="1089">
        <v>1191000</v>
      </c>
      <c r="E218" s="1091">
        <v>53390</v>
      </c>
      <c r="F218" s="1092">
        <v>29910</v>
      </c>
      <c r="G218" s="1089">
        <v>3.9701</v>
      </c>
      <c r="H218" s="1091">
        <v>8.6864999999999998E-3</v>
      </c>
      <c r="I218" s="1091">
        <v>-3.8232459999999998E-3</v>
      </c>
      <c r="J218" s="1092">
        <v>3.2326999999999999</v>
      </c>
    </row>
    <row r="219" spans="2:10" x14ac:dyDescent="0.25">
      <c r="B219" s="1089" t="s">
        <v>812</v>
      </c>
      <c r="C219" s="1090">
        <v>2015</v>
      </c>
      <c r="D219" s="1089">
        <v>1191000</v>
      </c>
      <c r="E219" s="1091">
        <v>53390</v>
      </c>
      <c r="F219" s="1092">
        <v>29910</v>
      </c>
      <c r="G219" s="1089">
        <v>3.9701</v>
      </c>
      <c r="H219" s="1091">
        <v>8.6864999999999998E-3</v>
      </c>
      <c r="I219" s="1091">
        <v>-3.8232459999999998E-3</v>
      </c>
      <c r="J219" s="1092">
        <v>3.2326999999999999</v>
      </c>
    </row>
    <row r="220" spans="2:10" ht="13.8" thickBot="1" x14ac:dyDescent="0.3">
      <c r="B220" s="1093" t="s">
        <v>1070</v>
      </c>
      <c r="C220" s="1094">
        <v>2015</v>
      </c>
      <c r="D220" s="1093">
        <v>1385000</v>
      </c>
      <c r="E220" s="1095">
        <v>1384000</v>
      </c>
      <c r="F220" s="1096">
        <v>5105</v>
      </c>
      <c r="G220" s="1093">
        <v>78.707400000000007</v>
      </c>
      <c r="H220" s="1095">
        <v>0.27494000000000002</v>
      </c>
      <c r="I220" s="1095">
        <v>2.3330999999999998E-3</v>
      </c>
      <c r="J220" s="1096">
        <v>87.730800000000002</v>
      </c>
    </row>
    <row r="221" spans="2:10" x14ac:dyDescent="0.25">
      <c r="B221" s="1085" t="s">
        <v>1067</v>
      </c>
      <c r="C221" s="1086">
        <v>2020</v>
      </c>
      <c r="D221" s="1085">
        <v>1093000</v>
      </c>
      <c r="E221" s="1087">
        <v>1092000</v>
      </c>
      <c r="F221" s="1088">
        <v>3993</v>
      </c>
      <c r="G221" s="1085">
        <v>5.7995000000000001</v>
      </c>
      <c r="H221" s="1087">
        <v>0.18462100000000001</v>
      </c>
      <c r="I221" s="1087">
        <v>8.6209999999999998E-4</v>
      </c>
      <c r="J221" s="1088">
        <v>11.6227</v>
      </c>
    </row>
    <row r="222" spans="2:10" x14ac:dyDescent="0.25">
      <c r="B222" s="1089" t="s">
        <v>282</v>
      </c>
      <c r="C222" s="1090">
        <v>2020</v>
      </c>
      <c r="D222" s="1089">
        <v>1093000</v>
      </c>
      <c r="E222" s="1091">
        <v>1092000</v>
      </c>
      <c r="F222" s="1092">
        <v>3993</v>
      </c>
      <c r="G222" s="1089">
        <v>5.7995000000000001</v>
      </c>
      <c r="H222" s="1091">
        <v>0.18462100000000001</v>
      </c>
      <c r="I222" s="1091">
        <v>8.6209999999999998E-4</v>
      </c>
      <c r="J222" s="1092">
        <v>11.6227</v>
      </c>
    </row>
    <row r="223" spans="2:10" x14ac:dyDescent="0.25">
      <c r="B223" s="1089" t="s">
        <v>1068</v>
      </c>
      <c r="C223" s="1090">
        <v>2020</v>
      </c>
      <c r="D223" s="1089">
        <v>1093000</v>
      </c>
      <c r="E223" s="1091">
        <v>1092000</v>
      </c>
      <c r="F223" s="1092">
        <v>3993</v>
      </c>
      <c r="G223" s="1089">
        <v>5.7995000000000001</v>
      </c>
      <c r="H223" s="1091">
        <v>0.18462100000000001</v>
      </c>
      <c r="I223" s="1091">
        <v>8.6209999999999998E-4</v>
      </c>
      <c r="J223" s="1092">
        <v>11.6227</v>
      </c>
    </row>
    <row r="224" spans="2:10" x14ac:dyDescent="0.25">
      <c r="B224" s="1089" t="s">
        <v>670</v>
      </c>
      <c r="C224" s="1090">
        <v>2020</v>
      </c>
      <c r="D224" s="1089">
        <v>1093000</v>
      </c>
      <c r="E224" s="1091">
        <v>1092000</v>
      </c>
      <c r="F224" s="1092">
        <v>3993</v>
      </c>
      <c r="G224" s="1089">
        <v>5.7995000000000001</v>
      </c>
      <c r="H224" s="1091">
        <v>0.18462100000000001</v>
      </c>
      <c r="I224" s="1091">
        <v>8.6209999999999998E-4</v>
      </c>
      <c r="J224" s="1092">
        <v>11.6227</v>
      </c>
    </row>
    <row r="225" spans="2:10" x14ac:dyDescent="0.25">
      <c r="B225" s="1089" t="s">
        <v>671</v>
      </c>
      <c r="C225" s="1090">
        <v>2020</v>
      </c>
      <c r="D225" s="1089">
        <v>-1185000</v>
      </c>
      <c r="E225" s="1091">
        <v>0</v>
      </c>
      <c r="F225" s="1092">
        <v>0</v>
      </c>
      <c r="G225" s="1089">
        <v>-85.800000000000011</v>
      </c>
      <c r="H225" s="1091">
        <v>0.54700000000000004</v>
      </c>
      <c r="I225" s="1091">
        <v>-1.8286999999999999E-3</v>
      </c>
      <c r="J225" s="1092">
        <v>-70.08</v>
      </c>
    </row>
    <row r="226" spans="2:10" x14ac:dyDescent="0.25">
      <c r="B226" s="1089" t="s">
        <v>672</v>
      </c>
      <c r="C226" s="1090">
        <v>2020</v>
      </c>
      <c r="D226" s="1089">
        <v>1866000</v>
      </c>
      <c r="E226" s="1091">
        <v>1484000</v>
      </c>
      <c r="F226" s="1092">
        <v>26490</v>
      </c>
      <c r="G226" s="1089">
        <v>161.61000000000001</v>
      </c>
      <c r="H226" s="1091">
        <v>0.22423899999999999</v>
      </c>
      <c r="I226" s="1091">
        <v>2.4153E-3</v>
      </c>
      <c r="J226" s="1092">
        <v>168.06</v>
      </c>
    </row>
    <row r="227" spans="2:10" x14ac:dyDescent="0.25">
      <c r="B227" s="1089" t="s">
        <v>687</v>
      </c>
      <c r="C227" s="1090">
        <v>2020</v>
      </c>
      <c r="D227" s="1089">
        <v>1866000</v>
      </c>
      <c r="E227" s="1091">
        <v>1484000</v>
      </c>
      <c r="F227" s="1092">
        <v>26490</v>
      </c>
      <c r="G227" s="1089">
        <v>161.61000000000001</v>
      </c>
      <c r="H227" s="1091">
        <v>0.22423899999999999</v>
      </c>
      <c r="I227" s="1091">
        <v>2.4153E-3</v>
      </c>
      <c r="J227" s="1092">
        <v>168.06</v>
      </c>
    </row>
    <row r="228" spans="2:10" x14ac:dyDescent="0.25">
      <c r="B228" s="1089" t="s">
        <v>673</v>
      </c>
      <c r="C228" s="1090">
        <v>2020</v>
      </c>
      <c r="D228" s="1089">
        <v>1866000</v>
      </c>
      <c r="E228" s="1091">
        <v>1484000</v>
      </c>
      <c r="F228" s="1092">
        <v>26490</v>
      </c>
      <c r="G228" s="1089">
        <v>161.61000000000001</v>
      </c>
      <c r="H228" s="1091">
        <v>0.22423899999999999</v>
      </c>
      <c r="I228" s="1091">
        <v>2.4153E-3</v>
      </c>
      <c r="J228" s="1092">
        <v>168.06</v>
      </c>
    </row>
    <row r="229" spans="2:10" x14ac:dyDescent="0.25">
      <c r="B229" s="1089" t="s">
        <v>1069</v>
      </c>
      <c r="C229" s="1090">
        <v>2020</v>
      </c>
      <c r="D229" s="1089">
        <v>1022000</v>
      </c>
      <c r="E229" s="1091">
        <v>1021000</v>
      </c>
      <c r="F229" s="1092">
        <v>15530</v>
      </c>
      <c r="G229" s="1089">
        <v>1.7706</v>
      </c>
      <c r="H229" s="1091">
        <v>0.14096106</v>
      </c>
      <c r="I229" s="1091">
        <v>3.4058000000000005E-5</v>
      </c>
      <c r="J229" s="1092">
        <v>6.0322999999999993</v>
      </c>
    </row>
    <row r="230" spans="2:10" x14ac:dyDescent="0.25">
      <c r="B230" s="1089" t="s">
        <v>705</v>
      </c>
      <c r="C230" s="1090">
        <v>2020</v>
      </c>
      <c r="D230" s="1089">
        <v>1022000</v>
      </c>
      <c r="E230" s="1091">
        <v>1021000</v>
      </c>
      <c r="F230" s="1092">
        <v>15530</v>
      </c>
      <c r="G230" s="1089">
        <v>1.7706</v>
      </c>
      <c r="H230" s="1091">
        <v>0.14096106</v>
      </c>
      <c r="I230" s="1091">
        <v>3.4058000000000005E-5</v>
      </c>
      <c r="J230" s="1092">
        <v>6.0322999999999993</v>
      </c>
    </row>
    <row r="231" spans="2:10" x14ac:dyDescent="0.25">
      <c r="B231" s="1089" t="s">
        <v>706</v>
      </c>
      <c r="C231" s="1090">
        <v>2020</v>
      </c>
      <c r="D231" s="1089">
        <v>1022000</v>
      </c>
      <c r="E231" s="1091">
        <v>1021000</v>
      </c>
      <c r="F231" s="1092">
        <v>15530</v>
      </c>
      <c r="G231" s="1089">
        <v>1.7706</v>
      </c>
      <c r="H231" s="1091">
        <v>0.14096106</v>
      </c>
      <c r="I231" s="1091">
        <v>3.4058000000000005E-5</v>
      </c>
      <c r="J231" s="1092">
        <v>6.0322999999999993</v>
      </c>
    </row>
    <row r="232" spans="2:10" x14ac:dyDescent="0.25">
      <c r="B232" s="1089" t="s">
        <v>899</v>
      </c>
      <c r="C232" s="1090">
        <v>2020</v>
      </c>
      <c r="D232" s="1089">
        <v>1211000</v>
      </c>
      <c r="E232" s="1091">
        <v>1205000</v>
      </c>
      <c r="F232" s="1092">
        <v>1052000</v>
      </c>
      <c r="G232" s="1089">
        <v>18.605999999999998</v>
      </c>
      <c r="H232" s="1091">
        <v>0.162991</v>
      </c>
      <c r="I232" s="1091">
        <v>3.0018999999999998E-4</v>
      </c>
      <c r="J232" s="1092">
        <v>23.607999999999997</v>
      </c>
    </row>
    <row r="233" spans="2:10" x14ac:dyDescent="0.25">
      <c r="B233" s="1089" t="s">
        <v>897</v>
      </c>
      <c r="C233" s="1090">
        <v>2020</v>
      </c>
      <c r="D233" s="1089">
        <v>1591000</v>
      </c>
      <c r="E233" s="1091">
        <v>703100</v>
      </c>
      <c r="F233" s="1092">
        <v>286400</v>
      </c>
      <c r="G233" s="1089">
        <v>39.366999999999997</v>
      </c>
      <c r="H233" s="1091">
        <v>0.11210000000000001</v>
      </c>
      <c r="I233" s="1091">
        <v>2.5360000000000001E-2</v>
      </c>
      <c r="J233" s="1092">
        <v>46.16</v>
      </c>
    </row>
    <row r="234" spans="2:10" x14ac:dyDescent="0.25">
      <c r="B234" s="1089" t="s">
        <v>900</v>
      </c>
      <c r="C234" s="1090">
        <v>2020</v>
      </c>
      <c r="D234" s="1089">
        <v>1252000</v>
      </c>
      <c r="E234" s="1091">
        <v>1245000</v>
      </c>
      <c r="F234" s="1092">
        <v>1078000</v>
      </c>
      <c r="G234" s="1089">
        <v>24.533999999999999</v>
      </c>
      <c r="H234" s="1091">
        <v>0.16861900000000002</v>
      </c>
      <c r="I234" s="1091">
        <v>3.8906999999999999E-4</v>
      </c>
      <c r="J234" s="1092">
        <v>29.833999999999996</v>
      </c>
    </row>
    <row r="235" spans="2:10" x14ac:dyDescent="0.25">
      <c r="B235" s="1089" t="s">
        <v>1063</v>
      </c>
      <c r="C235" s="1090">
        <v>2020</v>
      </c>
      <c r="D235" s="1089">
        <v>1190000</v>
      </c>
      <c r="E235" s="1091">
        <v>52190</v>
      </c>
      <c r="F235" s="1092">
        <v>29260</v>
      </c>
      <c r="G235" s="1089">
        <v>3.8701999999999996</v>
      </c>
      <c r="H235" s="1091">
        <v>8.4535000000000009E-3</v>
      </c>
      <c r="I235" s="1091">
        <v>-3.824488E-3</v>
      </c>
      <c r="J235" s="1092">
        <v>3.1251000000000002</v>
      </c>
    </row>
    <row r="236" spans="2:10" x14ac:dyDescent="0.25">
      <c r="B236" s="1089" t="s">
        <v>804</v>
      </c>
      <c r="C236" s="1090">
        <v>2020</v>
      </c>
      <c r="D236" s="1089">
        <v>1190000</v>
      </c>
      <c r="E236" s="1091">
        <v>52190</v>
      </c>
      <c r="F236" s="1092">
        <v>29260</v>
      </c>
      <c r="G236" s="1089">
        <v>3.8701999999999996</v>
      </c>
      <c r="H236" s="1091">
        <v>8.4535000000000009E-3</v>
      </c>
      <c r="I236" s="1091">
        <v>-3.824488E-3</v>
      </c>
      <c r="J236" s="1092">
        <v>3.1251000000000002</v>
      </c>
    </row>
    <row r="237" spans="2:10" x14ac:dyDescent="0.25">
      <c r="B237" s="1089" t="s">
        <v>812</v>
      </c>
      <c r="C237" s="1090">
        <v>2020</v>
      </c>
      <c r="D237" s="1089">
        <v>1190000</v>
      </c>
      <c r="E237" s="1091">
        <v>52190</v>
      </c>
      <c r="F237" s="1092">
        <v>29260</v>
      </c>
      <c r="G237" s="1089">
        <v>3.8701999999999996</v>
      </c>
      <c r="H237" s="1091">
        <v>8.4535000000000009E-3</v>
      </c>
      <c r="I237" s="1091">
        <v>-3.824488E-3</v>
      </c>
      <c r="J237" s="1092">
        <v>3.1251000000000002</v>
      </c>
    </row>
    <row r="238" spans="2:10" ht="13.8" thickBot="1" x14ac:dyDescent="0.3">
      <c r="B238" s="1093" t="s">
        <v>1070</v>
      </c>
      <c r="C238" s="1094">
        <v>2020</v>
      </c>
      <c r="D238" s="1093">
        <v>1384000</v>
      </c>
      <c r="E238" s="1095">
        <v>1384000</v>
      </c>
      <c r="F238" s="1096">
        <v>5066</v>
      </c>
      <c r="G238" s="1093">
        <v>78.656899999999993</v>
      </c>
      <c r="H238" s="1095">
        <v>0.27494000000000002</v>
      </c>
      <c r="I238" s="1095">
        <v>2.3319E-3</v>
      </c>
      <c r="J238" s="1096">
        <v>87.680599999999998</v>
      </c>
    </row>
    <row r="239" spans="2:10" x14ac:dyDescent="0.25">
      <c r="B239" s="1085" t="s">
        <v>1067</v>
      </c>
      <c r="C239" s="1086">
        <v>2025</v>
      </c>
      <c r="D239" s="1085">
        <v>1093000</v>
      </c>
      <c r="E239" s="1087">
        <v>1092000</v>
      </c>
      <c r="F239" s="1088">
        <v>3984</v>
      </c>
      <c r="G239" s="1085">
        <v>5.7702</v>
      </c>
      <c r="H239" s="1087">
        <v>0.18462100000000001</v>
      </c>
      <c r="I239" s="1087">
        <v>8.6159999999999991E-4</v>
      </c>
      <c r="J239" s="1088">
        <v>11.5953</v>
      </c>
    </row>
    <row r="240" spans="2:10" x14ac:dyDescent="0.25">
      <c r="B240" s="1089" t="s">
        <v>282</v>
      </c>
      <c r="C240" s="1090">
        <v>2025</v>
      </c>
      <c r="D240" s="1089">
        <v>1093000</v>
      </c>
      <c r="E240" s="1091">
        <v>1092000</v>
      </c>
      <c r="F240" s="1092">
        <v>3984</v>
      </c>
      <c r="G240" s="1089">
        <v>5.7702</v>
      </c>
      <c r="H240" s="1091">
        <v>0.18462100000000001</v>
      </c>
      <c r="I240" s="1091">
        <v>8.6159999999999991E-4</v>
      </c>
      <c r="J240" s="1092">
        <v>11.5953</v>
      </c>
    </row>
    <row r="241" spans="2:10" x14ac:dyDescent="0.25">
      <c r="B241" s="1089" t="s">
        <v>1068</v>
      </c>
      <c r="C241" s="1090">
        <v>2025</v>
      </c>
      <c r="D241" s="1089">
        <v>1093000</v>
      </c>
      <c r="E241" s="1091">
        <v>1092000</v>
      </c>
      <c r="F241" s="1092">
        <v>3984</v>
      </c>
      <c r="G241" s="1089">
        <v>5.7702</v>
      </c>
      <c r="H241" s="1091">
        <v>0.18462100000000001</v>
      </c>
      <c r="I241" s="1091">
        <v>8.6159999999999991E-4</v>
      </c>
      <c r="J241" s="1092">
        <v>11.5953</v>
      </c>
    </row>
    <row r="242" spans="2:10" x14ac:dyDescent="0.25">
      <c r="B242" s="1089" t="s">
        <v>670</v>
      </c>
      <c r="C242" s="1090">
        <v>2025</v>
      </c>
      <c r="D242" s="1089">
        <v>1093000</v>
      </c>
      <c r="E242" s="1091">
        <v>1092000</v>
      </c>
      <c r="F242" s="1092">
        <v>3984</v>
      </c>
      <c r="G242" s="1089">
        <v>5.7702</v>
      </c>
      <c r="H242" s="1091">
        <v>0.18462100000000001</v>
      </c>
      <c r="I242" s="1091">
        <v>8.6159999999999991E-4</v>
      </c>
      <c r="J242" s="1092">
        <v>11.5953</v>
      </c>
    </row>
    <row r="243" spans="2:10" x14ac:dyDescent="0.25">
      <c r="B243" s="1089" t="s">
        <v>671</v>
      </c>
      <c r="C243" s="1090">
        <v>2025</v>
      </c>
      <c r="D243" s="1089">
        <v>-1185000</v>
      </c>
      <c r="E243" s="1091">
        <v>0</v>
      </c>
      <c r="F243" s="1092">
        <v>0</v>
      </c>
      <c r="G243" s="1089">
        <v>-85.800000000000011</v>
      </c>
      <c r="H243" s="1091">
        <v>0.54700000000000004</v>
      </c>
      <c r="I243" s="1091">
        <v>-1.8286999999999999E-3</v>
      </c>
      <c r="J243" s="1092">
        <v>-70.08</v>
      </c>
    </row>
    <row r="244" spans="2:10" x14ac:dyDescent="0.25">
      <c r="B244" s="1089" t="s">
        <v>672</v>
      </c>
      <c r="C244" s="1090">
        <v>2025</v>
      </c>
      <c r="D244" s="1089">
        <v>1787000</v>
      </c>
      <c r="E244" s="1091">
        <v>1356000</v>
      </c>
      <c r="F244" s="1092">
        <v>23200</v>
      </c>
      <c r="G244" s="1089">
        <v>145.11000000000001</v>
      </c>
      <c r="H244" s="1091">
        <v>0.20658799999999999</v>
      </c>
      <c r="I244" s="1091">
        <v>2.1538999999999998E-3</v>
      </c>
      <c r="J244" s="1092">
        <v>150.89999999999998</v>
      </c>
    </row>
    <row r="245" spans="2:10" x14ac:dyDescent="0.25">
      <c r="B245" s="1089" t="s">
        <v>687</v>
      </c>
      <c r="C245" s="1090">
        <v>2025</v>
      </c>
      <c r="D245" s="1089">
        <v>1787000</v>
      </c>
      <c r="E245" s="1091">
        <v>1356000</v>
      </c>
      <c r="F245" s="1092">
        <v>23200</v>
      </c>
      <c r="G245" s="1089">
        <v>145.11000000000001</v>
      </c>
      <c r="H245" s="1091">
        <v>0.20658799999999999</v>
      </c>
      <c r="I245" s="1091">
        <v>2.1538999999999998E-3</v>
      </c>
      <c r="J245" s="1092">
        <v>150.89999999999998</v>
      </c>
    </row>
    <row r="246" spans="2:10" x14ac:dyDescent="0.25">
      <c r="B246" s="1089" t="s">
        <v>673</v>
      </c>
      <c r="C246" s="1090">
        <v>2025</v>
      </c>
      <c r="D246" s="1089">
        <v>1787000</v>
      </c>
      <c r="E246" s="1091">
        <v>1356000</v>
      </c>
      <c r="F246" s="1092">
        <v>23200</v>
      </c>
      <c r="G246" s="1089">
        <v>145.11000000000001</v>
      </c>
      <c r="H246" s="1091">
        <v>0.20658799999999999</v>
      </c>
      <c r="I246" s="1091">
        <v>2.1538999999999998E-3</v>
      </c>
      <c r="J246" s="1092">
        <v>150.89999999999998</v>
      </c>
    </row>
    <row r="247" spans="2:10" x14ac:dyDescent="0.25">
      <c r="B247" s="1089" t="s">
        <v>1069</v>
      </c>
      <c r="C247" s="1090">
        <v>2025</v>
      </c>
      <c r="D247" s="1089">
        <v>1022000</v>
      </c>
      <c r="E247" s="1091">
        <v>1021000</v>
      </c>
      <c r="F247" s="1092">
        <v>15530</v>
      </c>
      <c r="G247" s="1089">
        <v>1.7374000000000001</v>
      </c>
      <c r="H247" s="1091">
        <v>0.14096106999999999</v>
      </c>
      <c r="I247" s="1091">
        <v>3.3522000000000002E-5</v>
      </c>
      <c r="J247" s="1092">
        <v>5.9969999999999999</v>
      </c>
    </row>
    <row r="248" spans="2:10" x14ac:dyDescent="0.25">
      <c r="B248" s="1089" t="s">
        <v>705</v>
      </c>
      <c r="C248" s="1090">
        <v>2025</v>
      </c>
      <c r="D248" s="1089">
        <v>1022000</v>
      </c>
      <c r="E248" s="1091">
        <v>1021000</v>
      </c>
      <c r="F248" s="1092">
        <v>15530</v>
      </c>
      <c r="G248" s="1089">
        <v>1.7374000000000001</v>
      </c>
      <c r="H248" s="1091">
        <v>0.14096106999999999</v>
      </c>
      <c r="I248" s="1091">
        <v>3.3522000000000002E-5</v>
      </c>
      <c r="J248" s="1092">
        <v>5.9969999999999999</v>
      </c>
    </row>
    <row r="249" spans="2:10" x14ac:dyDescent="0.25">
      <c r="B249" s="1089" t="s">
        <v>706</v>
      </c>
      <c r="C249" s="1090">
        <v>2025</v>
      </c>
      <c r="D249" s="1089">
        <v>1022000</v>
      </c>
      <c r="E249" s="1091">
        <v>1021000</v>
      </c>
      <c r="F249" s="1092">
        <v>15530</v>
      </c>
      <c r="G249" s="1089">
        <v>1.7374000000000001</v>
      </c>
      <c r="H249" s="1091">
        <v>0.14096106999999999</v>
      </c>
      <c r="I249" s="1091">
        <v>3.3522000000000002E-5</v>
      </c>
      <c r="J249" s="1092">
        <v>5.9969999999999999</v>
      </c>
    </row>
    <row r="250" spans="2:10" x14ac:dyDescent="0.25">
      <c r="B250" s="1089" t="s">
        <v>899</v>
      </c>
      <c r="C250" s="1090">
        <v>2025</v>
      </c>
      <c r="D250" s="1089">
        <v>1210000</v>
      </c>
      <c r="E250" s="1091">
        <v>1203000</v>
      </c>
      <c r="F250" s="1092">
        <v>1052000</v>
      </c>
      <c r="G250" s="1089">
        <v>18.323</v>
      </c>
      <c r="H250" s="1091">
        <v>0.16309799999999999</v>
      </c>
      <c r="I250" s="1091">
        <v>2.9605000000000001E-4</v>
      </c>
      <c r="J250" s="1092">
        <v>23.334</v>
      </c>
    </row>
    <row r="251" spans="2:10" x14ac:dyDescent="0.25">
      <c r="B251" s="1089" t="s">
        <v>897</v>
      </c>
      <c r="C251" s="1090">
        <v>2025</v>
      </c>
      <c r="D251" s="1089">
        <v>1588000</v>
      </c>
      <c r="E251" s="1091">
        <v>698600</v>
      </c>
      <c r="F251" s="1092">
        <v>286300</v>
      </c>
      <c r="G251" s="1089">
        <v>38.775999999999996</v>
      </c>
      <c r="H251" s="1091">
        <v>0.1116</v>
      </c>
      <c r="I251" s="1091">
        <v>2.5360000000000001E-2</v>
      </c>
      <c r="J251" s="1092">
        <v>45.71</v>
      </c>
    </row>
    <row r="252" spans="2:10" x14ac:dyDescent="0.25">
      <c r="B252" s="1089" t="s">
        <v>900</v>
      </c>
      <c r="C252" s="1090">
        <v>2025</v>
      </c>
      <c r="D252" s="1089">
        <v>1251000</v>
      </c>
      <c r="E252" s="1091">
        <v>1243000</v>
      </c>
      <c r="F252" s="1092">
        <v>1078000</v>
      </c>
      <c r="G252" s="1089">
        <v>24.223999999999997</v>
      </c>
      <c r="H252" s="1091">
        <v>0.16872600000000001</v>
      </c>
      <c r="I252" s="1091">
        <v>3.8451000000000002E-4</v>
      </c>
      <c r="J252" s="1092">
        <v>29.523000000000003</v>
      </c>
    </row>
    <row r="253" spans="2:10" x14ac:dyDescent="0.25">
      <c r="B253" s="1089" t="s">
        <v>1063</v>
      </c>
      <c r="C253" s="1090">
        <v>2025</v>
      </c>
      <c r="D253" s="1089">
        <v>1190000</v>
      </c>
      <c r="E253" s="1091">
        <v>51790</v>
      </c>
      <c r="F253" s="1092">
        <v>29250</v>
      </c>
      <c r="G253" s="1089">
        <v>3.8201000000000001</v>
      </c>
      <c r="H253" s="1091">
        <v>8.410599999999999E-3</v>
      </c>
      <c r="I253" s="1091">
        <v>-3.8247120000000001E-3</v>
      </c>
      <c r="J253" s="1092">
        <v>3.0718000000000001</v>
      </c>
    </row>
    <row r="254" spans="2:10" x14ac:dyDescent="0.25">
      <c r="B254" s="1089" t="s">
        <v>804</v>
      </c>
      <c r="C254" s="1090">
        <v>2025</v>
      </c>
      <c r="D254" s="1089">
        <v>1190000</v>
      </c>
      <c r="E254" s="1091">
        <v>51790</v>
      </c>
      <c r="F254" s="1092">
        <v>29250</v>
      </c>
      <c r="G254" s="1089">
        <v>3.8201000000000001</v>
      </c>
      <c r="H254" s="1091">
        <v>8.410599999999999E-3</v>
      </c>
      <c r="I254" s="1091">
        <v>-3.8247120000000001E-3</v>
      </c>
      <c r="J254" s="1092">
        <v>3.0718000000000001</v>
      </c>
    </row>
    <row r="255" spans="2:10" x14ac:dyDescent="0.25">
      <c r="B255" s="1089" t="s">
        <v>812</v>
      </c>
      <c r="C255" s="1090">
        <v>2025</v>
      </c>
      <c r="D255" s="1089">
        <v>1190000</v>
      </c>
      <c r="E255" s="1091">
        <v>51790</v>
      </c>
      <c r="F255" s="1092">
        <v>29250</v>
      </c>
      <c r="G255" s="1089">
        <v>3.8201000000000001</v>
      </c>
      <c r="H255" s="1091">
        <v>8.410599999999999E-3</v>
      </c>
      <c r="I255" s="1091">
        <v>-3.8247120000000001E-3</v>
      </c>
      <c r="J255" s="1092">
        <v>3.0718000000000001</v>
      </c>
    </row>
    <row r="256" spans="2:10" ht="13.8" thickBot="1" x14ac:dyDescent="0.3">
      <c r="B256" s="1093" t="s">
        <v>1070</v>
      </c>
      <c r="C256" s="1094">
        <v>2025</v>
      </c>
      <c r="D256" s="1093">
        <v>1384000</v>
      </c>
      <c r="E256" s="1095">
        <v>1383000</v>
      </c>
      <c r="F256" s="1096">
        <v>5053</v>
      </c>
      <c r="G256" s="1093">
        <v>78.616100000000003</v>
      </c>
      <c r="H256" s="1095">
        <v>0.27494000000000002</v>
      </c>
      <c r="I256" s="1095">
        <v>2.3316999999999999E-3</v>
      </c>
      <c r="J256" s="1096">
        <v>87.639700000000005</v>
      </c>
    </row>
    <row r="257" spans="2:10" x14ac:dyDescent="0.25">
      <c r="B257" s="1085" t="s">
        <v>1067</v>
      </c>
      <c r="C257" s="1086">
        <v>2030</v>
      </c>
      <c r="D257" s="1085">
        <v>1092000</v>
      </c>
      <c r="E257" s="1087">
        <v>1092000</v>
      </c>
      <c r="F257" s="1088">
        <v>3981</v>
      </c>
      <c r="G257" s="1085">
        <v>5.7552000000000003</v>
      </c>
      <c r="H257" s="1087">
        <v>0.18462100000000001</v>
      </c>
      <c r="I257" s="1087">
        <v>8.6129999999999996E-4</v>
      </c>
      <c r="J257" s="1088">
        <v>11.5802</v>
      </c>
    </row>
    <row r="258" spans="2:10" x14ac:dyDescent="0.25">
      <c r="B258" s="1089" t="s">
        <v>282</v>
      </c>
      <c r="C258" s="1090">
        <v>2030</v>
      </c>
      <c r="D258" s="1089">
        <v>1092000</v>
      </c>
      <c r="E258" s="1091">
        <v>1092000</v>
      </c>
      <c r="F258" s="1092">
        <v>3981</v>
      </c>
      <c r="G258" s="1089">
        <v>5.7552000000000003</v>
      </c>
      <c r="H258" s="1091">
        <v>0.18462100000000001</v>
      </c>
      <c r="I258" s="1091">
        <v>8.6129999999999996E-4</v>
      </c>
      <c r="J258" s="1092">
        <v>11.5802</v>
      </c>
    </row>
    <row r="259" spans="2:10" x14ac:dyDescent="0.25">
      <c r="B259" s="1089" t="s">
        <v>1068</v>
      </c>
      <c r="C259" s="1090">
        <v>2030</v>
      </c>
      <c r="D259" s="1089">
        <v>1092000</v>
      </c>
      <c r="E259" s="1091">
        <v>1092000</v>
      </c>
      <c r="F259" s="1092">
        <v>3981</v>
      </c>
      <c r="G259" s="1089">
        <v>5.7552000000000003</v>
      </c>
      <c r="H259" s="1091">
        <v>0.18462100000000001</v>
      </c>
      <c r="I259" s="1091">
        <v>8.6129999999999996E-4</v>
      </c>
      <c r="J259" s="1092">
        <v>11.5802</v>
      </c>
    </row>
    <row r="260" spans="2:10" x14ac:dyDescent="0.25">
      <c r="B260" s="1089" t="s">
        <v>670</v>
      </c>
      <c r="C260" s="1090">
        <v>2030</v>
      </c>
      <c r="D260" s="1089">
        <v>1092000</v>
      </c>
      <c r="E260" s="1091">
        <v>1092000</v>
      </c>
      <c r="F260" s="1092">
        <v>3981</v>
      </c>
      <c r="G260" s="1089">
        <v>5.7552000000000003</v>
      </c>
      <c r="H260" s="1091">
        <v>0.18462100000000001</v>
      </c>
      <c r="I260" s="1091">
        <v>8.6129999999999996E-4</v>
      </c>
      <c r="J260" s="1092">
        <v>11.5802</v>
      </c>
    </row>
    <row r="261" spans="2:10" x14ac:dyDescent="0.25">
      <c r="B261" s="1089" t="s">
        <v>671</v>
      </c>
      <c r="C261" s="1090">
        <v>2030</v>
      </c>
      <c r="D261" s="1089">
        <v>-1185000</v>
      </c>
      <c r="E261" s="1091">
        <v>0</v>
      </c>
      <c r="F261" s="1092">
        <v>0</v>
      </c>
      <c r="G261" s="1089">
        <v>-85.800000000000011</v>
      </c>
      <c r="H261" s="1091">
        <v>0.54700000000000004</v>
      </c>
      <c r="I261" s="1091">
        <v>-1.8286999999999999E-3</v>
      </c>
      <c r="J261" s="1092">
        <v>-70.08</v>
      </c>
    </row>
    <row r="262" spans="2:10" x14ac:dyDescent="0.25">
      <c r="B262" s="1089" t="s">
        <v>672</v>
      </c>
      <c r="C262" s="1090">
        <v>2030</v>
      </c>
      <c r="D262" s="1089">
        <v>1749000</v>
      </c>
      <c r="E262" s="1091">
        <v>1310000</v>
      </c>
      <c r="F262" s="1092">
        <v>19790</v>
      </c>
      <c r="G262" s="1089">
        <v>134.88</v>
      </c>
      <c r="H262" s="1091">
        <v>0.20275799999999999</v>
      </c>
      <c r="I262" s="1091">
        <v>1.9713E-3</v>
      </c>
      <c r="J262" s="1092">
        <v>140.09</v>
      </c>
    </row>
    <row r="263" spans="2:10" x14ac:dyDescent="0.25">
      <c r="B263" s="1089" t="s">
        <v>687</v>
      </c>
      <c r="C263" s="1090">
        <v>2030</v>
      </c>
      <c r="D263" s="1089">
        <v>1749000</v>
      </c>
      <c r="E263" s="1091">
        <v>1310000</v>
      </c>
      <c r="F263" s="1092">
        <v>19790</v>
      </c>
      <c r="G263" s="1089">
        <v>134.88</v>
      </c>
      <c r="H263" s="1091">
        <v>0.20275799999999999</v>
      </c>
      <c r="I263" s="1091">
        <v>1.9713E-3</v>
      </c>
      <c r="J263" s="1092">
        <v>140.09</v>
      </c>
    </row>
    <row r="264" spans="2:10" x14ac:dyDescent="0.25">
      <c r="B264" s="1089" t="s">
        <v>673</v>
      </c>
      <c r="C264" s="1090">
        <v>2030</v>
      </c>
      <c r="D264" s="1089">
        <v>1749000</v>
      </c>
      <c r="E264" s="1091">
        <v>1310000</v>
      </c>
      <c r="F264" s="1092">
        <v>19790</v>
      </c>
      <c r="G264" s="1089">
        <v>134.88</v>
      </c>
      <c r="H264" s="1091">
        <v>0.20275799999999999</v>
      </c>
      <c r="I264" s="1091">
        <v>1.9713E-3</v>
      </c>
      <c r="J264" s="1092">
        <v>140.09</v>
      </c>
    </row>
    <row r="265" spans="2:10" x14ac:dyDescent="0.25">
      <c r="B265" s="1089" t="s">
        <v>1069</v>
      </c>
      <c r="C265" s="1090">
        <v>2030</v>
      </c>
      <c r="D265" s="1089">
        <v>1022000</v>
      </c>
      <c r="E265" s="1091">
        <v>1021000</v>
      </c>
      <c r="F265" s="1092">
        <v>15520</v>
      </c>
      <c r="G265" s="1089">
        <v>1.716</v>
      </c>
      <c r="H265" s="1091">
        <v>0.14096175</v>
      </c>
      <c r="I265" s="1091">
        <v>3.3149000000000004E-5</v>
      </c>
      <c r="J265" s="1092">
        <v>5.9754000000000005</v>
      </c>
    </row>
    <row r="266" spans="2:10" x14ac:dyDescent="0.25">
      <c r="B266" s="1089" t="s">
        <v>705</v>
      </c>
      <c r="C266" s="1090">
        <v>2030</v>
      </c>
      <c r="D266" s="1089">
        <v>1022000</v>
      </c>
      <c r="E266" s="1091">
        <v>1021000</v>
      </c>
      <c r="F266" s="1092">
        <v>15520</v>
      </c>
      <c r="G266" s="1089">
        <v>1.716</v>
      </c>
      <c r="H266" s="1091">
        <v>0.14096175</v>
      </c>
      <c r="I266" s="1091">
        <v>3.3149000000000004E-5</v>
      </c>
      <c r="J266" s="1092">
        <v>5.9754000000000005</v>
      </c>
    </row>
    <row r="267" spans="2:10" x14ac:dyDescent="0.25">
      <c r="B267" s="1089" t="s">
        <v>706</v>
      </c>
      <c r="C267" s="1090">
        <v>2030</v>
      </c>
      <c r="D267" s="1089">
        <v>1022000</v>
      </c>
      <c r="E267" s="1091">
        <v>1021000</v>
      </c>
      <c r="F267" s="1092">
        <v>15520</v>
      </c>
      <c r="G267" s="1089">
        <v>1.716</v>
      </c>
      <c r="H267" s="1091">
        <v>0.14096175</v>
      </c>
      <c r="I267" s="1091">
        <v>3.3149000000000004E-5</v>
      </c>
      <c r="J267" s="1092">
        <v>5.9754000000000005</v>
      </c>
    </row>
    <row r="268" spans="2:10" x14ac:dyDescent="0.25">
      <c r="B268" s="1089" t="s">
        <v>899</v>
      </c>
      <c r="C268" s="1090">
        <v>2030</v>
      </c>
      <c r="D268" s="1089">
        <v>1209000</v>
      </c>
      <c r="E268" s="1091">
        <v>1202000</v>
      </c>
      <c r="F268" s="1092">
        <v>1052000</v>
      </c>
      <c r="G268" s="1089">
        <v>18.120999999999999</v>
      </c>
      <c r="H268" s="1091">
        <v>0.16412299999999999</v>
      </c>
      <c r="I268" s="1091">
        <v>2.9339999999999998E-4</v>
      </c>
      <c r="J268" s="1092">
        <v>23.162000000000003</v>
      </c>
    </row>
    <row r="269" spans="2:10" x14ac:dyDescent="0.25">
      <c r="B269" s="1089" t="s">
        <v>897</v>
      </c>
      <c r="C269" s="1090">
        <v>2030</v>
      </c>
      <c r="D269" s="1089">
        <v>1586000</v>
      </c>
      <c r="E269" s="1091">
        <v>697000</v>
      </c>
      <c r="F269" s="1092">
        <v>286200</v>
      </c>
      <c r="G269" s="1089">
        <v>38.404000000000003</v>
      </c>
      <c r="H269" s="1091">
        <v>0.1118</v>
      </c>
      <c r="I269" s="1091">
        <v>2.5350000000000001E-2</v>
      </c>
      <c r="J269" s="1092">
        <v>45.44</v>
      </c>
    </row>
    <row r="270" spans="2:10" x14ac:dyDescent="0.25">
      <c r="B270" s="1089" t="s">
        <v>900</v>
      </c>
      <c r="C270" s="1090">
        <v>2030</v>
      </c>
      <c r="D270" s="1089">
        <v>1250000</v>
      </c>
      <c r="E270" s="1091">
        <v>1242000</v>
      </c>
      <c r="F270" s="1092">
        <v>1078000</v>
      </c>
      <c r="G270" s="1089">
        <v>24.006999999999998</v>
      </c>
      <c r="H270" s="1091">
        <v>0.16975200000000001</v>
      </c>
      <c r="I270" s="1091">
        <v>3.8147000000000002E-4</v>
      </c>
      <c r="J270" s="1092">
        <v>29.335999999999999</v>
      </c>
    </row>
    <row r="271" spans="2:10" x14ac:dyDescent="0.25">
      <c r="B271" s="1089" t="s">
        <v>1063</v>
      </c>
      <c r="C271" s="1090">
        <v>2030</v>
      </c>
      <c r="D271" s="1089">
        <v>1190000</v>
      </c>
      <c r="E271" s="1091">
        <v>51650</v>
      </c>
      <c r="F271" s="1092">
        <v>29230</v>
      </c>
      <c r="G271" s="1089">
        <v>3.7881999999999998</v>
      </c>
      <c r="H271" s="1091">
        <v>8.4297E-3</v>
      </c>
      <c r="I271" s="1091">
        <v>-3.825901E-3</v>
      </c>
      <c r="J271" s="1092">
        <v>3.0377000000000001</v>
      </c>
    </row>
    <row r="272" spans="2:10" x14ac:dyDescent="0.25">
      <c r="B272" s="1089" t="s">
        <v>804</v>
      </c>
      <c r="C272" s="1090">
        <v>2030</v>
      </c>
      <c r="D272" s="1089">
        <v>1190000</v>
      </c>
      <c r="E272" s="1091">
        <v>51650</v>
      </c>
      <c r="F272" s="1092">
        <v>29230</v>
      </c>
      <c r="G272" s="1089">
        <v>3.7881999999999998</v>
      </c>
      <c r="H272" s="1091">
        <v>8.4297E-3</v>
      </c>
      <c r="I272" s="1091">
        <v>-3.825901E-3</v>
      </c>
      <c r="J272" s="1092">
        <v>3.0377000000000001</v>
      </c>
    </row>
    <row r="273" spans="2:10" x14ac:dyDescent="0.25">
      <c r="B273" s="1089" t="s">
        <v>812</v>
      </c>
      <c r="C273" s="1090">
        <v>2030</v>
      </c>
      <c r="D273" s="1089">
        <v>1190000</v>
      </c>
      <c r="E273" s="1091">
        <v>51650</v>
      </c>
      <c r="F273" s="1092">
        <v>29230</v>
      </c>
      <c r="G273" s="1089">
        <v>3.7881999999999998</v>
      </c>
      <c r="H273" s="1091">
        <v>8.4297E-3</v>
      </c>
      <c r="I273" s="1091">
        <v>-3.825901E-3</v>
      </c>
      <c r="J273" s="1092">
        <v>3.0377000000000001</v>
      </c>
    </row>
    <row r="274" spans="2:10" ht="13.8" thickBot="1" x14ac:dyDescent="0.3">
      <c r="B274" s="1093" t="s">
        <v>1070</v>
      </c>
      <c r="C274" s="1094">
        <v>2030</v>
      </c>
      <c r="D274" s="1093">
        <v>1384000</v>
      </c>
      <c r="E274" s="1095">
        <v>1383000</v>
      </c>
      <c r="F274" s="1096">
        <v>5048</v>
      </c>
      <c r="G274" s="1093">
        <v>78.598700000000008</v>
      </c>
      <c r="H274" s="1095">
        <v>0.27484000000000003</v>
      </c>
      <c r="I274" s="1095">
        <v>2.3306000000000004E-3</v>
      </c>
      <c r="J274" s="1096">
        <v>87.622100000000003</v>
      </c>
    </row>
    <row r="275" spans="2:10" x14ac:dyDescent="0.25">
      <c r="B275" s="1085" t="s">
        <v>1067</v>
      </c>
      <c r="C275" s="1086">
        <v>2035</v>
      </c>
      <c r="D275" s="1085">
        <v>1092000</v>
      </c>
      <c r="E275" s="1087">
        <v>1092000</v>
      </c>
      <c r="F275" s="1088">
        <v>3981</v>
      </c>
      <c r="G275" s="1085">
        <v>5.7552000000000003</v>
      </c>
      <c r="H275" s="1087">
        <v>0.18462100000000001</v>
      </c>
      <c r="I275" s="1087">
        <v>8.6129999999999996E-4</v>
      </c>
      <c r="J275" s="1088">
        <v>11.5802</v>
      </c>
    </row>
    <row r="276" spans="2:10" x14ac:dyDescent="0.25">
      <c r="B276" s="1089" t="s">
        <v>282</v>
      </c>
      <c r="C276" s="1090">
        <v>2035</v>
      </c>
      <c r="D276" s="1089">
        <v>1092000</v>
      </c>
      <c r="E276" s="1091">
        <v>1092000</v>
      </c>
      <c r="F276" s="1092">
        <v>3981</v>
      </c>
      <c r="G276" s="1089">
        <v>5.7552000000000003</v>
      </c>
      <c r="H276" s="1091">
        <v>0.18462100000000001</v>
      </c>
      <c r="I276" s="1091">
        <v>8.6129999999999996E-4</v>
      </c>
      <c r="J276" s="1092">
        <v>11.5802</v>
      </c>
    </row>
    <row r="277" spans="2:10" x14ac:dyDescent="0.25">
      <c r="B277" s="1089" t="s">
        <v>1068</v>
      </c>
      <c r="C277" s="1090">
        <v>2035</v>
      </c>
      <c r="D277" s="1089">
        <v>1092000</v>
      </c>
      <c r="E277" s="1091">
        <v>1092000</v>
      </c>
      <c r="F277" s="1092">
        <v>3981</v>
      </c>
      <c r="G277" s="1089">
        <v>5.7552000000000003</v>
      </c>
      <c r="H277" s="1091">
        <v>0.18462100000000001</v>
      </c>
      <c r="I277" s="1091">
        <v>8.6129999999999996E-4</v>
      </c>
      <c r="J277" s="1092">
        <v>11.5802</v>
      </c>
    </row>
    <row r="278" spans="2:10" x14ac:dyDescent="0.25">
      <c r="B278" s="1089" t="s">
        <v>670</v>
      </c>
      <c r="C278" s="1090">
        <v>2035</v>
      </c>
      <c r="D278" s="1089">
        <v>1092000</v>
      </c>
      <c r="E278" s="1091">
        <v>1092000</v>
      </c>
      <c r="F278" s="1092">
        <v>3981</v>
      </c>
      <c r="G278" s="1089">
        <v>5.7552000000000003</v>
      </c>
      <c r="H278" s="1091">
        <v>0.18462100000000001</v>
      </c>
      <c r="I278" s="1091">
        <v>8.6129999999999996E-4</v>
      </c>
      <c r="J278" s="1092">
        <v>11.5802</v>
      </c>
    </row>
    <row r="279" spans="2:10" x14ac:dyDescent="0.25">
      <c r="B279" s="1089" t="s">
        <v>671</v>
      </c>
      <c r="C279" s="1090">
        <v>2035</v>
      </c>
      <c r="D279" s="1089">
        <v>-1185000</v>
      </c>
      <c r="E279" s="1091">
        <v>0</v>
      </c>
      <c r="F279" s="1092">
        <v>0</v>
      </c>
      <c r="G279" s="1089">
        <v>-85.800000000000011</v>
      </c>
      <c r="H279" s="1091">
        <v>0.54700000000000004</v>
      </c>
      <c r="I279" s="1091">
        <v>-1.8286999999999999E-3</v>
      </c>
      <c r="J279" s="1092">
        <v>-70.08</v>
      </c>
    </row>
    <row r="280" spans="2:10" x14ac:dyDescent="0.25">
      <c r="B280" s="1089" t="s">
        <v>672</v>
      </c>
      <c r="C280" s="1090">
        <v>2035</v>
      </c>
      <c r="D280" s="1089">
        <v>1745000</v>
      </c>
      <c r="E280" s="1091">
        <v>1314000</v>
      </c>
      <c r="F280" s="1092">
        <v>18650</v>
      </c>
      <c r="G280" s="1089">
        <v>132.69</v>
      </c>
      <c r="H280" s="1091">
        <v>0.204869</v>
      </c>
      <c r="I280" s="1091">
        <v>1.9257999999999999E-3</v>
      </c>
      <c r="J280" s="1092">
        <v>137.91999999999999</v>
      </c>
    </row>
    <row r="281" spans="2:10" x14ac:dyDescent="0.25">
      <c r="B281" s="1089" t="s">
        <v>687</v>
      </c>
      <c r="C281" s="1090">
        <v>2035</v>
      </c>
      <c r="D281" s="1089">
        <v>1745000</v>
      </c>
      <c r="E281" s="1091">
        <v>1314000</v>
      </c>
      <c r="F281" s="1092">
        <v>18650</v>
      </c>
      <c r="G281" s="1089">
        <v>132.69</v>
      </c>
      <c r="H281" s="1091">
        <v>0.204869</v>
      </c>
      <c r="I281" s="1091">
        <v>1.9257999999999999E-3</v>
      </c>
      <c r="J281" s="1092">
        <v>137.91999999999999</v>
      </c>
    </row>
    <row r="282" spans="2:10" x14ac:dyDescent="0.25">
      <c r="B282" s="1089" t="s">
        <v>673</v>
      </c>
      <c r="C282" s="1090">
        <v>2035</v>
      </c>
      <c r="D282" s="1089">
        <v>1745000</v>
      </c>
      <c r="E282" s="1091">
        <v>1314000</v>
      </c>
      <c r="F282" s="1092">
        <v>18650</v>
      </c>
      <c r="G282" s="1089">
        <v>132.69</v>
      </c>
      <c r="H282" s="1091">
        <v>0.204869</v>
      </c>
      <c r="I282" s="1091">
        <v>1.9257999999999999E-3</v>
      </c>
      <c r="J282" s="1092">
        <v>137.91999999999999</v>
      </c>
    </row>
    <row r="283" spans="2:10" x14ac:dyDescent="0.25">
      <c r="B283" s="1089" t="s">
        <v>1069</v>
      </c>
      <c r="C283" s="1090">
        <v>2035</v>
      </c>
      <c r="D283" s="1089">
        <v>1022000</v>
      </c>
      <c r="E283" s="1091">
        <v>1021000</v>
      </c>
      <c r="F283" s="1092">
        <v>15520</v>
      </c>
      <c r="G283" s="1089">
        <v>1.7124999999999999</v>
      </c>
      <c r="H283" s="1091">
        <v>0.14096197999999999</v>
      </c>
      <c r="I283" s="1091">
        <v>3.3061000000000001E-5</v>
      </c>
      <c r="J283" s="1092">
        <v>5.9708000000000006</v>
      </c>
    </row>
    <row r="284" spans="2:10" x14ac:dyDescent="0.25">
      <c r="B284" s="1089" t="s">
        <v>705</v>
      </c>
      <c r="C284" s="1090">
        <v>2035</v>
      </c>
      <c r="D284" s="1089">
        <v>1022000</v>
      </c>
      <c r="E284" s="1091">
        <v>1021000</v>
      </c>
      <c r="F284" s="1092">
        <v>15520</v>
      </c>
      <c r="G284" s="1089">
        <v>1.7124999999999999</v>
      </c>
      <c r="H284" s="1091">
        <v>0.14096197999999999</v>
      </c>
      <c r="I284" s="1091">
        <v>3.3061000000000001E-5</v>
      </c>
      <c r="J284" s="1092">
        <v>5.9708000000000006</v>
      </c>
    </row>
    <row r="285" spans="2:10" x14ac:dyDescent="0.25">
      <c r="B285" s="1089" t="s">
        <v>706</v>
      </c>
      <c r="C285" s="1090">
        <v>2035</v>
      </c>
      <c r="D285" s="1089">
        <v>1022000</v>
      </c>
      <c r="E285" s="1091">
        <v>1021000</v>
      </c>
      <c r="F285" s="1092">
        <v>15520</v>
      </c>
      <c r="G285" s="1089">
        <v>1.7124999999999999</v>
      </c>
      <c r="H285" s="1091">
        <v>0.14096197999999999</v>
      </c>
      <c r="I285" s="1091">
        <v>3.3061000000000001E-5</v>
      </c>
      <c r="J285" s="1092">
        <v>5.9708000000000006</v>
      </c>
    </row>
    <row r="286" spans="2:10" x14ac:dyDescent="0.25">
      <c r="B286" s="1089" t="s">
        <v>899</v>
      </c>
      <c r="C286" s="1090">
        <v>2035</v>
      </c>
      <c r="D286" s="1089">
        <v>1209000</v>
      </c>
      <c r="E286" s="1091">
        <v>1202000</v>
      </c>
      <c r="F286" s="1092">
        <v>1052000</v>
      </c>
      <c r="G286" s="1089">
        <v>18.088999999999999</v>
      </c>
      <c r="H286" s="1091">
        <v>0.16412499999999999</v>
      </c>
      <c r="I286" s="1091">
        <v>2.9260000000000001E-4</v>
      </c>
      <c r="J286" s="1092">
        <v>23.119</v>
      </c>
    </row>
    <row r="287" spans="2:10" x14ac:dyDescent="0.25">
      <c r="B287" s="1089" t="s">
        <v>897</v>
      </c>
      <c r="C287" s="1090">
        <v>2035</v>
      </c>
      <c r="D287" s="1089">
        <v>1586000</v>
      </c>
      <c r="E287" s="1091">
        <v>697100</v>
      </c>
      <c r="F287" s="1092">
        <v>286100</v>
      </c>
      <c r="G287" s="1089">
        <v>38.326999999999998</v>
      </c>
      <c r="H287" s="1091">
        <v>0.1118</v>
      </c>
      <c r="I287" s="1091">
        <v>2.5350000000000001E-2</v>
      </c>
      <c r="J287" s="1092">
        <v>45.39</v>
      </c>
    </row>
    <row r="288" spans="2:10" x14ac:dyDescent="0.25">
      <c r="B288" s="1089" t="s">
        <v>900</v>
      </c>
      <c r="C288" s="1090">
        <v>2035</v>
      </c>
      <c r="D288" s="1089">
        <v>1250000</v>
      </c>
      <c r="E288" s="1091">
        <v>1242000</v>
      </c>
      <c r="F288" s="1092">
        <v>1078000</v>
      </c>
      <c r="G288" s="1089">
        <v>23.973999999999997</v>
      </c>
      <c r="H288" s="1091">
        <v>0.169854</v>
      </c>
      <c r="I288" s="1091">
        <v>3.8064000000000001E-4</v>
      </c>
      <c r="J288" s="1092">
        <v>29.302</v>
      </c>
    </row>
    <row r="289" spans="2:10" x14ac:dyDescent="0.25">
      <c r="B289" s="1089" t="s">
        <v>1063</v>
      </c>
      <c r="C289" s="1090">
        <v>2035</v>
      </c>
      <c r="D289" s="1089">
        <v>1190000</v>
      </c>
      <c r="E289" s="1091">
        <v>51660</v>
      </c>
      <c r="F289" s="1092">
        <v>29230</v>
      </c>
      <c r="G289" s="1089">
        <v>3.7818000000000001</v>
      </c>
      <c r="H289" s="1091">
        <v>8.4370999999999995E-3</v>
      </c>
      <c r="I289" s="1091">
        <v>-3.8259590000000003E-3</v>
      </c>
      <c r="J289" s="1092">
        <v>3.0312999999999999</v>
      </c>
    </row>
    <row r="290" spans="2:10" x14ac:dyDescent="0.25">
      <c r="B290" s="1089" t="s">
        <v>804</v>
      </c>
      <c r="C290" s="1090">
        <v>2035</v>
      </c>
      <c r="D290" s="1089">
        <v>1190000</v>
      </c>
      <c r="E290" s="1091">
        <v>51660</v>
      </c>
      <c r="F290" s="1092">
        <v>29230</v>
      </c>
      <c r="G290" s="1089">
        <v>3.7818000000000001</v>
      </c>
      <c r="H290" s="1091">
        <v>8.4370999999999995E-3</v>
      </c>
      <c r="I290" s="1091">
        <v>-3.8259590000000003E-3</v>
      </c>
      <c r="J290" s="1092">
        <v>3.0312999999999999</v>
      </c>
    </row>
    <row r="291" spans="2:10" x14ac:dyDescent="0.25">
      <c r="B291" s="1089" t="s">
        <v>812</v>
      </c>
      <c r="C291" s="1090">
        <v>2035</v>
      </c>
      <c r="D291" s="1089">
        <v>1190000</v>
      </c>
      <c r="E291" s="1091">
        <v>51660</v>
      </c>
      <c r="F291" s="1092">
        <v>29230</v>
      </c>
      <c r="G291" s="1089">
        <v>3.7818000000000001</v>
      </c>
      <c r="H291" s="1091">
        <v>8.4370999999999995E-3</v>
      </c>
      <c r="I291" s="1091">
        <v>-3.8259590000000003E-3</v>
      </c>
      <c r="J291" s="1092">
        <v>3.0312999999999999</v>
      </c>
    </row>
    <row r="292" spans="2:10" ht="13.8" thickBot="1" x14ac:dyDescent="0.3">
      <c r="B292" s="1093" t="s">
        <v>1070</v>
      </c>
      <c r="C292" s="1094">
        <v>2035</v>
      </c>
      <c r="D292" s="1093">
        <v>1384000</v>
      </c>
      <c r="E292" s="1095">
        <v>1383000</v>
      </c>
      <c r="F292" s="1096">
        <v>5034</v>
      </c>
      <c r="G292" s="1093">
        <v>78.571100000000001</v>
      </c>
      <c r="H292" s="1095">
        <v>0.27494000000000002</v>
      </c>
      <c r="I292" s="1095">
        <v>2.3304000000000003E-3</v>
      </c>
      <c r="J292" s="1096">
        <v>87.594300000000004</v>
      </c>
    </row>
    <row r="293" spans="2:10" x14ac:dyDescent="0.25">
      <c r="B293" s="1085" t="s">
        <v>1067</v>
      </c>
      <c r="C293" s="1086">
        <v>2040</v>
      </c>
      <c r="D293" s="1085">
        <v>1092000</v>
      </c>
      <c r="E293" s="1087">
        <v>1092000</v>
      </c>
      <c r="F293" s="1088">
        <v>3975</v>
      </c>
      <c r="G293" s="1085">
        <v>5.7453000000000003</v>
      </c>
      <c r="H293" s="1087">
        <v>0.18462200000000001</v>
      </c>
      <c r="I293" s="1087">
        <v>8.6110000000000006E-4</v>
      </c>
      <c r="J293" s="1088">
        <v>11.577199999999999</v>
      </c>
    </row>
    <row r="294" spans="2:10" x14ac:dyDescent="0.25">
      <c r="B294" s="1089" t="s">
        <v>282</v>
      </c>
      <c r="C294" s="1090">
        <v>2040</v>
      </c>
      <c r="D294" s="1089">
        <v>1092000</v>
      </c>
      <c r="E294" s="1091">
        <v>1092000</v>
      </c>
      <c r="F294" s="1092">
        <v>3975</v>
      </c>
      <c r="G294" s="1089">
        <v>5.7453000000000003</v>
      </c>
      <c r="H294" s="1091">
        <v>0.18462200000000001</v>
      </c>
      <c r="I294" s="1091">
        <v>8.6110000000000006E-4</v>
      </c>
      <c r="J294" s="1092">
        <v>11.577199999999999</v>
      </c>
    </row>
    <row r="295" spans="2:10" x14ac:dyDescent="0.25">
      <c r="B295" s="1089" t="s">
        <v>1068</v>
      </c>
      <c r="C295" s="1090">
        <v>2040</v>
      </c>
      <c r="D295" s="1089">
        <v>1092000</v>
      </c>
      <c r="E295" s="1091">
        <v>1092000</v>
      </c>
      <c r="F295" s="1092">
        <v>3975</v>
      </c>
      <c r="G295" s="1089">
        <v>5.7453000000000003</v>
      </c>
      <c r="H295" s="1091">
        <v>0.18462200000000001</v>
      </c>
      <c r="I295" s="1091">
        <v>8.6110000000000006E-4</v>
      </c>
      <c r="J295" s="1092">
        <v>11.577199999999999</v>
      </c>
    </row>
    <row r="296" spans="2:10" x14ac:dyDescent="0.25">
      <c r="B296" s="1089" t="s">
        <v>670</v>
      </c>
      <c r="C296" s="1090">
        <v>2040</v>
      </c>
      <c r="D296" s="1089">
        <v>1092000</v>
      </c>
      <c r="E296" s="1091">
        <v>1092000</v>
      </c>
      <c r="F296" s="1092">
        <v>3975</v>
      </c>
      <c r="G296" s="1089">
        <v>5.7453000000000003</v>
      </c>
      <c r="H296" s="1091">
        <v>0.18462200000000001</v>
      </c>
      <c r="I296" s="1091">
        <v>8.6110000000000006E-4</v>
      </c>
      <c r="J296" s="1092">
        <v>11.577199999999999</v>
      </c>
    </row>
    <row r="297" spans="2:10" x14ac:dyDescent="0.25">
      <c r="B297" s="1089" t="s">
        <v>671</v>
      </c>
      <c r="C297" s="1090">
        <v>2040</v>
      </c>
      <c r="D297" s="1089">
        <v>-1185000</v>
      </c>
      <c r="E297" s="1091">
        <v>0</v>
      </c>
      <c r="F297" s="1092">
        <v>0</v>
      </c>
      <c r="G297" s="1089">
        <v>-85.800000000000011</v>
      </c>
      <c r="H297" s="1091">
        <v>0.54700000000000004</v>
      </c>
      <c r="I297" s="1091">
        <v>-1.8286999999999999E-3</v>
      </c>
      <c r="J297" s="1092">
        <v>-70.08</v>
      </c>
    </row>
    <row r="298" spans="2:10" x14ac:dyDescent="0.25">
      <c r="B298" s="1089" t="s">
        <v>672</v>
      </c>
      <c r="C298" s="1090">
        <v>2040</v>
      </c>
      <c r="D298" s="1089">
        <v>1732000</v>
      </c>
      <c r="E298" s="1091">
        <v>1300000</v>
      </c>
      <c r="F298" s="1092">
        <v>17320</v>
      </c>
      <c r="G298" s="1089">
        <v>129.32</v>
      </c>
      <c r="H298" s="1091">
        <v>0.20383000000000001</v>
      </c>
      <c r="I298" s="1091">
        <v>1.8644999999999998E-3</v>
      </c>
      <c r="J298" s="1092">
        <v>134.37</v>
      </c>
    </row>
    <row r="299" spans="2:10" x14ac:dyDescent="0.25">
      <c r="B299" s="1089" t="s">
        <v>687</v>
      </c>
      <c r="C299" s="1090">
        <v>2040</v>
      </c>
      <c r="D299" s="1089">
        <v>1732000</v>
      </c>
      <c r="E299" s="1091">
        <v>1300000</v>
      </c>
      <c r="F299" s="1092">
        <v>17320</v>
      </c>
      <c r="G299" s="1089">
        <v>129.32</v>
      </c>
      <c r="H299" s="1091">
        <v>0.20383000000000001</v>
      </c>
      <c r="I299" s="1091">
        <v>1.8644999999999998E-3</v>
      </c>
      <c r="J299" s="1092">
        <v>134.37</v>
      </c>
    </row>
    <row r="300" spans="2:10" x14ac:dyDescent="0.25">
      <c r="B300" s="1089" t="s">
        <v>673</v>
      </c>
      <c r="C300" s="1090">
        <v>2040</v>
      </c>
      <c r="D300" s="1089">
        <v>1732000</v>
      </c>
      <c r="E300" s="1091">
        <v>1300000</v>
      </c>
      <c r="F300" s="1092">
        <v>17320</v>
      </c>
      <c r="G300" s="1089">
        <v>129.32</v>
      </c>
      <c r="H300" s="1091">
        <v>0.20383000000000001</v>
      </c>
      <c r="I300" s="1091">
        <v>1.8644999999999998E-3</v>
      </c>
      <c r="J300" s="1092">
        <v>134.37</v>
      </c>
    </row>
    <row r="301" spans="2:10" x14ac:dyDescent="0.25">
      <c r="B301" s="1089" t="s">
        <v>1069</v>
      </c>
      <c r="C301" s="1090">
        <v>2040</v>
      </c>
      <c r="D301" s="1089">
        <v>1022000</v>
      </c>
      <c r="E301" s="1091">
        <v>1021000</v>
      </c>
      <c r="F301" s="1092">
        <v>15510</v>
      </c>
      <c r="G301" s="1089">
        <v>1.7054</v>
      </c>
      <c r="H301" s="1091">
        <v>0.14096210000000001</v>
      </c>
      <c r="I301" s="1091">
        <v>3.2928999999999996E-5</v>
      </c>
      <c r="J301" s="1092">
        <v>5.9637000000000002</v>
      </c>
    </row>
    <row r="302" spans="2:10" x14ac:dyDescent="0.25">
      <c r="B302" s="1089" t="s">
        <v>705</v>
      </c>
      <c r="C302" s="1090">
        <v>2040</v>
      </c>
      <c r="D302" s="1089">
        <v>1022000</v>
      </c>
      <c r="E302" s="1091">
        <v>1021000</v>
      </c>
      <c r="F302" s="1092">
        <v>15510</v>
      </c>
      <c r="G302" s="1089">
        <v>1.7054</v>
      </c>
      <c r="H302" s="1091">
        <v>0.14096210000000001</v>
      </c>
      <c r="I302" s="1091">
        <v>3.2928999999999996E-5</v>
      </c>
      <c r="J302" s="1092">
        <v>5.9637000000000002</v>
      </c>
    </row>
    <row r="303" spans="2:10" x14ac:dyDescent="0.25">
      <c r="B303" s="1089" t="s">
        <v>706</v>
      </c>
      <c r="C303" s="1090">
        <v>2040</v>
      </c>
      <c r="D303" s="1089">
        <v>1022000</v>
      </c>
      <c r="E303" s="1091">
        <v>1021000</v>
      </c>
      <c r="F303" s="1092">
        <v>15510</v>
      </c>
      <c r="G303" s="1089">
        <v>1.7054</v>
      </c>
      <c r="H303" s="1091">
        <v>0.14096210000000001</v>
      </c>
      <c r="I303" s="1091">
        <v>3.2928999999999996E-5</v>
      </c>
      <c r="J303" s="1092">
        <v>5.9637000000000002</v>
      </c>
    </row>
    <row r="304" spans="2:10" x14ac:dyDescent="0.25">
      <c r="B304" s="1089" t="s">
        <v>899</v>
      </c>
      <c r="C304" s="1090">
        <v>2040</v>
      </c>
      <c r="D304" s="1089">
        <v>1209000</v>
      </c>
      <c r="E304" s="1091">
        <v>1202000</v>
      </c>
      <c r="F304" s="1092">
        <v>1052000</v>
      </c>
      <c r="G304" s="1089">
        <v>18.032</v>
      </c>
      <c r="H304" s="1091">
        <v>0.16412599999999999</v>
      </c>
      <c r="I304" s="1091">
        <v>2.9167E-4</v>
      </c>
      <c r="J304" s="1092">
        <v>23.062000000000001</v>
      </c>
    </row>
    <row r="305" spans="2:10" x14ac:dyDescent="0.25">
      <c r="B305" s="1089" t="s">
        <v>897</v>
      </c>
      <c r="C305" s="1090">
        <v>2040</v>
      </c>
      <c r="D305" s="1089">
        <v>1586000</v>
      </c>
      <c r="E305" s="1091">
        <v>696600</v>
      </c>
      <c r="F305" s="1092">
        <v>286100</v>
      </c>
      <c r="G305" s="1089">
        <v>38.200000000000003</v>
      </c>
      <c r="H305" s="1091">
        <v>0.1118</v>
      </c>
      <c r="I305" s="1091">
        <v>2.5350000000000001E-2</v>
      </c>
      <c r="J305" s="1092">
        <v>45.3</v>
      </c>
    </row>
    <row r="306" spans="2:10" x14ac:dyDescent="0.25">
      <c r="B306" s="1089" t="s">
        <v>900</v>
      </c>
      <c r="C306" s="1090">
        <v>2040</v>
      </c>
      <c r="D306" s="1089">
        <v>1250000</v>
      </c>
      <c r="E306" s="1091">
        <v>1242000</v>
      </c>
      <c r="F306" s="1092">
        <v>1078000</v>
      </c>
      <c r="G306" s="1089">
        <v>23.914999999999999</v>
      </c>
      <c r="H306" s="1091">
        <v>0.16985499999999998</v>
      </c>
      <c r="I306" s="1091">
        <v>3.7957999999999997E-4</v>
      </c>
      <c r="J306" s="1092">
        <v>29.232999999999997</v>
      </c>
    </row>
    <row r="307" spans="2:10" x14ac:dyDescent="0.25">
      <c r="B307" s="1089" t="s">
        <v>1063</v>
      </c>
      <c r="C307" s="1090">
        <v>2040</v>
      </c>
      <c r="D307" s="1089">
        <v>1190000</v>
      </c>
      <c r="E307" s="1091">
        <v>51610</v>
      </c>
      <c r="F307" s="1092">
        <v>29220</v>
      </c>
      <c r="G307" s="1089">
        <v>3.7715999999999998</v>
      </c>
      <c r="H307" s="1091">
        <v>8.4332999999999995E-3</v>
      </c>
      <c r="I307" s="1091">
        <v>-3.8260220000000001E-3</v>
      </c>
      <c r="J307" s="1092">
        <v>3.02</v>
      </c>
    </row>
    <row r="308" spans="2:10" x14ac:dyDescent="0.25">
      <c r="B308" s="1089" t="s">
        <v>804</v>
      </c>
      <c r="C308" s="1090">
        <v>2040</v>
      </c>
      <c r="D308" s="1089">
        <v>1190000</v>
      </c>
      <c r="E308" s="1091">
        <v>51610</v>
      </c>
      <c r="F308" s="1092">
        <v>29220</v>
      </c>
      <c r="G308" s="1089">
        <v>3.7715999999999998</v>
      </c>
      <c r="H308" s="1091">
        <v>8.4332999999999995E-3</v>
      </c>
      <c r="I308" s="1091">
        <v>-3.8260220000000001E-3</v>
      </c>
      <c r="J308" s="1092">
        <v>3.02</v>
      </c>
    </row>
    <row r="309" spans="2:10" x14ac:dyDescent="0.25">
      <c r="B309" s="1089" t="s">
        <v>812</v>
      </c>
      <c r="C309" s="1090">
        <v>2040</v>
      </c>
      <c r="D309" s="1089">
        <v>1190000</v>
      </c>
      <c r="E309" s="1091">
        <v>51610</v>
      </c>
      <c r="F309" s="1092">
        <v>29220</v>
      </c>
      <c r="G309" s="1089">
        <v>3.7715999999999998</v>
      </c>
      <c r="H309" s="1091">
        <v>8.4332999999999995E-3</v>
      </c>
      <c r="I309" s="1091">
        <v>-3.8260220000000001E-3</v>
      </c>
      <c r="J309" s="1092">
        <v>3.02</v>
      </c>
    </row>
    <row r="310" spans="2:10" ht="13.8" thickBot="1" x14ac:dyDescent="0.3">
      <c r="B310" s="1093" t="s">
        <v>1070</v>
      </c>
      <c r="C310" s="1094">
        <v>2040</v>
      </c>
      <c r="D310" s="1093">
        <v>1384000</v>
      </c>
      <c r="E310" s="1095">
        <v>1383000</v>
      </c>
      <c r="F310" s="1096">
        <v>5034</v>
      </c>
      <c r="G310" s="1093">
        <v>78.571100000000001</v>
      </c>
      <c r="H310" s="1095">
        <v>0.27494000000000002</v>
      </c>
      <c r="I310" s="1095">
        <v>2.3304000000000003E-3</v>
      </c>
      <c r="J310" s="1096">
        <v>87.594300000000004</v>
      </c>
    </row>
    <row r="311" spans="2:10" x14ac:dyDescent="0.25">
      <c r="B311" s="1085" t="s">
        <v>1067</v>
      </c>
      <c r="C311" s="1086">
        <v>2045</v>
      </c>
      <c r="D311" s="1085">
        <v>1092000</v>
      </c>
      <c r="E311" s="1087">
        <v>1092000</v>
      </c>
      <c r="F311" s="1088">
        <v>3972</v>
      </c>
      <c r="G311" s="1085">
        <v>5.7410000000000005</v>
      </c>
      <c r="H311" s="1087">
        <v>0.18462200000000001</v>
      </c>
      <c r="I311" s="1087">
        <v>8.6110000000000006E-4</v>
      </c>
      <c r="J311" s="1088">
        <v>11.565900000000001</v>
      </c>
    </row>
    <row r="312" spans="2:10" x14ac:dyDescent="0.25">
      <c r="B312" s="1089" t="s">
        <v>282</v>
      </c>
      <c r="C312" s="1090">
        <v>2045</v>
      </c>
      <c r="D312" s="1089">
        <v>1092000</v>
      </c>
      <c r="E312" s="1091">
        <v>1092000</v>
      </c>
      <c r="F312" s="1092">
        <v>3972</v>
      </c>
      <c r="G312" s="1089">
        <v>5.7410000000000005</v>
      </c>
      <c r="H312" s="1091">
        <v>0.18462200000000001</v>
      </c>
      <c r="I312" s="1091">
        <v>8.6110000000000006E-4</v>
      </c>
      <c r="J312" s="1092">
        <v>11.565900000000001</v>
      </c>
    </row>
    <row r="313" spans="2:10" x14ac:dyDescent="0.25">
      <c r="B313" s="1089" t="s">
        <v>1068</v>
      </c>
      <c r="C313" s="1090">
        <v>2045</v>
      </c>
      <c r="D313" s="1089">
        <v>1092000</v>
      </c>
      <c r="E313" s="1091">
        <v>1092000</v>
      </c>
      <c r="F313" s="1092">
        <v>3972</v>
      </c>
      <c r="G313" s="1089">
        <v>5.7410000000000005</v>
      </c>
      <c r="H313" s="1091">
        <v>0.18462200000000001</v>
      </c>
      <c r="I313" s="1091">
        <v>8.6110000000000006E-4</v>
      </c>
      <c r="J313" s="1092">
        <v>11.565900000000001</v>
      </c>
    </row>
    <row r="314" spans="2:10" x14ac:dyDescent="0.25">
      <c r="B314" s="1089" t="s">
        <v>670</v>
      </c>
      <c r="C314" s="1090">
        <v>2045</v>
      </c>
      <c r="D314" s="1089">
        <v>1092000</v>
      </c>
      <c r="E314" s="1091">
        <v>1092000</v>
      </c>
      <c r="F314" s="1092">
        <v>3972</v>
      </c>
      <c r="G314" s="1089">
        <v>5.7410000000000005</v>
      </c>
      <c r="H314" s="1091">
        <v>0.18462200000000001</v>
      </c>
      <c r="I314" s="1091">
        <v>8.6110000000000006E-4</v>
      </c>
      <c r="J314" s="1092">
        <v>11.565900000000001</v>
      </c>
    </row>
    <row r="315" spans="2:10" x14ac:dyDescent="0.25">
      <c r="B315" s="1089" t="s">
        <v>671</v>
      </c>
      <c r="C315" s="1090">
        <v>2045</v>
      </c>
      <c r="D315" s="1089">
        <v>-1185000</v>
      </c>
      <c r="E315" s="1091">
        <v>0</v>
      </c>
      <c r="F315" s="1092">
        <v>0</v>
      </c>
      <c r="G315" s="1089">
        <v>-85.800000000000011</v>
      </c>
      <c r="H315" s="1091">
        <v>0.54700000000000004</v>
      </c>
      <c r="I315" s="1091">
        <v>-1.8286999999999999E-3</v>
      </c>
      <c r="J315" s="1092">
        <v>-70.08</v>
      </c>
    </row>
    <row r="316" spans="2:10" x14ac:dyDescent="0.25">
      <c r="B316" s="1089" t="s">
        <v>672</v>
      </c>
      <c r="C316" s="1090">
        <v>2045</v>
      </c>
      <c r="D316" s="1089">
        <v>1724000</v>
      </c>
      <c r="E316" s="1091">
        <v>1293000</v>
      </c>
      <c r="F316" s="1092">
        <v>15580</v>
      </c>
      <c r="G316" s="1089">
        <v>126.71000000000001</v>
      </c>
      <c r="H316" s="1091">
        <v>0.203795</v>
      </c>
      <c r="I316" s="1091">
        <v>1.8165E-3</v>
      </c>
      <c r="J316" s="1092">
        <v>131.63</v>
      </c>
    </row>
    <row r="317" spans="2:10" x14ac:dyDescent="0.25">
      <c r="B317" s="1089" t="s">
        <v>687</v>
      </c>
      <c r="C317" s="1090">
        <v>2045</v>
      </c>
      <c r="D317" s="1089">
        <v>1724000</v>
      </c>
      <c r="E317" s="1091">
        <v>1293000</v>
      </c>
      <c r="F317" s="1092">
        <v>15580</v>
      </c>
      <c r="G317" s="1089">
        <v>126.71000000000001</v>
      </c>
      <c r="H317" s="1091">
        <v>0.203795</v>
      </c>
      <c r="I317" s="1091">
        <v>1.8165E-3</v>
      </c>
      <c r="J317" s="1092">
        <v>131.63</v>
      </c>
    </row>
    <row r="318" spans="2:10" x14ac:dyDescent="0.25">
      <c r="B318" s="1089" t="s">
        <v>673</v>
      </c>
      <c r="C318" s="1090">
        <v>2045</v>
      </c>
      <c r="D318" s="1089">
        <v>1724000</v>
      </c>
      <c r="E318" s="1091">
        <v>1293000</v>
      </c>
      <c r="F318" s="1092">
        <v>15580</v>
      </c>
      <c r="G318" s="1089">
        <v>126.71000000000001</v>
      </c>
      <c r="H318" s="1091">
        <v>0.203795</v>
      </c>
      <c r="I318" s="1091">
        <v>1.8165E-3</v>
      </c>
      <c r="J318" s="1092">
        <v>131.63</v>
      </c>
    </row>
    <row r="319" spans="2:10" x14ac:dyDescent="0.25">
      <c r="B319" s="1089" t="s">
        <v>1069</v>
      </c>
      <c r="C319" s="1090">
        <v>2045</v>
      </c>
      <c r="D319" s="1089">
        <v>1022000</v>
      </c>
      <c r="E319" s="1091">
        <v>1021000</v>
      </c>
      <c r="F319" s="1092">
        <v>15510</v>
      </c>
      <c r="G319" s="1089">
        <v>1.6997</v>
      </c>
      <c r="H319" s="1091">
        <v>0.14096223999999999</v>
      </c>
      <c r="I319" s="1091">
        <v>3.2833999999999998E-5</v>
      </c>
      <c r="J319" s="1092">
        <v>5.9580000000000002</v>
      </c>
    </row>
    <row r="320" spans="2:10" x14ac:dyDescent="0.25">
      <c r="B320" s="1089" t="s">
        <v>705</v>
      </c>
      <c r="C320" s="1090">
        <v>2045</v>
      </c>
      <c r="D320" s="1089">
        <v>1022000</v>
      </c>
      <c r="E320" s="1091">
        <v>1021000</v>
      </c>
      <c r="F320" s="1092">
        <v>15510</v>
      </c>
      <c r="G320" s="1089">
        <v>1.6997</v>
      </c>
      <c r="H320" s="1091">
        <v>0.14096223999999999</v>
      </c>
      <c r="I320" s="1091">
        <v>3.2833999999999998E-5</v>
      </c>
      <c r="J320" s="1092">
        <v>5.9580000000000002</v>
      </c>
    </row>
    <row r="321" spans="2:10" x14ac:dyDescent="0.25">
      <c r="B321" s="1089" t="s">
        <v>706</v>
      </c>
      <c r="C321" s="1090">
        <v>2045</v>
      </c>
      <c r="D321" s="1089">
        <v>1022000</v>
      </c>
      <c r="E321" s="1091">
        <v>1021000</v>
      </c>
      <c r="F321" s="1092">
        <v>15510</v>
      </c>
      <c r="G321" s="1089">
        <v>1.6997</v>
      </c>
      <c r="H321" s="1091">
        <v>0.14096223999999999</v>
      </c>
      <c r="I321" s="1091">
        <v>3.2833999999999998E-5</v>
      </c>
      <c r="J321" s="1092">
        <v>5.9580000000000002</v>
      </c>
    </row>
    <row r="322" spans="2:10" x14ac:dyDescent="0.25">
      <c r="B322" s="1089" t="s">
        <v>899</v>
      </c>
      <c r="C322" s="1090">
        <v>2045</v>
      </c>
      <c r="D322" s="1089">
        <v>1209000</v>
      </c>
      <c r="E322" s="1091">
        <v>1202000</v>
      </c>
      <c r="F322" s="1092">
        <v>1052000</v>
      </c>
      <c r="G322" s="1089">
        <v>17.989000000000001</v>
      </c>
      <c r="H322" s="1091">
        <v>0.164127</v>
      </c>
      <c r="I322" s="1091">
        <v>2.9079000000000003E-4</v>
      </c>
      <c r="J322" s="1092">
        <v>23.018999999999998</v>
      </c>
    </row>
    <row r="323" spans="2:10" x14ac:dyDescent="0.25">
      <c r="B323" s="1089" t="s">
        <v>897</v>
      </c>
      <c r="C323" s="1090">
        <v>2045</v>
      </c>
      <c r="D323" s="1089">
        <v>1586000</v>
      </c>
      <c r="E323" s="1091">
        <v>696300</v>
      </c>
      <c r="F323" s="1092">
        <v>286000</v>
      </c>
      <c r="G323" s="1089">
        <v>38.110999999999997</v>
      </c>
      <c r="H323" s="1091">
        <v>0.1118</v>
      </c>
      <c r="I323" s="1091">
        <v>2.5350000000000001E-2</v>
      </c>
      <c r="J323" s="1092">
        <v>45.23</v>
      </c>
    </row>
    <row r="324" spans="2:10" x14ac:dyDescent="0.25">
      <c r="B324" s="1089" t="s">
        <v>900</v>
      </c>
      <c r="C324" s="1090">
        <v>2045</v>
      </c>
      <c r="D324" s="1089">
        <v>1249000</v>
      </c>
      <c r="E324" s="1091">
        <v>1242000</v>
      </c>
      <c r="F324" s="1092">
        <v>1078000</v>
      </c>
      <c r="G324" s="1089">
        <v>23.861000000000001</v>
      </c>
      <c r="H324" s="1091">
        <v>0.16985599999999998</v>
      </c>
      <c r="I324" s="1091">
        <v>3.7867E-4</v>
      </c>
      <c r="J324" s="1092">
        <v>29.189</v>
      </c>
    </row>
    <row r="325" spans="2:10" x14ac:dyDescent="0.25">
      <c r="B325" s="1089" t="s">
        <v>1063</v>
      </c>
      <c r="C325" s="1090">
        <v>2045</v>
      </c>
      <c r="D325" s="1089">
        <v>1190000</v>
      </c>
      <c r="E325" s="1091">
        <v>51590</v>
      </c>
      <c r="F325" s="1092">
        <v>29220</v>
      </c>
      <c r="G325" s="1089">
        <v>3.7631000000000001</v>
      </c>
      <c r="H325" s="1091">
        <v>8.4335E-3</v>
      </c>
      <c r="I325" s="1091">
        <v>-3.8260760000000003E-3</v>
      </c>
      <c r="J325" s="1092">
        <v>3.0114000000000001</v>
      </c>
    </row>
    <row r="326" spans="2:10" x14ac:dyDescent="0.25">
      <c r="B326" s="1089" t="s">
        <v>804</v>
      </c>
      <c r="C326" s="1090">
        <v>2045</v>
      </c>
      <c r="D326" s="1089">
        <v>1190000</v>
      </c>
      <c r="E326" s="1091">
        <v>51590</v>
      </c>
      <c r="F326" s="1092">
        <v>29220</v>
      </c>
      <c r="G326" s="1089">
        <v>3.7631000000000001</v>
      </c>
      <c r="H326" s="1091">
        <v>8.4335E-3</v>
      </c>
      <c r="I326" s="1091">
        <v>-3.8260760000000003E-3</v>
      </c>
      <c r="J326" s="1092">
        <v>3.0114000000000001</v>
      </c>
    </row>
    <row r="327" spans="2:10" x14ac:dyDescent="0.25">
      <c r="B327" s="1089" t="s">
        <v>812</v>
      </c>
      <c r="C327" s="1090">
        <v>2045</v>
      </c>
      <c r="D327" s="1089">
        <v>1190000</v>
      </c>
      <c r="E327" s="1091">
        <v>51590</v>
      </c>
      <c r="F327" s="1092">
        <v>29220</v>
      </c>
      <c r="G327" s="1089">
        <v>3.7631000000000001</v>
      </c>
      <c r="H327" s="1091">
        <v>8.4335E-3</v>
      </c>
      <c r="I327" s="1091">
        <v>-3.8260760000000003E-3</v>
      </c>
      <c r="J327" s="1092">
        <v>3.0114000000000001</v>
      </c>
    </row>
    <row r="328" spans="2:10" ht="13.8" thickBot="1" x14ac:dyDescent="0.3">
      <c r="B328" s="1093" t="s">
        <v>1070</v>
      </c>
      <c r="C328" s="1094">
        <v>2045</v>
      </c>
      <c r="D328" s="1093">
        <v>1384000</v>
      </c>
      <c r="E328" s="1095">
        <v>1383000</v>
      </c>
      <c r="F328" s="1096">
        <v>5034</v>
      </c>
      <c r="G328" s="1093">
        <v>78.571100000000001</v>
      </c>
      <c r="H328" s="1095">
        <v>0.27494000000000002</v>
      </c>
      <c r="I328" s="1095">
        <v>2.3304000000000003E-3</v>
      </c>
      <c r="J328" s="1096">
        <v>87.594300000000004</v>
      </c>
    </row>
    <row r="329" spans="2:10" x14ac:dyDescent="0.25">
      <c r="B329" s="1085" t="s">
        <v>1067</v>
      </c>
      <c r="C329" s="1086">
        <v>2050</v>
      </c>
      <c r="D329" s="1085">
        <v>1092000</v>
      </c>
      <c r="E329" s="1087">
        <v>1092000</v>
      </c>
      <c r="F329" s="1088">
        <v>3971</v>
      </c>
      <c r="G329" s="1085">
        <v>5.7390999999999996</v>
      </c>
      <c r="H329" s="1087">
        <v>0.18462200000000001</v>
      </c>
      <c r="I329" s="1087">
        <v>8.61E-4</v>
      </c>
      <c r="J329" s="1088">
        <v>11.5648</v>
      </c>
    </row>
    <row r="330" spans="2:10" x14ac:dyDescent="0.25">
      <c r="B330" s="1089" t="s">
        <v>282</v>
      </c>
      <c r="C330" s="1090">
        <v>2050</v>
      </c>
      <c r="D330" s="1089">
        <v>1092000</v>
      </c>
      <c r="E330" s="1091">
        <v>1092000</v>
      </c>
      <c r="F330" s="1092">
        <v>3971</v>
      </c>
      <c r="G330" s="1089">
        <v>5.7390999999999996</v>
      </c>
      <c r="H330" s="1091">
        <v>0.18462200000000001</v>
      </c>
      <c r="I330" s="1091">
        <v>8.61E-4</v>
      </c>
      <c r="J330" s="1092">
        <v>11.5648</v>
      </c>
    </row>
    <row r="331" spans="2:10" x14ac:dyDescent="0.25">
      <c r="B331" s="1089" t="s">
        <v>1068</v>
      </c>
      <c r="C331" s="1090">
        <v>2050</v>
      </c>
      <c r="D331" s="1089">
        <v>1092000</v>
      </c>
      <c r="E331" s="1091">
        <v>1092000</v>
      </c>
      <c r="F331" s="1092">
        <v>3971</v>
      </c>
      <c r="G331" s="1089">
        <v>5.7390999999999996</v>
      </c>
      <c r="H331" s="1091">
        <v>0.18462200000000001</v>
      </c>
      <c r="I331" s="1091">
        <v>8.61E-4</v>
      </c>
      <c r="J331" s="1092">
        <v>11.5648</v>
      </c>
    </row>
    <row r="332" spans="2:10" x14ac:dyDescent="0.25">
      <c r="B332" s="1089" t="s">
        <v>670</v>
      </c>
      <c r="C332" s="1090">
        <v>2050</v>
      </c>
      <c r="D332" s="1089">
        <v>1092000</v>
      </c>
      <c r="E332" s="1091">
        <v>1092000</v>
      </c>
      <c r="F332" s="1092">
        <v>3971</v>
      </c>
      <c r="G332" s="1089">
        <v>5.7390999999999996</v>
      </c>
      <c r="H332" s="1091">
        <v>0.18462200000000001</v>
      </c>
      <c r="I332" s="1091">
        <v>8.61E-4</v>
      </c>
      <c r="J332" s="1092">
        <v>11.5648</v>
      </c>
    </row>
    <row r="333" spans="2:10" x14ac:dyDescent="0.25">
      <c r="B333" s="1089" t="s">
        <v>671</v>
      </c>
      <c r="C333" s="1090">
        <v>2050</v>
      </c>
      <c r="D333" s="1089">
        <v>-1185000</v>
      </c>
      <c r="E333" s="1091">
        <v>0</v>
      </c>
      <c r="F333" s="1092">
        <v>0</v>
      </c>
      <c r="G333" s="1089">
        <v>-85.800000000000011</v>
      </c>
      <c r="H333" s="1091">
        <v>0.54700000000000004</v>
      </c>
      <c r="I333" s="1091">
        <v>-1.8286999999999999E-3</v>
      </c>
      <c r="J333" s="1092">
        <v>-70.08</v>
      </c>
    </row>
    <row r="334" spans="2:10" x14ac:dyDescent="0.25">
      <c r="B334" s="1089" t="s">
        <v>672</v>
      </c>
      <c r="C334" s="1090">
        <v>2050</v>
      </c>
      <c r="D334" s="1089">
        <v>1721000</v>
      </c>
      <c r="E334" s="1091">
        <v>1293000</v>
      </c>
      <c r="F334" s="1092">
        <v>15050</v>
      </c>
      <c r="G334" s="1089">
        <v>125.08</v>
      </c>
      <c r="H334" s="1091">
        <v>0.20477100000000001</v>
      </c>
      <c r="I334" s="1091">
        <v>1.7827000000000001E-3</v>
      </c>
      <c r="J334" s="1092">
        <v>129.82</v>
      </c>
    </row>
    <row r="335" spans="2:10" x14ac:dyDescent="0.25">
      <c r="B335" s="1089" t="s">
        <v>687</v>
      </c>
      <c r="C335" s="1090">
        <v>2050</v>
      </c>
      <c r="D335" s="1089">
        <v>1721000</v>
      </c>
      <c r="E335" s="1091">
        <v>1293000</v>
      </c>
      <c r="F335" s="1092">
        <v>15050</v>
      </c>
      <c r="G335" s="1089">
        <v>125.08</v>
      </c>
      <c r="H335" s="1091">
        <v>0.20477100000000001</v>
      </c>
      <c r="I335" s="1091">
        <v>1.7827000000000001E-3</v>
      </c>
      <c r="J335" s="1092">
        <v>129.82</v>
      </c>
    </row>
    <row r="336" spans="2:10" x14ac:dyDescent="0.25">
      <c r="B336" s="1089" t="s">
        <v>673</v>
      </c>
      <c r="C336" s="1090">
        <v>2050</v>
      </c>
      <c r="D336" s="1089">
        <v>1721000</v>
      </c>
      <c r="E336" s="1091">
        <v>1293000</v>
      </c>
      <c r="F336" s="1092">
        <v>15050</v>
      </c>
      <c r="G336" s="1089">
        <v>125.08</v>
      </c>
      <c r="H336" s="1091">
        <v>0.20477100000000001</v>
      </c>
      <c r="I336" s="1091">
        <v>1.7827000000000001E-3</v>
      </c>
      <c r="J336" s="1092">
        <v>129.82</v>
      </c>
    </row>
    <row r="337" spans="2:10" x14ac:dyDescent="0.25">
      <c r="B337" s="1089" t="s">
        <v>1069</v>
      </c>
      <c r="C337" s="1090">
        <v>2050</v>
      </c>
      <c r="D337" s="1089">
        <v>1022000</v>
      </c>
      <c r="E337" s="1091">
        <v>1021000</v>
      </c>
      <c r="F337" s="1092">
        <v>15510</v>
      </c>
      <c r="G337" s="1089">
        <v>1.6964999999999999</v>
      </c>
      <c r="H337" s="1091">
        <v>0.14096238999999999</v>
      </c>
      <c r="I337" s="1091">
        <v>3.2765999999999998E-5</v>
      </c>
      <c r="J337" s="1092">
        <v>5.9536999999999995</v>
      </c>
    </row>
    <row r="338" spans="2:10" x14ac:dyDescent="0.25">
      <c r="B338" s="1089" t="s">
        <v>705</v>
      </c>
      <c r="C338" s="1090">
        <v>2050</v>
      </c>
      <c r="D338" s="1089">
        <v>1022000</v>
      </c>
      <c r="E338" s="1091">
        <v>1021000</v>
      </c>
      <c r="F338" s="1092">
        <v>15510</v>
      </c>
      <c r="G338" s="1089">
        <v>1.6964999999999999</v>
      </c>
      <c r="H338" s="1091">
        <v>0.14096238999999999</v>
      </c>
      <c r="I338" s="1091">
        <v>3.2765999999999998E-5</v>
      </c>
      <c r="J338" s="1092">
        <v>5.9536999999999995</v>
      </c>
    </row>
    <row r="339" spans="2:10" x14ac:dyDescent="0.25">
      <c r="B339" s="1089" t="s">
        <v>706</v>
      </c>
      <c r="C339" s="1090">
        <v>2050</v>
      </c>
      <c r="D339" s="1089">
        <v>1022000</v>
      </c>
      <c r="E339" s="1091">
        <v>1021000</v>
      </c>
      <c r="F339" s="1092">
        <v>15510</v>
      </c>
      <c r="G339" s="1089">
        <v>1.6964999999999999</v>
      </c>
      <c r="H339" s="1091">
        <v>0.14096238999999999</v>
      </c>
      <c r="I339" s="1091">
        <v>3.2765999999999998E-5</v>
      </c>
      <c r="J339" s="1092">
        <v>5.9536999999999995</v>
      </c>
    </row>
    <row r="340" spans="2:10" x14ac:dyDescent="0.25">
      <c r="B340" s="1089" t="s">
        <v>899</v>
      </c>
      <c r="C340" s="1090">
        <v>2050</v>
      </c>
      <c r="D340" s="1089">
        <v>1209000</v>
      </c>
      <c r="E340" s="1091">
        <v>1202000</v>
      </c>
      <c r="F340" s="1092">
        <v>1052000</v>
      </c>
      <c r="G340" s="1089">
        <v>17.969000000000001</v>
      </c>
      <c r="H340" s="1091">
        <v>0.164128</v>
      </c>
      <c r="I340" s="1091">
        <v>2.9025999999999998E-4</v>
      </c>
      <c r="J340" s="1092">
        <v>22.988</v>
      </c>
    </row>
    <row r="341" spans="2:10" x14ac:dyDescent="0.25">
      <c r="B341" s="1089" t="s">
        <v>897</v>
      </c>
      <c r="C341" s="1090">
        <v>2050</v>
      </c>
      <c r="D341" s="1089">
        <v>1585000</v>
      </c>
      <c r="E341" s="1091">
        <v>696300</v>
      </c>
      <c r="F341" s="1092">
        <v>286000</v>
      </c>
      <c r="G341" s="1089">
        <v>38.049999999999997</v>
      </c>
      <c r="H341" s="1091">
        <v>0.1118</v>
      </c>
      <c r="I341" s="1091">
        <v>2.5350000000000001E-2</v>
      </c>
      <c r="J341" s="1092">
        <v>45.19</v>
      </c>
    </row>
    <row r="342" spans="2:10" x14ac:dyDescent="0.25">
      <c r="B342" s="1089" t="s">
        <v>900</v>
      </c>
      <c r="C342" s="1090">
        <v>2050</v>
      </c>
      <c r="D342" s="1089">
        <v>1249000</v>
      </c>
      <c r="E342" s="1091">
        <v>1242000</v>
      </c>
      <c r="F342" s="1092">
        <v>1078000</v>
      </c>
      <c r="G342" s="1089">
        <v>23.84</v>
      </c>
      <c r="H342" s="1091">
        <v>0.16985799999999998</v>
      </c>
      <c r="I342" s="1091">
        <v>3.7813000000000001E-4</v>
      </c>
      <c r="J342" s="1092">
        <v>29.157000000000004</v>
      </c>
    </row>
    <row r="343" spans="2:10" x14ac:dyDescent="0.25">
      <c r="B343" s="1089" t="s">
        <v>1063</v>
      </c>
      <c r="C343" s="1090">
        <v>2050</v>
      </c>
      <c r="D343" s="1089">
        <v>1190000</v>
      </c>
      <c r="E343" s="1091">
        <v>51590</v>
      </c>
      <c r="F343" s="1092">
        <v>29220</v>
      </c>
      <c r="G343" s="1089">
        <v>3.7582</v>
      </c>
      <c r="H343" s="1091">
        <v>8.4366999999999984E-3</v>
      </c>
      <c r="I343" s="1091">
        <v>-3.8261190000000002E-3</v>
      </c>
      <c r="J343" s="1092">
        <v>3.0054000000000003</v>
      </c>
    </row>
    <row r="344" spans="2:10" x14ac:dyDescent="0.25">
      <c r="B344" s="1089" t="s">
        <v>804</v>
      </c>
      <c r="C344" s="1090">
        <v>2050</v>
      </c>
      <c r="D344" s="1089">
        <v>1190000</v>
      </c>
      <c r="E344" s="1091">
        <v>51590</v>
      </c>
      <c r="F344" s="1092">
        <v>29220</v>
      </c>
      <c r="G344" s="1089">
        <v>3.7582</v>
      </c>
      <c r="H344" s="1091">
        <v>8.4366999999999984E-3</v>
      </c>
      <c r="I344" s="1091">
        <v>-3.8261190000000002E-3</v>
      </c>
      <c r="J344" s="1092">
        <v>3.0054000000000003</v>
      </c>
    </row>
    <row r="345" spans="2:10" x14ac:dyDescent="0.25">
      <c r="B345" s="1089" t="s">
        <v>812</v>
      </c>
      <c r="C345" s="1090">
        <v>2050</v>
      </c>
      <c r="D345" s="1089">
        <v>1190000</v>
      </c>
      <c r="E345" s="1091">
        <v>51590</v>
      </c>
      <c r="F345" s="1092">
        <v>29220</v>
      </c>
      <c r="G345" s="1089">
        <v>3.7582</v>
      </c>
      <c r="H345" s="1091">
        <v>8.4366999999999984E-3</v>
      </c>
      <c r="I345" s="1091">
        <v>-3.8261190000000002E-3</v>
      </c>
      <c r="J345" s="1092">
        <v>3.0054000000000003</v>
      </c>
    </row>
    <row r="346" spans="2:10" ht="13.8" thickBot="1" x14ac:dyDescent="0.3">
      <c r="B346" s="1093" t="s">
        <v>1070</v>
      </c>
      <c r="C346" s="1094">
        <v>2050</v>
      </c>
      <c r="D346" s="1093">
        <v>1384000</v>
      </c>
      <c r="E346" s="1095">
        <v>1383000</v>
      </c>
      <c r="F346" s="1096">
        <v>5034</v>
      </c>
      <c r="G346" s="1093">
        <v>78.571100000000001</v>
      </c>
      <c r="H346" s="1095">
        <v>0.27494000000000002</v>
      </c>
      <c r="I346" s="1095">
        <v>2.3304000000000003E-3</v>
      </c>
      <c r="J346" s="1096">
        <v>87.594300000000004</v>
      </c>
    </row>
    <row r="347" spans="2:10" x14ac:dyDescent="0.25">
      <c r="B347" s="1085" t="s">
        <v>1067</v>
      </c>
      <c r="C347" s="1086">
        <v>2055</v>
      </c>
      <c r="D347" s="1085">
        <v>1092000</v>
      </c>
      <c r="E347" s="1087">
        <v>1092000</v>
      </c>
      <c r="F347" s="1088">
        <v>3971</v>
      </c>
      <c r="G347" s="1085">
        <v>5.7390999999999996</v>
      </c>
      <c r="H347" s="1087">
        <v>0.18462200000000001</v>
      </c>
      <c r="I347" s="1087">
        <v>8.61E-4</v>
      </c>
      <c r="J347" s="1088">
        <v>11.5648</v>
      </c>
    </row>
    <row r="348" spans="2:10" x14ac:dyDescent="0.25">
      <c r="B348" s="1089" t="s">
        <v>282</v>
      </c>
      <c r="C348" s="1090">
        <v>2055</v>
      </c>
      <c r="D348" s="1089">
        <v>1092000</v>
      </c>
      <c r="E348" s="1091">
        <v>1092000</v>
      </c>
      <c r="F348" s="1092">
        <v>3971</v>
      </c>
      <c r="G348" s="1089">
        <v>5.7390999999999996</v>
      </c>
      <c r="H348" s="1091">
        <v>0.18462200000000001</v>
      </c>
      <c r="I348" s="1091">
        <v>8.61E-4</v>
      </c>
      <c r="J348" s="1092">
        <v>11.5648</v>
      </c>
    </row>
    <row r="349" spans="2:10" x14ac:dyDescent="0.25">
      <c r="B349" s="1089" t="s">
        <v>1068</v>
      </c>
      <c r="C349" s="1090">
        <v>2055</v>
      </c>
      <c r="D349" s="1089">
        <v>1092000</v>
      </c>
      <c r="E349" s="1091">
        <v>1092000</v>
      </c>
      <c r="F349" s="1092">
        <v>3971</v>
      </c>
      <c r="G349" s="1089">
        <v>5.7390999999999996</v>
      </c>
      <c r="H349" s="1091">
        <v>0.18462200000000001</v>
      </c>
      <c r="I349" s="1091">
        <v>8.61E-4</v>
      </c>
      <c r="J349" s="1092">
        <v>11.5648</v>
      </c>
    </row>
    <row r="350" spans="2:10" x14ac:dyDescent="0.25">
      <c r="B350" s="1089" t="s">
        <v>670</v>
      </c>
      <c r="C350" s="1090">
        <v>2055</v>
      </c>
      <c r="D350" s="1089">
        <v>1092000</v>
      </c>
      <c r="E350" s="1091">
        <v>1092000</v>
      </c>
      <c r="F350" s="1092">
        <v>3971</v>
      </c>
      <c r="G350" s="1089">
        <v>5.7390999999999996</v>
      </c>
      <c r="H350" s="1091">
        <v>0.18462200000000001</v>
      </c>
      <c r="I350" s="1091">
        <v>8.61E-4</v>
      </c>
      <c r="J350" s="1092">
        <v>11.5648</v>
      </c>
    </row>
    <row r="351" spans="2:10" x14ac:dyDescent="0.25">
      <c r="B351" s="1089" t="s">
        <v>671</v>
      </c>
      <c r="C351" s="1090">
        <v>2055</v>
      </c>
      <c r="D351" s="1089">
        <v>-1185000</v>
      </c>
      <c r="E351" s="1091">
        <v>0</v>
      </c>
      <c r="F351" s="1092">
        <v>0</v>
      </c>
      <c r="G351" s="1089">
        <v>-85.800000000000011</v>
      </c>
      <c r="H351" s="1091">
        <v>0.54700000000000004</v>
      </c>
      <c r="I351" s="1091">
        <v>-1.8286999999999999E-3</v>
      </c>
      <c r="J351" s="1092">
        <v>-70.08</v>
      </c>
    </row>
    <row r="352" spans="2:10" x14ac:dyDescent="0.25">
      <c r="B352" s="1089" t="s">
        <v>672</v>
      </c>
      <c r="C352" s="1090">
        <v>2055</v>
      </c>
      <c r="D352" s="1089">
        <v>1721000</v>
      </c>
      <c r="E352" s="1091">
        <v>1293000</v>
      </c>
      <c r="F352" s="1092">
        <v>15050</v>
      </c>
      <c r="G352" s="1089">
        <v>125.08</v>
      </c>
      <c r="H352" s="1091">
        <v>0.20477100000000001</v>
      </c>
      <c r="I352" s="1091">
        <v>1.7827000000000001E-3</v>
      </c>
      <c r="J352" s="1092">
        <v>129.82</v>
      </c>
    </row>
    <row r="353" spans="2:10" x14ac:dyDescent="0.25">
      <c r="B353" s="1089" t="s">
        <v>687</v>
      </c>
      <c r="C353" s="1090">
        <v>2055</v>
      </c>
      <c r="D353" s="1089">
        <v>1721000</v>
      </c>
      <c r="E353" s="1091">
        <v>1293000</v>
      </c>
      <c r="F353" s="1092">
        <v>15050</v>
      </c>
      <c r="G353" s="1089">
        <v>125.08</v>
      </c>
      <c r="H353" s="1091">
        <v>0.20477100000000001</v>
      </c>
      <c r="I353" s="1091">
        <v>1.7827000000000001E-3</v>
      </c>
      <c r="J353" s="1092">
        <v>129.82</v>
      </c>
    </row>
    <row r="354" spans="2:10" x14ac:dyDescent="0.25">
      <c r="B354" s="1089" t="s">
        <v>673</v>
      </c>
      <c r="C354" s="1090">
        <v>2055</v>
      </c>
      <c r="D354" s="1089">
        <v>1721000</v>
      </c>
      <c r="E354" s="1091">
        <v>1293000</v>
      </c>
      <c r="F354" s="1092">
        <v>15050</v>
      </c>
      <c r="G354" s="1089">
        <v>125.08</v>
      </c>
      <c r="H354" s="1091">
        <v>0.20477100000000001</v>
      </c>
      <c r="I354" s="1091">
        <v>1.7827000000000001E-3</v>
      </c>
      <c r="J354" s="1092">
        <v>129.82</v>
      </c>
    </row>
    <row r="355" spans="2:10" x14ac:dyDescent="0.25">
      <c r="B355" s="1089" t="s">
        <v>1069</v>
      </c>
      <c r="C355" s="1090">
        <v>2055</v>
      </c>
      <c r="D355" s="1089">
        <v>1022000</v>
      </c>
      <c r="E355" s="1091">
        <v>1021000</v>
      </c>
      <c r="F355" s="1092">
        <v>15510</v>
      </c>
      <c r="G355" s="1089">
        <v>1.6964999999999999</v>
      </c>
      <c r="H355" s="1091">
        <v>0.14096238999999999</v>
      </c>
      <c r="I355" s="1091">
        <v>3.2765999999999998E-5</v>
      </c>
      <c r="J355" s="1092">
        <v>5.9536999999999995</v>
      </c>
    </row>
    <row r="356" spans="2:10" x14ac:dyDescent="0.25">
      <c r="B356" s="1089" t="s">
        <v>705</v>
      </c>
      <c r="C356" s="1090">
        <v>2055</v>
      </c>
      <c r="D356" s="1089">
        <v>1022000</v>
      </c>
      <c r="E356" s="1091">
        <v>1021000</v>
      </c>
      <c r="F356" s="1092">
        <v>15510</v>
      </c>
      <c r="G356" s="1089">
        <v>1.6964999999999999</v>
      </c>
      <c r="H356" s="1091">
        <v>0.14096238999999999</v>
      </c>
      <c r="I356" s="1091">
        <v>3.2765999999999998E-5</v>
      </c>
      <c r="J356" s="1092">
        <v>5.9536999999999995</v>
      </c>
    </row>
    <row r="357" spans="2:10" x14ac:dyDescent="0.25">
      <c r="B357" s="1089" t="s">
        <v>706</v>
      </c>
      <c r="C357" s="1090">
        <v>2055</v>
      </c>
      <c r="D357" s="1089">
        <v>1022000</v>
      </c>
      <c r="E357" s="1091">
        <v>1021000</v>
      </c>
      <c r="F357" s="1092">
        <v>15510</v>
      </c>
      <c r="G357" s="1089">
        <v>1.6964999999999999</v>
      </c>
      <c r="H357" s="1091">
        <v>0.14096238999999999</v>
      </c>
      <c r="I357" s="1091">
        <v>3.2765999999999998E-5</v>
      </c>
      <c r="J357" s="1092">
        <v>5.9536999999999995</v>
      </c>
    </row>
    <row r="358" spans="2:10" x14ac:dyDescent="0.25">
      <c r="B358" s="1089" t="s">
        <v>899</v>
      </c>
      <c r="C358" s="1090">
        <v>2055</v>
      </c>
      <c r="D358" s="1089">
        <v>1209000</v>
      </c>
      <c r="E358" s="1091">
        <v>1202000</v>
      </c>
      <c r="F358" s="1092">
        <v>1052000</v>
      </c>
      <c r="G358" s="1089">
        <v>17.969000000000001</v>
      </c>
      <c r="H358" s="1091">
        <v>0.164128</v>
      </c>
      <c r="I358" s="1091">
        <v>2.9025999999999998E-4</v>
      </c>
      <c r="J358" s="1092">
        <v>22.988</v>
      </c>
    </row>
    <row r="359" spans="2:10" x14ac:dyDescent="0.25">
      <c r="B359" s="1089" t="s">
        <v>897</v>
      </c>
      <c r="C359" s="1090">
        <v>2055</v>
      </c>
      <c r="D359" s="1089">
        <v>1585000</v>
      </c>
      <c r="E359" s="1091">
        <v>696300</v>
      </c>
      <c r="F359" s="1092">
        <v>286000</v>
      </c>
      <c r="G359" s="1089">
        <v>38.049999999999997</v>
      </c>
      <c r="H359" s="1091">
        <v>0.1118</v>
      </c>
      <c r="I359" s="1091">
        <v>2.5350000000000001E-2</v>
      </c>
      <c r="J359" s="1092">
        <v>45.19</v>
      </c>
    </row>
    <row r="360" spans="2:10" x14ac:dyDescent="0.25">
      <c r="B360" s="1089" t="s">
        <v>900</v>
      </c>
      <c r="C360" s="1090">
        <v>2055</v>
      </c>
      <c r="D360" s="1089">
        <v>1249000</v>
      </c>
      <c r="E360" s="1091">
        <v>1242000</v>
      </c>
      <c r="F360" s="1092">
        <v>1078000</v>
      </c>
      <c r="G360" s="1089">
        <v>23.84</v>
      </c>
      <c r="H360" s="1091">
        <v>0.16985799999999998</v>
      </c>
      <c r="I360" s="1091">
        <v>3.7813000000000001E-4</v>
      </c>
      <c r="J360" s="1092">
        <v>29.157000000000004</v>
      </c>
    </row>
    <row r="361" spans="2:10" x14ac:dyDescent="0.25">
      <c r="B361" s="1089" t="s">
        <v>1063</v>
      </c>
      <c r="C361" s="1090">
        <v>2055</v>
      </c>
      <c r="D361" s="1089">
        <v>1190000</v>
      </c>
      <c r="E361" s="1091">
        <v>51590</v>
      </c>
      <c r="F361" s="1092">
        <v>29220</v>
      </c>
      <c r="G361" s="1089">
        <v>3.7582</v>
      </c>
      <c r="H361" s="1091">
        <v>8.4366999999999984E-3</v>
      </c>
      <c r="I361" s="1091">
        <v>-3.8261190000000002E-3</v>
      </c>
      <c r="J361" s="1092">
        <v>3.0054000000000003</v>
      </c>
    </row>
    <row r="362" spans="2:10" x14ac:dyDescent="0.25">
      <c r="B362" s="1089" t="s">
        <v>804</v>
      </c>
      <c r="C362" s="1090">
        <v>2055</v>
      </c>
      <c r="D362" s="1089">
        <v>1190000</v>
      </c>
      <c r="E362" s="1091">
        <v>51590</v>
      </c>
      <c r="F362" s="1092">
        <v>29220</v>
      </c>
      <c r="G362" s="1089">
        <v>3.7582</v>
      </c>
      <c r="H362" s="1091">
        <v>8.4366999999999984E-3</v>
      </c>
      <c r="I362" s="1091">
        <v>-3.8261190000000002E-3</v>
      </c>
      <c r="J362" s="1092">
        <v>3.0054000000000003</v>
      </c>
    </row>
    <row r="363" spans="2:10" x14ac:dyDescent="0.25">
      <c r="B363" s="1089" t="s">
        <v>812</v>
      </c>
      <c r="C363" s="1090">
        <v>2055</v>
      </c>
      <c r="D363" s="1089">
        <v>1190000</v>
      </c>
      <c r="E363" s="1091">
        <v>51590</v>
      </c>
      <c r="F363" s="1092">
        <v>29220</v>
      </c>
      <c r="G363" s="1089">
        <v>3.7582</v>
      </c>
      <c r="H363" s="1091">
        <v>8.4366999999999984E-3</v>
      </c>
      <c r="I363" s="1091">
        <v>-3.8261190000000002E-3</v>
      </c>
      <c r="J363" s="1092">
        <v>3.0054000000000003</v>
      </c>
    </row>
    <row r="364" spans="2:10" ht="13.8" thickBot="1" x14ac:dyDescent="0.3">
      <c r="B364" s="1093" t="s">
        <v>1070</v>
      </c>
      <c r="C364" s="1094">
        <v>2055</v>
      </c>
      <c r="D364" s="1093">
        <v>1384000</v>
      </c>
      <c r="E364" s="1095">
        <v>1383000</v>
      </c>
      <c r="F364" s="1096">
        <v>5034</v>
      </c>
      <c r="G364" s="1093">
        <v>78.571100000000001</v>
      </c>
      <c r="H364" s="1095">
        <v>0.27494000000000002</v>
      </c>
      <c r="I364" s="1095">
        <v>2.3304000000000003E-3</v>
      </c>
      <c r="J364" s="1096">
        <v>87.594300000000004</v>
      </c>
    </row>
    <row r="365" spans="2:10" x14ac:dyDescent="0.25">
      <c r="B365" s="1085" t="s">
        <v>1067</v>
      </c>
      <c r="C365" s="1086">
        <v>2060</v>
      </c>
      <c r="D365" s="1085">
        <v>1092000</v>
      </c>
      <c r="E365" s="1087">
        <v>1092000</v>
      </c>
      <c r="F365" s="1088">
        <v>3971</v>
      </c>
      <c r="G365" s="1085">
        <v>5.7390999999999996</v>
      </c>
      <c r="H365" s="1087">
        <v>0.18462200000000001</v>
      </c>
      <c r="I365" s="1087">
        <v>8.61E-4</v>
      </c>
      <c r="J365" s="1088">
        <v>11.5648</v>
      </c>
    </row>
    <row r="366" spans="2:10" x14ac:dyDescent="0.25">
      <c r="B366" s="1089" t="s">
        <v>282</v>
      </c>
      <c r="C366" s="1090">
        <v>2060</v>
      </c>
      <c r="D366" s="1089">
        <v>1092000</v>
      </c>
      <c r="E366" s="1091">
        <v>1092000</v>
      </c>
      <c r="F366" s="1092">
        <v>3971</v>
      </c>
      <c r="G366" s="1089">
        <v>5.7390999999999996</v>
      </c>
      <c r="H366" s="1091">
        <v>0.18462200000000001</v>
      </c>
      <c r="I366" s="1091">
        <v>8.61E-4</v>
      </c>
      <c r="J366" s="1092">
        <v>11.5648</v>
      </c>
    </row>
    <row r="367" spans="2:10" x14ac:dyDescent="0.25">
      <c r="B367" s="1089" t="s">
        <v>1068</v>
      </c>
      <c r="C367" s="1090">
        <v>2060</v>
      </c>
      <c r="D367" s="1089">
        <v>1092000</v>
      </c>
      <c r="E367" s="1091">
        <v>1092000</v>
      </c>
      <c r="F367" s="1092">
        <v>3971</v>
      </c>
      <c r="G367" s="1089">
        <v>5.7390999999999996</v>
      </c>
      <c r="H367" s="1091">
        <v>0.18462200000000001</v>
      </c>
      <c r="I367" s="1091">
        <v>8.61E-4</v>
      </c>
      <c r="J367" s="1092">
        <v>11.5648</v>
      </c>
    </row>
    <row r="368" spans="2:10" x14ac:dyDescent="0.25">
      <c r="B368" s="1089" t="s">
        <v>670</v>
      </c>
      <c r="C368" s="1090">
        <v>2060</v>
      </c>
      <c r="D368" s="1089">
        <v>1092000</v>
      </c>
      <c r="E368" s="1091">
        <v>1092000</v>
      </c>
      <c r="F368" s="1092">
        <v>3971</v>
      </c>
      <c r="G368" s="1089">
        <v>5.7390999999999996</v>
      </c>
      <c r="H368" s="1091">
        <v>0.18462200000000001</v>
      </c>
      <c r="I368" s="1091">
        <v>8.61E-4</v>
      </c>
      <c r="J368" s="1092">
        <v>11.5648</v>
      </c>
    </row>
    <row r="369" spans="2:10" x14ac:dyDescent="0.25">
      <c r="B369" s="1089" t="s">
        <v>671</v>
      </c>
      <c r="C369" s="1090">
        <v>2060</v>
      </c>
      <c r="D369" s="1089">
        <v>-1185000</v>
      </c>
      <c r="E369" s="1091">
        <v>0</v>
      </c>
      <c r="F369" s="1092">
        <v>0</v>
      </c>
      <c r="G369" s="1089">
        <v>-85.800000000000011</v>
      </c>
      <c r="H369" s="1091">
        <v>0.54700000000000004</v>
      </c>
      <c r="I369" s="1091">
        <v>-1.8286999999999999E-3</v>
      </c>
      <c r="J369" s="1092">
        <v>-70.08</v>
      </c>
    </row>
    <row r="370" spans="2:10" x14ac:dyDescent="0.25">
      <c r="B370" s="1089" t="s">
        <v>672</v>
      </c>
      <c r="C370" s="1090">
        <v>2060</v>
      </c>
      <c r="D370" s="1089">
        <v>1721000</v>
      </c>
      <c r="E370" s="1091">
        <v>1293000</v>
      </c>
      <c r="F370" s="1092">
        <v>15050</v>
      </c>
      <c r="G370" s="1089">
        <v>125.08</v>
      </c>
      <c r="H370" s="1091">
        <v>0.20477100000000001</v>
      </c>
      <c r="I370" s="1091">
        <v>1.7827000000000001E-3</v>
      </c>
      <c r="J370" s="1092">
        <v>129.82</v>
      </c>
    </row>
    <row r="371" spans="2:10" x14ac:dyDescent="0.25">
      <c r="B371" s="1089" t="s">
        <v>687</v>
      </c>
      <c r="C371" s="1090">
        <v>2060</v>
      </c>
      <c r="D371" s="1089">
        <v>1721000</v>
      </c>
      <c r="E371" s="1091">
        <v>1293000</v>
      </c>
      <c r="F371" s="1092">
        <v>15050</v>
      </c>
      <c r="G371" s="1089">
        <v>125.08</v>
      </c>
      <c r="H371" s="1091">
        <v>0.20477100000000001</v>
      </c>
      <c r="I371" s="1091">
        <v>1.7827000000000001E-3</v>
      </c>
      <c r="J371" s="1092">
        <v>129.82</v>
      </c>
    </row>
    <row r="372" spans="2:10" x14ac:dyDescent="0.25">
      <c r="B372" s="1089" t="s">
        <v>673</v>
      </c>
      <c r="C372" s="1090">
        <v>2060</v>
      </c>
      <c r="D372" s="1089">
        <v>1721000</v>
      </c>
      <c r="E372" s="1091">
        <v>1293000</v>
      </c>
      <c r="F372" s="1092">
        <v>15050</v>
      </c>
      <c r="G372" s="1089">
        <v>125.08</v>
      </c>
      <c r="H372" s="1091">
        <v>0.20477100000000001</v>
      </c>
      <c r="I372" s="1091">
        <v>1.7827000000000001E-3</v>
      </c>
      <c r="J372" s="1092">
        <v>129.82</v>
      </c>
    </row>
    <row r="373" spans="2:10" x14ac:dyDescent="0.25">
      <c r="B373" s="1089" t="s">
        <v>1069</v>
      </c>
      <c r="C373" s="1090">
        <v>2060</v>
      </c>
      <c r="D373" s="1089">
        <v>1022000</v>
      </c>
      <c r="E373" s="1091">
        <v>1021000</v>
      </c>
      <c r="F373" s="1092">
        <v>15510</v>
      </c>
      <c r="G373" s="1089">
        <v>1.6964999999999999</v>
      </c>
      <c r="H373" s="1091">
        <v>0.14096238999999999</v>
      </c>
      <c r="I373" s="1091">
        <v>3.2765999999999998E-5</v>
      </c>
      <c r="J373" s="1092">
        <v>5.9536999999999995</v>
      </c>
    </row>
    <row r="374" spans="2:10" x14ac:dyDescent="0.25">
      <c r="B374" s="1089" t="s">
        <v>705</v>
      </c>
      <c r="C374" s="1090">
        <v>2060</v>
      </c>
      <c r="D374" s="1089">
        <v>1022000</v>
      </c>
      <c r="E374" s="1091">
        <v>1021000</v>
      </c>
      <c r="F374" s="1092">
        <v>15510</v>
      </c>
      <c r="G374" s="1089">
        <v>1.6964999999999999</v>
      </c>
      <c r="H374" s="1091">
        <v>0.14096238999999999</v>
      </c>
      <c r="I374" s="1091">
        <v>3.2765999999999998E-5</v>
      </c>
      <c r="J374" s="1092">
        <v>5.9536999999999995</v>
      </c>
    </row>
    <row r="375" spans="2:10" x14ac:dyDescent="0.25">
      <c r="B375" s="1089" t="s">
        <v>706</v>
      </c>
      <c r="C375" s="1090">
        <v>2060</v>
      </c>
      <c r="D375" s="1089">
        <v>1022000</v>
      </c>
      <c r="E375" s="1091">
        <v>1021000</v>
      </c>
      <c r="F375" s="1092">
        <v>15510</v>
      </c>
      <c r="G375" s="1089">
        <v>1.6964999999999999</v>
      </c>
      <c r="H375" s="1091">
        <v>0.14096238999999999</v>
      </c>
      <c r="I375" s="1091">
        <v>3.2765999999999998E-5</v>
      </c>
      <c r="J375" s="1092">
        <v>5.9536999999999995</v>
      </c>
    </row>
    <row r="376" spans="2:10" x14ac:dyDescent="0.25">
      <c r="B376" s="1089" t="s">
        <v>899</v>
      </c>
      <c r="C376" s="1090">
        <v>2060</v>
      </c>
      <c r="D376" s="1089">
        <v>1209000</v>
      </c>
      <c r="E376" s="1091">
        <v>1202000</v>
      </c>
      <c r="F376" s="1092">
        <v>1052000</v>
      </c>
      <c r="G376" s="1089">
        <v>17.969000000000001</v>
      </c>
      <c r="H376" s="1091">
        <v>0.164128</v>
      </c>
      <c r="I376" s="1091">
        <v>2.9025999999999998E-4</v>
      </c>
      <c r="J376" s="1092">
        <v>22.988</v>
      </c>
    </row>
    <row r="377" spans="2:10" x14ac:dyDescent="0.25">
      <c r="B377" s="1089" t="s">
        <v>897</v>
      </c>
      <c r="C377" s="1090">
        <v>2060</v>
      </c>
      <c r="D377" s="1089">
        <v>1585000</v>
      </c>
      <c r="E377" s="1091">
        <v>696300</v>
      </c>
      <c r="F377" s="1092">
        <v>286000</v>
      </c>
      <c r="G377" s="1089">
        <v>38.049999999999997</v>
      </c>
      <c r="H377" s="1091">
        <v>0.1118</v>
      </c>
      <c r="I377" s="1091">
        <v>2.5350000000000001E-2</v>
      </c>
      <c r="J377" s="1092">
        <v>45.19</v>
      </c>
    </row>
    <row r="378" spans="2:10" x14ac:dyDescent="0.25">
      <c r="B378" s="1089" t="s">
        <v>900</v>
      </c>
      <c r="C378" s="1090">
        <v>2060</v>
      </c>
      <c r="D378" s="1089">
        <v>1249000</v>
      </c>
      <c r="E378" s="1091">
        <v>1242000</v>
      </c>
      <c r="F378" s="1092">
        <v>1078000</v>
      </c>
      <c r="G378" s="1089">
        <v>23.84</v>
      </c>
      <c r="H378" s="1091">
        <v>0.16985799999999998</v>
      </c>
      <c r="I378" s="1091">
        <v>3.7813000000000001E-4</v>
      </c>
      <c r="J378" s="1092">
        <v>29.157000000000004</v>
      </c>
    </row>
    <row r="379" spans="2:10" x14ac:dyDescent="0.25">
      <c r="B379" s="1089" t="s">
        <v>1063</v>
      </c>
      <c r="C379" s="1090">
        <v>2060</v>
      </c>
      <c r="D379" s="1089">
        <v>1190000</v>
      </c>
      <c r="E379" s="1091">
        <v>51590</v>
      </c>
      <c r="F379" s="1092">
        <v>29220</v>
      </c>
      <c r="G379" s="1089">
        <v>3.7582</v>
      </c>
      <c r="H379" s="1091">
        <v>8.4366999999999984E-3</v>
      </c>
      <c r="I379" s="1091">
        <v>-3.8261190000000002E-3</v>
      </c>
      <c r="J379" s="1092">
        <v>3.0054000000000003</v>
      </c>
    </row>
    <row r="380" spans="2:10" x14ac:dyDescent="0.25">
      <c r="B380" s="1089" t="s">
        <v>804</v>
      </c>
      <c r="C380" s="1090">
        <v>2060</v>
      </c>
      <c r="D380" s="1089">
        <v>1190000</v>
      </c>
      <c r="E380" s="1091">
        <v>51590</v>
      </c>
      <c r="F380" s="1092">
        <v>29220</v>
      </c>
      <c r="G380" s="1089">
        <v>3.7582</v>
      </c>
      <c r="H380" s="1091">
        <v>8.4366999999999984E-3</v>
      </c>
      <c r="I380" s="1091">
        <v>-3.8261190000000002E-3</v>
      </c>
      <c r="J380" s="1092">
        <v>3.0054000000000003</v>
      </c>
    </row>
    <row r="381" spans="2:10" x14ac:dyDescent="0.25">
      <c r="B381" s="1089" t="s">
        <v>812</v>
      </c>
      <c r="C381" s="1090">
        <v>2060</v>
      </c>
      <c r="D381" s="1089">
        <v>1190000</v>
      </c>
      <c r="E381" s="1091">
        <v>51590</v>
      </c>
      <c r="F381" s="1092">
        <v>29220</v>
      </c>
      <c r="G381" s="1089">
        <v>3.7582</v>
      </c>
      <c r="H381" s="1091">
        <v>8.4366999999999984E-3</v>
      </c>
      <c r="I381" s="1091">
        <v>-3.8261190000000002E-3</v>
      </c>
      <c r="J381" s="1092">
        <v>3.0054000000000003</v>
      </c>
    </row>
    <row r="382" spans="2:10" ht="13.8" thickBot="1" x14ac:dyDescent="0.3">
      <c r="B382" s="1093" t="s">
        <v>1070</v>
      </c>
      <c r="C382" s="1094">
        <v>2060</v>
      </c>
      <c r="D382" s="1093">
        <v>1384000</v>
      </c>
      <c r="E382" s="1095">
        <v>1383000</v>
      </c>
      <c r="F382" s="1096">
        <v>5034</v>
      </c>
      <c r="G382" s="1093">
        <v>78.571100000000001</v>
      </c>
      <c r="H382" s="1095">
        <v>0.27494000000000002</v>
      </c>
      <c r="I382" s="1095">
        <v>2.3304000000000003E-3</v>
      </c>
      <c r="J382" s="1096">
        <v>87.594300000000004</v>
      </c>
    </row>
    <row r="383" spans="2:10" x14ac:dyDescent="0.25">
      <c r="B383" s="1085" t="s">
        <v>1067</v>
      </c>
      <c r="C383" s="1086">
        <v>2065</v>
      </c>
      <c r="D383" s="1085">
        <v>1092000</v>
      </c>
      <c r="E383" s="1087">
        <v>1092000</v>
      </c>
      <c r="F383" s="1088">
        <v>3971</v>
      </c>
      <c r="G383" s="1085">
        <v>5.7390999999999996</v>
      </c>
      <c r="H383" s="1087">
        <v>0.18462200000000001</v>
      </c>
      <c r="I383" s="1087">
        <v>8.61E-4</v>
      </c>
      <c r="J383" s="1088">
        <v>11.5648</v>
      </c>
    </row>
    <row r="384" spans="2:10" x14ac:dyDescent="0.25">
      <c r="B384" s="1089" t="s">
        <v>282</v>
      </c>
      <c r="C384" s="1090">
        <v>2065</v>
      </c>
      <c r="D384" s="1089">
        <v>1092000</v>
      </c>
      <c r="E384" s="1091">
        <v>1092000</v>
      </c>
      <c r="F384" s="1092">
        <v>3971</v>
      </c>
      <c r="G384" s="1089">
        <v>5.7390999999999996</v>
      </c>
      <c r="H384" s="1091">
        <v>0.18462200000000001</v>
      </c>
      <c r="I384" s="1091">
        <v>8.61E-4</v>
      </c>
      <c r="J384" s="1092">
        <v>11.5648</v>
      </c>
    </row>
    <row r="385" spans="2:10" x14ac:dyDescent="0.25">
      <c r="B385" s="1089" t="s">
        <v>1068</v>
      </c>
      <c r="C385" s="1090">
        <v>2065</v>
      </c>
      <c r="D385" s="1089">
        <v>1092000</v>
      </c>
      <c r="E385" s="1091">
        <v>1092000</v>
      </c>
      <c r="F385" s="1092">
        <v>3971</v>
      </c>
      <c r="G385" s="1089">
        <v>5.7390999999999996</v>
      </c>
      <c r="H385" s="1091">
        <v>0.18462200000000001</v>
      </c>
      <c r="I385" s="1091">
        <v>8.61E-4</v>
      </c>
      <c r="J385" s="1092">
        <v>11.5648</v>
      </c>
    </row>
    <row r="386" spans="2:10" x14ac:dyDescent="0.25">
      <c r="B386" s="1089" t="s">
        <v>670</v>
      </c>
      <c r="C386" s="1090">
        <v>2065</v>
      </c>
      <c r="D386" s="1089">
        <v>1092000</v>
      </c>
      <c r="E386" s="1091">
        <v>1092000</v>
      </c>
      <c r="F386" s="1092">
        <v>3971</v>
      </c>
      <c r="G386" s="1089">
        <v>5.7390999999999996</v>
      </c>
      <c r="H386" s="1091">
        <v>0.18462200000000001</v>
      </c>
      <c r="I386" s="1091">
        <v>8.61E-4</v>
      </c>
      <c r="J386" s="1092">
        <v>11.5648</v>
      </c>
    </row>
    <row r="387" spans="2:10" x14ac:dyDescent="0.25">
      <c r="B387" s="1089" t="s">
        <v>671</v>
      </c>
      <c r="C387" s="1090">
        <v>2065</v>
      </c>
      <c r="D387" s="1089">
        <v>-1185000</v>
      </c>
      <c r="E387" s="1091">
        <v>0</v>
      </c>
      <c r="F387" s="1092">
        <v>0</v>
      </c>
      <c r="G387" s="1089">
        <v>-85.800000000000011</v>
      </c>
      <c r="H387" s="1091">
        <v>0.54700000000000004</v>
      </c>
      <c r="I387" s="1091">
        <v>-1.8286999999999999E-3</v>
      </c>
      <c r="J387" s="1092">
        <v>-70.08</v>
      </c>
    </row>
    <row r="388" spans="2:10" x14ac:dyDescent="0.25">
      <c r="B388" s="1089" t="s">
        <v>672</v>
      </c>
      <c r="C388" s="1090">
        <v>2065</v>
      </c>
      <c r="D388" s="1089">
        <v>1721000</v>
      </c>
      <c r="E388" s="1091">
        <v>1293000</v>
      </c>
      <c r="F388" s="1092">
        <v>15050</v>
      </c>
      <c r="G388" s="1089">
        <v>125.08</v>
      </c>
      <c r="H388" s="1091">
        <v>0.20477100000000001</v>
      </c>
      <c r="I388" s="1091">
        <v>1.7827000000000001E-3</v>
      </c>
      <c r="J388" s="1092">
        <v>129.82</v>
      </c>
    </row>
    <row r="389" spans="2:10" x14ac:dyDescent="0.25">
      <c r="B389" s="1089" t="s">
        <v>687</v>
      </c>
      <c r="C389" s="1090">
        <v>2065</v>
      </c>
      <c r="D389" s="1089">
        <v>1721000</v>
      </c>
      <c r="E389" s="1091">
        <v>1293000</v>
      </c>
      <c r="F389" s="1092">
        <v>15050</v>
      </c>
      <c r="G389" s="1089">
        <v>125.08</v>
      </c>
      <c r="H389" s="1091">
        <v>0.20477100000000001</v>
      </c>
      <c r="I389" s="1091">
        <v>1.7827000000000001E-3</v>
      </c>
      <c r="J389" s="1092">
        <v>129.82</v>
      </c>
    </row>
    <row r="390" spans="2:10" x14ac:dyDescent="0.25">
      <c r="B390" s="1089" t="s">
        <v>673</v>
      </c>
      <c r="C390" s="1090">
        <v>2065</v>
      </c>
      <c r="D390" s="1089">
        <v>1721000</v>
      </c>
      <c r="E390" s="1091">
        <v>1293000</v>
      </c>
      <c r="F390" s="1092">
        <v>15050</v>
      </c>
      <c r="G390" s="1089">
        <v>125.08</v>
      </c>
      <c r="H390" s="1091">
        <v>0.20477100000000001</v>
      </c>
      <c r="I390" s="1091">
        <v>1.7827000000000001E-3</v>
      </c>
      <c r="J390" s="1092">
        <v>129.82</v>
      </c>
    </row>
    <row r="391" spans="2:10" x14ac:dyDescent="0.25">
      <c r="B391" s="1089" t="s">
        <v>1069</v>
      </c>
      <c r="C391" s="1090">
        <v>2065</v>
      </c>
      <c r="D391" s="1089">
        <v>1022000</v>
      </c>
      <c r="E391" s="1091">
        <v>1021000</v>
      </c>
      <c r="F391" s="1092">
        <v>15510</v>
      </c>
      <c r="G391" s="1089">
        <v>1.6964999999999999</v>
      </c>
      <c r="H391" s="1091">
        <v>0.14096238999999999</v>
      </c>
      <c r="I391" s="1091">
        <v>3.2765999999999998E-5</v>
      </c>
      <c r="J391" s="1092">
        <v>5.9536999999999995</v>
      </c>
    </row>
    <row r="392" spans="2:10" x14ac:dyDescent="0.25">
      <c r="B392" s="1089" t="s">
        <v>705</v>
      </c>
      <c r="C392" s="1090">
        <v>2065</v>
      </c>
      <c r="D392" s="1089">
        <v>1022000</v>
      </c>
      <c r="E392" s="1091">
        <v>1021000</v>
      </c>
      <c r="F392" s="1092">
        <v>15510</v>
      </c>
      <c r="G392" s="1089">
        <v>1.6964999999999999</v>
      </c>
      <c r="H392" s="1091">
        <v>0.14096238999999999</v>
      </c>
      <c r="I392" s="1091">
        <v>3.2765999999999998E-5</v>
      </c>
      <c r="J392" s="1092">
        <v>5.9536999999999995</v>
      </c>
    </row>
    <row r="393" spans="2:10" x14ac:dyDescent="0.25">
      <c r="B393" s="1089" t="s">
        <v>706</v>
      </c>
      <c r="C393" s="1090">
        <v>2065</v>
      </c>
      <c r="D393" s="1089">
        <v>1022000</v>
      </c>
      <c r="E393" s="1091">
        <v>1021000</v>
      </c>
      <c r="F393" s="1092">
        <v>15510</v>
      </c>
      <c r="G393" s="1089">
        <v>1.6964999999999999</v>
      </c>
      <c r="H393" s="1091">
        <v>0.14096238999999999</v>
      </c>
      <c r="I393" s="1091">
        <v>3.2765999999999998E-5</v>
      </c>
      <c r="J393" s="1092">
        <v>5.9536999999999995</v>
      </c>
    </row>
    <row r="394" spans="2:10" x14ac:dyDescent="0.25">
      <c r="B394" s="1089" t="s">
        <v>899</v>
      </c>
      <c r="C394" s="1090">
        <v>2065</v>
      </c>
      <c r="D394" s="1089">
        <v>1209000</v>
      </c>
      <c r="E394" s="1091">
        <v>1202000</v>
      </c>
      <c r="F394" s="1092">
        <v>1052000</v>
      </c>
      <c r="G394" s="1089">
        <v>17.969000000000001</v>
      </c>
      <c r="H394" s="1091">
        <v>0.164128</v>
      </c>
      <c r="I394" s="1091">
        <v>2.9025999999999998E-4</v>
      </c>
      <c r="J394" s="1092">
        <v>22.988</v>
      </c>
    </row>
    <row r="395" spans="2:10" x14ac:dyDescent="0.25">
      <c r="B395" s="1089" t="s">
        <v>897</v>
      </c>
      <c r="C395" s="1090">
        <v>2065</v>
      </c>
      <c r="D395" s="1089">
        <v>1585000</v>
      </c>
      <c r="E395" s="1091">
        <v>696300</v>
      </c>
      <c r="F395" s="1092">
        <v>286000</v>
      </c>
      <c r="G395" s="1089">
        <v>38.049999999999997</v>
      </c>
      <c r="H395" s="1091">
        <v>0.1118</v>
      </c>
      <c r="I395" s="1091">
        <v>2.5350000000000001E-2</v>
      </c>
      <c r="J395" s="1092">
        <v>45.19</v>
      </c>
    </row>
    <row r="396" spans="2:10" x14ac:dyDescent="0.25">
      <c r="B396" s="1089" t="s">
        <v>900</v>
      </c>
      <c r="C396" s="1090">
        <v>2065</v>
      </c>
      <c r="D396" s="1089">
        <v>1249000</v>
      </c>
      <c r="E396" s="1091">
        <v>1242000</v>
      </c>
      <c r="F396" s="1092">
        <v>1078000</v>
      </c>
      <c r="G396" s="1089">
        <v>23.84</v>
      </c>
      <c r="H396" s="1091">
        <v>0.16985799999999998</v>
      </c>
      <c r="I396" s="1091">
        <v>3.7813000000000001E-4</v>
      </c>
      <c r="J396" s="1092">
        <v>29.157000000000004</v>
      </c>
    </row>
    <row r="397" spans="2:10" x14ac:dyDescent="0.25">
      <c r="B397" s="1089" t="s">
        <v>1063</v>
      </c>
      <c r="C397" s="1090">
        <v>2065</v>
      </c>
      <c r="D397" s="1089">
        <v>1190000</v>
      </c>
      <c r="E397" s="1091">
        <v>51590</v>
      </c>
      <c r="F397" s="1092">
        <v>29220</v>
      </c>
      <c r="G397" s="1089">
        <v>3.7582</v>
      </c>
      <c r="H397" s="1091">
        <v>8.4366999999999984E-3</v>
      </c>
      <c r="I397" s="1091">
        <v>-3.8261190000000002E-3</v>
      </c>
      <c r="J397" s="1092">
        <v>3.0054000000000003</v>
      </c>
    </row>
    <row r="398" spans="2:10" x14ac:dyDescent="0.25">
      <c r="B398" s="1089" t="s">
        <v>804</v>
      </c>
      <c r="C398" s="1090">
        <v>2065</v>
      </c>
      <c r="D398" s="1089">
        <v>1190000</v>
      </c>
      <c r="E398" s="1091">
        <v>51590</v>
      </c>
      <c r="F398" s="1092">
        <v>29220</v>
      </c>
      <c r="G398" s="1089">
        <v>3.7582</v>
      </c>
      <c r="H398" s="1091">
        <v>8.4366999999999984E-3</v>
      </c>
      <c r="I398" s="1091">
        <v>-3.8261190000000002E-3</v>
      </c>
      <c r="J398" s="1092">
        <v>3.0054000000000003</v>
      </c>
    </row>
    <row r="399" spans="2:10" x14ac:dyDescent="0.25">
      <c r="B399" s="1089" t="s">
        <v>812</v>
      </c>
      <c r="C399" s="1090">
        <v>2065</v>
      </c>
      <c r="D399" s="1089">
        <v>1190000</v>
      </c>
      <c r="E399" s="1091">
        <v>51590</v>
      </c>
      <c r="F399" s="1092">
        <v>29220</v>
      </c>
      <c r="G399" s="1089">
        <v>3.7582</v>
      </c>
      <c r="H399" s="1091">
        <v>8.4366999999999984E-3</v>
      </c>
      <c r="I399" s="1091">
        <v>-3.8261190000000002E-3</v>
      </c>
      <c r="J399" s="1092">
        <v>3.0054000000000003</v>
      </c>
    </row>
    <row r="400" spans="2:10" ht="13.8" thickBot="1" x14ac:dyDescent="0.3">
      <c r="B400" s="1093" t="s">
        <v>1070</v>
      </c>
      <c r="C400" s="1094">
        <v>2065</v>
      </c>
      <c r="D400" s="1093">
        <v>1384000</v>
      </c>
      <c r="E400" s="1095">
        <v>1383000</v>
      </c>
      <c r="F400" s="1096">
        <v>5034</v>
      </c>
      <c r="G400" s="1093">
        <v>78.571100000000001</v>
      </c>
      <c r="H400" s="1095">
        <v>0.27494000000000002</v>
      </c>
      <c r="I400" s="1095">
        <v>2.3304000000000003E-3</v>
      </c>
      <c r="J400" s="1096">
        <v>87.594300000000004</v>
      </c>
    </row>
    <row r="401" spans="2:10" x14ac:dyDescent="0.25">
      <c r="B401" s="1085" t="s">
        <v>1067</v>
      </c>
      <c r="C401" s="1086">
        <v>2070</v>
      </c>
      <c r="D401" s="1085">
        <v>1092000</v>
      </c>
      <c r="E401" s="1087">
        <v>1092000</v>
      </c>
      <c r="F401" s="1088">
        <v>3971</v>
      </c>
      <c r="G401" s="1085">
        <v>5.7390999999999996</v>
      </c>
      <c r="H401" s="1087">
        <v>0.18462200000000001</v>
      </c>
      <c r="I401" s="1087">
        <v>8.61E-4</v>
      </c>
      <c r="J401" s="1088">
        <v>11.5648</v>
      </c>
    </row>
    <row r="402" spans="2:10" x14ac:dyDescent="0.25">
      <c r="B402" s="1089" t="s">
        <v>282</v>
      </c>
      <c r="C402" s="1090">
        <v>2070</v>
      </c>
      <c r="D402" s="1089">
        <v>1092000</v>
      </c>
      <c r="E402" s="1091">
        <v>1092000</v>
      </c>
      <c r="F402" s="1092">
        <v>3971</v>
      </c>
      <c r="G402" s="1089">
        <v>5.7390999999999996</v>
      </c>
      <c r="H402" s="1091">
        <v>0.18462200000000001</v>
      </c>
      <c r="I402" s="1091">
        <v>8.61E-4</v>
      </c>
      <c r="J402" s="1092">
        <v>11.5648</v>
      </c>
    </row>
    <row r="403" spans="2:10" x14ac:dyDescent="0.25">
      <c r="B403" s="1089" t="s">
        <v>1068</v>
      </c>
      <c r="C403" s="1090">
        <v>2070</v>
      </c>
      <c r="D403" s="1089">
        <v>1092000</v>
      </c>
      <c r="E403" s="1091">
        <v>1092000</v>
      </c>
      <c r="F403" s="1092">
        <v>3971</v>
      </c>
      <c r="G403" s="1089">
        <v>5.7390999999999996</v>
      </c>
      <c r="H403" s="1091">
        <v>0.18462200000000001</v>
      </c>
      <c r="I403" s="1091">
        <v>8.61E-4</v>
      </c>
      <c r="J403" s="1092">
        <v>11.5648</v>
      </c>
    </row>
    <row r="404" spans="2:10" x14ac:dyDescent="0.25">
      <c r="B404" s="1089" t="s">
        <v>670</v>
      </c>
      <c r="C404" s="1090">
        <v>2070</v>
      </c>
      <c r="D404" s="1089">
        <v>1092000</v>
      </c>
      <c r="E404" s="1091">
        <v>1092000</v>
      </c>
      <c r="F404" s="1092">
        <v>3971</v>
      </c>
      <c r="G404" s="1089">
        <v>5.7390999999999996</v>
      </c>
      <c r="H404" s="1091">
        <v>0.18462200000000001</v>
      </c>
      <c r="I404" s="1091">
        <v>8.61E-4</v>
      </c>
      <c r="J404" s="1092">
        <v>11.5648</v>
      </c>
    </row>
    <row r="405" spans="2:10" x14ac:dyDescent="0.25">
      <c r="B405" s="1089" t="s">
        <v>671</v>
      </c>
      <c r="C405" s="1090">
        <v>2070</v>
      </c>
      <c r="D405" s="1089">
        <v>-1185000</v>
      </c>
      <c r="E405" s="1091">
        <v>0</v>
      </c>
      <c r="F405" s="1092">
        <v>0</v>
      </c>
      <c r="G405" s="1089">
        <v>-85.800000000000011</v>
      </c>
      <c r="H405" s="1091">
        <v>0.54700000000000004</v>
      </c>
      <c r="I405" s="1091">
        <v>-1.8286999999999999E-3</v>
      </c>
      <c r="J405" s="1092">
        <v>-70.08</v>
      </c>
    </row>
    <row r="406" spans="2:10" x14ac:dyDescent="0.25">
      <c r="B406" s="1089" t="s">
        <v>672</v>
      </c>
      <c r="C406" s="1090">
        <v>2070</v>
      </c>
      <c r="D406" s="1089">
        <v>1721000</v>
      </c>
      <c r="E406" s="1091">
        <v>1293000</v>
      </c>
      <c r="F406" s="1092">
        <v>15050</v>
      </c>
      <c r="G406" s="1089">
        <v>125.08</v>
      </c>
      <c r="H406" s="1091">
        <v>0.20477100000000001</v>
      </c>
      <c r="I406" s="1091">
        <v>1.7827000000000001E-3</v>
      </c>
      <c r="J406" s="1092">
        <v>129.82</v>
      </c>
    </row>
    <row r="407" spans="2:10" x14ac:dyDescent="0.25">
      <c r="B407" s="1089" t="s">
        <v>687</v>
      </c>
      <c r="C407" s="1090">
        <v>2070</v>
      </c>
      <c r="D407" s="1089">
        <v>1721000</v>
      </c>
      <c r="E407" s="1091">
        <v>1293000</v>
      </c>
      <c r="F407" s="1092">
        <v>15050</v>
      </c>
      <c r="G407" s="1089">
        <v>125.08</v>
      </c>
      <c r="H407" s="1091">
        <v>0.20477100000000001</v>
      </c>
      <c r="I407" s="1091">
        <v>1.7827000000000001E-3</v>
      </c>
      <c r="J407" s="1092">
        <v>129.82</v>
      </c>
    </row>
    <row r="408" spans="2:10" x14ac:dyDescent="0.25">
      <c r="B408" s="1089" t="s">
        <v>673</v>
      </c>
      <c r="C408" s="1090">
        <v>2070</v>
      </c>
      <c r="D408" s="1089">
        <v>1721000</v>
      </c>
      <c r="E408" s="1091">
        <v>1293000</v>
      </c>
      <c r="F408" s="1092">
        <v>15050</v>
      </c>
      <c r="G408" s="1089">
        <v>125.08</v>
      </c>
      <c r="H408" s="1091">
        <v>0.20477100000000001</v>
      </c>
      <c r="I408" s="1091">
        <v>1.7827000000000001E-3</v>
      </c>
      <c r="J408" s="1092">
        <v>129.82</v>
      </c>
    </row>
    <row r="409" spans="2:10" x14ac:dyDescent="0.25">
      <c r="B409" s="1089" t="s">
        <v>1069</v>
      </c>
      <c r="C409" s="1090">
        <v>2070</v>
      </c>
      <c r="D409" s="1089">
        <v>1022000</v>
      </c>
      <c r="E409" s="1091">
        <v>1021000</v>
      </c>
      <c r="F409" s="1092">
        <v>15510</v>
      </c>
      <c r="G409" s="1089">
        <v>1.6964999999999999</v>
      </c>
      <c r="H409" s="1091">
        <v>0.14096238999999999</v>
      </c>
      <c r="I409" s="1091">
        <v>3.2765999999999998E-5</v>
      </c>
      <c r="J409" s="1092">
        <v>5.9536999999999995</v>
      </c>
    </row>
    <row r="410" spans="2:10" x14ac:dyDescent="0.25">
      <c r="B410" s="1089" t="s">
        <v>705</v>
      </c>
      <c r="C410" s="1090">
        <v>2070</v>
      </c>
      <c r="D410" s="1089">
        <v>1022000</v>
      </c>
      <c r="E410" s="1091">
        <v>1021000</v>
      </c>
      <c r="F410" s="1092">
        <v>15510</v>
      </c>
      <c r="G410" s="1089">
        <v>1.6964999999999999</v>
      </c>
      <c r="H410" s="1091">
        <v>0.14096238999999999</v>
      </c>
      <c r="I410" s="1091">
        <v>3.2765999999999998E-5</v>
      </c>
      <c r="J410" s="1092">
        <v>5.9536999999999995</v>
      </c>
    </row>
    <row r="411" spans="2:10" x14ac:dyDescent="0.25">
      <c r="B411" s="1089" t="s">
        <v>706</v>
      </c>
      <c r="C411" s="1090">
        <v>2070</v>
      </c>
      <c r="D411" s="1089">
        <v>1022000</v>
      </c>
      <c r="E411" s="1091">
        <v>1021000</v>
      </c>
      <c r="F411" s="1092">
        <v>15510</v>
      </c>
      <c r="G411" s="1089">
        <v>1.6964999999999999</v>
      </c>
      <c r="H411" s="1091">
        <v>0.14096238999999999</v>
      </c>
      <c r="I411" s="1091">
        <v>3.2765999999999998E-5</v>
      </c>
      <c r="J411" s="1092">
        <v>5.9536999999999995</v>
      </c>
    </row>
    <row r="412" spans="2:10" x14ac:dyDescent="0.25">
      <c r="B412" s="1089" t="s">
        <v>899</v>
      </c>
      <c r="C412" s="1090">
        <v>2070</v>
      </c>
      <c r="D412" s="1089">
        <v>1209000</v>
      </c>
      <c r="E412" s="1091">
        <v>1202000</v>
      </c>
      <c r="F412" s="1092">
        <v>1052000</v>
      </c>
      <c r="G412" s="1089">
        <v>17.969000000000001</v>
      </c>
      <c r="H412" s="1091">
        <v>0.164128</v>
      </c>
      <c r="I412" s="1091">
        <v>2.9025999999999998E-4</v>
      </c>
      <c r="J412" s="1092">
        <v>22.988</v>
      </c>
    </row>
    <row r="413" spans="2:10" x14ac:dyDescent="0.25">
      <c r="B413" s="1089" t="s">
        <v>897</v>
      </c>
      <c r="C413" s="1090">
        <v>2070</v>
      </c>
      <c r="D413" s="1089">
        <v>1585000</v>
      </c>
      <c r="E413" s="1091">
        <v>696300</v>
      </c>
      <c r="F413" s="1092">
        <v>286000</v>
      </c>
      <c r="G413" s="1089">
        <v>38.049999999999997</v>
      </c>
      <c r="H413" s="1091">
        <v>0.1118</v>
      </c>
      <c r="I413" s="1091">
        <v>2.5350000000000001E-2</v>
      </c>
      <c r="J413" s="1092">
        <v>45.19</v>
      </c>
    </row>
    <row r="414" spans="2:10" x14ac:dyDescent="0.25">
      <c r="B414" s="1089" t="s">
        <v>900</v>
      </c>
      <c r="C414" s="1090">
        <v>2070</v>
      </c>
      <c r="D414" s="1089">
        <v>1249000</v>
      </c>
      <c r="E414" s="1091">
        <v>1242000</v>
      </c>
      <c r="F414" s="1092">
        <v>1078000</v>
      </c>
      <c r="G414" s="1089">
        <v>23.84</v>
      </c>
      <c r="H414" s="1091">
        <v>0.16985799999999998</v>
      </c>
      <c r="I414" s="1091">
        <v>3.7813000000000001E-4</v>
      </c>
      <c r="J414" s="1092">
        <v>29.157000000000004</v>
      </c>
    </row>
    <row r="415" spans="2:10" x14ac:dyDescent="0.25">
      <c r="B415" s="1089" t="s">
        <v>1063</v>
      </c>
      <c r="C415" s="1090">
        <v>2070</v>
      </c>
      <c r="D415" s="1089">
        <v>1190000</v>
      </c>
      <c r="E415" s="1091">
        <v>51590</v>
      </c>
      <c r="F415" s="1092">
        <v>29220</v>
      </c>
      <c r="G415" s="1089">
        <v>3.7582</v>
      </c>
      <c r="H415" s="1091">
        <v>8.4366999999999984E-3</v>
      </c>
      <c r="I415" s="1091">
        <v>-3.8261190000000002E-3</v>
      </c>
      <c r="J415" s="1092">
        <v>3.0054000000000003</v>
      </c>
    </row>
    <row r="416" spans="2:10" x14ac:dyDescent="0.25">
      <c r="B416" s="1089" t="s">
        <v>804</v>
      </c>
      <c r="C416" s="1090">
        <v>2070</v>
      </c>
      <c r="D416" s="1089">
        <v>1190000</v>
      </c>
      <c r="E416" s="1091">
        <v>51590</v>
      </c>
      <c r="F416" s="1092">
        <v>29220</v>
      </c>
      <c r="G416" s="1089">
        <v>3.7582</v>
      </c>
      <c r="H416" s="1091">
        <v>8.4366999999999984E-3</v>
      </c>
      <c r="I416" s="1091">
        <v>-3.8261190000000002E-3</v>
      </c>
      <c r="J416" s="1092">
        <v>3.0054000000000003</v>
      </c>
    </row>
    <row r="417" spans="2:10" x14ac:dyDescent="0.25">
      <c r="B417" s="1089" t="s">
        <v>812</v>
      </c>
      <c r="C417" s="1090">
        <v>2070</v>
      </c>
      <c r="D417" s="1089">
        <v>1190000</v>
      </c>
      <c r="E417" s="1091">
        <v>51590</v>
      </c>
      <c r="F417" s="1092">
        <v>29220</v>
      </c>
      <c r="G417" s="1089">
        <v>3.7582</v>
      </c>
      <c r="H417" s="1091">
        <v>8.4366999999999984E-3</v>
      </c>
      <c r="I417" s="1091">
        <v>-3.8261190000000002E-3</v>
      </c>
      <c r="J417" s="1092">
        <v>3.0054000000000003</v>
      </c>
    </row>
    <row r="418" spans="2:10" ht="13.8" thickBot="1" x14ac:dyDescent="0.3">
      <c r="B418" s="1093" t="s">
        <v>1070</v>
      </c>
      <c r="C418" s="1094">
        <v>2070</v>
      </c>
      <c r="D418" s="1093">
        <v>1384000</v>
      </c>
      <c r="E418" s="1095">
        <v>1383000</v>
      </c>
      <c r="F418" s="1096">
        <v>5034</v>
      </c>
      <c r="G418" s="1093">
        <v>78.571100000000001</v>
      </c>
      <c r="H418" s="1095">
        <v>0.27494000000000002</v>
      </c>
      <c r="I418" s="1095">
        <v>2.3304000000000003E-3</v>
      </c>
      <c r="J418" s="1096">
        <v>87.594300000000004</v>
      </c>
    </row>
    <row r="419" spans="2:10" x14ac:dyDescent="0.25">
      <c r="B419" s="1085" t="s">
        <v>1067</v>
      </c>
      <c r="C419" s="1086">
        <v>2075</v>
      </c>
      <c r="D419" s="1085">
        <v>1092000</v>
      </c>
      <c r="E419" s="1087">
        <v>1092000</v>
      </c>
      <c r="F419" s="1088">
        <v>3971</v>
      </c>
      <c r="G419" s="1085">
        <v>5.7390999999999996</v>
      </c>
      <c r="H419" s="1087">
        <v>0.18462200000000001</v>
      </c>
      <c r="I419" s="1087">
        <v>8.61E-4</v>
      </c>
      <c r="J419" s="1088">
        <v>11.5648</v>
      </c>
    </row>
    <row r="420" spans="2:10" x14ac:dyDescent="0.25">
      <c r="B420" s="1089" t="s">
        <v>282</v>
      </c>
      <c r="C420" s="1090">
        <v>2075</v>
      </c>
      <c r="D420" s="1089">
        <v>1092000</v>
      </c>
      <c r="E420" s="1091">
        <v>1092000</v>
      </c>
      <c r="F420" s="1092">
        <v>3971</v>
      </c>
      <c r="G420" s="1089">
        <v>5.7390999999999996</v>
      </c>
      <c r="H420" s="1091">
        <v>0.18462200000000001</v>
      </c>
      <c r="I420" s="1091">
        <v>8.61E-4</v>
      </c>
      <c r="J420" s="1092">
        <v>11.5648</v>
      </c>
    </row>
    <row r="421" spans="2:10" x14ac:dyDescent="0.25">
      <c r="B421" s="1089" t="s">
        <v>1068</v>
      </c>
      <c r="C421" s="1090">
        <v>2075</v>
      </c>
      <c r="D421" s="1089">
        <v>1092000</v>
      </c>
      <c r="E421" s="1091">
        <v>1092000</v>
      </c>
      <c r="F421" s="1092">
        <v>3971</v>
      </c>
      <c r="G421" s="1089">
        <v>5.7390999999999996</v>
      </c>
      <c r="H421" s="1091">
        <v>0.18462200000000001</v>
      </c>
      <c r="I421" s="1091">
        <v>8.61E-4</v>
      </c>
      <c r="J421" s="1092">
        <v>11.5648</v>
      </c>
    </row>
    <row r="422" spans="2:10" x14ac:dyDescent="0.25">
      <c r="B422" s="1089" t="s">
        <v>670</v>
      </c>
      <c r="C422" s="1090">
        <v>2075</v>
      </c>
      <c r="D422" s="1089">
        <v>1092000</v>
      </c>
      <c r="E422" s="1091">
        <v>1092000</v>
      </c>
      <c r="F422" s="1092">
        <v>3971</v>
      </c>
      <c r="G422" s="1089">
        <v>5.7390999999999996</v>
      </c>
      <c r="H422" s="1091">
        <v>0.18462200000000001</v>
      </c>
      <c r="I422" s="1091">
        <v>8.61E-4</v>
      </c>
      <c r="J422" s="1092">
        <v>11.5648</v>
      </c>
    </row>
    <row r="423" spans="2:10" x14ac:dyDescent="0.25">
      <c r="B423" s="1089" t="s">
        <v>671</v>
      </c>
      <c r="C423" s="1090">
        <v>2075</v>
      </c>
      <c r="D423" s="1089">
        <v>-1185000</v>
      </c>
      <c r="E423" s="1091">
        <v>0</v>
      </c>
      <c r="F423" s="1092">
        <v>0</v>
      </c>
      <c r="G423" s="1089">
        <v>-85.800000000000011</v>
      </c>
      <c r="H423" s="1091">
        <v>0.54700000000000004</v>
      </c>
      <c r="I423" s="1091">
        <v>-1.8286999999999999E-3</v>
      </c>
      <c r="J423" s="1092">
        <v>-70.08</v>
      </c>
    </row>
    <row r="424" spans="2:10" x14ac:dyDescent="0.25">
      <c r="B424" s="1089" t="s">
        <v>672</v>
      </c>
      <c r="C424" s="1090">
        <v>2075</v>
      </c>
      <c r="D424" s="1089">
        <v>1721000</v>
      </c>
      <c r="E424" s="1091">
        <v>1293000</v>
      </c>
      <c r="F424" s="1092">
        <v>15050</v>
      </c>
      <c r="G424" s="1089">
        <v>125.08</v>
      </c>
      <c r="H424" s="1091">
        <v>0.20477100000000001</v>
      </c>
      <c r="I424" s="1091">
        <v>1.7827000000000001E-3</v>
      </c>
      <c r="J424" s="1092">
        <v>129.82</v>
      </c>
    </row>
    <row r="425" spans="2:10" x14ac:dyDescent="0.25">
      <c r="B425" s="1089" t="s">
        <v>687</v>
      </c>
      <c r="C425" s="1090">
        <v>2075</v>
      </c>
      <c r="D425" s="1089">
        <v>1721000</v>
      </c>
      <c r="E425" s="1091">
        <v>1293000</v>
      </c>
      <c r="F425" s="1092">
        <v>15050</v>
      </c>
      <c r="G425" s="1089">
        <v>125.08</v>
      </c>
      <c r="H425" s="1091">
        <v>0.20477100000000001</v>
      </c>
      <c r="I425" s="1091">
        <v>1.7827000000000001E-3</v>
      </c>
      <c r="J425" s="1092">
        <v>129.82</v>
      </c>
    </row>
    <row r="426" spans="2:10" x14ac:dyDescent="0.25">
      <c r="B426" s="1089" t="s">
        <v>673</v>
      </c>
      <c r="C426" s="1090">
        <v>2075</v>
      </c>
      <c r="D426" s="1089">
        <v>1721000</v>
      </c>
      <c r="E426" s="1091">
        <v>1293000</v>
      </c>
      <c r="F426" s="1092">
        <v>15050</v>
      </c>
      <c r="G426" s="1089">
        <v>125.08</v>
      </c>
      <c r="H426" s="1091">
        <v>0.20477100000000001</v>
      </c>
      <c r="I426" s="1091">
        <v>1.7827000000000001E-3</v>
      </c>
      <c r="J426" s="1092">
        <v>129.82</v>
      </c>
    </row>
    <row r="427" spans="2:10" x14ac:dyDescent="0.25">
      <c r="B427" s="1089" t="s">
        <v>1069</v>
      </c>
      <c r="C427" s="1090">
        <v>2075</v>
      </c>
      <c r="D427" s="1089">
        <v>1022000</v>
      </c>
      <c r="E427" s="1091">
        <v>1021000</v>
      </c>
      <c r="F427" s="1092">
        <v>15510</v>
      </c>
      <c r="G427" s="1089">
        <v>1.6964999999999999</v>
      </c>
      <c r="H427" s="1091">
        <v>0.14096238999999999</v>
      </c>
      <c r="I427" s="1091">
        <v>3.2765999999999998E-5</v>
      </c>
      <c r="J427" s="1092">
        <v>5.9536999999999995</v>
      </c>
    </row>
    <row r="428" spans="2:10" x14ac:dyDescent="0.25">
      <c r="B428" s="1089" t="s">
        <v>705</v>
      </c>
      <c r="C428" s="1090">
        <v>2075</v>
      </c>
      <c r="D428" s="1089">
        <v>1022000</v>
      </c>
      <c r="E428" s="1091">
        <v>1021000</v>
      </c>
      <c r="F428" s="1092">
        <v>15510</v>
      </c>
      <c r="G428" s="1089">
        <v>1.6964999999999999</v>
      </c>
      <c r="H428" s="1091">
        <v>0.14096238999999999</v>
      </c>
      <c r="I428" s="1091">
        <v>3.2765999999999998E-5</v>
      </c>
      <c r="J428" s="1092">
        <v>5.9536999999999995</v>
      </c>
    </row>
    <row r="429" spans="2:10" x14ac:dyDescent="0.25">
      <c r="B429" s="1089" t="s">
        <v>706</v>
      </c>
      <c r="C429" s="1090">
        <v>2075</v>
      </c>
      <c r="D429" s="1089">
        <v>1022000</v>
      </c>
      <c r="E429" s="1091">
        <v>1021000</v>
      </c>
      <c r="F429" s="1092">
        <v>15510</v>
      </c>
      <c r="G429" s="1089">
        <v>1.6964999999999999</v>
      </c>
      <c r="H429" s="1091">
        <v>0.14096238999999999</v>
      </c>
      <c r="I429" s="1091">
        <v>3.2765999999999998E-5</v>
      </c>
      <c r="J429" s="1092">
        <v>5.9536999999999995</v>
      </c>
    </row>
    <row r="430" spans="2:10" x14ac:dyDescent="0.25">
      <c r="B430" s="1089" t="s">
        <v>899</v>
      </c>
      <c r="C430" s="1090">
        <v>2075</v>
      </c>
      <c r="D430" s="1089">
        <v>1209000</v>
      </c>
      <c r="E430" s="1091">
        <v>1202000</v>
      </c>
      <c r="F430" s="1092">
        <v>1052000</v>
      </c>
      <c r="G430" s="1089">
        <v>17.969000000000001</v>
      </c>
      <c r="H430" s="1091">
        <v>0.164128</v>
      </c>
      <c r="I430" s="1091">
        <v>2.9025999999999998E-4</v>
      </c>
      <c r="J430" s="1092">
        <v>22.988</v>
      </c>
    </row>
    <row r="431" spans="2:10" x14ac:dyDescent="0.25">
      <c r="B431" s="1089" t="s">
        <v>897</v>
      </c>
      <c r="C431" s="1090">
        <v>2075</v>
      </c>
      <c r="D431" s="1089">
        <v>1585000</v>
      </c>
      <c r="E431" s="1091">
        <v>696300</v>
      </c>
      <c r="F431" s="1092">
        <v>286000</v>
      </c>
      <c r="G431" s="1089">
        <v>38.049999999999997</v>
      </c>
      <c r="H431" s="1091">
        <v>0.1118</v>
      </c>
      <c r="I431" s="1091">
        <v>2.5350000000000001E-2</v>
      </c>
      <c r="J431" s="1092">
        <v>45.19</v>
      </c>
    </row>
    <row r="432" spans="2:10" x14ac:dyDescent="0.25">
      <c r="B432" s="1089" t="s">
        <v>900</v>
      </c>
      <c r="C432" s="1090">
        <v>2075</v>
      </c>
      <c r="D432" s="1089">
        <v>1249000</v>
      </c>
      <c r="E432" s="1091">
        <v>1242000</v>
      </c>
      <c r="F432" s="1092">
        <v>1078000</v>
      </c>
      <c r="G432" s="1089">
        <v>23.84</v>
      </c>
      <c r="H432" s="1091">
        <v>0.16985799999999998</v>
      </c>
      <c r="I432" s="1091">
        <v>3.7813000000000001E-4</v>
      </c>
      <c r="J432" s="1092">
        <v>29.157000000000004</v>
      </c>
    </row>
    <row r="433" spans="2:10" x14ac:dyDescent="0.25">
      <c r="B433" s="1089" t="s">
        <v>1063</v>
      </c>
      <c r="C433" s="1090">
        <v>2075</v>
      </c>
      <c r="D433" s="1089">
        <v>1190000</v>
      </c>
      <c r="E433" s="1091">
        <v>51590</v>
      </c>
      <c r="F433" s="1092">
        <v>29220</v>
      </c>
      <c r="G433" s="1089">
        <v>3.7582</v>
      </c>
      <c r="H433" s="1091">
        <v>8.4366999999999984E-3</v>
      </c>
      <c r="I433" s="1091">
        <v>-3.8261190000000002E-3</v>
      </c>
      <c r="J433" s="1092">
        <v>3.0054000000000003</v>
      </c>
    </row>
    <row r="434" spans="2:10" x14ac:dyDescent="0.25">
      <c r="B434" s="1089" t="s">
        <v>804</v>
      </c>
      <c r="C434" s="1090">
        <v>2075</v>
      </c>
      <c r="D434" s="1089">
        <v>1190000</v>
      </c>
      <c r="E434" s="1091">
        <v>51590</v>
      </c>
      <c r="F434" s="1092">
        <v>29220</v>
      </c>
      <c r="G434" s="1089">
        <v>3.7582</v>
      </c>
      <c r="H434" s="1091">
        <v>8.4366999999999984E-3</v>
      </c>
      <c r="I434" s="1091">
        <v>-3.8261190000000002E-3</v>
      </c>
      <c r="J434" s="1092">
        <v>3.0054000000000003</v>
      </c>
    </row>
    <row r="435" spans="2:10" x14ac:dyDescent="0.25">
      <c r="B435" s="1089" t="s">
        <v>812</v>
      </c>
      <c r="C435" s="1090">
        <v>2075</v>
      </c>
      <c r="D435" s="1089">
        <v>1190000</v>
      </c>
      <c r="E435" s="1091">
        <v>51590</v>
      </c>
      <c r="F435" s="1092">
        <v>29220</v>
      </c>
      <c r="G435" s="1089">
        <v>3.7582</v>
      </c>
      <c r="H435" s="1091">
        <v>8.4366999999999984E-3</v>
      </c>
      <c r="I435" s="1091">
        <v>-3.8261190000000002E-3</v>
      </c>
      <c r="J435" s="1092">
        <v>3.0054000000000003</v>
      </c>
    </row>
    <row r="436" spans="2:10" ht="13.8" thickBot="1" x14ac:dyDescent="0.3">
      <c r="B436" s="1093" t="s">
        <v>1070</v>
      </c>
      <c r="C436" s="1094">
        <v>2075</v>
      </c>
      <c r="D436" s="1093">
        <v>1384000</v>
      </c>
      <c r="E436" s="1095">
        <v>1383000</v>
      </c>
      <c r="F436" s="1096">
        <v>5034</v>
      </c>
      <c r="G436" s="1093">
        <v>78.571100000000001</v>
      </c>
      <c r="H436" s="1095">
        <v>0.27494000000000002</v>
      </c>
      <c r="I436" s="1095">
        <v>2.3304000000000003E-3</v>
      </c>
      <c r="J436" s="1096">
        <v>87.594300000000004</v>
      </c>
    </row>
    <row r="437" spans="2:10" x14ac:dyDescent="0.25">
      <c r="B437" s="1085" t="s">
        <v>1067</v>
      </c>
      <c r="C437" s="1086">
        <v>2080</v>
      </c>
      <c r="D437" s="1085">
        <v>1092000</v>
      </c>
      <c r="E437" s="1087">
        <v>1092000</v>
      </c>
      <c r="F437" s="1088">
        <v>3971</v>
      </c>
      <c r="G437" s="1085">
        <v>5.7390999999999996</v>
      </c>
      <c r="H437" s="1087">
        <v>0.18462200000000001</v>
      </c>
      <c r="I437" s="1087">
        <v>8.61E-4</v>
      </c>
      <c r="J437" s="1088">
        <v>11.5648</v>
      </c>
    </row>
    <row r="438" spans="2:10" x14ac:dyDescent="0.25">
      <c r="B438" s="1089" t="s">
        <v>282</v>
      </c>
      <c r="C438" s="1090">
        <v>2080</v>
      </c>
      <c r="D438" s="1089">
        <v>1092000</v>
      </c>
      <c r="E438" s="1091">
        <v>1092000</v>
      </c>
      <c r="F438" s="1092">
        <v>3971</v>
      </c>
      <c r="G438" s="1089">
        <v>5.7390999999999996</v>
      </c>
      <c r="H438" s="1091">
        <v>0.18462200000000001</v>
      </c>
      <c r="I438" s="1091">
        <v>8.61E-4</v>
      </c>
      <c r="J438" s="1092">
        <v>11.5648</v>
      </c>
    </row>
    <row r="439" spans="2:10" x14ac:dyDescent="0.25">
      <c r="B439" s="1089" t="s">
        <v>1068</v>
      </c>
      <c r="C439" s="1090">
        <v>2080</v>
      </c>
      <c r="D439" s="1089">
        <v>1092000</v>
      </c>
      <c r="E439" s="1091">
        <v>1092000</v>
      </c>
      <c r="F439" s="1092">
        <v>3971</v>
      </c>
      <c r="G439" s="1089">
        <v>5.7390999999999996</v>
      </c>
      <c r="H439" s="1091">
        <v>0.18462200000000001</v>
      </c>
      <c r="I439" s="1091">
        <v>8.61E-4</v>
      </c>
      <c r="J439" s="1092">
        <v>11.5648</v>
      </c>
    </row>
    <row r="440" spans="2:10" x14ac:dyDescent="0.25">
      <c r="B440" s="1089" t="s">
        <v>670</v>
      </c>
      <c r="C440" s="1090">
        <v>2080</v>
      </c>
      <c r="D440" s="1089">
        <v>1092000</v>
      </c>
      <c r="E440" s="1091">
        <v>1092000</v>
      </c>
      <c r="F440" s="1092">
        <v>3971</v>
      </c>
      <c r="G440" s="1089">
        <v>5.7390999999999996</v>
      </c>
      <c r="H440" s="1091">
        <v>0.18462200000000001</v>
      </c>
      <c r="I440" s="1091">
        <v>8.61E-4</v>
      </c>
      <c r="J440" s="1092">
        <v>11.5648</v>
      </c>
    </row>
    <row r="441" spans="2:10" x14ac:dyDescent="0.25">
      <c r="B441" s="1089" t="s">
        <v>671</v>
      </c>
      <c r="C441" s="1090">
        <v>2080</v>
      </c>
      <c r="D441" s="1089">
        <v>-1185000</v>
      </c>
      <c r="E441" s="1091">
        <v>0</v>
      </c>
      <c r="F441" s="1092">
        <v>0</v>
      </c>
      <c r="G441" s="1089">
        <v>-85.800000000000011</v>
      </c>
      <c r="H441" s="1091">
        <v>0.54700000000000004</v>
      </c>
      <c r="I441" s="1091">
        <v>-1.8286999999999999E-3</v>
      </c>
      <c r="J441" s="1092">
        <v>-70.08</v>
      </c>
    </row>
    <row r="442" spans="2:10" x14ac:dyDescent="0.25">
      <c r="B442" s="1089" t="s">
        <v>672</v>
      </c>
      <c r="C442" s="1090">
        <v>2080</v>
      </c>
      <c r="D442" s="1089">
        <v>1721000</v>
      </c>
      <c r="E442" s="1091">
        <v>1293000</v>
      </c>
      <c r="F442" s="1092">
        <v>15050</v>
      </c>
      <c r="G442" s="1089">
        <v>125.08</v>
      </c>
      <c r="H442" s="1091">
        <v>0.20477100000000001</v>
      </c>
      <c r="I442" s="1091">
        <v>1.7827000000000001E-3</v>
      </c>
      <c r="J442" s="1092">
        <v>129.82</v>
      </c>
    </row>
    <row r="443" spans="2:10" x14ac:dyDescent="0.25">
      <c r="B443" s="1089" t="s">
        <v>687</v>
      </c>
      <c r="C443" s="1090">
        <v>2080</v>
      </c>
      <c r="D443" s="1089">
        <v>1721000</v>
      </c>
      <c r="E443" s="1091">
        <v>1293000</v>
      </c>
      <c r="F443" s="1092">
        <v>15050</v>
      </c>
      <c r="G443" s="1089">
        <v>125.08</v>
      </c>
      <c r="H443" s="1091">
        <v>0.20477100000000001</v>
      </c>
      <c r="I443" s="1091">
        <v>1.7827000000000001E-3</v>
      </c>
      <c r="J443" s="1092">
        <v>129.82</v>
      </c>
    </row>
    <row r="444" spans="2:10" x14ac:dyDescent="0.25">
      <c r="B444" s="1089" t="s">
        <v>673</v>
      </c>
      <c r="C444" s="1090">
        <v>2080</v>
      </c>
      <c r="D444" s="1089">
        <v>1721000</v>
      </c>
      <c r="E444" s="1091">
        <v>1293000</v>
      </c>
      <c r="F444" s="1092">
        <v>15050</v>
      </c>
      <c r="G444" s="1089">
        <v>125.08</v>
      </c>
      <c r="H444" s="1091">
        <v>0.20477100000000001</v>
      </c>
      <c r="I444" s="1091">
        <v>1.7827000000000001E-3</v>
      </c>
      <c r="J444" s="1092">
        <v>129.82</v>
      </c>
    </row>
    <row r="445" spans="2:10" x14ac:dyDescent="0.25">
      <c r="B445" s="1089" t="s">
        <v>1069</v>
      </c>
      <c r="C445" s="1090">
        <v>2080</v>
      </c>
      <c r="D445" s="1089">
        <v>1022000</v>
      </c>
      <c r="E445" s="1091">
        <v>1021000</v>
      </c>
      <c r="F445" s="1092">
        <v>15510</v>
      </c>
      <c r="G445" s="1089">
        <v>1.6964999999999999</v>
      </c>
      <c r="H445" s="1091">
        <v>0.14096238999999999</v>
      </c>
      <c r="I445" s="1091">
        <v>3.2765999999999998E-5</v>
      </c>
      <c r="J445" s="1092">
        <v>5.9536999999999995</v>
      </c>
    </row>
    <row r="446" spans="2:10" x14ac:dyDescent="0.25">
      <c r="B446" s="1089" t="s">
        <v>705</v>
      </c>
      <c r="C446" s="1090">
        <v>2080</v>
      </c>
      <c r="D446" s="1089">
        <v>1022000</v>
      </c>
      <c r="E446" s="1091">
        <v>1021000</v>
      </c>
      <c r="F446" s="1092">
        <v>15510</v>
      </c>
      <c r="G446" s="1089">
        <v>1.6964999999999999</v>
      </c>
      <c r="H446" s="1091">
        <v>0.14096238999999999</v>
      </c>
      <c r="I446" s="1091">
        <v>3.2765999999999998E-5</v>
      </c>
      <c r="J446" s="1092">
        <v>5.9536999999999995</v>
      </c>
    </row>
    <row r="447" spans="2:10" x14ac:dyDescent="0.25">
      <c r="B447" s="1089" t="s">
        <v>706</v>
      </c>
      <c r="C447" s="1090">
        <v>2080</v>
      </c>
      <c r="D447" s="1089">
        <v>1022000</v>
      </c>
      <c r="E447" s="1091">
        <v>1021000</v>
      </c>
      <c r="F447" s="1092">
        <v>15510</v>
      </c>
      <c r="G447" s="1089">
        <v>1.6964999999999999</v>
      </c>
      <c r="H447" s="1091">
        <v>0.14096238999999999</v>
      </c>
      <c r="I447" s="1091">
        <v>3.2765999999999998E-5</v>
      </c>
      <c r="J447" s="1092">
        <v>5.9536999999999995</v>
      </c>
    </row>
    <row r="448" spans="2:10" x14ac:dyDescent="0.25">
      <c r="B448" s="1089" t="s">
        <v>899</v>
      </c>
      <c r="C448" s="1090">
        <v>2080</v>
      </c>
      <c r="D448" s="1089">
        <v>1209000</v>
      </c>
      <c r="E448" s="1091">
        <v>1202000</v>
      </c>
      <c r="F448" s="1092">
        <v>1052000</v>
      </c>
      <c r="G448" s="1089">
        <v>17.969000000000001</v>
      </c>
      <c r="H448" s="1091">
        <v>0.164128</v>
      </c>
      <c r="I448" s="1091">
        <v>2.9025999999999998E-4</v>
      </c>
      <c r="J448" s="1092">
        <v>22.988</v>
      </c>
    </row>
    <row r="449" spans="2:10" x14ac:dyDescent="0.25">
      <c r="B449" s="1089" t="s">
        <v>897</v>
      </c>
      <c r="C449" s="1090">
        <v>2080</v>
      </c>
      <c r="D449" s="1089">
        <v>1585000</v>
      </c>
      <c r="E449" s="1091">
        <v>696300</v>
      </c>
      <c r="F449" s="1092">
        <v>286000</v>
      </c>
      <c r="G449" s="1089">
        <v>38.049999999999997</v>
      </c>
      <c r="H449" s="1091">
        <v>0.1118</v>
      </c>
      <c r="I449" s="1091">
        <v>2.5350000000000001E-2</v>
      </c>
      <c r="J449" s="1092">
        <v>45.19</v>
      </c>
    </row>
    <row r="450" spans="2:10" x14ac:dyDescent="0.25">
      <c r="B450" s="1089" t="s">
        <v>900</v>
      </c>
      <c r="C450" s="1090">
        <v>2080</v>
      </c>
      <c r="D450" s="1089">
        <v>1249000</v>
      </c>
      <c r="E450" s="1091">
        <v>1242000</v>
      </c>
      <c r="F450" s="1092">
        <v>1078000</v>
      </c>
      <c r="G450" s="1089">
        <v>23.84</v>
      </c>
      <c r="H450" s="1091">
        <v>0.16985799999999998</v>
      </c>
      <c r="I450" s="1091">
        <v>3.7813000000000001E-4</v>
      </c>
      <c r="J450" s="1092">
        <v>29.157000000000004</v>
      </c>
    </row>
    <row r="451" spans="2:10" x14ac:dyDescent="0.25">
      <c r="B451" s="1089" t="s">
        <v>1063</v>
      </c>
      <c r="C451" s="1090">
        <v>2080</v>
      </c>
      <c r="D451" s="1089">
        <v>1190000</v>
      </c>
      <c r="E451" s="1091">
        <v>51590</v>
      </c>
      <c r="F451" s="1092">
        <v>29220</v>
      </c>
      <c r="G451" s="1089">
        <v>3.7582</v>
      </c>
      <c r="H451" s="1091">
        <v>8.4366999999999984E-3</v>
      </c>
      <c r="I451" s="1091">
        <v>-3.8261190000000002E-3</v>
      </c>
      <c r="J451" s="1092">
        <v>3.0054000000000003</v>
      </c>
    </row>
    <row r="452" spans="2:10" x14ac:dyDescent="0.25">
      <c r="B452" s="1089" t="s">
        <v>804</v>
      </c>
      <c r="C452" s="1090">
        <v>2080</v>
      </c>
      <c r="D452" s="1089">
        <v>1190000</v>
      </c>
      <c r="E452" s="1091">
        <v>51590</v>
      </c>
      <c r="F452" s="1092">
        <v>29220</v>
      </c>
      <c r="G452" s="1089">
        <v>3.7582</v>
      </c>
      <c r="H452" s="1091">
        <v>8.4366999999999984E-3</v>
      </c>
      <c r="I452" s="1091">
        <v>-3.8261190000000002E-3</v>
      </c>
      <c r="J452" s="1092">
        <v>3.0054000000000003</v>
      </c>
    </row>
    <row r="453" spans="2:10" x14ac:dyDescent="0.25">
      <c r="B453" s="1089" t="s">
        <v>812</v>
      </c>
      <c r="C453" s="1090">
        <v>2080</v>
      </c>
      <c r="D453" s="1089">
        <v>1190000</v>
      </c>
      <c r="E453" s="1091">
        <v>51590</v>
      </c>
      <c r="F453" s="1092">
        <v>29220</v>
      </c>
      <c r="G453" s="1089">
        <v>3.7582</v>
      </c>
      <c r="H453" s="1091">
        <v>8.4366999999999984E-3</v>
      </c>
      <c r="I453" s="1091">
        <v>-3.8261190000000002E-3</v>
      </c>
      <c r="J453" s="1092">
        <v>3.0054000000000003</v>
      </c>
    </row>
    <row r="454" spans="2:10" ht="13.8" thickBot="1" x14ac:dyDescent="0.3">
      <c r="B454" s="1093" t="s">
        <v>1070</v>
      </c>
      <c r="C454" s="1094">
        <v>2080</v>
      </c>
      <c r="D454" s="1093">
        <v>1384000</v>
      </c>
      <c r="E454" s="1095">
        <v>1383000</v>
      </c>
      <c r="F454" s="1096">
        <v>5034</v>
      </c>
      <c r="G454" s="1093">
        <v>78.571100000000001</v>
      </c>
      <c r="H454" s="1095">
        <v>0.27494000000000002</v>
      </c>
      <c r="I454" s="1095">
        <v>2.3304000000000003E-3</v>
      </c>
      <c r="J454" s="1096">
        <v>87.594300000000004</v>
      </c>
    </row>
    <row r="455" spans="2:10" x14ac:dyDescent="0.25">
      <c r="B455" s="1085" t="s">
        <v>1067</v>
      </c>
      <c r="C455" s="1086">
        <v>2085</v>
      </c>
      <c r="D455" s="1085">
        <v>1092000</v>
      </c>
      <c r="E455" s="1087">
        <v>1092000</v>
      </c>
      <c r="F455" s="1088">
        <v>3971</v>
      </c>
      <c r="G455" s="1085">
        <v>5.7390999999999996</v>
      </c>
      <c r="H455" s="1087">
        <v>0.18462200000000001</v>
      </c>
      <c r="I455" s="1087">
        <v>8.61E-4</v>
      </c>
      <c r="J455" s="1088">
        <v>11.5648</v>
      </c>
    </row>
    <row r="456" spans="2:10" x14ac:dyDescent="0.25">
      <c r="B456" s="1089" t="s">
        <v>282</v>
      </c>
      <c r="C456" s="1090">
        <v>2085</v>
      </c>
      <c r="D456" s="1089">
        <v>1092000</v>
      </c>
      <c r="E456" s="1091">
        <v>1092000</v>
      </c>
      <c r="F456" s="1092">
        <v>3971</v>
      </c>
      <c r="G456" s="1089">
        <v>5.7390999999999996</v>
      </c>
      <c r="H456" s="1091">
        <v>0.18462200000000001</v>
      </c>
      <c r="I456" s="1091">
        <v>8.61E-4</v>
      </c>
      <c r="J456" s="1092">
        <v>11.5648</v>
      </c>
    </row>
    <row r="457" spans="2:10" x14ac:dyDescent="0.25">
      <c r="B457" s="1089" t="s">
        <v>1068</v>
      </c>
      <c r="C457" s="1090">
        <v>2085</v>
      </c>
      <c r="D457" s="1089">
        <v>1092000</v>
      </c>
      <c r="E457" s="1091">
        <v>1092000</v>
      </c>
      <c r="F457" s="1092">
        <v>3971</v>
      </c>
      <c r="G457" s="1089">
        <v>5.7390999999999996</v>
      </c>
      <c r="H457" s="1091">
        <v>0.18462200000000001</v>
      </c>
      <c r="I457" s="1091">
        <v>8.61E-4</v>
      </c>
      <c r="J457" s="1092">
        <v>11.5648</v>
      </c>
    </row>
    <row r="458" spans="2:10" x14ac:dyDescent="0.25">
      <c r="B458" s="1089" t="s">
        <v>670</v>
      </c>
      <c r="C458" s="1090">
        <v>2085</v>
      </c>
      <c r="D458" s="1089">
        <v>1092000</v>
      </c>
      <c r="E458" s="1091">
        <v>1092000</v>
      </c>
      <c r="F458" s="1092">
        <v>3971</v>
      </c>
      <c r="G458" s="1089">
        <v>5.7390999999999996</v>
      </c>
      <c r="H458" s="1091">
        <v>0.18462200000000001</v>
      </c>
      <c r="I458" s="1091">
        <v>8.61E-4</v>
      </c>
      <c r="J458" s="1092">
        <v>11.5648</v>
      </c>
    </row>
    <row r="459" spans="2:10" x14ac:dyDescent="0.25">
      <c r="B459" s="1089" t="s">
        <v>671</v>
      </c>
      <c r="C459" s="1090">
        <v>2085</v>
      </c>
      <c r="D459" s="1089">
        <v>-1185000</v>
      </c>
      <c r="E459" s="1091">
        <v>0</v>
      </c>
      <c r="F459" s="1092">
        <v>0</v>
      </c>
      <c r="G459" s="1089">
        <v>-85.800000000000011</v>
      </c>
      <c r="H459" s="1091">
        <v>0.54700000000000004</v>
      </c>
      <c r="I459" s="1091">
        <v>-1.8286999999999999E-3</v>
      </c>
      <c r="J459" s="1092">
        <v>-70.08</v>
      </c>
    </row>
    <row r="460" spans="2:10" x14ac:dyDescent="0.25">
      <c r="B460" s="1089" t="s">
        <v>672</v>
      </c>
      <c r="C460" s="1090">
        <v>2085</v>
      </c>
      <c r="D460" s="1089">
        <v>1721000</v>
      </c>
      <c r="E460" s="1091">
        <v>1293000</v>
      </c>
      <c r="F460" s="1092">
        <v>15050</v>
      </c>
      <c r="G460" s="1089">
        <v>125.08</v>
      </c>
      <c r="H460" s="1091">
        <v>0.20477100000000001</v>
      </c>
      <c r="I460" s="1091">
        <v>1.7827000000000001E-3</v>
      </c>
      <c r="J460" s="1092">
        <v>129.82</v>
      </c>
    </row>
    <row r="461" spans="2:10" x14ac:dyDescent="0.25">
      <c r="B461" s="1089" t="s">
        <v>687</v>
      </c>
      <c r="C461" s="1090">
        <v>2085</v>
      </c>
      <c r="D461" s="1089">
        <v>1721000</v>
      </c>
      <c r="E461" s="1091">
        <v>1293000</v>
      </c>
      <c r="F461" s="1092">
        <v>15050</v>
      </c>
      <c r="G461" s="1089">
        <v>125.08</v>
      </c>
      <c r="H461" s="1091">
        <v>0.20477100000000001</v>
      </c>
      <c r="I461" s="1091">
        <v>1.7827000000000001E-3</v>
      </c>
      <c r="J461" s="1092">
        <v>129.82</v>
      </c>
    </row>
    <row r="462" spans="2:10" x14ac:dyDescent="0.25">
      <c r="B462" s="1089" t="s">
        <v>673</v>
      </c>
      <c r="C462" s="1090">
        <v>2085</v>
      </c>
      <c r="D462" s="1089">
        <v>1721000</v>
      </c>
      <c r="E462" s="1091">
        <v>1293000</v>
      </c>
      <c r="F462" s="1092">
        <v>15050</v>
      </c>
      <c r="G462" s="1089">
        <v>125.08</v>
      </c>
      <c r="H462" s="1091">
        <v>0.20477100000000001</v>
      </c>
      <c r="I462" s="1091">
        <v>1.7827000000000001E-3</v>
      </c>
      <c r="J462" s="1092">
        <v>129.82</v>
      </c>
    </row>
    <row r="463" spans="2:10" x14ac:dyDescent="0.25">
      <c r="B463" s="1089" t="s">
        <v>1069</v>
      </c>
      <c r="C463" s="1090">
        <v>2085</v>
      </c>
      <c r="D463" s="1089">
        <v>1022000</v>
      </c>
      <c r="E463" s="1091">
        <v>1021000</v>
      </c>
      <c r="F463" s="1092">
        <v>15510</v>
      </c>
      <c r="G463" s="1089">
        <v>1.6964999999999999</v>
      </c>
      <c r="H463" s="1091">
        <v>0.14096238999999999</v>
      </c>
      <c r="I463" s="1091">
        <v>3.2765999999999998E-5</v>
      </c>
      <c r="J463" s="1092">
        <v>5.9536999999999995</v>
      </c>
    </row>
    <row r="464" spans="2:10" x14ac:dyDescent="0.25">
      <c r="B464" s="1089" t="s">
        <v>705</v>
      </c>
      <c r="C464" s="1090">
        <v>2085</v>
      </c>
      <c r="D464" s="1089">
        <v>1022000</v>
      </c>
      <c r="E464" s="1091">
        <v>1021000</v>
      </c>
      <c r="F464" s="1092">
        <v>15510</v>
      </c>
      <c r="G464" s="1089">
        <v>1.6964999999999999</v>
      </c>
      <c r="H464" s="1091">
        <v>0.14096238999999999</v>
      </c>
      <c r="I464" s="1091">
        <v>3.2765999999999998E-5</v>
      </c>
      <c r="J464" s="1092">
        <v>5.9536999999999995</v>
      </c>
    </row>
    <row r="465" spans="2:10" x14ac:dyDescent="0.25">
      <c r="B465" s="1089" t="s">
        <v>706</v>
      </c>
      <c r="C465" s="1090">
        <v>2085</v>
      </c>
      <c r="D465" s="1089">
        <v>1022000</v>
      </c>
      <c r="E465" s="1091">
        <v>1021000</v>
      </c>
      <c r="F465" s="1092">
        <v>15510</v>
      </c>
      <c r="G465" s="1089">
        <v>1.6964999999999999</v>
      </c>
      <c r="H465" s="1091">
        <v>0.14096238999999999</v>
      </c>
      <c r="I465" s="1091">
        <v>3.2765999999999998E-5</v>
      </c>
      <c r="J465" s="1092">
        <v>5.9536999999999995</v>
      </c>
    </row>
    <row r="466" spans="2:10" x14ac:dyDescent="0.25">
      <c r="B466" s="1089" t="s">
        <v>899</v>
      </c>
      <c r="C466" s="1090">
        <v>2085</v>
      </c>
      <c r="D466" s="1089">
        <v>1209000</v>
      </c>
      <c r="E466" s="1091">
        <v>1202000</v>
      </c>
      <c r="F466" s="1092">
        <v>1052000</v>
      </c>
      <c r="G466" s="1089">
        <v>17.969000000000001</v>
      </c>
      <c r="H466" s="1091">
        <v>0.164128</v>
      </c>
      <c r="I466" s="1091">
        <v>2.9025999999999998E-4</v>
      </c>
      <c r="J466" s="1092">
        <v>22.988</v>
      </c>
    </row>
    <row r="467" spans="2:10" x14ac:dyDescent="0.25">
      <c r="B467" s="1089" t="s">
        <v>897</v>
      </c>
      <c r="C467" s="1090">
        <v>2085</v>
      </c>
      <c r="D467" s="1089">
        <v>1585000</v>
      </c>
      <c r="E467" s="1091">
        <v>696300</v>
      </c>
      <c r="F467" s="1092">
        <v>286000</v>
      </c>
      <c r="G467" s="1089">
        <v>38.049999999999997</v>
      </c>
      <c r="H467" s="1091">
        <v>0.1118</v>
      </c>
      <c r="I467" s="1091">
        <v>2.5350000000000001E-2</v>
      </c>
      <c r="J467" s="1092">
        <v>45.19</v>
      </c>
    </row>
    <row r="468" spans="2:10" x14ac:dyDescent="0.25">
      <c r="B468" s="1089" t="s">
        <v>900</v>
      </c>
      <c r="C468" s="1090">
        <v>2085</v>
      </c>
      <c r="D468" s="1089">
        <v>1249000</v>
      </c>
      <c r="E468" s="1091">
        <v>1242000</v>
      </c>
      <c r="F468" s="1092">
        <v>1078000</v>
      </c>
      <c r="G468" s="1089">
        <v>23.84</v>
      </c>
      <c r="H468" s="1091">
        <v>0.16985799999999998</v>
      </c>
      <c r="I468" s="1091">
        <v>3.7813000000000001E-4</v>
      </c>
      <c r="J468" s="1092">
        <v>29.157000000000004</v>
      </c>
    </row>
    <row r="469" spans="2:10" x14ac:dyDescent="0.25">
      <c r="B469" s="1089" t="s">
        <v>1063</v>
      </c>
      <c r="C469" s="1090">
        <v>2085</v>
      </c>
      <c r="D469" s="1089">
        <v>1190000</v>
      </c>
      <c r="E469" s="1091">
        <v>51590</v>
      </c>
      <c r="F469" s="1092">
        <v>29220</v>
      </c>
      <c r="G469" s="1089">
        <v>3.7582</v>
      </c>
      <c r="H469" s="1091">
        <v>8.4366999999999984E-3</v>
      </c>
      <c r="I469" s="1091">
        <v>-3.8261190000000002E-3</v>
      </c>
      <c r="J469" s="1092">
        <v>3.0054000000000003</v>
      </c>
    </row>
    <row r="470" spans="2:10" x14ac:dyDescent="0.25">
      <c r="B470" s="1089" t="s">
        <v>804</v>
      </c>
      <c r="C470" s="1090">
        <v>2085</v>
      </c>
      <c r="D470" s="1089">
        <v>1190000</v>
      </c>
      <c r="E470" s="1091">
        <v>51590</v>
      </c>
      <c r="F470" s="1092">
        <v>29220</v>
      </c>
      <c r="G470" s="1089">
        <v>3.7582</v>
      </c>
      <c r="H470" s="1091">
        <v>8.4366999999999984E-3</v>
      </c>
      <c r="I470" s="1091">
        <v>-3.8261190000000002E-3</v>
      </c>
      <c r="J470" s="1092">
        <v>3.0054000000000003</v>
      </c>
    </row>
    <row r="471" spans="2:10" x14ac:dyDescent="0.25">
      <c r="B471" s="1089" t="s">
        <v>812</v>
      </c>
      <c r="C471" s="1090">
        <v>2085</v>
      </c>
      <c r="D471" s="1089">
        <v>1190000</v>
      </c>
      <c r="E471" s="1091">
        <v>51590</v>
      </c>
      <c r="F471" s="1092">
        <v>29220</v>
      </c>
      <c r="G471" s="1089">
        <v>3.7582</v>
      </c>
      <c r="H471" s="1091">
        <v>8.4366999999999984E-3</v>
      </c>
      <c r="I471" s="1091">
        <v>-3.8261190000000002E-3</v>
      </c>
      <c r="J471" s="1092">
        <v>3.0054000000000003</v>
      </c>
    </row>
    <row r="472" spans="2:10" ht="13.8" thickBot="1" x14ac:dyDescent="0.3">
      <c r="B472" s="1093" t="s">
        <v>1070</v>
      </c>
      <c r="C472" s="1094">
        <v>2085</v>
      </c>
      <c r="D472" s="1093">
        <v>1384000</v>
      </c>
      <c r="E472" s="1095">
        <v>1383000</v>
      </c>
      <c r="F472" s="1096">
        <v>5034</v>
      </c>
      <c r="G472" s="1093">
        <v>78.571100000000001</v>
      </c>
      <c r="H472" s="1095">
        <v>0.27494000000000002</v>
      </c>
      <c r="I472" s="1095">
        <v>2.3304000000000003E-3</v>
      </c>
      <c r="J472" s="1096">
        <v>87.594300000000004</v>
      </c>
    </row>
    <row r="473" spans="2:10" x14ac:dyDescent="0.25">
      <c r="B473" s="1085" t="s">
        <v>1067</v>
      </c>
      <c r="C473" s="1086">
        <v>2090</v>
      </c>
      <c r="D473" s="1085">
        <v>1092000</v>
      </c>
      <c r="E473" s="1087">
        <v>1092000</v>
      </c>
      <c r="F473" s="1088">
        <v>3971</v>
      </c>
      <c r="G473" s="1085">
        <v>5.7390999999999996</v>
      </c>
      <c r="H473" s="1087">
        <v>0.18462200000000001</v>
      </c>
      <c r="I473" s="1087">
        <v>8.61E-4</v>
      </c>
      <c r="J473" s="1088">
        <v>11.5648</v>
      </c>
    </row>
    <row r="474" spans="2:10" x14ac:dyDescent="0.25">
      <c r="B474" s="1089" t="s">
        <v>282</v>
      </c>
      <c r="C474" s="1090">
        <v>2090</v>
      </c>
      <c r="D474" s="1089">
        <v>1092000</v>
      </c>
      <c r="E474" s="1091">
        <v>1092000</v>
      </c>
      <c r="F474" s="1092">
        <v>3971</v>
      </c>
      <c r="G474" s="1089">
        <v>5.7390999999999996</v>
      </c>
      <c r="H474" s="1091">
        <v>0.18462200000000001</v>
      </c>
      <c r="I474" s="1091">
        <v>8.61E-4</v>
      </c>
      <c r="J474" s="1092">
        <v>11.5648</v>
      </c>
    </row>
    <row r="475" spans="2:10" x14ac:dyDescent="0.25">
      <c r="B475" s="1089" t="s">
        <v>1068</v>
      </c>
      <c r="C475" s="1090">
        <v>2090</v>
      </c>
      <c r="D475" s="1089">
        <v>1092000</v>
      </c>
      <c r="E475" s="1091">
        <v>1092000</v>
      </c>
      <c r="F475" s="1092">
        <v>3971</v>
      </c>
      <c r="G475" s="1089">
        <v>5.7390999999999996</v>
      </c>
      <c r="H475" s="1091">
        <v>0.18462200000000001</v>
      </c>
      <c r="I475" s="1091">
        <v>8.61E-4</v>
      </c>
      <c r="J475" s="1092">
        <v>11.5648</v>
      </c>
    </row>
    <row r="476" spans="2:10" x14ac:dyDescent="0.25">
      <c r="B476" s="1089" t="s">
        <v>670</v>
      </c>
      <c r="C476" s="1090">
        <v>2090</v>
      </c>
      <c r="D476" s="1089">
        <v>1092000</v>
      </c>
      <c r="E476" s="1091">
        <v>1092000</v>
      </c>
      <c r="F476" s="1092">
        <v>3971</v>
      </c>
      <c r="G476" s="1089">
        <v>5.7390999999999996</v>
      </c>
      <c r="H476" s="1091">
        <v>0.18462200000000001</v>
      </c>
      <c r="I476" s="1091">
        <v>8.61E-4</v>
      </c>
      <c r="J476" s="1092">
        <v>11.5648</v>
      </c>
    </row>
    <row r="477" spans="2:10" x14ac:dyDescent="0.25">
      <c r="B477" s="1089" t="s">
        <v>671</v>
      </c>
      <c r="C477" s="1090">
        <v>2090</v>
      </c>
      <c r="D477" s="1089">
        <v>-1185000</v>
      </c>
      <c r="E477" s="1091">
        <v>0</v>
      </c>
      <c r="F477" s="1092">
        <v>0</v>
      </c>
      <c r="G477" s="1089">
        <v>-85.800000000000011</v>
      </c>
      <c r="H477" s="1091">
        <v>0.54700000000000004</v>
      </c>
      <c r="I477" s="1091">
        <v>-1.8286999999999999E-3</v>
      </c>
      <c r="J477" s="1092">
        <v>-70.08</v>
      </c>
    </row>
    <row r="478" spans="2:10" x14ac:dyDescent="0.25">
      <c r="B478" s="1089" t="s">
        <v>672</v>
      </c>
      <c r="C478" s="1090">
        <v>2090</v>
      </c>
      <c r="D478" s="1089">
        <v>1721000</v>
      </c>
      <c r="E478" s="1091">
        <v>1293000</v>
      </c>
      <c r="F478" s="1092">
        <v>15050</v>
      </c>
      <c r="G478" s="1089">
        <v>125.08</v>
      </c>
      <c r="H478" s="1091">
        <v>0.20477100000000001</v>
      </c>
      <c r="I478" s="1091">
        <v>1.7827000000000001E-3</v>
      </c>
      <c r="J478" s="1092">
        <v>129.82</v>
      </c>
    </row>
    <row r="479" spans="2:10" x14ac:dyDescent="0.25">
      <c r="B479" s="1089" t="s">
        <v>687</v>
      </c>
      <c r="C479" s="1090">
        <v>2090</v>
      </c>
      <c r="D479" s="1089">
        <v>1721000</v>
      </c>
      <c r="E479" s="1091">
        <v>1293000</v>
      </c>
      <c r="F479" s="1092">
        <v>15050</v>
      </c>
      <c r="G479" s="1089">
        <v>125.08</v>
      </c>
      <c r="H479" s="1091">
        <v>0.20477100000000001</v>
      </c>
      <c r="I479" s="1091">
        <v>1.7827000000000001E-3</v>
      </c>
      <c r="J479" s="1092">
        <v>129.82</v>
      </c>
    </row>
    <row r="480" spans="2:10" x14ac:dyDescent="0.25">
      <c r="B480" s="1089" t="s">
        <v>673</v>
      </c>
      <c r="C480" s="1090">
        <v>2090</v>
      </c>
      <c r="D480" s="1089">
        <v>1721000</v>
      </c>
      <c r="E480" s="1091">
        <v>1293000</v>
      </c>
      <c r="F480" s="1092">
        <v>15050</v>
      </c>
      <c r="G480" s="1089">
        <v>125.08</v>
      </c>
      <c r="H480" s="1091">
        <v>0.20477100000000001</v>
      </c>
      <c r="I480" s="1091">
        <v>1.7827000000000001E-3</v>
      </c>
      <c r="J480" s="1092">
        <v>129.82</v>
      </c>
    </row>
    <row r="481" spans="2:10" x14ac:dyDescent="0.25">
      <c r="B481" s="1089" t="s">
        <v>1069</v>
      </c>
      <c r="C481" s="1090">
        <v>2090</v>
      </c>
      <c r="D481" s="1089">
        <v>1022000</v>
      </c>
      <c r="E481" s="1091">
        <v>1021000</v>
      </c>
      <c r="F481" s="1092">
        <v>15510</v>
      </c>
      <c r="G481" s="1089">
        <v>1.6964999999999999</v>
      </c>
      <c r="H481" s="1091">
        <v>0.14096238999999999</v>
      </c>
      <c r="I481" s="1091">
        <v>3.2765999999999998E-5</v>
      </c>
      <c r="J481" s="1092">
        <v>5.9536999999999995</v>
      </c>
    </row>
    <row r="482" spans="2:10" x14ac:dyDescent="0.25">
      <c r="B482" s="1089" t="s">
        <v>705</v>
      </c>
      <c r="C482" s="1090">
        <v>2090</v>
      </c>
      <c r="D482" s="1089">
        <v>1022000</v>
      </c>
      <c r="E482" s="1091">
        <v>1021000</v>
      </c>
      <c r="F482" s="1092">
        <v>15510</v>
      </c>
      <c r="G482" s="1089">
        <v>1.6964999999999999</v>
      </c>
      <c r="H482" s="1091">
        <v>0.14096238999999999</v>
      </c>
      <c r="I482" s="1091">
        <v>3.2765999999999998E-5</v>
      </c>
      <c r="J482" s="1092">
        <v>5.9536999999999995</v>
      </c>
    </row>
    <row r="483" spans="2:10" x14ac:dyDescent="0.25">
      <c r="B483" s="1089" t="s">
        <v>706</v>
      </c>
      <c r="C483" s="1090">
        <v>2090</v>
      </c>
      <c r="D483" s="1089">
        <v>1022000</v>
      </c>
      <c r="E483" s="1091">
        <v>1021000</v>
      </c>
      <c r="F483" s="1092">
        <v>15510</v>
      </c>
      <c r="G483" s="1089">
        <v>1.6964999999999999</v>
      </c>
      <c r="H483" s="1091">
        <v>0.14096238999999999</v>
      </c>
      <c r="I483" s="1091">
        <v>3.2765999999999998E-5</v>
      </c>
      <c r="J483" s="1092">
        <v>5.9536999999999995</v>
      </c>
    </row>
    <row r="484" spans="2:10" x14ac:dyDescent="0.25">
      <c r="B484" s="1089" t="s">
        <v>899</v>
      </c>
      <c r="C484" s="1090">
        <v>2090</v>
      </c>
      <c r="D484" s="1089">
        <v>1209000</v>
      </c>
      <c r="E484" s="1091">
        <v>1202000</v>
      </c>
      <c r="F484" s="1092">
        <v>1052000</v>
      </c>
      <c r="G484" s="1089">
        <v>17.969000000000001</v>
      </c>
      <c r="H484" s="1091">
        <v>0.164128</v>
      </c>
      <c r="I484" s="1091">
        <v>2.9025999999999998E-4</v>
      </c>
      <c r="J484" s="1092">
        <v>22.988</v>
      </c>
    </row>
    <row r="485" spans="2:10" x14ac:dyDescent="0.25">
      <c r="B485" s="1089" t="s">
        <v>897</v>
      </c>
      <c r="C485" s="1090">
        <v>2090</v>
      </c>
      <c r="D485" s="1089">
        <v>1585000</v>
      </c>
      <c r="E485" s="1091">
        <v>696300</v>
      </c>
      <c r="F485" s="1092">
        <v>286000</v>
      </c>
      <c r="G485" s="1089">
        <v>38.049999999999997</v>
      </c>
      <c r="H485" s="1091">
        <v>0.1118</v>
      </c>
      <c r="I485" s="1091">
        <v>2.5350000000000001E-2</v>
      </c>
      <c r="J485" s="1092">
        <v>45.19</v>
      </c>
    </row>
    <row r="486" spans="2:10" x14ac:dyDescent="0.25">
      <c r="B486" s="1089" t="s">
        <v>900</v>
      </c>
      <c r="C486" s="1090">
        <v>2090</v>
      </c>
      <c r="D486" s="1089">
        <v>1249000</v>
      </c>
      <c r="E486" s="1091">
        <v>1242000</v>
      </c>
      <c r="F486" s="1092">
        <v>1078000</v>
      </c>
      <c r="G486" s="1089">
        <v>23.84</v>
      </c>
      <c r="H486" s="1091">
        <v>0.16985799999999998</v>
      </c>
      <c r="I486" s="1091">
        <v>3.7813000000000001E-4</v>
      </c>
      <c r="J486" s="1092">
        <v>29.157000000000004</v>
      </c>
    </row>
    <row r="487" spans="2:10" x14ac:dyDescent="0.25">
      <c r="B487" s="1089" t="s">
        <v>1063</v>
      </c>
      <c r="C487" s="1090">
        <v>2090</v>
      </c>
      <c r="D487" s="1089">
        <v>1190000</v>
      </c>
      <c r="E487" s="1091">
        <v>51590</v>
      </c>
      <c r="F487" s="1092">
        <v>29220</v>
      </c>
      <c r="G487" s="1089">
        <v>3.7582</v>
      </c>
      <c r="H487" s="1091">
        <v>8.4366999999999984E-3</v>
      </c>
      <c r="I487" s="1091">
        <v>-3.8261190000000002E-3</v>
      </c>
      <c r="J487" s="1092">
        <v>3.0054000000000003</v>
      </c>
    </row>
    <row r="488" spans="2:10" x14ac:dyDescent="0.25">
      <c r="B488" s="1089" t="s">
        <v>804</v>
      </c>
      <c r="C488" s="1090">
        <v>2090</v>
      </c>
      <c r="D488" s="1089">
        <v>1190000</v>
      </c>
      <c r="E488" s="1091">
        <v>51590</v>
      </c>
      <c r="F488" s="1092">
        <v>29220</v>
      </c>
      <c r="G488" s="1089">
        <v>3.7582</v>
      </c>
      <c r="H488" s="1091">
        <v>8.4366999999999984E-3</v>
      </c>
      <c r="I488" s="1091">
        <v>-3.8261190000000002E-3</v>
      </c>
      <c r="J488" s="1092">
        <v>3.0054000000000003</v>
      </c>
    </row>
    <row r="489" spans="2:10" x14ac:dyDescent="0.25">
      <c r="B489" s="1089" t="s">
        <v>812</v>
      </c>
      <c r="C489" s="1090">
        <v>2090</v>
      </c>
      <c r="D489" s="1089">
        <v>1190000</v>
      </c>
      <c r="E489" s="1091">
        <v>51590</v>
      </c>
      <c r="F489" s="1092">
        <v>29220</v>
      </c>
      <c r="G489" s="1089">
        <v>3.7582</v>
      </c>
      <c r="H489" s="1091">
        <v>8.4366999999999984E-3</v>
      </c>
      <c r="I489" s="1091">
        <v>-3.8261190000000002E-3</v>
      </c>
      <c r="J489" s="1092">
        <v>3.0054000000000003</v>
      </c>
    </row>
    <row r="490" spans="2:10" ht="13.8" thickBot="1" x14ac:dyDescent="0.3">
      <c r="B490" s="1093" t="s">
        <v>1070</v>
      </c>
      <c r="C490" s="1094">
        <v>2090</v>
      </c>
      <c r="D490" s="1093">
        <v>1384000</v>
      </c>
      <c r="E490" s="1095">
        <v>1383000</v>
      </c>
      <c r="F490" s="1096">
        <v>5034</v>
      </c>
      <c r="G490" s="1093">
        <v>78.571100000000001</v>
      </c>
      <c r="H490" s="1095">
        <v>0.27494000000000002</v>
      </c>
      <c r="I490" s="1095">
        <v>2.3304000000000003E-3</v>
      </c>
      <c r="J490" s="1096">
        <v>87.594300000000004</v>
      </c>
    </row>
    <row r="491" spans="2:10" x14ac:dyDescent="0.25">
      <c r="B491" s="1085" t="s">
        <v>1067</v>
      </c>
      <c r="C491" s="1086">
        <v>2095</v>
      </c>
      <c r="D491" s="1085">
        <v>1092000</v>
      </c>
      <c r="E491" s="1087">
        <v>1092000</v>
      </c>
      <c r="F491" s="1088">
        <v>3971</v>
      </c>
      <c r="G491" s="1085">
        <v>5.7390999999999996</v>
      </c>
      <c r="H491" s="1087">
        <v>0.18462200000000001</v>
      </c>
      <c r="I491" s="1087">
        <v>8.61E-4</v>
      </c>
      <c r="J491" s="1088">
        <v>11.5648</v>
      </c>
    </row>
    <row r="492" spans="2:10" x14ac:dyDescent="0.25">
      <c r="B492" s="1089" t="s">
        <v>282</v>
      </c>
      <c r="C492" s="1090">
        <v>2095</v>
      </c>
      <c r="D492" s="1089">
        <v>1092000</v>
      </c>
      <c r="E492" s="1091">
        <v>1092000</v>
      </c>
      <c r="F492" s="1092">
        <v>3971</v>
      </c>
      <c r="G492" s="1089">
        <v>5.7390999999999996</v>
      </c>
      <c r="H492" s="1091">
        <v>0.18462200000000001</v>
      </c>
      <c r="I492" s="1091">
        <v>8.61E-4</v>
      </c>
      <c r="J492" s="1092">
        <v>11.5648</v>
      </c>
    </row>
    <row r="493" spans="2:10" x14ac:dyDescent="0.25">
      <c r="B493" s="1089" t="s">
        <v>1068</v>
      </c>
      <c r="C493" s="1090">
        <v>2095</v>
      </c>
      <c r="D493" s="1089">
        <v>1092000</v>
      </c>
      <c r="E493" s="1091">
        <v>1092000</v>
      </c>
      <c r="F493" s="1092">
        <v>3971</v>
      </c>
      <c r="G493" s="1089">
        <v>5.7390999999999996</v>
      </c>
      <c r="H493" s="1091">
        <v>0.18462200000000001</v>
      </c>
      <c r="I493" s="1091">
        <v>8.61E-4</v>
      </c>
      <c r="J493" s="1092">
        <v>11.5648</v>
      </c>
    </row>
    <row r="494" spans="2:10" x14ac:dyDescent="0.25">
      <c r="B494" s="1089" t="s">
        <v>670</v>
      </c>
      <c r="C494" s="1090">
        <v>2095</v>
      </c>
      <c r="D494" s="1089">
        <v>1092000</v>
      </c>
      <c r="E494" s="1091">
        <v>1092000</v>
      </c>
      <c r="F494" s="1092">
        <v>3971</v>
      </c>
      <c r="G494" s="1089">
        <v>5.7390999999999996</v>
      </c>
      <c r="H494" s="1091">
        <v>0.18462200000000001</v>
      </c>
      <c r="I494" s="1091">
        <v>8.61E-4</v>
      </c>
      <c r="J494" s="1092">
        <v>11.5648</v>
      </c>
    </row>
    <row r="495" spans="2:10" x14ac:dyDescent="0.25">
      <c r="B495" s="1089" t="s">
        <v>671</v>
      </c>
      <c r="C495" s="1090">
        <v>2095</v>
      </c>
      <c r="D495" s="1089">
        <v>-1185000</v>
      </c>
      <c r="E495" s="1091">
        <v>0</v>
      </c>
      <c r="F495" s="1092">
        <v>0</v>
      </c>
      <c r="G495" s="1089">
        <v>-85.800000000000011</v>
      </c>
      <c r="H495" s="1091">
        <v>0.54700000000000004</v>
      </c>
      <c r="I495" s="1091">
        <v>-1.8286999999999999E-3</v>
      </c>
      <c r="J495" s="1092">
        <v>-70.08</v>
      </c>
    </row>
    <row r="496" spans="2:10" x14ac:dyDescent="0.25">
      <c r="B496" s="1089" t="s">
        <v>672</v>
      </c>
      <c r="C496" s="1090">
        <v>2095</v>
      </c>
      <c r="D496" s="1089">
        <v>1721000</v>
      </c>
      <c r="E496" s="1091">
        <v>1293000</v>
      </c>
      <c r="F496" s="1092">
        <v>15050</v>
      </c>
      <c r="G496" s="1089">
        <v>125.08</v>
      </c>
      <c r="H496" s="1091">
        <v>0.20477100000000001</v>
      </c>
      <c r="I496" s="1091">
        <v>1.7827000000000001E-3</v>
      </c>
      <c r="J496" s="1092">
        <v>129.82</v>
      </c>
    </row>
    <row r="497" spans="2:10" x14ac:dyDescent="0.25">
      <c r="B497" s="1089" t="s">
        <v>687</v>
      </c>
      <c r="C497" s="1090">
        <v>2095</v>
      </c>
      <c r="D497" s="1089">
        <v>1721000</v>
      </c>
      <c r="E497" s="1091">
        <v>1293000</v>
      </c>
      <c r="F497" s="1092">
        <v>15050</v>
      </c>
      <c r="G497" s="1089">
        <v>125.08</v>
      </c>
      <c r="H497" s="1091">
        <v>0.20477100000000001</v>
      </c>
      <c r="I497" s="1091">
        <v>1.7827000000000001E-3</v>
      </c>
      <c r="J497" s="1092">
        <v>129.82</v>
      </c>
    </row>
    <row r="498" spans="2:10" x14ac:dyDescent="0.25">
      <c r="B498" s="1089" t="s">
        <v>673</v>
      </c>
      <c r="C498" s="1090">
        <v>2095</v>
      </c>
      <c r="D498" s="1089">
        <v>1721000</v>
      </c>
      <c r="E498" s="1091">
        <v>1293000</v>
      </c>
      <c r="F498" s="1092">
        <v>15050</v>
      </c>
      <c r="G498" s="1089">
        <v>125.08</v>
      </c>
      <c r="H498" s="1091">
        <v>0.20477100000000001</v>
      </c>
      <c r="I498" s="1091">
        <v>1.7827000000000001E-3</v>
      </c>
      <c r="J498" s="1092">
        <v>129.82</v>
      </c>
    </row>
    <row r="499" spans="2:10" x14ac:dyDescent="0.25">
      <c r="B499" s="1089" t="s">
        <v>1069</v>
      </c>
      <c r="C499" s="1090">
        <v>2095</v>
      </c>
      <c r="D499" s="1089">
        <v>1022000</v>
      </c>
      <c r="E499" s="1091">
        <v>1021000</v>
      </c>
      <c r="F499" s="1092">
        <v>15510</v>
      </c>
      <c r="G499" s="1089">
        <v>1.6964999999999999</v>
      </c>
      <c r="H499" s="1091">
        <v>0.14096238999999999</v>
      </c>
      <c r="I499" s="1091">
        <v>3.2765999999999998E-5</v>
      </c>
      <c r="J499" s="1092">
        <v>5.9536999999999995</v>
      </c>
    </row>
    <row r="500" spans="2:10" x14ac:dyDescent="0.25">
      <c r="B500" s="1089" t="s">
        <v>705</v>
      </c>
      <c r="C500" s="1090">
        <v>2095</v>
      </c>
      <c r="D500" s="1089">
        <v>1022000</v>
      </c>
      <c r="E500" s="1091">
        <v>1021000</v>
      </c>
      <c r="F500" s="1092">
        <v>15510</v>
      </c>
      <c r="G500" s="1089">
        <v>1.6964999999999999</v>
      </c>
      <c r="H500" s="1091">
        <v>0.14096238999999999</v>
      </c>
      <c r="I500" s="1091">
        <v>3.2765999999999998E-5</v>
      </c>
      <c r="J500" s="1092">
        <v>5.9536999999999995</v>
      </c>
    </row>
    <row r="501" spans="2:10" x14ac:dyDescent="0.25">
      <c r="B501" s="1089" t="s">
        <v>706</v>
      </c>
      <c r="C501" s="1090">
        <v>2095</v>
      </c>
      <c r="D501" s="1089">
        <v>1022000</v>
      </c>
      <c r="E501" s="1091">
        <v>1021000</v>
      </c>
      <c r="F501" s="1092">
        <v>15510</v>
      </c>
      <c r="G501" s="1089">
        <v>1.6964999999999999</v>
      </c>
      <c r="H501" s="1091">
        <v>0.14096238999999999</v>
      </c>
      <c r="I501" s="1091">
        <v>3.2765999999999998E-5</v>
      </c>
      <c r="J501" s="1092">
        <v>5.9536999999999995</v>
      </c>
    </row>
    <row r="502" spans="2:10" x14ac:dyDescent="0.25">
      <c r="B502" s="1089" t="s">
        <v>899</v>
      </c>
      <c r="C502" s="1090">
        <v>2095</v>
      </c>
      <c r="D502" s="1089">
        <v>1209000</v>
      </c>
      <c r="E502" s="1091">
        <v>1202000</v>
      </c>
      <c r="F502" s="1092">
        <v>1052000</v>
      </c>
      <c r="G502" s="1089">
        <v>17.969000000000001</v>
      </c>
      <c r="H502" s="1091">
        <v>0.164128</v>
      </c>
      <c r="I502" s="1091">
        <v>2.9025999999999998E-4</v>
      </c>
      <c r="J502" s="1092">
        <v>22.988</v>
      </c>
    </row>
    <row r="503" spans="2:10" x14ac:dyDescent="0.25">
      <c r="B503" s="1089" t="s">
        <v>897</v>
      </c>
      <c r="C503" s="1090">
        <v>2095</v>
      </c>
      <c r="D503" s="1089">
        <v>1585000</v>
      </c>
      <c r="E503" s="1091">
        <v>696300</v>
      </c>
      <c r="F503" s="1092">
        <v>286000</v>
      </c>
      <c r="G503" s="1089">
        <v>38.049999999999997</v>
      </c>
      <c r="H503" s="1091">
        <v>0.1118</v>
      </c>
      <c r="I503" s="1091">
        <v>2.5350000000000001E-2</v>
      </c>
      <c r="J503" s="1092">
        <v>45.19</v>
      </c>
    </row>
    <row r="504" spans="2:10" x14ac:dyDescent="0.25">
      <c r="B504" s="1089" t="s">
        <v>900</v>
      </c>
      <c r="C504" s="1090">
        <v>2095</v>
      </c>
      <c r="D504" s="1089">
        <v>1249000</v>
      </c>
      <c r="E504" s="1091">
        <v>1242000</v>
      </c>
      <c r="F504" s="1092">
        <v>1078000</v>
      </c>
      <c r="G504" s="1089">
        <v>23.84</v>
      </c>
      <c r="H504" s="1091">
        <v>0.16985799999999998</v>
      </c>
      <c r="I504" s="1091">
        <v>3.7813000000000001E-4</v>
      </c>
      <c r="J504" s="1092">
        <v>29.157000000000004</v>
      </c>
    </row>
    <row r="505" spans="2:10" x14ac:dyDescent="0.25">
      <c r="B505" s="1089" t="s">
        <v>1063</v>
      </c>
      <c r="C505" s="1090">
        <v>2095</v>
      </c>
      <c r="D505" s="1089">
        <v>1190000</v>
      </c>
      <c r="E505" s="1091">
        <v>51590</v>
      </c>
      <c r="F505" s="1092">
        <v>29220</v>
      </c>
      <c r="G505" s="1089">
        <v>3.7582</v>
      </c>
      <c r="H505" s="1091">
        <v>8.4366999999999984E-3</v>
      </c>
      <c r="I505" s="1091">
        <v>-3.8261190000000002E-3</v>
      </c>
      <c r="J505" s="1092">
        <v>3.0054000000000003</v>
      </c>
    </row>
    <row r="506" spans="2:10" x14ac:dyDescent="0.25">
      <c r="B506" s="1089" t="s">
        <v>804</v>
      </c>
      <c r="C506" s="1090">
        <v>2095</v>
      </c>
      <c r="D506" s="1089">
        <v>1190000</v>
      </c>
      <c r="E506" s="1091">
        <v>51590</v>
      </c>
      <c r="F506" s="1092">
        <v>29220</v>
      </c>
      <c r="G506" s="1089">
        <v>3.7582</v>
      </c>
      <c r="H506" s="1091">
        <v>8.4366999999999984E-3</v>
      </c>
      <c r="I506" s="1091">
        <v>-3.8261190000000002E-3</v>
      </c>
      <c r="J506" s="1092">
        <v>3.0054000000000003</v>
      </c>
    </row>
    <row r="507" spans="2:10" x14ac:dyDescent="0.25">
      <c r="B507" s="1089" t="s">
        <v>812</v>
      </c>
      <c r="C507" s="1090">
        <v>2095</v>
      </c>
      <c r="D507" s="1089">
        <v>1190000</v>
      </c>
      <c r="E507" s="1091">
        <v>51590</v>
      </c>
      <c r="F507" s="1092">
        <v>29220</v>
      </c>
      <c r="G507" s="1089">
        <v>3.7582</v>
      </c>
      <c r="H507" s="1091">
        <v>8.4366999999999984E-3</v>
      </c>
      <c r="I507" s="1091">
        <v>-3.8261190000000002E-3</v>
      </c>
      <c r="J507" s="1092">
        <v>3.0054000000000003</v>
      </c>
    </row>
    <row r="508" spans="2:10" ht="13.8" thickBot="1" x14ac:dyDescent="0.3">
      <c r="B508" s="1093" t="s">
        <v>1070</v>
      </c>
      <c r="C508" s="1094">
        <v>2095</v>
      </c>
      <c r="D508" s="1093">
        <v>1384000</v>
      </c>
      <c r="E508" s="1095">
        <v>1383000</v>
      </c>
      <c r="F508" s="1096">
        <v>5034</v>
      </c>
      <c r="G508" s="1093">
        <v>78.571100000000001</v>
      </c>
      <c r="H508" s="1095">
        <v>0.27494000000000002</v>
      </c>
      <c r="I508" s="1095">
        <v>2.3304000000000003E-3</v>
      </c>
      <c r="J508" s="1096">
        <v>87.594300000000004</v>
      </c>
    </row>
    <row r="509" spans="2:10" x14ac:dyDescent="0.25">
      <c r="B509" s="1085" t="s">
        <v>1067</v>
      </c>
      <c r="C509" s="1086">
        <v>2100</v>
      </c>
      <c r="D509" s="1085">
        <v>1092000</v>
      </c>
      <c r="E509" s="1087">
        <v>1092000</v>
      </c>
      <c r="F509" s="1088">
        <v>3971</v>
      </c>
      <c r="G509" s="1085">
        <v>5.7390999999999996</v>
      </c>
      <c r="H509" s="1087">
        <v>0.18462200000000001</v>
      </c>
      <c r="I509" s="1087">
        <v>8.61E-4</v>
      </c>
      <c r="J509" s="1088">
        <v>11.5648</v>
      </c>
    </row>
    <row r="510" spans="2:10" x14ac:dyDescent="0.25">
      <c r="B510" s="1089" t="s">
        <v>282</v>
      </c>
      <c r="C510" s="1090">
        <v>2100</v>
      </c>
      <c r="D510" s="1089">
        <v>1092000</v>
      </c>
      <c r="E510" s="1091">
        <v>1092000</v>
      </c>
      <c r="F510" s="1092">
        <v>3971</v>
      </c>
      <c r="G510" s="1089">
        <v>5.7390999999999996</v>
      </c>
      <c r="H510" s="1091">
        <v>0.18462200000000001</v>
      </c>
      <c r="I510" s="1091">
        <v>8.61E-4</v>
      </c>
      <c r="J510" s="1092">
        <v>11.5648</v>
      </c>
    </row>
    <row r="511" spans="2:10" x14ac:dyDescent="0.25">
      <c r="B511" s="1089" t="s">
        <v>1068</v>
      </c>
      <c r="C511" s="1090">
        <v>2100</v>
      </c>
      <c r="D511" s="1089">
        <v>1092000</v>
      </c>
      <c r="E511" s="1091">
        <v>1092000</v>
      </c>
      <c r="F511" s="1092">
        <v>3971</v>
      </c>
      <c r="G511" s="1089">
        <v>5.7390999999999996</v>
      </c>
      <c r="H511" s="1091">
        <v>0.18462200000000001</v>
      </c>
      <c r="I511" s="1091">
        <v>8.61E-4</v>
      </c>
      <c r="J511" s="1092">
        <v>11.5648</v>
      </c>
    </row>
    <row r="512" spans="2:10" x14ac:dyDescent="0.25">
      <c r="B512" s="1089" t="s">
        <v>670</v>
      </c>
      <c r="C512" s="1090">
        <v>2100</v>
      </c>
      <c r="D512" s="1089">
        <v>1092000</v>
      </c>
      <c r="E512" s="1091">
        <v>1092000</v>
      </c>
      <c r="F512" s="1092">
        <v>3971</v>
      </c>
      <c r="G512" s="1089">
        <v>5.7390999999999996</v>
      </c>
      <c r="H512" s="1091">
        <v>0.18462200000000001</v>
      </c>
      <c r="I512" s="1091">
        <v>8.61E-4</v>
      </c>
      <c r="J512" s="1092">
        <v>11.5648</v>
      </c>
    </row>
    <row r="513" spans="2:10" x14ac:dyDescent="0.25">
      <c r="B513" s="1089" t="s">
        <v>671</v>
      </c>
      <c r="C513" s="1090">
        <v>2100</v>
      </c>
      <c r="D513" s="1089">
        <v>-1185000</v>
      </c>
      <c r="E513" s="1091">
        <v>0</v>
      </c>
      <c r="F513" s="1092">
        <v>0</v>
      </c>
      <c r="G513" s="1089">
        <v>-85.800000000000011</v>
      </c>
      <c r="H513" s="1091">
        <v>0.54700000000000004</v>
      </c>
      <c r="I513" s="1091">
        <v>-1.8286999999999999E-3</v>
      </c>
      <c r="J513" s="1092">
        <v>-70.08</v>
      </c>
    </row>
    <row r="514" spans="2:10" x14ac:dyDescent="0.25">
      <c r="B514" s="1089" t="s">
        <v>672</v>
      </c>
      <c r="C514" s="1090">
        <v>2100</v>
      </c>
      <c r="D514" s="1089">
        <v>1721000</v>
      </c>
      <c r="E514" s="1091">
        <v>1293000</v>
      </c>
      <c r="F514" s="1092">
        <v>15050</v>
      </c>
      <c r="G514" s="1089">
        <v>125.08</v>
      </c>
      <c r="H514" s="1091">
        <v>0.20477100000000001</v>
      </c>
      <c r="I514" s="1091">
        <v>1.7827000000000001E-3</v>
      </c>
      <c r="J514" s="1092">
        <v>129.82</v>
      </c>
    </row>
    <row r="515" spans="2:10" x14ac:dyDescent="0.25">
      <c r="B515" s="1089" t="s">
        <v>687</v>
      </c>
      <c r="C515" s="1090">
        <v>2100</v>
      </c>
      <c r="D515" s="1089">
        <v>1721000</v>
      </c>
      <c r="E515" s="1091">
        <v>1293000</v>
      </c>
      <c r="F515" s="1092">
        <v>15050</v>
      </c>
      <c r="G515" s="1089">
        <v>125.08</v>
      </c>
      <c r="H515" s="1091">
        <v>0.20477100000000001</v>
      </c>
      <c r="I515" s="1091">
        <v>1.7827000000000001E-3</v>
      </c>
      <c r="J515" s="1092">
        <v>129.82</v>
      </c>
    </row>
    <row r="516" spans="2:10" x14ac:dyDescent="0.25">
      <c r="B516" s="1089" t="s">
        <v>673</v>
      </c>
      <c r="C516" s="1090">
        <v>2100</v>
      </c>
      <c r="D516" s="1089">
        <v>1721000</v>
      </c>
      <c r="E516" s="1091">
        <v>1293000</v>
      </c>
      <c r="F516" s="1092">
        <v>15050</v>
      </c>
      <c r="G516" s="1089">
        <v>125.08</v>
      </c>
      <c r="H516" s="1091">
        <v>0.20477100000000001</v>
      </c>
      <c r="I516" s="1091">
        <v>1.7827000000000001E-3</v>
      </c>
      <c r="J516" s="1092">
        <v>129.82</v>
      </c>
    </row>
    <row r="517" spans="2:10" x14ac:dyDescent="0.25">
      <c r="B517" s="1089" t="s">
        <v>1069</v>
      </c>
      <c r="C517" s="1090">
        <v>2100</v>
      </c>
      <c r="D517" s="1089">
        <v>1022000</v>
      </c>
      <c r="E517" s="1091">
        <v>1021000</v>
      </c>
      <c r="F517" s="1092">
        <v>15510</v>
      </c>
      <c r="G517" s="1089">
        <v>1.6964999999999999</v>
      </c>
      <c r="H517" s="1091">
        <v>0.14096238999999999</v>
      </c>
      <c r="I517" s="1091">
        <v>3.2765999999999998E-5</v>
      </c>
      <c r="J517" s="1092">
        <v>5.9536999999999995</v>
      </c>
    </row>
    <row r="518" spans="2:10" x14ac:dyDescent="0.25">
      <c r="B518" s="1089" t="s">
        <v>705</v>
      </c>
      <c r="C518" s="1090">
        <v>2100</v>
      </c>
      <c r="D518" s="1089">
        <v>1022000</v>
      </c>
      <c r="E518" s="1091">
        <v>1021000</v>
      </c>
      <c r="F518" s="1092">
        <v>15510</v>
      </c>
      <c r="G518" s="1089">
        <v>1.6964999999999999</v>
      </c>
      <c r="H518" s="1091">
        <v>0.14096238999999999</v>
      </c>
      <c r="I518" s="1091">
        <v>3.2765999999999998E-5</v>
      </c>
      <c r="J518" s="1092">
        <v>5.9536999999999995</v>
      </c>
    </row>
    <row r="519" spans="2:10" x14ac:dyDescent="0.25">
      <c r="B519" s="1089" t="s">
        <v>706</v>
      </c>
      <c r="C519" s="1090">
        <v>2100</v>
      </c>
      <c r="D519" s="1089">
        <v>1022000</v>
      </c>
      <c r="E519" s="1091">
        <v>1021000</v>
      </c>
      <c r="F519" s="1092">
        <v>15510</v>
      </c>
      <c r="G519" s="1089">
        <v>1.6964999999999999</v>
      </c>
      <c r="H519" s="1091">
        <v>0.14096238999999999</v>
      </c>
      <c r="I519" s="1091">
        <v>3.2765999999999998E-5</v>
      </c>
      <c r="J519" s="1092">
        <v>5.9536999999999995</v>
      </c>
    </row>
    <row r="520" spans="2:10" x14ac:dyDescent="0.25">
      <c r="B520" s="1089" t="s">
        <v>899</v>
      </c>
      <c r="C520" s="1090">
        <v>2100</v>
      </c>
      <c r="D520" s="1089">
        <v>1209000</v>
      </c>
      <c r="E520" s="1091">
        <v>1202000</v>
      </c>
      <c r="F520" s="1092">
        <v>1052000</v>
      </c>
      <c r="G520" s="1089">
        <v>17.969000000000001</v>
      </c>
      <c r="H520" s="1091">
        <v>0.164128</v>
      </c>
      <c r="I520" s="1091">
        <v>2.9025999999999998E-4</v>
      </c>
      <c r="J520" s="1092">
        <v>22.988</v>
      </c>
    </row>
    <row r="521" spans="2:10" x14ac:dyDescent="0.25">
      <c r="B521" s="1089" t="s">
        <v>897</v>
      </c>
      <c r="C521" s="1090">
        <v>2100</v>
      </c>
      <c r="D521" s="1089">
        <v>1585000</v>
      </c>
      <c r="E521" s="1091">
        <v>696300</v>
      </c>
      <c r="F521" s="1092">
        <v>286000</v>
      </c>
      <c r="G521" s="1089">
        <v>38.049999999999997</v>
      </c>
      <c r="H521" s="1091">
        <v>0.1118</v>
      </c>
      <c r="I521" s="1091">
        <v>2.5350000000000001E-2</v>
      </c>
      <c r="J521" s="1092">
        <v>45.19</v>
      </c>
    </row>
    <row r="522" spans="2:10" x14ac:dyDescent="0.25">
      <c r="B522" s="1089" t="s">
        <v>900</v>
      </c>
      <c r="C522" s="1090">
        <v>2100</v>
      </c>
      <c r="D522" s="1089">
        <v>1249000</v>
      </c>
      <c r="E522" s="1091">
        <v>1242000</v>
      </c>
      <c r="F522" s="1092">
        <v>1078000</v>
      </c>
      <c r="G522" s="1089">
        <v>23.84</v>
      </c>
      <c r="H522" s="1091">
        <v>0.16985799999999998</v>
      </c>
      <c r="I522" s="1091">
        <v>3.7813000000000001E-4</v>
      </c>
      <c r="J522" s="1092">
        <v>29.157000000000004</v>
      </c>
    </row>
    <row r="523" spans="2:10" x14ac:dyDescent="0.25">
      <c r="B523" s="1089" t="s">
        <v>1063</v>
      </c>
      <c r="C523" s="1090">
        <v>2100</v>
      </c>
      <c r="D523" s="1089">
        <v>1190000</v>
      </c>
      <c r="E523" s="1091">
        <v>51590</v>
      </c>
      <c r="F523" s="1092">
        <v>29220</v>
      </c>
      <c r="G523" s="1089">
        <v>3.7582</v>
      </c>
      <c r="H523" s="1091">
        <v>8.4366999999999984E-3</v>
      </c>
      <c r="I523" s="1091">
        <v>-3.8261190000000002E-3</v>
      </c>
      <c r="J523" s="1092">
        <v>3.0054000000000003</v>
      </c>
    </row>
    <row r="524" spans="2:10" x14ac:dyDescent="0.25">
      <c r="B524" s="1089" t="s">
        <v>804</v>
      </c>
      <c r="C524" s="1090">
        <v>2100</v>
      </c>
      <c r="D524" s="1089">
        <v>1190000</v>
      </c>
      <c r="E524" s="1091">
        <v>51590</v>
      </c>
      <c r="F524" s="1092">
        <v>29220</v>
      </c>
      <c r="G524" s="1089">
        <v>3.7582</v>
      </c>
      <c r="H524" s="1091">
        <v>8.4366999999999984E-3</v>
      </c>
      <c r="I524" s="1091">
        <v>-3.8261190000000002E-3</v>
      </c>
      <c r="J524" s="1092">
        <v>3.0054000000000003</v>
      </c>
    </row>
    <row r="525" spans="2:10" x14ac:dyDescent="0.25">
      <c r="B525" s="1089" t="s">
        <v>812</v>
      </c>
      <c r="C525" s="1090">
        <v>2100</v>
      </c>
      <c r="D525" s="1089">
        <v>1190000</v>
      </c>
      <c r="E525" s="1091">
        <v>51590</v>
      </c>
      <c r="F525" s="1092">
        <v>29220</v>
      </c>
      <c r="G525" s="1089">
        <v>3.7582</v>
      </c>
      <c r="H525" s="1091">
        <v>8.4366999999999984E-3</v>
      </c>
      <c r="I525" s="1091">
        <v>-3.8261190000000002E-3</v>
      </c>
      <c r="J525" s="1092">
        <v>3.0054000000000003</v>
      </c>
    </row>
    <row r="526" spans="2:10" ht="13.8" thickBot="1" x14ac:dyDescent="0.3">
      <c r="B526" s="1093" t="s">
        <v>1070</v>
      </c>
      <c r="C526" s="1094">
        <v>2100</v>
      </c>
      <c r="D526" s="1093">
        <v>1384000</v>
      </c>
      <c r="E526" s="1095">
        <v>1383000</v>
      </c>
      <c r="F526" s="1096">
        <v>5034</v>
      </c>
      <c r="G526" s="1093">
        <v>78.571100000000001</v>
      </c>
      <c r="H526" s="1095">
        <v>0.27494000000000002</v>
      </c>
      <c r="I526" s="1095">
        <v>2.3304000000000003E-3</v>
      </c>
      <c r="J526" s="1096">
        <v>87.594300000000004</v>
      </c>
    </row>
  </sheetData>
  <mergeCells count="23">
    <mergeCell ref="A52:K52"/>
    <mergeCell ref="A51:K51"/>
    <mergeCell ref="D92:E92"/>
    <mergeCell ref="A59:K59"/>
    <mergeCell ref="A2:K2"/>
    <mergeCell ref="A3:K3"/>
    <mergeCell ref="C4:E4"/>
    <mergeCell ref="G4:I4"/>
    <mergeCell ref="A56:K56"/>
    <mergeCell ref="A57:K57"/>
    <mergeCell ref="K93:L93"/>
    <mergeCell ref="A92:B92"/>
    <mergeCell ref="A58:K58"/>
    <mergeCell ref="A53:K53"/>
    <mergeCell ref="C135:E135"/>
    <mergeCell ref="F135:H135"/>
    <mergeCell ref="A54:K54"/>
    <mergeCell ref="G92:H92"/>
    <mergeCell ref="D93:E93"/>
    <mergeCell ref="A55:K55"/>
    <mergeCell ref="A61:K61"/>
    <mergeCell ref="A62:K62"/>
    <mergeCell ref="K92:L92"/>
  </mergeCells>
  <phoneticPr fontId="3" type="noConversion"/>
  <dataValidations disablePrompts="1" count="2">
    <dataValidation type="list" allowBlank="1" showInputMessage="1" showErrorMessage="1" sqref="J71:J89" xr:uid="{00000000-0002-0000-0E00-000000000000}">
      <formula1>Feed_Type_List</formula1>
    </dataValidation>
    <dataValidation type="list" allowBlank="1" showInputMessage="1" showErrorMessage="1" sqref="L71:L89" xr:uid="{00000000-0002-0000-0E00-000001000000}">
      <formula1>"Metric,English"</formula1>
    </dataValidation>
  </dataValidations>
  <pageMargins left="0.75" right="0.75" top="1" bottom="1" header="0.5" footer="0.5"/>
  <pageSetup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mdReturn_Click">
                <anchor moveWithCells="1" sizeWithCells="1">
                  <from>
                    <xdr:col>11</xdr:col>
                    <xdr:colOff>251460</xdr:colOff>
                    <xdr:row>1</xdr:row>
                    <xdr:rowOff>22860</xdr:rowOff>
                  </from>
                  <to>
                    <xdr:col>13</xdr:col>
                    <xdr:colOff>38100</xdr:colOff>
                    <xdr:row>4</xdr:row>
                    <xdr:rowOff>99060</xdr:rowOff>
                  </to>
                </anchor>
              </controlPr>
            </control>
          </mc:Choice>
        </mc:AlternateContent>
        <mc:AlternateContent xmlns:mc="http://schemas.openxmlformats.org/markup-compatibility/2006">
          <mc:Choice Requires="x14">
            <control shapeId="10247" r:id="rId5" name="Button 7">
              <controlPr defaultSize="0" print="0" autoFill="0" autoPict="0" macro="[0]!ShowMakeTables">
                <anchor moveWithCells="1" sizeWithCells="1">
                  <from>
                    <xdr:col>3</xdr:col>
                    <xdr:colOff>99060</xdr:colOff>
                    <xdr:row>68</xdr:row>
                    <xdr:rowOff>60960</xdr:rowOff>
                  </from>
                  <to>
                    <xdr:col>4</xdr:col>
                    <xdr:colOff>76200</xdr:colOff>
                    <xdr:row>68</xdr:row>
                    <xdr:rowOff>495300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tabColor indexed="18"/>
    <pageSetUpPr fitToPage="1"/>
  </sheetPr>
  <dimension ref="A1:L58"/>
  <sheetViews>
    <sheetView workbookViewId="0"/>
  </sheetViews>
  <sheetFormatPr defaultColWidth="9.33203125" defaultRowHeight="13.2" x14ac:dyDescent="0.25"/>
  <cols>
    <col min="1" max="1" width="19" style="36" customWidth="1"/>
    <col min="2" max="2" width="16" style="36" customWidth="1"/>
    <col min="3" max="3" width="17.33203125" style="36" customWidth="1"/>
    <col min="4" max="4" width="17.6640625" style="36" customWidth="1"/>
    <col min="5" max="5" width="14.33203125" style="36" customWidth="1"/>
    <col min="6" max="6" width="20.6640625" style="36" customWidth="1"/>
    <col min="7" max="7" width="22.44140625" style="36" customWidth="1"/>
    <col min="8" max="16384" width="9.33203125" style="36"/>
  </cols>
  <sheetData>
    <row r="1" spans="1:12" ht="30.75" customHeight="1" x14ac:dyDescent="0.3">
      <c r="A1" s="35" t="s">
        <v>31</v>
      </c>
    </row>
    <row r="2" spans="1:12" ht="15" customHeight="1" x14ac:dyDescent="0.25">
      <c r="A2"/>
      <c r="B2"/>
      <c r="C2"/>
      <c r="D2"/>
      <c r="E2"/>
      <c r="G2" s="37"/>
      <c r="K2" s="38"/>
      <c r="L2" s="39"/>
    </row>
    <row r="3" spans="1:12" ht="15" customHeight="1" x14ac:dyDescent="0.25">
      <c r="A3"/>
      <c r="B3"/>
      <c r="C3"/>
      <c r="D3"/>
      <c r="E3"/>
      <c r="F3" s="42"/>
      <c r="G3" s="42"/>
      <c r="H3" s="37"/>
      <c r="K3" s="38"/>
      <c r="L3" s="39"/>
    </row>
    <row r="4" spans="1:12" ht="15" customHeight="1" x14ac:dyDescent="0.25">
      <c r="A4"/>
      <c r="B4"/>
      <c r="C4"/>
      <c r="D4"/>
      <c r="E4"/>
      <c r="F4" s="42"/>
      <c r="G4" s="42"/>
      <c r="H4" s="37"/>
      <c r="K4" s="38"/>
      <c r="L4" s="39"/>
    </row>
    <row r="5" spans="1:12" ht="15" customHeight="1" x14ac:dyDescent="0.25">
      <c r="A5"/>
      <c r="B5"/>
      <c r="C5"/>
      <c r="D5"/>
      <c r="E5"/>
      <c r="G5" s="37"/>
      <c r="K5" s="43"/>
      <c r="L5" s="39"/>
    </row>
    <row r="6" spans="1:12" ht="15" customHeight="1" x14ac:dyDescent="0.25">
      <c r="A6"/>
      <c r="B6"/>
      <c r="C6"/>
      <c r="D6"/>
      <c r="E6"/>
      <c r="G6" s="37"/>
      <c r="K6" s="43"/>
      <c r="L6" s="39"/>
    </row>
    <row r="7" spans="1:12" ht="15" customHeight="1" x14ac:dyDescent="0.25">
      <c r="A7"/>
      <c r="B7"/>
      <c r="C7"/>
      <c r="D7"/>
      <c r="E7"/>
      <c r="G7" s="37"/>
      <c r="K7" s="43"/>
      <c r="L7" s="39"/>
    </row>
    <row r="8" spans="1:12" x14ac:dyDescent="0.25">
      <c r="A8"/>
      <c r="B8"/>
      <c r="C8"/>
      <c r="D8"/>
      <c r="E8"/>
    </row>
    <row r="9" spans="1:12" x14ac:dyDescent="0.25">
      <c r="A9"/>
      <c r="B9"/>
      <c r="C9"/>
      <c r="D9"/>
      <c r="E9"/>
    </row>
    <row r="10" spans="1:12" ht="13.8" thickBot="1" x14ac:dyDescent="0.3"/>
    <row r="11" spans="1:12" s="51" customFormat="1" ht="24.75" customHeight="1" thickTop="1" thickBot="1" x14ac:dyDescent="0.35">
      <c r="A11" s="47" t="s">
        <v>38</v>
      </c>
      <c r="B11" s="48"/>
      <c r="C11" s="49"/>
      <c r="D11" s="49"/>
      <c r="E11" s="49"/>
      <c r="F11" s="49"/>
      <c r="G11" s="50"/>
    </row>
    <row r="12" spans="1:12" s="51" customFormat="1" ht="24.75" customHeight="1" thickTop="1" thickBot="1" x14ac:dyDescent="0.35">
      <c r="A12" s="1141"/>
      <c r="B12" s="1661"/>
      <c r="C12" s="1662"/>
      <c r="D12" s="1662"/>
      <c r="E12" s="1662"/>
      <c r="F12" s="1662"/>
      <c r="G12" s="1662"/>
    </row>
    <row r="13" spans="1:12" s="51" customFormat="1" ht="21" customHeight="1" thickTop="1" x14ac:dyDescent="0.25">
      <c r="A13" s="52" t="s">
        <v>39</v>
      </c>
      <c r="B13" s="53" t="s">
        <v>40</v>
      </c>
      <c r="C13" s="54" t="s">
        <v>41</v>
      </c>
      <c r="D13" s="54" t="s">
        <v>42</v>
      </c>
      <c r="E13" s="54" t="s">
        <v>43</v>
      </c>
      <c r="F13" s="54" t="s">
        <v>44</v>
      </c>
      <c r="G13" s="55" t="s">
        <v>45</v>
      </c>
    </row>
    <row r="14" spans="1:12" s="51" customFormat="1" ht="15" customHeight="1" x14ac:dyDescent="0.25">
      <c r="A14" s="873">
        <f>'Cash Flow Analysis'!B65</f>
        <v>1</v>
      </c>
      <c r="B14" s="1142">
        <f>IF(B13="","",IF('Cash Flow Analysis'!$B$31=0,"N/A",IF(A14=1,1,IF(A13=debt_period,"",B13+1))))</f>
        <v>1</v>
      </c>
      <c r="C14" s="876">
        <f ca="1">IF(OR(A14="",B14="",B14="N/A"),"",IF(B14=1,-'Cash Flow Analysis'!G65,IF(B14="N/A",0,G13)))</f>
        <v>1017066.6957172423</v>
      </c>
      <c r="D14" s="876">
        <f ca="1">IF(debt_period=0,
E14+F14,
IF(OR(A14="",B14="",B14="N/A"),"",IF(B14=1,((debt_interest*(1+debt_interest)^debt_period)/((1+debt_interest)^debt_period-1))*(-'Cash Flow Analysis'!G65),IF(G13=0,"",D13))))</f>
        <v>37631.467741537963</v>
      </c>
      <c r="E14" s="876">
        <f t="shared" ref="E14:E57" ca="1" si="0">IF(OR(A14="",B14="",B14="N/A"),"",C14*debt_interest)</f>
        <v>37631.467741537963</v>
      </c>
      <c r="F14" s="876">
        <f>IF(debt_period=0,
IF(B14=(anal_period+construct),0,0),
IF(OR(A14="",B14="",B14="N/A"),"",D14-E14))</f>
        <v>0</v>
      </c>
      <c r="G14" s="1143">
        <f t="shared" ref="G14:G57" ca="1" si="1">IF(OR(A14="",B14="",B14="N/A"),"",C14-F14)</f>
        <v>1017066.6957172423</v>
      </c>
    </row>
    <row r="15" spans="1:12" s="51" customFormat="1" ht="15" customHeight="1" x14ac:dyDescent="0.25">
      <c r="A15" s="873">
        <f>'Cash Flow Analysis'!B66</f>
        <v>2</v>
      </c>
      <c r="B15" s="1142">
        <f>IF(B14="","",IF('Cash Flow Analysis'!$B$31=0,"N/A",IF(A15=1,1,IF(A14=debt_period,"",B14+1))))</f>
        <v>2</v>
      </c>
      <c r="C15" s="876">
        <f ca="1">IF(OR(A15="",B15="",B15="N/A"),"",IF(B15=1,-'Cash Flow Analysis'!G66,IF(B15="N/A",0,G14)))</f>
        <v>1017066.6957172423</v>
      </c>
      <c r="D15" s="876">
        <f ca="1">IF(debt_period=0,
E15+F15,
IF(OR(A15="",B15="",B15="N/A"),"",IF(B15=1,((debt_interest*(1+debt_interest)^debt_period)/((1+debt_interest)^debt_period-1))*(-'Cash Flow Analysis'!G66),IF(G14=0,"",D14))))</f>
        <v>37631.467741537963</v>
      </c>
      <c r="E15" s="876">
        <f t="shared" ca="1" si="0"/>
        <v>37631.467741537963</v>
      </c>
      <c r="F15" s="876">
        <f>IF(debt_period=0,
IF(B15=(anal_period+construct),C14,0),
IF(OR(A15="",B15="",B15="N/A"),"",D15-E15))</f>
        <v>0</v>
      </c>
      <c r="G15" s="1143">
        <f t="shared" ca="1" si="1"/>
        <v>1017066.6957172423</v>
      </c>
    </row>
    <row r="16" spans="1:12" s="51" customFormat="1" ht="15" customHeight="1" x14ac:dyDescent="0.25">
      <c r="A16" s="873">
        <f>'Cash Flow Analysis'!B67</f>
        <v>3</v>
      </c>
      <c r="B16" s="1142">
        <f>IF(B15="","",IF('Cash Flow Analysis'!$B$31=0,"N/A",IF(A16=1,1,IF(A15=debt_period,"",B15+1))))</f>
        <v>3</v>
      </c>
      <c r="C16" s="876">
        <f ca="1">IF(OR(A16="",B16="",B16="N/A"),"",IF(B16=1,-'Cash Flow Analysis'!G67,IF(B16="N/A",0,G15)))</f>
        <v>1017066.6957172423</v>
      </c>
      <c r="D16" s="876">
        <f ca="1">IF(debt_period=0,
E16+F16,
IF(OR(A16="",B16="",B16="N/A"),"",IF(B16=1,((debt_interest*(1+debt_interest)^debt_period)/((1+debt_interest)^debt_period-1))*(-'Cash Flow Analysis'!G67),IF(G15=0,"",D15))))</f>
        <v>37631.467741537963</v>
      </c>
      <c r="E16" s="876">
        <f t="shared" ca="1" si="0"/>
        <v>37631.467741537963</v>
      </c>
      <c r="F16" s="876">
        <f t="shared" ref="F16:F57" si="2">IF(debt_period=0,
IF(B16=(anal_period+construct),C16,0),
IF(OR(A16="",B16="",B16="N/A"),"",D16-E16))</f>
        <v>0</v>
      </c>
      <c r="G16" s="1143">
        <f t="shared" ca="1" si="1"/>
        <v>1017066.6957172423</v>
      </c>
    </row>
    <row r="17" spans="1:7" s="51" customFormat="1" ht="15" customHeight="1" x14ac:dyDescent="0.25">
      <c r="A17" s="873">
        <f>'Cash Flow Analysis'!B68</f>
        <v>4</v>
      </c>
      <c r="B17" s="1142">
        <f>IF(B16="","",IF('Cash Flow Analysis'!$B$31=0,"N/A",IF(A17=1,1,IF(A16=debt_period,"",B16+1))))</f>
        <v>4</v>
      </c>
      <c r="C17" s="876">
        <f ca="1">IF(OR(A17="",B17="",B17="N/A"),"",IF(B17=1,-'Cash Flow Analysis'!G68,IF(B17="N/A",0,G16)))</f>
        <v>1017066.6957172423</v>
      </c>
      <c r="D17" s="876">
        <f ca="1">IF(debt_period=0,
E17+F17,
IF(OR(A17="",B17="",B17="N/A"),"",IF(B17=1,((debt_interest*(1+debt_interest)^debt_period)/((1+debt_interest)^debt_period-1))*(-'Cash Flow Analysis'!G68),IF(G16=0,"",D16))))</f>
        <v>37631.467741537963</v>
      </c>
      <c r="E17" s="876">
        <f t="shared" ca="1" si="0"/>
        <v>37631.467741537963</v>
      </c>
      <c r="F17" s="876">
        <f t="shared" si="2"/>
        <v>0</v>
      </c>
      <c r="G17" s="1143">
        <f t="shared" ca="1" si="1"/>
        <v>1017066.6957172423</v>
      </c>
    </row>
    <row r="18" spans="1:7" s="51" customFormat="1" ht="15" customHeight="1" x14ac:dyDescent="0.25">
      <c r="A18" s="873">
        <f>'Cash Flow Analysis'!B69</f>
        <v>5</v>
      </c>
      <c r="B18" s="1142">
        <f>IF(B17="","",IF('Cash Flow Analysis'!$B$31=0,"N/A",IF(A18=1,1,IF(A17=debt_period,"",B17+1))))</f>
        <v>5</v>
      </c>
      <c r="C18" s="876">
        <f ca="1">IF(OR(A18="",B18="",B18="N/A"),"",IF(B18=1,-'Cash Flow Analysis'!G69,IF(B18="N/A",0,G17)))</f>
        <v>1017066.6957172423</v>
      </c>
      <c r="D18" s="876">
        <f ca="1">IF(debt_period=0,
E18+F18,
IF(OR(A18="",B18="",B18="N/A"),"",IF(B18=1,((debt_interest*(1+debt_interest)^debt_period)/((1+debt_interest)^debt_period-1))*(-'Cash Flow Analysis'!G69),IF(G17=0,"",D17))))</f>
        <v>37631.467741537963</v>
      </c>
      <c r="E18" s="876">
        <f t="shared" ca="1" si="0"/>
        <v>37631.467741537963</v>
      </c>
      <c r="F18" s="876">
        <f t="shared" si="2"/>
        <v>0</v>
      </c>
      <c r="G18" s="1143">
        <f t="shared" ca="1" si="1"/>
        <v>1017066.6957172423</v>
      </c>
    </row>
    <row r="19" spans="1:7" s="51" customFormat="1" ht="15" customHeight="1" x14ac:dyDescent="0.25">
      <c r="A19" s="873">
        <f>'Cash Flow Analysis'!B70</f>
        <v>6</v>
      </c>
      <c r="B19" s="1142">
        <f>IF(B18="","",IF('Cash Flow Analysis'!$B$31=0,"N/A",IF(A19=1,1,IF(A18=debt_period,"",B18+1))))</f>
        <v>6</v>
      </c>
      <c r="C19" s="876">
        <f ca="1">IF(OR(A19="",B19="",B19="N/A"),"",IF(B19=1,-'Cash Flow Analysis'!G70,IF(B19="N/A",0,G18)))</f>
        <v>1017066.6957172423</v>
      </c>
      <c r="D19" s="876">
        <f ca="1">IF(debt_period=0,
E19+F19,
IF(OR(A19="",B19="",B19="N/A"),"",IF(B19=1,((debt_interest*(1+debt_interest)^debt_period)/((1+debt_interest)^debt_period-1))*(-'Cash Flow Analysis'!G70),IF(G18=0,"",D18))))</f>
        <v>37631.467741537963</v>
      </c>
      <c r="E19" s="876">
        <f t="shared" ca="1" si="0"/>
        <v>37631.467741537963</v>
      </c>
      <c r="F19" s="876">
        <f t="shared" si="2"/>
        <v>0</v>
      </c>
      <c r="G19" s="1143">
        <f t="shared" ca="1" si="1"/>
        <v>1017066.6957172423</v>
      </c>
    </row>
    <row r="20" spans="1:7" s="51" customFormat="1" ht="15" customHeight="1" x14ac:dyDescent="0.25">
      <c r="A20" s="873">
        <f>'Cash Flow Analysis'!B71</f>
        <v>7</v>
      </c>
      <c r="B20" s="1142">
        <f>IF(B19="","",IF('Cash Flow Analysis'!$B$31=0,"N/A",IF(A20=1,1,IF(A19=debt_period,"",B19+1))))</f>
        <v>7</v>
      </c>
      <c r="C20" s="876">
        <f ca="1">IF(OR(A20="",B20="",B20="N/A"),"",IF(B20=1,-'Cash Flow Analysis'!G71,IF(B20="N/A",0,G19)))</f>
        <v>1017066.6957172423</v>
      </c>
      <c r="D20" s="876">
        <f ca="1">IF(debt_period=0,
E20+F20,
IF(OR(A20="",B20="",B20="N/A"),"",IF(B20=1,((debt_interest*(1+debt_interest)^debt_period)/((1+debt_interest)^debt_period-1))*(-'Cash Flow Analysis'!G71),IF(G19=0,"",D19))))</f>
        <v>37631.467741537963</v>
      </c>
      <c r="E20" s="876">
        <f t="shared" ca="1" si="0"/>
        <v>37631.467741537963</v>
      </c>
      <c r="F20" s="876">
        <f t="shared" si="2"/>
        <v>0</v>
      </c>
      <c r="G20" s="1143">
        <f t="shared" ca="1" si="1"/>
        <v>1017066.6957172423</v>
      </c>
    </row>
    <row r="21" spans="1:7" s="51" customFormat="1" ht="15" customHeight="1" x14ac:dyDescent="0.25">
      <c r="A21" s="873">
        <f>'Cash Flow Analysis'!B72</f>
        <v>8</v>
      </c>
      <c r="B21" s="1142">
        <f>IF(B20="","",IF('Cash Flow Analysis'!$B$31=0,"N/A",IF(A21=1,1,IF(A20=debt_period,"",B20+1))))</f>
        <v>8</v>
      </c>
      <c r="C21" s="876">
        <f ca="1">IF(OR(A21="",B21="",B21="N/A"),"",IF(B21=1,-'Cash Flow Analysis'!G72,IF(B21="N/A",0,G20)))</f>
        <v>1017066.6957172423</v>
      </c>
      <c r="D21" s="876">
        <f ca="1">IF(debt_period=0,
E21+F21,
IF(OR(A21="",B21="",B21="N/A"),"",IF(B21=1,((debt_interest*(1+debt_interest)^debt_period)/((1+debt_interest)^debt_period-1))*(-'Cash Flow Analysis'!G72),IF(G20=0,"",D20))))</f>
        <v>37631.467741537963</v>
      </c>
      <c r="E21" s="876">
        <f t="shared" ca="1" si="0"/>
        <v>37631.467741537963</v>
      </c>
      <c r="F21" s="876">
        <f t="shared" si="2"/>
        <v>0</v>
      </c>
      <c r="G21" s="1143">
        <f t="shared" ca="1" si="1"/>
        <v>1017066.6957172423</v>
      </c>
    </row>
    <row r="22" spans="1:7" s="51" customFormat="1" ht="15" customHeight="1" x14ac:dyDescent="0.25">
      <c r="A22" s="873">
        <f>'Cash Flow Analysis'!B73</f>
        <v>9</v>
      </c>
      <c r="B22" s="1142">
        <f>IF(B21="","",IF('Cash Flow Analysis'!$B$31=0,"N/A",IF(A22=1,1,IF(A21=debt_period,"",B21+1))))</f>
        <v>9</v>
      </c>
      <c r="C22" s="876">
        <f ca="1">IF(OR(A22="",B22="",B22="N/A"),"",IF(B22=1,-'Cash Flow Analysis'!G73,IF(B22="N/A",0,G21)))</f>
        <v>1017066.6957172423</v>
      </c>
      <c r="D22" s="876">
        <f ca="1">IF(debt_period=0,
E22+F22,
IF(OR(A22="",B22="",B22="N/A"),"",IF(B22=1,((debt_interest*(1+debt_interest)^debt_period)/((1+debt_interest)^debt_period-1))*(-'Cash Flow Analysis'!G73),IF(G21=0,"",D21))))</f>
        <v>37631.467741537963</v>
      </c>
      <c r="E22" s="876">
        <f t="shared" ca="1" si="0"/>
        <v>37631.467741537963</v>
      </c>
      <c r="F22" s="876">
        <f t="shared" si="2"/>
        <v>0</v>
      </c>
      <c r="G22" s="1143">
        <f t="shared" ca="1" si="1"/>
        <v>1017066.6957172423</v>
      </c>
    </row>
    <row r="23" spans="1:7" s="51" customFormat="1" ht="15" customHeight="1" x14ac:dyDescent="0.25">
      <c r="A23" s="873">
        <f>'Cash Flow Analysis'!B74</f>
        <v>10</v>
      </c>
      <c r="B23" s="1142">
        <f>IF(B22="","",IF('Cash Flow Analysis'!$B$31=0,"N/A",IF(A23=1,1,IF(A22=debt_period,"",B22+1))))</f>
        <v>10</v>
      </c>
      <c r="C23" s="876">
        <f ca="1">IF(OR(A23="",B23="",B23="N/A"),"",IF(B23=1,-'Cash Flow Analysis'!G74,IF(B23="N/A",0,G22)))</f>
        <v>1017066.6957172423</v>
      </c>
      <c r="D23" s="876">
        <f ca="1">IF(debt_period=0,
E23+F23,
IF(OR(A23="",B23="",B23="N/A"),"",IF(B23=1,((debt_interest*(1+debt_interest)^debt_period)/((1+debt_interest)^debt_period-1))*(-'Cash Flow Analysis'!G74),IF(G22=0,"",D22))))</f>
        <v>37631.467741537963</v>
      </c>
      <c r="E23" s="876">
        <f t="shared" ca="1" si="0"/>
        <v>37631.467741537963</v>
      </c>
      <c r="F23" s="876">
        <f t="shared" si="2"/>
        <v>0</v>
      </c>
      <c r="G23" s="1143">
        <f t="shared" ca="1" si="1"/>
        <v>1017066.6957172423</v>
      </c>
    </row>
    <row r="24" spans="1:7" s="51" customFormat="1" ht="15" customHeight="1" x14ac:dyDescent="0.25">
      <c r="A24" s="873">
        <f>'Cash Flow Analysis'!B75</f>
        <v>11</v>
      </c>
      <c r="B24" s="1142">
        <f>IF(B23="","",IF('Cash Flow Analysis'!$B$31=0,"N/A",IF(A24=1,1,IF(A23=debt_period,"",B23+1))))</f>
        <v>11</v>
      </c>
      <c r="C24" s="876">
        <f ca="1">IF(OR(A24="",B24="",B24="N/A"),"",IF(B24=1,-'Cash Flow Analysis'!G75,IF(B24="N/A",0,G23)))</f>
        <v>1017066.6957172423</v>
      </c>
      <c r="D24" s="876">
        <f ca="1">IF(debt_period=0,
E24+F24,
IF(OR(A24="",B24="",B24="N/A"),"",IF(B24=1,((debt_interest*(1+debt_interest)^debt_period)/((1+debt_interest)^debt_period-1))*(-'Cash Flow Analysis'!G75),IF(G23=0,"",D23))))</f>
        <v>37631.467741537963</v>
      </c>
      <c r="E24" s="876">
        <f t="shared" ca="1" si="0"/>
        <v>37631.467741537963</v>
      </c>
      <c r="F24" s="876">
        <f t="shared" si="2"/>
        <v>0</v>
      </c>
      <c r="G24" s="1143">
        <f t="shared" ca="1" si="1"/>
        <v>1017066.6957172423</v>
      </c>
    </row>
    <row r="25" spans="1:7" s="51" customFormat="1" ht="15" customHeight="1" x14ac:dyDescent="0.25">
      <c r="A25" s="873">
        <f>'Cash Flow Analysis'!B76</f>
        <v>12</v>
      </c>
      <c r="B25" s="1142">
        <f>IF(B24="","",IF('Cash Flow Analysis'!$B$31=0,"N/A",IF(A25=1,1,IF(A24=debt_period,"",B24+1))))</f>
        <v>12</v>
      </c>
      <c r="C25" s="876">
        <f ca="1">IF(OR(A25="",B25="",B25="N/A"),"",IF(B25=1,-'Cash Flow Analysis'!G76,IF(B25="N/A",0,G24)))</f>
        <v>1017066.6957172423</v>
      </c>
      <c r="D25" s="876">
        <f ca="1">IF(debt_period=0,
E25+F25,
IF(OR(A25="",B25="",B25="N/A"),"",IF(B25=1,((debt_interest*(1+debt_interest)^debt_period)/((1+debt_interest)^debt_period-1))*(-'Cash Flow Analysis'!G76),IF(G24=0,"",D24))))</f>
        <v>37631.467741537963</v>
      </c>
      <c r="E25" s="876">
        <f t="shared" ca="1" si="0"/>
        <v>37631.467741537963</v>
      </c>
      <c r="F25" s="876">
        <f t="shared" si="2"/>
        <v>0</v>
      </c>
      <c r="G25" s="1143">
        <f t="shared" ca="1" si="1"/>
        <v>1017066.6957172423</v>
      </c>
    </row>
    <row r="26" spans="1:7" s="51" customFormat="1" ht="15" customHeight="1" x14ac:dyDescent="0.25">
      <c r="A26" s="873">
        <f>'Cash Flow Analysis'!B77</f>
        <v>13</v>
      </c>
      <c r="B26" s="1142">
        <f>IF(B25="","",IF('Cash Flow Analysis'!$B$31=0,"N/A",IF(A26=1,1,IF(A25=debt_period,"",B25+1))))</f>
        <v>13</v>
      </c>
      <c r="C26" s="876">
        <f ca="1">IF(OR(A26="",B26="",B26="N/A"),"",IF(B26=1,-'Cash Flow Analysis'!G77,IF(B26="N/A",0,G25)))</f>
        <v>1017066.6957172423</v>
      </c>
      <c r="D26" s="876">
        <f ca="1">IF(debt_period=0,
E26+F26,
IF(OR(A26="",B26="",B26="N/A"),"",IF(B26=1,((debt_interest*(1+debt_interest)^debt_period)/((1+debt_interest)^debt_period-1))*(-'Cash Flow Analysis'!G77),IF(G25=0,"",D25))))</f>
        <v>37631.467741537963</v>
      </c>
      <c r="E26" s="876">
        <f t="shared" ca="1" si="0"/>
        <v>37631.467741537963</v>
      </c>
      <c r="F26" s="876">
        <f t="shared" si="2"/>
        <v>0</v>
      </c>
      <c r="G26" s="1143">
        <f t="shared" ca="1" si="1"/>
        <v>1017066.6957172423</v>
      </c>
    </row>
    <row r="27" spans="1:7" s="51" customFormat="1" ht="15" customHeight="1" x14ac:dyDescent="0.25">
      <c r="A27" s="873">
        <f>'Cash Flow Analysis'!B78</f>
        <v>14</v>
      </c>
      <c r="B27" s="1142">
        <f>IF(B26="","",IF('Cash Flow Analysis'!$B$31=0,"N/A",IF(A27=1,1,IF(A26=debt_period,"",B26+1))))</f>
        <v>14</v>
      </c>
      <c r="C27" s="876">
        <f ca="1">IF(OR(A27="",B27="",B27="N/A"),"",IF(B27=1,-'Cash Flow Analysis'!G78,IF(B27="N/A",0,G26)))</f>
        <v>1017066.6957172423</v>
      </c>
      <c r="D27" s="876">
        <f ca="1">IF(debt_period=0,
E27+F27,
IF(OR(A27="",B27="",B27="N/A"),"",IF(B27=1,((debt_interest*(1+debt_interest)^debt_period)/((1+debt_interest)^debt_period-1))*(-'Cash Flow Analysis'!G78),IF(G26=0,"",D26))))</f>
        <v>37631.467741537963</v>
      </c>
      <c r="E27" s="876">
        <f t="shared" ca="1" si="0"/>
        <v>37631.467741537963</v>
      </c>
      <c r="F27" s="876">
        <f t="shared" si="2"/>
        <v>0</v>
      </c>
      <c r="G27" s="1143">
        <f t="shared" ca="1" si="1"/>
        <v>1017066.6957172423</v>
      </c>
    </row>
    <row r="28" spans="1:7" s="51" customFormat="1" ht="15" customHeight="1" x14ac:dyDescent="0.25">
      <c r="A28" s="873">
        <f>'Cash Flow Analysis'!B79</f>
        <v>15</v>
      </c>
      <c r="B28" s="1142">
        <f>IF(B27="","",IF('Cash Flow Analysis'!$B$31=0,"N/A",IF(A28=1,1,IF(A27=debt_period,"",B27+1))))</f>
        <v>15</v>
      </c>
      <c r="C28" s="876">
        <f ca="1">IF(OR(A28="",B28="",B28="N/A"),"",IF(B28=1,-'Cash Flow Analysis'!G79,IF(B28="N/A",0,G27)))</f>
        <v>1017066.6957172423</v>
      </c>
      <c r="D28" s="876">
        <f ca="1">IF(debt_period=0,
E28+F28,
IF(OR(A28="",B28="",B28="N/A"),"",IF(B28=1,((debt_interest*(1+debt_interest)^debt_period)/((1+debt_interest)^debt_period-1))*(-'Cash Flow Analysis'!G79),IF(G27=0,"",D27))))</f>
        <v>37631.467741537963</v>
      </c>
      <c r="E28" s="876">
        <f t="shared" ca="1" si="0"/>
        <v>37631.467741537963</v>
      </c>
      <c r="F28" s="876">
        <f t="shared" si="2"/>
        <v>0</v>
      </c>
      <c r="G28" s="1143">
        <f t="shared" ca="1" si="1"/>
        <v>1017066.6957172423</v>
      </c>
    </row>
    <row r="29" spans="1:7" s="51" customFormat="1" ht="15" customHeight="1" x14ac:dyDescent="0.25">
      <c r="A29" s="873">
        <f>'Cash Flow Analysis'!B80</f>
        <v>16</v>
      </c>
      <c r="B29" s="1142">
        <f>IF(B28="","",IF('Cash Flow Analysis'!$B$31=0,"N/A",IF(A29=1,1,IF(A28=debt_period,"",B28+1))))</f>
        <v>16</v>
      </c>
      <c r="C29" s="876">
        <f ca="1">IF(OR(A29="",B29="",B29="N/A"),"",IF(B29=1,-'Cash Flow Analysis'!G80,IF(B29="N/A",0,G28)))</f>
        <v>1017066.6957172423</v>
      </c>
      <c r="D29" s="876">
        <f ca="1">IF(debt_period=0,
E29+F29,
IF(OR(A29="",B29="",B29="N/A"),"",IF(B29=1,((debt_interest*(1+debt_interest)^debt_period)/((1+debt_interest)^debt_period-1))*(-'Cash Flow Analysis'!G80),IF(G28=0,"",D28))))</f>
        <v>37631.467741537963</v>
      </c>
      <c r="E29" s="876">
        <f t="shared" ca="1" si="0"/>
        <v>37631.467741537963</v>
      </c>
      <c r="F29" s="876">
        <f t="shared" si="2"/>
        <v>0</v>
      </c>
      <c r="G29" s="1143">
        <f t="shared" ca="1" si="1"/>
        <v>1017066.6957172423</v>
      </c>
    </row>
    <row r="30" spans="1:7" s="51" customFormat="1" ht="15" customHeight="1" x14ac:dyDescent="0.25">
      <c r="A30" s="873">
        <f>'Cash Flow Analysis'!B81</f>
        <v>17</v>
      </c>
      <c r="B30" s="1142">
        <f>IF(B29="","",IF('Cash Flow Analysis'!$B$31=0,"N/A",IF(A30=1,1,IF(A29=debt_period,"",B29+1))))</f>
        <v>17</v>
      </c>
      <c r="C30" s="876">
        <f ca="1">IF(OR(A30="",B30="",B30="N/A"),"",IF(B30=1,-'Cash Flow Analysis'!G81,IF(B30="N/A",0,G29)))</f>
        <v>1017066.6957172423</v>
      </c>
      <c r="D30" s="876">
        <f ca="1">IF(debt_period=0,
E30+F30,
IF(OR(A30="",B30="",B30="N/A"),"",IF(B30=1,((debt_interest*(1+debt_interest)^debt_period)/((1+debt_interest)^debt_period-1))*(-'Cash Flow Analysis'!G81),IF(G29=0,"",D29))))</f>
        <v>37631.467741537963</v>
      </c>
      <c r="E30" s="876">
        <f t="shared" ca="1" si="0"/>
        <v>37631.467741537963</v>
      </c>
      <c r="F30" s="876">
        <f t="shared" si="2"/>
        <v>0</v>
      </c>
      <c r="G30" s="1143">
        <f t="shared" ca="1" si="1"/>
        <v>1017066.6957172423</v>
      </c>
    </row>
    <row r="31" spans="1:7" s="51" customFormat="1" ht="15" customHeight="1" x14ac:dyDescent="0.25">
      <c r="A31" s="873">
        <f>'Cash Flow Analysis'!B82</f>
        <v>18</v>
      </c>
      <c r="B31" s="1142">
        <f>IF(B30="","",IF('Cash Flow Analysis'!$B$31=0,"N/A",IF(A31=1,1,IF(A30=debt_period,"",B30+1))))</f>
        <v>18</v>
      </c>
      <c r="C31" s="876">
        <f ca="1">IF(OR(A31="",B31="",B31="N/A"),"",IF(B31=1,-'Cash Flow Analysis'!G82,IF(B31="N/A",0,G30)))</f>
        <v>1017066.6957172423</v>
      </c>
      <c r="D31" s="876">
        <f ca="1">IF(debt_period=0,
E31+F31,
IF(OR(A31="",B31="",B31="N/A"),"",IF(B31=1,((debt_interest*(1+debt_interest)^debt_period)/((1+debt_interest)^debt_period-1))*(-'Cash Flow Analysis'!G82),IF(G30=0,"",D30))))</f>
        <v>37631.467741537963</v>
      </c>
      <c r="E31" s="876">
        <f t="shared" ca="1" si="0"/>
        <v>37631.467741537963</v>
      </c>
      <c r="F31" s="876">
        <f t="shared" si="2"/>
        <v>0</v>
      </c>
      <c r="G31" s="1143">
        <f t="shared" ca="1" si="1"/>
        <v>1017066.6957172423</v>
      </c>
    </row>
    <row r="32" spans="1:7" s="51" customFormat="1" ht="15" customHeight="1" x14ac:dyDescent="0.25">
      <c r="A32" s="873">
        <f>'Cash Flow Analysis'!B83</f>
        <v>19</v>
      </c>
      <c r="B32" s="1142">
        <f>IF(B31="","",IF('Cash Flow Analysis'!$B$31=0,"N/A",IF(A32=1,1,IF(A31=debt_period,"",B31+1))))</f>
        <v>19</v>
      </c>
      <c r="C32" s="876">
        <f ca="1">IF(OR(A32="",B32="",B32="N/A"),"",IF(B32=1,-'Cash Flow Analysis'!G83,IF(B32="N/A",0,G31)))</f>
        <v>1017066.6957172423</v>
      </c>
      <c r="D32" s="876">
        <f ca="1">IF(debt_period=0,
E32+F32,
IF(OR(A32="",B32="",B32="N/A"),"",IF(B32=1,((debt_interest*(1+debt_interest)^debt_period)/((1+debt_interest)^debt_period-1))*(-'Cash Flow Analysis'!G83),IF(G31=0,"",D31))))</f>
        <v>37631.467741537963</v>
      </c>
      <c r="E32" s="876">
        <f t="shared" ca="1" si="0"/>
        <v>37631.467741537963</v>
      </c>
      <c r="F32" s="876">
        <f t="shared" si="2"/>
        <v>0</v>
      </c>
      <c r="G32" s="1143">
        <f t="shared" ca="1" si="1"/>
        <v>1017066.6957172423</v>
      </c>
    </row>
    <row r="33" spans="1:7" s="51" customFormat="1" ht="15" customHeight="1" x14ac:dyDescent="0.25">
      <c r="A33" s="873">
        <f>'Cash Flow Analysis'!B84</f>
        <v>20</v>
      </c>
      <c r="B33" s="1142">
        <f>IF(B32="","",IF('Cash Flow Analysis'!$B$31=0,"N/A",IF(A33=1,1,IF(A32=debt_period,"",B32+1))))</f>
        <v>20</v>
      </c>
      <c r="C33" s="876">
        <f ca="1">IF(OR(A33="",B33="",B33="N/A"),"",IF(B33=1,-'Cash Flow Analysis'!G84,IF(B33="N/A",0,G32)))</f>
        <v>1017066.6957172423</v>
      </c>
      <c r="D33" s="876">
        <f ca="1">IF(debt_period=0,
E33+F33,
IF(OR(A33="",B33="",B33="N/A"),"",IF(B33=1,((debt_interest*(1+debt_interest)^debt_period)/((1+debt_interest)^debt_period-1))*(-'Cash Flow Analysis'!G84),IF(G32=0,"",D32))))</f>
        <v>37631.467741537963</v>
      </c>
      <c r="E33" s="876">
        <f t="shared" ca="1" si="0"/>
        <v>37631.467741537963</v>
      </c>
      <c r="F33" s="876">
        <f t="shared" si="2"/>
        <v>0</v>
      </c>
      <c r="G33" s="1143">
        <f t="shared" ca="1" si="1"/>
        <v>1017066.6957172423</v>
      </c>
    </row>
    <row r="34" spans="1:7" s="51" customFormat="1" ht="15" customHeight="1" x14ac:dyDescent="0.25">
      <c r="A34" s="873">
        <f>'Cash Flow Analysis'!B85</f>
        <v>21</v>
      </c>
      <c r="B34" s="1142">
        <f>IF(B33="","",IF('Cash Flow Analysis'!$B$31=0,"N/A",IF(A34=1,1,IF(A33=debt_period,"",B33+1))))</f>
        <v>21</v>
      </c>
      <c r="C34" s="876">
        <f ca="1">IF(OR(A34="",B34="",B34="N/A"),"",IF(B34=1,-'Cash Flow Analysis'!G85,IF(B34="N/A",0,G33)))</f>
        <v>1017066.6957172423</v>
      </c>
      <c r="D34" s="876">
        <f ca="1">IF(debt_period=0,
E34+F34,
IF(OR(A34="",B34="",B34="N/A"),"",IF(B34=1,((debt_interest*(1+debt_interest)^debt_period)/((1+debt_interest)^debt_period-1))*(-'Cash Flow Analysis'!G85),IF(G33=0,"",D33))))</f>
        <v>1054698.1634587804</v>
      </c>
      <c r="E34" s="876">
        <f t="shared" ca="1" si="0"/>
        <v>37631.467741537963</v>
      </c>
      <c r="F34" s="876">
        <f t="shared" ca="1" si="2"/>
        <v>1017066.6957172423</v>
      </c>
      <c r="G34" s="1143">
        <f t="shared" ca="1" si="1"/>
        <v>0</v>
      </c>
    </row>
    <row r="35" spans="1:7" s="51" customFormat="1" ht="15" customHeight="1" x14ac:dyDescent="0.25">
      <c r="A35" s="873" t="str">
        <f>'Cash Flow Analysis'!B86</f>
        <v/>
      </c>
      <c r="B35" s="1142">
        <f>IF(B34="","",IF('Cash Flow Analysis'!$B$31=0,"N/A",IF(A35=1,1,IF(A34=debt_period,"",B34+1))))</f>
        <v>22</v>
      </c>
      <c r="C35" s="876" t="str">
        <f>IF(OR(A35="",B35="",B35="N/A"),"",IF(B35=1,-'Cash Flow Analysis'!G86,IF(B35="N/A",0,G34)))</f>
        <v/>
      </c>
      <c r="D35" s="876" t="e">
        <f>IF(debt_period=0,
E35+F35,
IF(OR(A35="",B35="",B35="N/A"),"",IF(B35=1,((debt_interest*(1+debt_interest)^debt_period)/((1+debt_interest)^debt_period-1))*(-'Cash Flow Analysis'!G86),IF(G34=0,"",D34))))</f>
        <v>#VALUE!</v>
      </c>
      <c r="E35" s="876" t="str">
        <f t="shared" si="0"/>
        <v/>
      </c>
      <c r="F35" s="876">
        <f t="shared" si="2"/>
        <v>0</v>
      </c>
      <c r="G35" s="1143" t="str">
        <f t="shared" si="1"/>
        <v/>
      </c>
    </row>
    <row r="36" spans="1:7" s="51" customFormat="1" ht="15" customHeight="1" x14ac:dyDescent="0.25">
      <c r="A36" s="873" t="str">
        <f>'Cash Flow Analysis'!B87</f>
        <v/>
      </c>
      <c r="B36" s="1142">
        <f>IF(B35="","",IF('Cash Flow Analysis'!$B$31=0,"N/A",IF(A36=1,1,IF(A35=debt_period,"",B35+1))))</f>
        <v>23</v>
      </c>
      <c r="C36" s="876" t="str">
        <f>IF(OR(A36="",B36="",B36="N/A"),"",IF(B36=1,-'Cash Flow Analysis'!G87,IF(B36="N/A",0,G35)))</f>
        <v/>
      </c>
      <c r="D36" s="876" t="e">
        <f>IF(debt_period=0,
E36+F36,
IF(OR(A36="",B36="",B36="N/A"),"",IF(B36=1,((debt_interest*(1+debt_interest)^debt_period)/((1+debt_interest)^debt_period-1))*(-'Cash Flow Analysis'!G87),IF(G35=0,"",D35))))</f>
        <v>#VALUE!</v>
      </c>
      <c r="E36" s="876" t="str">
        <f t="shared" si="0"/>
        <v/>
      </c>
      <c r="F36" s="876">
        <f t="shared" si="2"/>
        <v>0</v>
      </c>
      <c r="G36" s="1143" t="str">
        <f t="shared" si="1"/>
        <v/>
      </c>
    </row>
    <row r="37" spans="1:7" s="51" customFormat="1" ht="15" customHeight="1" x14ac:dyDescent="0.25">
      <c r="A37" s="873" t="str">
        <f>'Cash Flow Analysis'!B88</f>
        <v/>
      </c>
      <c r="B37" s="1142">
        <f>IF(B36="","",IF('Cash Flow Analysis'!$B$31=0,"N/A",IF(A37=1,1,IF(A36=debt_period,"",B36+1))))</f>
        <v>24</v>
      </c>
      <c r="C37" s="876" t="str">
        <f>IF(OR(A37="",B37="",B37="N/A"),"",IF(B37=1,-'Cash Flow Analysis'!G88,IF(B37="N/A",0,G36)))</f>
        <v/>
      </c>
      <c r="D37" s="876" t="e">
        <f>IF(debt_period=0,
E37+F37,
IF(OR(A37="",B37="",B37="N/A"),"",IF(B37=1,((debt_interest*(1+debt_interest)^debt_period)/((1+debt_interest)^debt_period-1))*(-'Cash Flow Analysis'!G88),IF(G36=0,"",D36))))</f>
        <v>#VALUE!</v>
      </c>
      <c r="E37" s="876" t="str">
        <f t="shared" si="0"/>
        <v/>
      </c>
      <c r="F37" s="876">
        <f t="shared" si="2"/>
        <v>0</v>
      </c>
      <c r="G37" s="1143" t="str">
        <f t="shared" si="1"/>
        <v/>
      </c>
    </row>
    <row r="38" spans="1:7" s="51" customFormat="1" ht="15" customHeight="1" x14ac:dyDescent="0.25">
      <c r="A38" s="873" t="str">
        <f>'Cash Flow Analysis'!B89</f>
        <v/>
      </c>
      <c r="B38" s="1142">
        <f>IF(B37="","",IF('Cash Flow Analysis'!$B$31=0,"N/A",IF(A38=1,1,IF(A37=debt_period,"",B37+1))))</f>
        <v>25</v>
      </c>
      <c r="C38" s="876" t="str">
        <f>IF(OR(A38="",B38="",B38="N/A"),"",IF(B38=1,-'Cash Flow Analysis'!G89,IF(B38="N/A",0,G37)))</f>
        <v/>
      </c>
      <c r="D38" s="876" t="e">
        <f>IF(debt_period=0,
E38+F38,
IF(OR(A38="",B38="",B38="N/A"),"",IF(B38=1,((debt_interest*(1+debt_interest)^debt_period)/((1+debt_interest)^debt_period-1))*(-'Cash Flow Analysis'!G89),IF(G37=0,"",D37))))</f>
        <v>#VALUE!</v>
      </c>
      <c r="E38" s="876" t="str">
        <f t="shared" si="0"/>
        <v/>
      </c>
      <c r="F38" s="876">
        <f t="shared" si="2"/>
        <v>0</v>
      </c>
      <c r="G38" s="1143" t="str">
        <f t="shared" si="1"/>
        <v/>
      </c>
    </row>
    <row r="39" spans="1:7" s="51" customFormat="1" ht="15" customHeight="1" x14ac:dyDescent="0.25">
      <c r="A39" s="873" t="str">
        <f>'Cash Flow Analysis'!B90</f>
        <v/>
      </c>
      <c r="B39" s="1142">
        <f>IF(B38="","",IF('Cash Flow Analysis'!$B$31=0,"N/A",IF(A39=1,1,IF(A38=debt_period,"",B38+1))))</f>
        <v>26</v>
      </c>
      <c r="C39" s="876" t="str">
        <f>IF(OR(A39="",B39="",B39="N/A"),"",IF(B39=1,-'Cash Flow Analysis'!G90,IF(B39="N/A",0,G38)))</f>
        <v/>
      </c>
      <c r="D39" s="876" t="e">
        <f>IF(debt_period=0,
E39+F39,
IF(OR(A39="",B39="",B39="N/A"),"",IF(B39=1,((debt_interest*(1+debt_interest)^debt_period)/((1+debt_interest)^debt_period-1))*(-'Cash Flow Analysis'!G90),IF(G38=0,"",D38))))</f>
        <v>#VALUE!</v>
      </c>
      <c r="E39" s="876" t="str">
        <f t="shared" si="0"/>
        <v/>
      </c>
      <c r="F39" s="876">
        <f t="shared" si="2"/>
        <v>0</v>
      </c>
      <c r="G39" s="1143" t="str">
        <f t="shared" si="1"/>
        <v/>
      </c>
    </row>
    <row r="40" spans="1:7" s="51" customFormat="1" ht="15" customHeight="1" x14ac:dyDescent="0.25">
      <c r="A40" s="873" t="str">
        <f>'Cash Flow Analysis'!B91</f>
        <v/>
      </c>
      <c r="B40" s="1142">
        <f>IF(B39="","",IF('Cash Flow Analysis'!$B$31=0,"N/A",IF(A40=1,1,IF(A39=debt_period,"",B39+1))))</f>
        <v>27</v>
      </c>
      <c r="C40" s="876" t="str">
        <f>IF(OR(A40="",B40="",B40="N/A"),"",IF(B40=1,-'Cash Flow Analysis'!G91,IF(B40="N/A",0,G39)))</f>
        <v/>
      </c>
      <c r="D40" s="876" t="e">
        <f>IF(debt_period=0,
E40+F40,
IF(OR(A40="",B40="",B40="N/A"),"",IF(B40=1,((debt_interest*(1+debt_interest)^debt_period)/((1+debt_interest)^debt_period-1))*(-'Cash Flow Analysis'!G91),IF(G39=0,"",D39))))</f>
        <v>#VALUE!</v>
      </c>
      <c r="E40" s="876" t="str">
        <f t="shared" si="0"/>
        <v/>
      </c>
      <c r="F40" s="876">
        <f t="shared" si="2"/>
        <v>0</v>
      </c>
      <c r="G40" s="1143" t="str">
        <f t="shared" si="1"/>
        <v/>
      </c>
    </row>
    <row r="41" spans="1:7" s="51" customFormat="1" ht="15" customHeight="1" x14ac:dyDescent="0.25">
      <c r="A41" s="873" t="str">
        <f>'Cash Flow Analysis'!B92</f>
        <v/>
      </c>
      <c r="B41" s="1142">
        <f>IF(B40="","",IF('Cash Flow Analysis'!$B$31=0,"N/A",IF(A41=1,1,IF(A40=debt_period,"",B40+1))))</f>
        <v>28</v>
      </c>
      <c r="C41" s="876" t="str">
        <f>IF(OR(A41="",B41="",B41="N/A"),"",IF(B41=1,-'Cash Flow Analysis'!G92,IF(B41="N/A",0,G40)))</f>
        <v/>
      </c>
      <c r="D41" s="876" t="e">
        <f>IF(debt_period=0,
E41+F41,
IF(OR(A41="",B41="",B41="N/A"),"",IF(B41=1,((debt_interest*(1+debt_interest)^debt_period)/((1+debt_interest)^debt_period-1))*(-'Cash Flow Analysis'!G92),IF(G40=0,"",D40))))</f>
        <v>#VALUE!</v>
      </c>
      <c r="E41" s="876" t="str">
        <f t="shared" si="0"/>
        <v/>
      </c>
      <c r="F41" s="876">
        <f t="shared" si="2"/>
        <v>0</v>
      </c>
      <c r="G41" s="1143" t="str">
        <f t="shared" si="1"/>
        <v/>
      </c>
    </row>
    <row r="42" spans="1:7" s="51" customFormat="1" ht="15" customHeight="1" x14ac:dyDescent="0.25">
      <c r="A42" s="873" t="str">
        <f>'Cash Flow Analysis'!B93</f>
        <v/>
      </c>
      <c r="B42" s="1142">
        <f>IF(B41="","",IF('Cash Flow Analysis'!$B$31=0,"N/A",IF(A42=1,1,IF(A41=debt_period,"",B41+1))))</f>
        <v>29</v>
      </c>
      <c r="C42" s="876" t="str">
        <f>IF(OR(A42="",B42="",B42="N/A"),"",IF(B42=1,-'Cash Flow Analysis'!G93,IF(B42="N/A",0,G41)))</f>
        <v/>
      </c>
      <c r="D42" s="876" t="e">
        <f>IF(debt_period=0,
E42+F42,
IF(OR(A42="",B42="",B42="N/A"),"",IF(B42=1,((debt_interest*(1+debt_interest)^debt_period)/((1+debt_interest)^debt_period-1))*(-'Cash Flow Analysis'!G93),IF(G41=0,"",D41))))</f>
        <v>#VALUE!</v>
      </c>
      <c r="E42" s="876" t="str">
        <f t="shared" si="0"/>
        <v/>
      </c>
      <c r="F42" s="876">
        <f t="shared" si="2"/>
        <v>0</v>
      </c>
      <c r="G42" s="1143" t="str">
        <f t="shared" si="1"/>
        <v/>
      </c>
    </row>
    <row r="43" spans="1:7" s="51" customFormat="1" ht="15" customHeight="1" x14ac:dyDescent="0.25">
      <c r="A43" s="873" t="str">
        <f>'Cash Flow Analysis'!B94</f>
        <v/>
      </c>
      <c r="B43" s="1142">
        <f>IF(B42="","",IF('Cash Flow Analysis'!$B$31=0,"N/A",IF(A43=1,1,IF(A42=debt_period,"",B42+1))))</f>
        <v>30</v>
      </c>
      <c r="C43" s="876" t="str">
        <f>IF(OR(A43="",B43="",B43="N/A"),"",IF(B43=1,-'Cash Flow Analysis'!G94,IF(B43="N/A",0,G42)))</f>
        <v/>
      </c>
      <c r="D43" s="876" t="e">
        <f>IF(debt_period=0,
E43+F43,
IF(OR(A43="",B43="",B43="N/A"),"",IF(B43=1,((debt_interest*(1+debt_interest)^debt_period)/((1+debt_interest)^debt_period-1))*(-'Cash Flow Analysis'!G94),IF(G42=0,"",D42))))</f>
        <v>#VALUE!</v>
      </c>
      <c r="E43" s="876" t="str">
        <f t="shared" si="0"/>
        <v/>
      </c>
      <c r="F43" s="876">
        <f t="shared" si="2"/>
        <v>0</v>
      </c>
      <c r="G43" s="1143" t="str">
        <f t="shared" si="1"/>
        <v/>
      </c>
    </row>
    <row r="44" spans="1:7" s="51" customFormat="1" ht="15" customHeight="1" x14ac:dyDescent="0.25">
      <c r="A44" s="873" t="str">
        <f>'Cash Flow Analysis'!B95</f>
        <v/>
      </c>
      <c r="B44" s="1142">
        <f>IF(B43="","",IF('Cash Flow Analysis'!$B$31=0,"N/A",IF(A44=1,1,IF(A43=debt_period,"",B43+1))))</f>
        <v>31</v>
      </c>
      <c r="C44" s="876" t="str">
        <f>IF(OR(A44="",B44="",B44="N/A"),"",IF(B44=1,-'Cash Flow Analysis'!G95,IF(B44="N/A",0,G43)))</f>
        <v/>
      </c>
      <c r="D44" s="876" t="e">
        <f>IF(debt_period=0,
E44+F44,
IF(OR(A44="",B44="",B44="N/A"),"",IF(B44=1,((debt_interest*(1+debt_interest)^debt_period)/((1+debt_interest)^debt_period-1))*(-'Cash Flow Analysis'!G95),IF(G43=0,"",D43))))</f>
        <v>#VALUE!</v>
      </c>
      <c r="E44" s="876" t="str">
        <f t="shared" si="0"/>
        <v/>
      </c>
      <c r="F44" s="876">
        <f t="shared" si="2"/>
        <v>0</v>
      </c>
      <c r="G44" s="1143" t="str">
        <f t="shared" si="1"/>
        <v/>
      </c>
    </row>
    <row r="45" spans="1:7" s="51" customFormat="1" ht="15" customHeight="1" x14ac:dyDescent="0.25">
      <c r="A45" s="873" t="str">
        <f>'Cash Flow Analysis'!B96</f>
        <v/>
      </c>
      <c r="B45" s="1142">
        <f>IF(B44="","",IF('Cash Flow Analysis'!$B$31=0,"N/A",IF(A45=1,1,IF(A44=debt_period,"",B44+1))))</f>
        <v>32</v>
      </c>
      <c r="C45" s="876" t="str">
        <f>IF(OR(A45="",B45="",B45="N/A"),"",IF(B45=1,-'Cash Flow Analysis'!G96,IF(B45="N/A",0,G44)))</f>
        <v/>
      </c>
      <c r="D45" s="876" t="e">
        <f>IF(debt_period=0,
E45+F45,
IF(OR(A45="",B45="",B45="N/A"),"",IF(B45=1,((debt_interest*(1+debt_interest)^debt_period)/((1+debt_interest)^debt_period-1))*(-'Cash Flow Analysis'!G96),IF(G44=0,"",D44))))</f>
        <v>#VALUE!</v>
      </c>
      <c r="E45" s="876" t="str">
        <f t="shared" si="0"/>
        <v/>
      </c>
      <c r="F45" s="876">
        <f t="shared" si="2"/>
        <v>0</v>
      </c>
      <c r="G45" s="1143" t="str">
        <f t="shared" si="1"/>
        <v/>
      </c>
    </row>
    <row r="46" spans="1:7" s="51" customFormat="1" ht="15" customHeight="1" x14ac:dyDescent="0.25">
      <c r="A46" s="873" t="str">
        <f>'Cash Flow Analysis'!B97</f>
        <v/>
      </c>
      <c r="B46" s="1142">
        <f>IF(B45="","",IF('Cash Flow Analysis'!$B$31=0,"N/A",IF(A46=1,1,IF(A45=debt_period,"",B45+1))))</f>
        <v>33</v>
      </c>
      <c r="C46" s="876" t="str">
        <f>IF(OR(A46="",B46="",B46="N/A"),"",IF(B46=1,-'Cash Flow Analysis'!G97,IF(B46="N/A",0,G45)))</f>
        <v/>
      </c>
      <c r="D46" s="876" t="e">
        <f>IF(debt_period=0,
E46+F46,
IF(OR(A46="",B46="",B46="N/A"),"",IF(B46=1,((debt_interest*(1+debt_interest)^debt_period)/((1+debt_interest)^debt_period-1))*(-'Cash Flow Analysis'!G97),IF(G45=0,"",D45))))</f>
        <v>#VALUE!</v>
      </c>
      <c r="E46" s="876" t="str">
        <f t="shared" si="0"/>
        <v/>
      </c>
      <c r="F46" s="876">
        <f t="shared" si="2"/>
        <v>0</v>
      </c>
      <c r="G46" s="1143" t="str">
        <f t="shared" si="1"/>
        <v/>
      </c>
    </row>
    <row r="47" spans="1:7" s="51" customFormat="1" ht="15" customHeight="1" x14ac:dyDescent="0.25">
      <c r="A47" s="873" t="str">
        <f>'Cash Flow Analysis'!B98</f>
        <v/>
      </c>
      <c r="B47" s="1142">
        <f>IF(B46="","",IF('Cash Flow Analysis'!$B$31=0,"N/A",IF(A47=1,1,IF(A46=debt_period,"",B46+1))))</f>
        <v>34</v>
      </c>
      <c r="C47" s="876" t="str">
        <f>IF(OR(A47="",B47="",B47="N/A"),"",IF(B47=1,-'Cash Flow Analysis'!G98,IF(B47="N/A",0,G46)))</f>
        <v/>
      </c>
      <c r="D47" s="876" t="e">
        <f>IF(debt_period=0,
E47+F47,
IF(OR(A47="",B47="",B47="N/A"),"",IF(B47=1,((debt_interest*(1+debt_interest)^debt_period)/((1+debt_interest)^debt_period-1))*(-'Cash Flow Analysis'!G98),IF(G46=0,"",D46))))</f>
        <v>#VALUE!</v>
      </c>
      <c r="E47" s="876" t="str">
        <f t="shared" si="0"/>
        <v/>
      </c>
      <c r="F47" s="876">
        <f t="shared" si="2"/>
        <v>0</v>
      </c>
      <c r="G47" s="1143" t="str">
        <f t="shared" si="1"/>
        <v/>
      </c>
    </row>
    <row r="48" spans="1:7" s="51" customFormat="1" ht="15" customHeight="1" x14ac:dyDescent="0.25">
      <c r="A48" s="873" t="str">
        <f>'Cash Flow Analysis'!B99</f>
        <v/>
      </c>
      <c r="B48" s="1142">
        <f>IF(B47="","",IF('Cash Flow Analysis'!$B$31=0,"N/A",IF(A48=1,1,IF(A47=debt_period,"",B47+1))))</f>
        <v>35</v>
      </c>
      <c r="C48" s="876" t="str">
        <f>IF(OR(A48="",B48="",B48="N/A"),"",IF(B48=1,-'Cash Flow Analysis'!G99,IF(B48="N/A",0,G47)))</f>
        <v/>
      </c>
      <c r="D48" s="876" t="e">
        <f>IF(debt_period=0,
E48+F48,
IF(OR(A48="",B48="",B48="N/A"),"",IF(B48=1,((debt_interest*(1+debt_interest)^debt_period)/((1+debt_interest)^debt_period-1))*(-'Cash Flow Analysis'!G99),IF(G47=0,"",D47))))</f>
        <v>#VALUE!</v>
      </c>
      <c r="E48" s="876" t="str">
        <f t="shared" si="0"/>
        <v/>
      </c>
      <c r="F48" s="876">
        <f t="shared" si="2"/>
        <v>0</v>
      </c>
      <c r="G48" s="1143" t="str">
        <f t="shared" si="1"/>
        <v/>
      </c>
    </row>
    <row r="49" spans="1:7" s="51" customFormat="1" ht="15" customHeight="1" x14ac:dyDescent="0.25">
      <c r="A49" s="873" t="str">
        <f>'Cash Flow Analysis'!B100</f>
        <v/>
      </c>
      <c r="B49" s="1142">
        <f>IF(B48="","",IF('Cash Flow Analysis'!$B$31=0,"N/A",IF(A49=1,1,IF(A48=debt_period,"",B48+1))))</f>
        <v>36</v>
      </c>
      <c r="C49" s="876" t="str">
        <f>IF(OR(A49="",B49="",B49="N/A"),"",IF(B49=1,-'Cash Flow Analysis'!G100,IF(B49="N/A",0,G48)))</f>
        <v/>
      </c>
      <c r="D49" s="876" t="e">
        <f>IF(debt_period=0,
E49+F49,
IF(OR(A49="",B49="",B49="N/A"),"",IF(B49=1,((debt_interest*(1+debt_interest)^debt_period)/((1+debt_interest)^debt_period-1))*(-'Cash Flow Analysis'!G100),IF(G48=0,"",D48))))</f>
        <v>#VALUE!</v>
      </c>
      <c r="E49" s="876" t="str">
        <f t="shared" si="0"/>
        <v/>
      </c>
      <c r="F49" s="876">
        <f t="shared" si="2"/>
        <v>0</v>
      </c>
      <c r="G49" s="1143" t="str">
        <f t="shared" si="1"/>
        <v/>
      </c>
    </row>
    <row r="50" spans="1:7" s="51" customFormat="1" ht="15" customHeight="1" x14ac:dyDescent="0.25">
      <c r="A50" s="873" t="str">
        <f>'Cash Flow Analysis'!B101</f>
        <v/>
      </c>
      <c r="B50" s="1142">
        <f>IF(B49="","",IF('Cash Flow Analysis'!$B$31=0,"N/A",IF(A50=1,1,IF(A49=debt_period,"",B49+1))))</f>
        <v>37</v>
      </c>
      <c r="C50" s="876" t="str">
        <f>IF(OR(A50="",B50="",B50="N/A"),"",IF(B50=1,-'Cash Flow Analysis'!G101,IF(B50="N/A",0,G49)))</f>
        <v/>
      </c>
      <c r="D50" s="876" t="e">
        <f>IF(debt_period=0,
E50+F50,
IF(OR(A50="",B50="",B50="N/A"),"",IF(B50=1,((debt_interest*(1+debt_interest)^debt_period)/((1+debt_interest)^debt_period-1))*(-'Cash Flow Analysis'!G101),IF(G49=0,"",D49))))</f>
        <v>#VALUE!</v>
      </c>
      <c r="E50" s="876" t="str">
        <f t="shared" si="0"/>
        <v/>
      </c>
      <c r="F50" s="876">
        <f t="shared" si="2"/>
        <v>0</v>
      </c>
      <c r="G50" s="1143" t="str">
        <f t="shared" si="1"/>
        <v/>
      </c>
    </row>
    <row r="51" spans="1:7" s="51" customFormat="1" ht="15" customHeight="1" x14ac:dyDescent="0.25">
      <c r="A51" s="873" t="str">
        <f>'Cash Flow Analysis'!B102</f>
        <v/>
      </c>
      <c r="B51" s="1142">
        <f>IF(B50="","",IF('Cash Flow Analysis'!$B$31=0,"N/A",IF(A51=1,1,IF(A50=debt_period,"",B50+1))))</f>
        <v>38</v>
      </c>
      <c r="C51" s="876" t="str">
        <f>IF(OR(A51="",B51="",B51="N/A"),"",IF(B51=1,-'Cash Flow Analysis'!G102,IF(B51="N/A",0,G50)))</f>
        <v/>
      </c>
      <c r="D51" s="876" t="e">
        <f>IF(debt_period=0,
E51+F51,
IF(OR(A51="",B51="",B51="N/A"),"",IF(B51=1,((debt_interest*(1+debt_interest)^debt_period)/((1+debt_interest)^debt_period-1))*(-'Cash Flow Analysis'!G102),IF(G50=0,"",D50))))</f>
        <v>#VALUE!</v>
      </c>
      <c r="E51" s="876" t="str">
        <f t="shared" si="0"/>
        <v/>
      </c>
      <c r="F51" s="876">
        <f t="shared" si="2"/>
        <v>0</v>
      </c>
      <c r="G51" s="1143" t="str">
        <f t="shared" si="1"/>
        <v/>
      </c>
    </row>
    <row r="52" spans="1:7" s="51" customFormat="1" ht="15" customHeight="1" x14ac:dyDescent="0.25">
      <c r="A52" s="873" t="str">
        <f>'Cash Flow Analysis'!B103</f>
        <v/>
      </c>
      <c r="B52" s="1142">
        <f>IF(B51="","",IF('Cash Flow Analysis'!$B$31=0,"N/A",IF(A52=1,1,IF(A51=debt_period,"",B51+1))))</f>
        <v>39</v>
      </c>
      <c r="C52" s="876" t="str">
        <f>IF(OR(A52="",B52="",B52="N/A"),"",IF(B52=1,-'Cash Flow Analysis'!G103,IF(B52="N/A",0,G51)))</f>
        <v/>
      </c>
      <c r="D52" s="876" t="e">
        <f>IF(debt_period=0,
E52+F52,
IF(OR(A52="",B52="",B52="N/A"),"",IF(B52=1,((debt_interest*(1+debt_interest)^debt_period)/((1+debt_interest)^debt_period-1))*(-'Cash Flow Analysis'!G103),IF(G51=0,"",D51))))</f>
        <v>#VALUE!</v>
      </c>
      <c r="E52" s="876" t="str">
        <f t="shared" si="0"/>
        <v/>
      </c>
      <c r="F52" s="876">
        <f t="shared" si="2"/>
        <v>0</v>
      </c>
      <c r="G52" s="1143" t="str">
        <f t="shared" si="1"/>
        <v/>
      </c>
    </row>
    <row r="53" spans="1:7" s="51" customFormat="1" ht="15" customHeight="1" x14ac:dyDescent="0.25">
      <c r="A53" s="873" t="str">
        <f>'Cash Flow Analysis'!B104</f>
        <v/>
      </c>
      <c r="B53" s="1142">
        <f>IF(B52="","",IF('Cash Flow Analysis'!$B$31=0,"N/A",IF(A53=1,1,IF(A52=debt_period,"",B52+1))))</f>
        <v>40</v>
      </c>
      <c r="C53" s="876" t="str">
        <f>IF(OR(A53="",B53="",B53="N/A"),"",IF(B53=1,-'Cash Flow Analysis'!G104,IF(B53="N/A",0,G52)))</f>
        <v/>
      </c>
      <c r="D53" s="876" t="e">
        <f>IF(debt_period=0,
E53+F53,
IF(OR(A53="",B53="",B53="N/A"),"",IF(B53=1,((debt_interest*(1+debt_interest)^debt_period)/((1+debt_interest)^debt_period-1))*(-'Cash Flow Analysis'!G104),IF(G52=0,"",D52))))</f>
        <v>#VALUE!</v>
      </c>
      <c r="E53" s="876" t="str">
        <f t="shared" si="0"/>
        <v/>
      </c>
      <c r="F53" s="876">
        <f t="shared" si="2"/>
        <v>0</v>
      </c>
      <c r="G53" s="1143" t="str">
        <f t="shared" si="1"/>
        <v/>
      </c>
    </row>
    <row r="54" spans="1:7" s="51" customFormat="1" ht="15" customHeight="1" x14ac:dyDescent="0.25">
      <c r="A54" s="873" t="str">
        <f>'Cash Flow Analysis'!B105</f>
        <v/>
      </c>
      <c r="B54" s="1142">
        <f>IF(B53="","",IF('Cash Flow Analysis'!$B$31=0,"N/A",IF(A54=1,1,IF(A53=debt_period,"",B53+1))))</f>
        <v>41</v>
      </c>
      <c r="C54" s="876" t="str">
        <f>IF(OR(A54="",B54="",B54="N/A"),"",IF(B54=1,-'Cash Flow Analysis'!G105,IF(B54="N/A",0,G53)))</f>
        <v/>
      </c>
      <c r="D54" s="876" t="e">
        <f>IF(debt_period=0,
E54+F54,
IF(OR(A54="",B54="",B54="N/A"),"",IF(B54=1,((debt_interest*(1+debt_interest)^debt_period)/((1+debt_interest)^debt_period-1))*(-'Cash Flow Analysis'!G105),IF(G53=0,"",D53))))</f>
        <v>#VALUE!</v>
      </c>
      <c r="E54" s="876" t="str">
        <f t="shared" si="0"/>
        <v/>
      </c>
      <c r="F54" s="876">
        <f t="shared" si="2"/>
        <v>0</v>
      </c>
      <c r="G54" s="1143" t="str">
        <f t="shared" si="1"/>
        <v/>
      </c>
    </row>
    <row r="55" spans="1:7" s="51" customFormat="1" ht="15" customHeight="1" x14ac:dyDescent="0.25">
      <c r="A55" s="873" t="str">
        <f>'Cash Flow Analysis'!B106</f>
        <v/>
      </c>
      <c r="B55" s="1142">
        <f>IF(B54="","",IF('Cash Flow Analysis'!$B$31=0,"N/A",IF(A55=1,1,IF(A54=debt_period,"",B54+1))))</f>
        <v>42</v>
      </c>
      <c r="C55" s="876" t="str">
        <f>IF(OR(A55="",B55="",B55="N/A"),"",IF(B55=1,-'Cash Flow Analysis'!G106,IF(B55="N/A",0,G54)))</f>
        <v/>
      </c>
      <c r="D55" s="876" t="e">
        <f>IF(debt_period=0,
E55+F55,
IF(OR(A55="",B55="",B55="N/A"),"",IF(B55=1,((debt_interest*(1+debt_interest)^debt_period)/((1+debt_interest)^debt_period-1))*(-'Cash Flow Analysis'!G106),IF(G54=0,"",D54))))</f>
        <v>#VALUE!</v>
      </c>
      <c r="E55" s="876" t="str">
        <f t="shared" si="0"/>
        <v/>
      </c>
      <c r="F55" s="876">
        <f t="shared" si="2"/>
        <v>0</v>
      </c>
      <c r="G55" s="1143" t="str">
        <f t="shared" si="1"/>
        <v/>
      </c>
    </row>
    <row r="56" spans="1:7" s="51" customFormat="1" ht="15" customHeight="1" x14ac:dyDescent="0.25">
      <c r="A56" s="873" t="str">
        <f>'Cash Flow Analysis'!B107</f>
        <v/>
      </c>
      <c r="B56" s="1142">
        <f>IF(B55="","",IF('Cash Flow Analysis'!$B$31=0,"N/A",IF(A56=1,1,IF(A55=debt_period,"",B55+1))))</f>
        <v>43</v>
      </c>
      <c r="C56" s="876" t="str">
        <f>IF(OR(A56="",B56="",B56="N/A"),"",IF(B56=1,-'Cash Flow Analysis'!G107,IF(B56="N/A",0,G55)))</f>
        <v/>
      </c>
      <c r="D56" s="876" t="e">
        <f>IF(debt_period=0,
E56+F56,
IF(OR(A56="",B56="",B56="N/A"),"",IF(B56=1,((debt_interest*(1+debt_interest)^debt_period)/((1+debt_interest)^debt_period-1))*(-'Cash Flow Analysis'!G107),IF(G55=0,"",D55))))</f>
        <v>#VALUE!</v>
      </c>
      <c r="E56" s="876" t="str">
        <f t="shared" si="0"/>
        <v/>
      </c>
      <c r="F56" s="876">
        <f t="shared" si="2"/>
        <v>0</v>
      </c>
      <c r="G56" s="1143" t="str">
        <f t="shared" si="1"/>
        <v/>
      </c>
    </row>
    <row r="57" spans="1:7" s="51" customFormat="1" ht="15" customHeight="1" thickBot="1" x14ac:dyDescent="0.3">
      <c r="A57" s="1144" t="str">
        <f>'Cash Flow Analysis'!B108</f>
        <v/>
      </c>
      <c r="B57" s="1145">
        <f>IF(B56="","",IF('Cash Flow Analysis'!$B$31=0,"N/A",IF(A57=1,1,IF(A56=debt_period,"",B56+1))))</f>
        <v>44</v>
      </c>
      <c r="C57" s="1146" t="str">
        <f>IF(OR(A57="",B57="",B57="N/A"),"",IF(B57=1,-'Cash Flow Analysis'!G108,IF(B57="N/A",0,G56)))</f>
        <v/>
      </c>
      <c r="D57" s="1146" t="str">
        <f>IF(F57=0,E57,
IF(OR(A57="",B57="",B57="N/A"),"",IF(B57=1,((debt_interest*(1+debt_interest)^debt_period)/((1+debt_interest)^debt_period-1))*(-'Cash Flow Analysis'!G108),IF(G56=0,"",D56))))</f>
        <v/>
      </c>
      <c r="E57" s="1146" t="str">
        <f t="shared" si="0"/>
        <v/>
      </c>
      <c r="F57" s="1146">
        <f t="shared" si="2"/>
        <v>0</v>
      </c>
      <c r="G57" s="1147" t="str">
        <f t="shared" si="1"/>
        <v/>
      </c>
    </row>
    <row r="58" spans="1:7" ht="13.8" thickTop="1" x14ac:dyDescent="0.25"/>
  </sheetData>
  <mergeCells count="1">
    <mergeCell ref="B12:G12"/>
  </mergeCells>
  <phoneticPr fontId="0" type="noConversion"/>
  <pageMargins left="0.75" right="0.75" top="1" bottom="1" header="0.5" footer="0.5"/>
  <pageSetup scale="71"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tabColor indexed="18"/>
    <pageSetUpPr fitToPage="1"/>
  </sheetPr>
  <dimension ref="A1:X167"/>
  <sheetViews>
    <sheetView workbookViewId="0"/>
  </sheetViews>
  <sheetFormatPr defaultColWidth="9.33203125" defaultRowHeight="13.2" x14ac:dyDescent="0.25"/>
  <cols>
    <col min="1" max="1" width="31.33203125" style="36" customWidth="1"/>
    <col min="2" max="2" width="23.5546875" style="36" customWidth="1"/>
    <col min="3" max="3" width="19" style="36" customWidth="1"/>
    <col min="4" max="4" width="11.33203125" style="36" customWidth="1"/>
    <col min="5" max="5" width="12.6640625" style="36" customWidth="1"/>
    <col min="6" max="6" width="10.6640625" style="36" customWidth="1"/>
    <col min="7" max="7" width="13.33203125" style="36" customWidth="1"/>
    <col min="8" max="8" width="13.6640625" style="36" customWidth="1"/>
    <col min="9" max="9" width="11" style="36" customWidth="1"/>
    <col min="10" max="25" width="17.33203125" style="36" customWidth="1"/>
    <col min="26" max="16384" width="9.33203125" style="36"/>
  </cols>
  <sheetData>
    <row r="1" spans="1:8" ht="30.75" customHeight="1" x14ac:dyDescent="0.3">
      <c r="A1" s="35" t="s">
        <v>46</v>
      </c>
    </row>
    <row r="2" spans="1:8" ht="15" customHeight="1" x14ac:dyDescent="0.25">
      <c r="G2" s="37"/>
    </row>
    <row r="3" spans="1:8" ht="15" customHeight="1" x14ac:dyDescent="0.3">
      <c r="A3" s="40" t="s">
        <v>32</v>
      </c>
      <c r="B3" s="41"/>
      <c r="C3" s="41"/>
      <c r="D3" s="41"/>
      <c r="E3" s="42"/>
      <c r="F3" s="42"/>
      <c r="G3" s="42"/>
      <c r="H3" s="37"/>
    </row>
    <row r="4" spans="1:8" ht="15" customHeight="1" x14ac:dyDescent="0.3">
      <c r="A4" s="40" t="s">
        <v>33</v>
      </c>
      <c r="B4" s="41"/>
      <c r="C4" s="41"/>
      <c r="D4" s="41"/>
      <c r="E4" s="42"/>
      <c r="F4" s="42"/>
      <c r="G4" s="42"/>
      <c r="H4" s="37"/>
    </row>
    <row r="5" spans="1:8" ht="15" customHeight="1" x14ac:dyDescent="0.25">
      <c r="G5" s="37"/>
    </row>
    <row r="6" spans="1:8" ht="15" customHeight="1" x14ac:dyDescent="0.25">
      <c r="A6" s="34"/>
      <c r="B6" s="39" t="s">
        <v>34</v>
      </c>
    </row>
    <row r="7" spans="1:8" ht="15" customHeight="1" x14ac:dyDescent="0.25">
      <c r="A7" s="44"/>
      <c r="B7" s="39" t="s">
        <v>35</v>
      </c>
    </row>
    <row r="8" spans="1:8" ht="15" customHeight="1" x14ac:dyDescent="0.25">
      <c r="A8" s="45"/>
      <c r="B8" s="39" t="s">
        <v>36</v>
      </c>
    </row>
    <row r="9" spans="1:8" ht="15" customHeight="1" x14ac:dyDescent="0.25">
      <c r="A9" s="46"/>
      <c r="B9" s="39" t="s">
        <v>37</v>
      </c>
    </row>
    <row r="10" spans="1:8" ht="15" customHeight="1" x14ac:dyDescent="0.25"/>
    <row r="11" spans="1:8" ht="15" customHeight="1" thickBot="1" x14ac:dyDescent="0.3"/>
    <row r="12" spans="1:8" ht="29.25" customHeight="1" thickTop="1" thickBot="1" x14ac:dyDescent="0.35">
      <c r="B12" s="61" t="s">
        <v>47</v>
      </c>
      <c r="C12" s="62"/>
      <c r="D12" s="62"/>
      <c r="E12" s="62"/>
      <c r="F12" s="62"/>
      <c r="G12" s="62"/>
      <c r="H12" s="63"/>
    </row>
    <row r="13" spans="1:8" ht="15" customHeight="1" thickTop="1" thickBot="1" x14ac:dyDescent="0.3">
      <c r="B13" s="64"/>
      <c r="C13" s="1663" t="s">
        <v>48</v>
      </c>
      <c r="D13" s="1663"/>
      <c r="E13" s="1663"/>
      <c r="F13" s="1663"/>
      <c r="G13" s="1663"/>
      <c r="H13" s="1664"/>
    </row>
    <row r="14" spans="1:8" ht="15" customHeight="1" thickTop="1" thickBot="1" x14ac:dyDescent="0.3">
      <c r="B14" s="67" t="s">
        <v>48</v>
      </c>
      <c r="C14" s="68">
        <v>3</v>
      </c>
      <c r="D14" s="65">
        <v>5</v>
      </c>
      <c r="E14" s="65">
        <v>7</v>
      </c>
      <c r="F14" s="65">
        <v>10</v>
      </c>
      <c r="G14" s="65">
        <v>15</v>
      </c>
      <c r="H14" s="66">
        <v>20</v>
      </c>
    </row>
    <row r="15" spans="1:8" ht="15" customHeight="1" thickTop="1" x14ac:dyDescent="0.25">
      <c r="B15" s="69">
        <v>1</v>
      </c>
      <c r="C15" s="70">
        <v>0.33329999999999999</v>
      </c>
      <c r="D15" s="71">
        <v>0.2</v>
      </c>
      <c r="E15" s="71">
        <v>0.1429</v>
      </c>
      <c r="F15" s="71">
        <v>0.1</v>
      </c>
      <c r="G15" s="71">
        <v>0.05</v>
      </c>
      <c r="H15" s="72">
        <v>3.7499999999999999E-2</v>
      </c>
    </row>
    <row r="16" spans="1:8" ht="15" customHeight="1" x14ac:dyDescent="0.25">
      <c r="B16" s="73">
        <v>2</v>
      </c>
      <c r="C16" s="74">
        <v>0.44450000000000001</v>
      </c>
      <c r="D16" s="75">
        <v>0.32</v>
      </c>
      <c r="E16" s="75">
        <v>0.24490000000000001</v>
      </c>
      <c r="F16" s="75">
        <v>0.18</v>
      </c>
      <c r="G16" s="75">
        <v>9.5000000000000001E-2</v>
      </c>
      <c r="H16" s="76">
        <v>7.2190000000000004E-2</v>
      </c>
    </row>
    <row r="17" spans="2:8" ht="15" customHeight="1" x14ac:dyDescent="0.25">
      <c r="B17" s="73">
        <v>3</v>
      </c>
      <c r="C17" s="74">
        <v>0.14810000000000001</v>
      </c>
      <c r="D17" s="75">
        <v>0.192</v>
      </c>
      <c r="E17" s="75">
        <v>0.1749</v>
      </c>
      <c r="F17" s="75">
        <v>0.14399999999999999</v>
      </c>
      <c r="G17" s="75">
        <v>8.5500000000000007E-2</v>
      </c>
      <c r="H17" s="76">
        <v>6.6769999999999996E-2</v>
      </c>
    </row>
    <row r="18" spans="2:8" ht="15" customHeight="1" x14ac:dyDescent="0.25">
      <c r="B18" s="73">
        <v>4</v>
      </c>
      <c r="C18" s="74">
        <v>7.4099999999999999E-2</v>
      </c>
      <c r="D18" s="75">
        <v>0.1152</v>
      </c>
      <c r="E18" s="75">
        <v>0.1249</v>
      </c>
      <c r="F18" s="75">
        <v>0.1152</v>
      </c>
      <c r="G18" s="75">
        <v>7.6999999999999999E-2</v>
      </c>
      <c r="H18" s="76">
        <v>6.1769999999999999E-2</v>
      </c>
    </row>
    <row r="19" spans="2:8" ht="15" customHeight="1" x14ac:dyDescent="0.25">
      <c r="B19" s="73">
        <v>5</v>
      </c>
      <c r="C19" s="74"/>
      <c r="D19" s="75">
        <v>0.1152</v>
      </c>
      <c r="E19" s="75">
        <v>8.9300000000000004E-2</v>
      </c>
      <c r="F19" s="75">
        <v>9.2200000000000004E-2</v>
      </c>
      <c r="G19" s="75">
        <v>6.93E-2</v>
      </c>
      <c r="H19" s="76">
        <v>5.713E-2</v>
      </c>
    </row>
    <row r="20" spans="2:8" ht="15" customHeight="1" x14ac:dyDescent="0.25">
      <c r="B20" s="73">
        <v>6</v>
      </c>
      <c r="C20" s="74"/>
      <c r="D20" s="75">
        <v>5.7599999999999998E-2</v>
      </c>
      <c r="E20" s="75">
        <v>8.9200000000000002E-2</v>
      </c>
      <c r="F20" s="75">
        <v>7.3700000000000002E-2</v>
      </c>
      <c r="G20" s="75">
        <v>6.2300000000000001E-2</v>
      </c>
      <c r="H20" s="76">
        <v>5.2850000000000001E-2</v>
      </c>
    </row>
    <row r="21" spans="2:8" ht="15" customHeight="1" x14ac:dyDescent="0.25">
      <c r="B21" s="73">
        <v>7</v>
      </c>
      <c r="C21" s="74"/>
      <c r="D21" s="75"/>
      <c r="E21" s="75">
        <v>8.9300000000000004E-2</v>
      </c>
      <c r="F21" s="75">
        <v>6.5500000000000003E-2</v>
      </c>
      <c r="G21" s="75">
        <v>5.8999999999999997E-2</v>
      </c>
      <c r="H21" s="76">
        <v>4.888E-2</v>
      </c>
    </row>
    <row r="22" spans="2:8" ht="15" customHeight="1" x14ac:dyDescent="0.25">
      <c r="B22" s="73">
        <v>8</v>
      </c>
      <c r="C22" s="74"/>
      <c r="D22" s="75"/>
      <c r="E22" s="75">
        <v>4.4600000000000001E-2</v>
      </c>
      <c r="F22" s="75">
        <v>6.5500000000000003E-2</v>
      </c>
      <c r="G22" s="75">
        <v>5.8999999999999997E-2</v>
      </c>
      <c r="H22" s="76">
        <v>4.5220000000000003E-2</v>
      </c>
    </row>
    <row r="23" spans="2:8" ht="15" customHeight="1" x14ac:dyDescent="0.25">
      <c r="B23" s="73">
        <v>9</v>
      </c>
      <c r="C23" s="74"/>
      <c r="D23" s="75"/>
      <c r="E23" s="75"/>
      <c r="F23" s="75">
        <v>6.5600000000000006E-2</v>
      </c>
      <c r="G23" s="75">
        <v>5.91E-2</v>
      </c>
      <c r="H23" s="76">
        <v>4.462E-2</v>
      </c>
    </row>
    <row r="24" spans="2:8" ht="15" customHeight="1" x14ac:dyDescent="0.25">
      <c r="B24" s="73">
        <v>10</v>
      </c>
      <c r="C24" s="74"/>
      <c r="D24" s="75"/>
      <c r="E24" s="75"/>
      <c r="F24" s="75">
        <v>6.5500000000000003E-2</v>
      </c>
      <c r="G24" s="75">
        <v>5.8999999999999997E-2</v>
      </c>
      <c r="H24" s="76">
        <v>4.4609999999999997E-2</v>
      </c>
    </row>
    <row r="25" spans="2:8" ht="15" customHeight="1" x14ac:dyDescent="0.25">
      <c r="B25" s="73">
        <v>11</v>
      </c>
      <c r="C25" s="74"/>
      <c r="D25" s="75"/>
      <c r="E25" s="75"/>
      <c r="F25" s="75">
        <v>3.2800000000000003E-2</v>
      </c>
      <c r="G25" s="75">
        <v>5.91E-2</v>
      </c>
      <c r="H25" s="76">
        <v>4.462E-2</v>
      </c>
    </row>
    <row r="26" spans="2:8" ht="15" customHeight="1" x14ac:dyDescent="0.25">
      <c r="B26" s="73">
        <v>12</v>
      </c>
      <c r="C26" s="74"/>
      <c r="D26" s="75"/>
      <c r="E26" s="75"/>
      <c r="F26" s="75"/>
      <c r="G26" s="75">
        <v>5.8999999999999997E-2</v>
      </c>
      <c r="H26" s="76">
        <v>4.4609999999999997E-2</v>
      </c>
    </row>
    <row r="27" spans="2:8" ht="15" customHeight="1" x14ac:dyDescent="0.25">
      <c r="B27" s="73">
        <v>13</v>
      </c>
      <c r="C27" s="74"/>
      <c r="D27" s="75"/>
      <c r="E27" s="75"/>
      <c r="F27" s="75"/>
      <c r="G27" s="75">
        <v>5.91E-2</v>
      </c>
      <c r="H27" s="76">
        <v>4.462E-2</v>
      </c>
    </row>
    <row r="28" spans="2:8" ht="15" customHeight="1" x14ac:dyDescent="0.25">
      <c r="B28" s="73">
        <v>14</v>
      </c>
      <c r="C28" s="74"/>
      <c r="D28" s="75"/>
      <c r="E28" s="75"/>
      <c r="F28" s="75"/>
      <c r="G28" s="75">
        <v>5.8999999999999997E-2</v>
      </c>
      <c r="H28" s="76">
        <v>4.4609999999999997E-2</v>
      </c>
    </row>
    <row r="29" spans="2:8" ht="15" customHeight="1" x14ac:dyDescent="0.25">
      <c r="B29" s="73">
        <v>15</v>
      </c>
      <c r="C29" s="74"/>
      <c r="D29" s="75"/>
      <c r="E29" s="75"/>
      <c r="F29" s="75"/>
      <c r="G29" s="75">
        <v>5.91E-2</v>
      </c>
      <c r="H29" s="76">
        <v>4.462E-2</v>
      </c>
    </row>
    <row r="30" spans="2:8" ht="15" customHeight="1" x14ac:dyDescent="0.25">
      <c r="B30" s="73">
        <v>16</v>
      </c>
      <c r="C30" s="74"/>
      <c r="D30" s="75"/>
      <c r="E30" s="75"/>
      <c r="F30" s="75"/>
      <c r="G30" s="75">
        <v>2.9499999999999998E-2</v>
      </c>
      <c r="H30" s="76">
        <v>4.4609999999999997E-2</v>
      </c>
    </row>
    <row r="31" spans="2:8" ht="15" customHeight="1" x14ac:dyDescent="0.25">
      <c r="B31" s="73">
        <v>17</v>
      </c>
      <c r="C31" s="74"/>
      <c r="D31" s="75"/>
      <c r="E31" s="75"/>
      <c r="F31" s="75"/>
      <c r="G31" s="75"/>
      <c r="H31" s="76">
        <v>4.462E-2</v>
      </c>
    </row>
    <row r="32" spans="2:8" ht="15" customHeight="1" x14ac:dyDescent="0.25">
      <c r="B32" s="73">
        <v>18</v>
      </c>
      <c r="C32" s="74"/>
      <c r="D32" s="75"/>
      <c r="E32" s="75"/>
      <c r="F32" s="75"/>
      <c r="G32" s="75"/>
      <c r="H32" s="76">
        <v>4.4609999999999997E-2</v>
      </c>
    </row>
    <row r="33" spans="1:24" ht="15" customHeight="1" x14ac:dyDescent="0.25">
      <c r="B33" s="73">
        <v>19</v>
      </c>
      <c r="C33" s="74"/>
      <c r="D33" s="75"/>
      <c r="E33" s="75"/>
      <c r="F33" s="75"/>
      <c r="G33" s="75"/>
      <c r="H33" s="76">
        <v>4.462E-2</v>
      </c>
    </row>
    <row r="34" spans="1:24" ht="15" customHeight="1" x14ac:dyDescent="0.25">
      <c r="B34" s="73">
        <v>20</v>
      </c>
      <c r="C34" s="74"/>
      <c r="D34" s="75"/>
      <c r="E34" s="75"/>
      <c r="F34" s="75"/>
      <c r="G34" s="75"/>
      <c r="H34" s="76">
        <v>4.4609999999999997E-2</v>
      </c>
    </row>
    <row r="35" spans="1:24" ht="15" customHeight="1" thickBot="1" x14ac:dyDescent="0.3">
      <c r="B35" s="77">
        <v>21</v>
      </c>
      <c r="C35" s="78"/>
      <c r="D35" s="79"/>
      <c r="E35" s="79"/>
      <c r="F35" s="79"/>
      <c r="G35" s="79"/>
      <c r="H35" s="80">
        <v>2.231E-2</v>
      </c>
    </row>
    <row r="36" spans="1:24" ht="15" customHeight="1" thickTop="1" x14ac:dyDescent="0.25">
      <c r="B36" s="81" t="s">
        <v>49</v>
      </c>
      <c r="C36" s="82">
        <f t="shared" ref="C36:H36" ca="1" si="0">NPV(real_irr,C15:C35)</f>
        <v>0.861730483722558</v>
      </c>
      <c r="D36" s="83">
        <f t="shared" ca="1" si="0"/>
        <v>0.81132579180653486</v>
      </c>
      <c r="E36" s="83">
        <f t="shared" ca="1" si="0"/>
        <v>0.76611247423420981</v>
      </c>
      <c r="F36" s="83">
        <f t="shared" ca="1" si="0"/>
        <v>0.70592323058796147</v>
      </c>
      <c r="G36" s="83">
        <f t="shared" ca="1" si="0"/>
        <v>0.57966874115937961</v>
      </c>
      <c r="H36" s="84">
        <f t="shared" ca="1" si="0"/>
        <v>0.50624177952518146</v>
      </c>
    </row>
    <row r="37" spans="1:24" ht="15" customHeight="1" thickBot="1" x14ac:dyDescent="0.3">
      <c r="B37" s="77" t="s">
        <v>50</v>
      </c>
      <c r="C37" s="85">
        <f t="shared" ref="C37:H37" ca="1" si="1">NPV(nominal_irr,C15:C35)</f>
        <v>0.83149291060393982</v>
      </c>
      <c r="D37" s="86">
        <f t="shared" ca="1" si="1"/>
        <v>0.77231075823151107</v>
      </c>
      <c r="E37" s="86">
        <f t="shared" ca="1" si="1"/>
        <v>0.72034649543580254</v>
      </c>
      <c r="F37" s="86">
        <f t="shared" ca="1" si="1"/>
        <v>0.65286934217044934</v>
      </c>
      <c r="G37" s="86">
        <f t="shared" ca="1" si="1"/>
        <v>0.51586770297474116</v>
      </c>
      <c r="H37" s="87">
        <f t="shared" ca="1" si="1"/>
        <v>0.44094384285873256</v>
      </c>
    </row>
    <row r="38" spans="1:24" ht="15" customHeight="1" thickTop="1" x14ac:dyDescent="0.25"/>
    <row r="39" spans="1:24" ht="15" customHeight="1" x14ac:dyDescent="0.25"/>
    <row r="40" spans="1:24" ht="15" customHeight="1" thickBot="1" x14ac:dyDescent="0.3"/>
    <row r="41" spans="1:24" ht="29.25" customHeight="1" thickTop="1" thickBot="1" x14ac:dyDescent="0.35">
      <c r="A41" s="88" t="s">
        <v>51</v>
      </c>
      <c r="B41" s="89"/>
    </row>
    <row r="42" spans="1:24" ht="15" customHeight="1" thickTop="1" x14ac:dyDescent="0.25">
      <c r="A42" s="90" t="s">
        <v>386</v>
      </c>
      <c r="B42" s="91" t="str">
        <f>depr_type</f>
        <v>MACRS</v>
      </c>
    </row>
    <row r="43" spans="1:24" ht="15" customHeight="1" x14ac:dyDescent="0.25">
      <c r="A43" s="92" t="s">
        <v>52</v>
      </c>
      <c r="B43" s="93">
        <f>depr_length</f>
        <v>7</v>
      </c>
    </row>
    <row r="44" spans="1:24" ht="15" customHeight="1" thickBot="1" x14ac:dyDescent="0.3">
      <c r="A44" s="94" t="s">
        <v>53</v>
      </c>
      <c r="B44" s="95">
        <f ca="1">-('Cash Flow Analysis'!G65+SUM('Cash Flow Analysis'!H65:H113))</f>
        <v>1695111.1595287372</v>
      </c>
    </row>
    <row r="45" spans="1:24" ht="15" customHeight="1" thickTop="1" x14ac:dyDescent="0.25"/>
    <row r="46" spans="1:24" ht="15" customHeight="1" thickBot="1" x14ac:dyDescent="0.3"/>
    <row r="47" spans="1:24" ht="27" customHeight="1" thickTop="1" thickBot="1" x14ac:dyDescent="0.35">
      <c r="A47" s="96" t="s">
        <v>54</v>
      </c>
      <c r="B47" s="62"/>
      <c r="C47" s="62"/>
      <c r="D47" s="62"/>
      <c r="E47" s="62"/>
      <c r="F47" s="62"/>
      <c r="G47" s="62"/>
      <c r="H47" s="62"/>
      <c r="I47" s="62"/>
      <c r="J47" s="62"/>
      <c r="K47" s="62"/>
      <c r="L47" s="62"/>
      <c r="M47" s="62"/>
      <c r="N47" s="62"/>
      <c r="O47" s="62"/>
      <c r="P47" s="62"/>
      <c r="Q47" s="62"/>
      <c r="R47" s="62"/>
      <c r="S47" s="62"/>
      <c r="T47" s="62"/>
      <c r="U47" s="62"/>
      <c r="V47" s="62"/>
      <c r="W47" s="62"/>
      <c r="X47" s="63"/>
    </row>
    <row r="48" spans="1:24" ht="30.75" customHeight="1" thickTop="1" thickBot="1" x14ac:dyDescent="0.3">
      <c r="A48" s="97" t="s">
        <v>55</v>
      </c>
      <c r="B48" s="98" t="s">
        <v>56</v>
      </c>
      <c r="C48" s="99">
        <v>1</v>
      </c>
      <c r="D48" s="100">
        <v>2</v>
      </c>
      <c r="E48" s="100">
        <v>3</v>
      </c>
      <c r="F48" s="100">
        <v>4</v>
      </c>
      <c r="G48" s="100">
        <v>5</v>
      </c>
      <c r="H48" s="100">
        <v>6</v>
      </c>
      <c r="I48" s="100">
        <v>7</v>
      </c>
      <c r="J48" s="100">
        <v>8</v>
      </c>
      <c r="K48" s="100">
        <v>9</v>
      </c>
      <c r="L48" s="100">
        <v>10</v>
      </c>
      <c r="M48" s="100">
        <v>11</v>
      </c>
      <c r="N48" s="100">
        <v>12</v>
      </c>
      <c r="O48" s="100">
        <v>13</v>
      </c>
      <c r="P48" s="100">
        <v>14</v>
      </c>
      <c r="Q48" s="100">
        <v>15</v>
      </c>
      <c r="R48" s="100">
        <v>16</v>
      </c>
      <c r="S48" s="100">
        <v>17</v>
      </c>
      <c r="T48" s="100">
        <v>18</v>
      </c>
      <c r="U48" s="100">
        <v>19</v>
      </c>
      <c r="V48" s="100">
        <v>20</v>
      </c>
      <c r="W48" s="89">
        <v>21</v>
      </c>
      <c r="X48" s="67" t="s">
        <v>57</v>
      </c>
    </row>
    <row r="49" spans="1:24" ht="15" customHeight="1" thickTop="1" x14ac:dyDescent="0.25">
      <c r="A49" s="81">
        <f>IF('Cash Flow Analysis'!C65="","",'Cash Flow Analysis'!C65)</f>
        <v>-1</v>
      </c>
      <c r="B49" s="870">
        <f>IF(A49="","",IF(A49&lt;1,0,IF(A49=1,$B$44-'Cash Flow Analysis'!I65,-'Cash Flow Analysis'!I65)))</f>
        <v>0</v>
      </c>
      <c r="C49" s="101">
        <f>IF(B49="","",IF(AND($B$42="Straight Line",$C$48&lt;=depr_length),B49/depr_length,IF(AND($B$42="MACRS",$C$48&lt;=depr_length+1),B49*INDEX(MACRS_Table,MATCH($C$48,recovery_year,0),MATCH($B$43,recovery_period,0)),"")))</f>
        <v>0</v>
      </c>
      <c r="D49" s="102">
        <f t="shared" ref="D49:W49" si="2">IF($B$49="","",IF(AND($B$42="Straight Line",D48&lt;=depr_length),$B$49/depr_length,IF(AND($B$42="MACRS",D48&lt;=depr_length+1),$B$49*INDEX(MACRS_Table,MATCH(D48,recovery_year,0),MATCH($B$43,recovery_period,0)),"")))</f>
        <v>0</v>
      </c>
      <c r="E49" s="102">
        <f t="shared" si="2"/>
        <v>0</v>
      </c>
      <c r="F49" s="102">
        <f t="shared" si="2"/>
        <v>0</v>
      </c>
      <c r="G49" s="102">
        <f t="shared" si="2"/>
        <v>0</v>
      </c>
      <c r="H49" s="102">
        <f t="shared" si="2"/>
        <v>0</v>
      </c>
      <c r="I49" s="102">
        <f t="shared" si="2"/>
        <v>0</v>
      </c>
      <c r="J49" s="102">
        <f t="shared" si="2"/>
        <v>0</v>
      </c>
      <c r="K49" s="102" t="str">
        <f t="shared" si="2"/>
        <v/>
      </c>
      <c r="L49" s="102" t="str">
        <f t="shared" si="2"/>
        <v/>
      </c>
      <c r="M49" s="102" t="str">
        <f t="shared" si="2"/>
        <v/>
      </c>
      <c r="N49" s="102" t="str">
        <f t="shared" si="2"/>
        <v/>
      </c>
      <c r="O49" s="102" t="str">
        <f t="shared" si="2"/>
        <v/>
      </c>
      <c r="P49" s="102" t="str">
        <f t="shared" si="2"/>
        <v/>
      </c>
      <c r="Q49" s="102" t="str">
        <f t="shared" si="2"/>
        <v/>
      </c>
      <c r="R49" s="102" t="str">
        <f t="shared" si="2"/>
        <v/>
      </c>
      <c r="S49" s="102" t="str">
        <f t="shared" si="2"/>
        <v/>
      </c>
      <c r="T49" s="102" t="str">
        <f t="shared" si="2"/>
        <v/>
      </c>
      <c r="U49" s="102" t="str">
        <f t="shared" si="2"/>
        <v/>
      </c>
      <c r="V49" s="102" t="str">
        <f t="shared" si="2"/>
        <v/>
      </c>
      <c r="W49" s="103" t="str">
        <f t="shared" si="2"/>
        <v/>
      </c>
      <c r="X49" s="104">
        <f t="shared" ref="X49:X92" si="3">SUM(C49:W49)</f>
        <v>0</v>
      </c>
    </row>
    <row r="50" spans="1:24" ht="15" customHeight="1" x14ac:dyDescent="0.25">
      <c r="A50" s="73">
        <f>IF('Cash Flow Analysis'!C66="","",'Cash Flow Analysis'!C66)</f>
        <v>1</v>
      </c>
      <c r="B50" s="871">
        <f ca="1">IF(A50="","",IF(A50&lt;1,0,IF(A50=1,$B$44-'Cash Flow Analysis'!I66,-'Cash Flow Analysis'!I66)))</f>
        <v>1695111.1595287372</v>
      </c>
      <c r="C50" s="106">
        <f t="shared" ref="C50:W50" ca="1" si="4">IF($B$50="","",IF(AND($B$42="Straight Line",C48&lt;=depr_length),$B$50/depr_length,IF(AND($B$42="MACRS",C48&lt;=depr_length+1),$B$50*INDEX(MACRS_Table,MATCH(C48,recovery_year,0),MATCH($B$43,recovery_period,0)),"")))</f>
        <v>242231.38469665655</v>
      </c>
      <c r="D50" s="107">
        <f t="shared" ca="1" si="4"/>
        <v>415132.72296858777</v>
      </c>
      <c r="E50" s="107">
        <f t="shared" ca="1" si="4"/>
        <v>296474.94180157612</v>
      </c>
      <c r="F50" s="107">
        <f t="shared" ca="1" si="4"/>
        <v>211719.38382513926</v>
      </c>
      <c r="G50" s="107">
        <f t="shared" ca="1" si="4"/>
        <v>151373.42654591624</v>
      </c>
      <c r="H50" s="107">
        <f t="shared" ca="1" si="4"/>
        <v>151203.91542996335</v>
      </c>
      <c r="I50" s="107">
        <f t="shared" ca="1" si="4"/>
        <v>151373.42654591624</v>
      </c>
      <c r="J50" s="107">
        <f t="shared" ca="1" si="4"/>
        <v>75601.957714981676</v>
      </c>
      <c r="K50" s="107" t="str">
        <f t="shared" ca="1" si="4"/>
        <v/>
      </c>
      <c r="L50" s="107" t="str">
        <f t="shared" ca="1" si="4"/>
        <v/>
      </c>
      <c r="M50" s="107" t="str">
        <f t="shared" ca="1" si="4"/>
        <v/>
      </c>
      <c r="N50" s="107" t="str">
        <f t="shared" ca="1" si="4"/>
        <v/>
      </c>
      <c r="O50" s="107" t="str">
        <f t="shared" ca="1" si="4"/>
        <v/>
      </c>
      <c r="P50" s="107" t="str">
        <f t="shared" ca="1" si="4"/>
        <v/>
      </c>
      <c r="Q50" s="107" t="str">
        <f t="shared" ca="1" si="4"/>
        <v/>
      </c>
      <c r="R50" s="107" t="str">
        <f t="shared" ca="1" si="4"/>
        <v/>
      </c>
      <c r="S50" s="107" t="str">
        <f t="shared" ca="1" si="4"/>
        <v/>
      </c>
      <c r="T50" s="107" t="str">
        <f t="shared" ca="1" si="4"/>
        <v/>
      </c>
      <c r="U50" s="107" t="str">
        <f t="shared" ca="1" si="4"/>
        <v/>
      </c>
      <c r="V50" s="107" t="str">
        <f t="shared" ca="1" si="4"/>
        <v/>
      </c>
      <c r="W50" s="108" t="str">
        <f t="shared" ca="1" si="4"/>
        <v/>
      </c>
      <c r="X50" s="105">
        <f t="shared" ca="1" si="3"/>
        <v>1695111.1595287367</v>
      </c>
    </row>
    <row r="51" spans="1:24" ht="15" customHeight="1" x14ac:dyDescent="0.25">
      <c r="A51" s="73">
        <f>IF('Cash Flow Analysis'!C67="","",'Cash Flow Analysis'!C67)</f>
        <v>2</v>
      </c>
      <c r="B51" s="871">
        <f ca="1">IF(A51="","",IF(A51&lt;1,0,IF(A51=1,$B$44-'Cash Flow Analysis'!I67,-'Cash Flow Analysis'!I67)))</f>
        <v>0</v>
      </c>
      <c r="C51" s="106">
        <f t="shared" ref="C51:W51" ca="1" si="5">IF($B$51="","",IF(AND($B$42="Straight Line",C48&lt;=depr_length),$B$51/depr_length,IF(AND($B$42="MACRS",C48&lt;=depr_length+1),$B$51*INDEX(MACRS_Table,MATCH(C48,recovery_year,0),MATCH($B$43,recovery_period,0)),"")))</f>
        <v>0</v>
      </c>
      <c r="D51" s="107">
        <f t="shared" ca="1" si="5"/>
        <v>0</v>
      </c>
      <c r="E51" s="107">
        <f t="shared" ca="1" si="5"/>
        <v>0</v>
      </c>
      <c r="F51" s="107">
        <f t="shared" ca="1" si="5"/>
        <v>0</v>
      </c>
      <c r="G51" s="107">
        <f t="shared" ca="1" si="5"/>
        <v>0</v>
      </c>
      <c r="H51" s="107">
        <f t="shared" ca="1" si="5"/>
        <v>0</v>
      </c>
      <c r="I51" s="107">
        <f t="shared" ca="1" si="5"/>
        <v>0</v>
      </c>
      <c r="J51" s="107">
        <f t="shared" ca="1" si="5"/>
        <v>0</v>
      </c>
      <c r="K51" s="107" t="str">
        <f t="shared" ca="1" si="5"/>
        <v/>
      </c>
      <c r="L51" s="107" t="str">
        <f t="shared" ca="1" si="5"/>
        <v/>
      </c>
      <c r="M51" s="107" t="str">
        <f t="shared" ca="1" si="5"/>
        <v/>
      </c>
      <c r="N51" s="107" t="str">
        <f t="shared" ca="1" si="5"/>
        <v/>
      </c>
      <c r="O51" s="107" t="str">
        <f t="shared" ca="1" si="5"/>
        <v/>
      </c>
      <c r="P51" s="107" t="str">
        <f t="shared" ca="1" si="5"/>
        <v/>
      </c>
      <c r="Q51" s="107" t="str">
        <f t="shared" ca="1" si="5"/>
        <v/>
      </c>
      <c r="R51" s="107" t="str">
        <f t="shared" ca="1" si="5"/>
        <v/>
      </c>
      <c r="S51" s="107" t="str">
        <f t="shared" ca="1" si="5"/>
        <v/>
      </c>
      <c r="T51" s="107" t="str">
        <f t="shared" ca="1" si="5"/>
        <v/>
      </c>
      <c r="U51" s="107" t="str">
        <f t="shared" ca="1" si="5"/>
        <v/>
      </c>
      <c r="V51" s="107" t="str">
        <f t="shared" ca="1" si="5"/>
        <v/>
      </c>
      <c r="W51" s="108" t="str">
        <f t="shared" ca="1" si="5"/>
        <v/>
      </c>
      <c r="X51" s="105">
        <f t="shared" ca="1" si="3"/>
        <v>0</v>
      </c>
    </row>
    <row r="52" spans="1:24" ht="15" customHeight="1" x14ac:dyDescent="0.25">
      <c r="A52" s="73">
        <f>IF('Cash Flow Analysis'!C68="","",'Cash Flow Analysis'!C68)</f>
        <v>3</v>
      </c>
      <c r="B52" s="871">
        <f ca="1">IF(A52="","",IF(A52&lt;1,0,IF(A52=1,$B$44-'Cash Flow Analysis'!I68,-'Cash Flow Analysis'!I68)))</f>
        <v>0</v>
      </c>
      <c r="C52" s="106">
        <f t="shared" ref="C52:W52" ca="1" si="6">IF($B$52="","",IF(AND($B$42="Straight Line",C48&lt;=depr_length),$B$52/depr_length,IF(AND($B$42="MACRS",C48&lt;=depr_length+1),$B$52*INDEX(MACRS_Table,MATCH(C48,recovery_year,0),MATCH($B$43,recovery_period,0)),"")))</f>
        <v>0</v>
      </c>
      <c r="D52" s="107">
        <f t="shared" ca="1" si="6"/>
        <v>0</v>
      </c>
      <c r="E52" s="107">
        <f t="shared" ca="1" si="6"/>
        <v>0</v>
      </c>
      <c r="F52" s="107">
        <f t="shared" ca="1" si="6"/>
        <v>0</v>
      </c>
      <c r="G52" s="107">
        <f t="shared" ca="1" si="6"/>
        <v>0</v>
      </c>
      <c r="H52" s="107">
        <f t="shared" ca="1" si="6"/>
        <v>0</v>
      </c>
      <c r="I52" s="107">
        <f t="shared" ca="1" si="6"/>
        <v>0</v>
      </c>
      <c r="J52" s="107">
        <f t="shared" ca="1" si="6"/>
        <v>0</v>
      </c>
      <c r="K52" s="107" t="str">
        <f t="shared" ca="1" si="6"/>
        <v/>
      </c>
      <c r="L52" s="107" t="str">
        <f t="shared" ca="1" si="6"/>
        <v/>
      </c>
      <c r="M52" s="107" t="str">
        <f t="shared" ca="1" si="6"/>
        <v/>
      </c>
      <c r="N52" s="107" t="str">
        <f t="shared" ca="1" si="6"/>
        <v/>
      </c>
      <c r="O52" s="107" t="str">
        <f t="shared" ca="1" si="6"/>
        <v/>
      </c>
      <c r="P52" s="107" t="str">
        <f t="shared" ca="1" si="6"/>
        <v/>
      </c>
      <c r="Q52" s="107" t="str">
        <f t="shared" ca="1" si="6"/>
        <v/>
      </c>
      <c r="R52" s="107" t="str">
        <f t="shared" ca="1" si="6"/>
        <v/>
      </c>
      <c r="S52" s="107" t="str">
        <f t="shared" ca="1" si="6"/>
        <v/>
      </c>
      <c r="T52" s="107" t="str">
        <f t="shared" ca="1" si="6"/>
        <v/>
      </c>
      <c r="U52" s="107" t="str">
        <f t="shared" ca="1" si="6"/>
        <v/>
      </c>
      <c r="V52" s="107" t="str">
        <f t="shared" ca="1" si="6"/>
        <v/>
      </c>
      <c r="W52" s="108" t="str">
        <f t="shared" ca="1" si="6"/>
        <v/>
      </c>
      <c r="X52" s="105">
        <f t="shared" ca="1" si="3"/>
        <v>0</v>
      </c>
    </row>
    <row r="53" spans="1:24" ht="15" customHeight="1" x14ac:dyDescent="0.25">
      <c r="A53" s="73">
        <f>IF('Cash Flow Analysis'!C69="","",'Cash Flow Analysis'!C69)</f>
        <v>4</v>
      </c>
      <c r="B53" s="871">
        <f ca="1">IF(A53="","",IF(A53&lt;1,0,IF(A53=1,$B$44-'Cash Flow Analysis'!I69,-'Cash Flow Analysis'!I69)))</f>
        <v>0</v>
      </c>
      <c r="C53" s="106">
        <f t="shared" ref="C53:W53" ca="1" si="7">IF($B$53="","",IF(AND($B$42="Straight Line",C48&lt;=depr_length),$B$53/depr_length,IF(AND($B$42="MACRS",C48&lt;=depr_length+1),$B$53*INDEX(MACRS_Table,MATCH(C48,recovery_year,0),MATCH($B$43,recovery_period,0)),"")))</f>
        <v>0</v>
      </c>
      <c r="D53" s="107">
        <f t="shared" ca="1" si="7"/>
        <v>0</v>
      </c>
      <c r="E53" s="107">
        <f t="shared" ca="1" si="7"/>
        <v>0</v>
      </c>
      <c r="F53" s="107">
        <f t="shared" ca="1" si="7"/>
        <v>0</v>
      </c>
      <c r="G53" s="107">
        <f t="shared" ca="1" si="7"/>
        <v>0</v>
      </c>
      <c r="H53" s="107">
        <f t="shared" ca="1" si="7"/>
        <v>0</v>
      </c>
      <c r="I53" s="107">
        <f t="shared" ca="1" si="7"/>
        <v>0</v>
      </c>
      <c r="J53" s="107">
        <f t="shared" ca="1" si="7"/>
        <v>0</v>
      </c>
      <c r="K53" s="107" t="str">
        <f t="shared" ca="1" si="7"/>
        <v/>
      </c>
      <c r="L53" s="107" t="str">
        <f t="shared" ca="1" si="7"/>
        <v/>
      </c>
      <c r="M53" s="107" t="str">
        <f t="shared" ca="1" si="7"/>
        <v/>
      </c>
      <c r="N53" s="107" t="str">
        <f t="shared" ca="1" si="7"/>
        <v/>
      </c>
      <c r="O53" s="107" t="str">
        <f t="shared" ca="1" si="7"/>
        <v/>
      </c>
      <c r="P53" s="107" t="str">
        <f t="shared" ca="1" si="7"/>
        <v/>
      </c>
      <c r="Q53" s="107" t="str">
        <f t="shared" ca="1" si="7"/>
        <v/>
      </c>
      <c r="R53" s="107" t="str">
        <f t="shared" ca="1" si="7"/>
        <v/>
      </c>
      <c r="S53" s="107" t="str">
        <f t="shared" ca="1" si="7"/>
        <v/>
      </c>
      <c r="T53" s="107" t="str">
        <f t="shared" ca="1" si="7"/>
        <v/>
      </c>
      <c r="U53" s="107" t="str">
        <f t="shared" ca="1" si="7"/>
        <v/>
      </c>
      <c r="V53" s="107" t="str">
        <f t="shared" ca="1" si="7"/>
        <v/>
      </c>
      <c r="W53" s="108" t="str">
        <f t="shared" ca="1" si="7"/>
        <v/>
      </c>
      <c r="X53" s="105">
        <f t="shared" ca="1" si="3"/>
        <v>0</v>
      </c>
    </row>
    <row r="54" spans="1:24" ht="15" customHeight="1" x14ac:dyDescent="0.25">
      <c r="A54" s="73">
        <f>IF('Cash Flow Analysis'!C70="","",'Cash Flow Analysis'!C70)</f>
        <v>5</v>
      </c>
      <c r="B54" s="871">
        <f ca="1">IF(A54="","",IF(A54&lt;1,0,IF(A54=1,$B$44-'Cash Flow Analysis'!I70,-'Cash Flow Analysis'!I70)))</f>
        <v>0</v>
      </c>
      <c r="C54" s="106">
        <f t="shared" ref="C54:W54" ca="1" si="8">IF($B$54="","",IF(AND($B$42="Straight Line",C48&lt;=depr_length),$B$54/depr_length,IF(AND($B$42="MACRS",C48&lt;=depr_length+1),$B$54*INDEX(MACRS_Table,MATCH(C48,recovery_year,0),MATCH($B$43,recovery_period,0)),"")))</f>
        <v>0</v>
      </c>
      <c r="D54" s="107">
        <f t="shared" ca="1" si="8"/>
        <v>0</v>
      </c>
      <c r="E54" s="107">
        <f t="shared" ca="1" si="8"/>
        <v>0</v>
      </c>
      <c r="F54" s="107">
        <f t="shared" ca="1" si="8"/>
        <v>0</v>
      </c>
      <c r="G54" s="107">
        <f t="shared" ca="1" si="8"/>
        <v>0</v>
      </c>
      <c r="H54" s="107">
        <f t="shared" ca="1" si="8"/>
        <v>0</v>
      </c>
      <c r="I54" s="107">
        <f t="shared" ca="1" si="8"/>
        <v>0</v>
      </c>
      <c r="J54" s="107">
        <f t="shared" ca="1" si="8"/>
        <v>0</v>
      </c>
      <c r="K54" s="107" t="str">
        <f t="shared" ca="1" si="8"/>
        <v/>
      </c>
      <c r="L54" s="107" t="str">
        <f t="shared" ca="1" si="8"/>
        <v/>
      </c>
      <c r="M54" s="107" t="str">
        <f t="shared" ca="1" si="8"/>
        <v/>
      </c>
      <c r="N54" s="107" t="str">
        <f t="shared" ca="1" si="8"/>
        <v/>
      </c>
      <c r="O54" s="107" t="str">
        <f t="shared" ca="1" si="8"/>
        <v/>
      </c>
      <c r="P54" s="107" t="str">
        <f t="shared" ca="1" si="8"/>
        <v/>
      </c>
      <c r="Q54" s="107" t="str">
        <f t="shared" ca="1" si="8"/>
        <v/>
      </c>
      <c r="R54" s="107" t="str">
        <f t="shared" ca="1" si="8"/>
        <v/>
      </c>
      <c r="S54" s="107" t="str">
        <f t="shared" ca="1" si="8"/>
        <v/>
      </c>
      <c r="T54" s="107" t="str">
        <f t="shared" ca="1" si="8"/>
        <v/>
      </c>
      <c r="U54" s="107" t="str">
        <f t="shared" ca="1" si="8"/>
        <v/>
      </c>
      <c r="V54" s="107" t="str">
        <f t="shared" ca="1" si="8"/>
        <v/>
      </c>
      <c r="W54" s="108" t="str">
        <f t="shared" ca="1" si="8"/>
        <v/>
      </c>
      <c r="X54" s="105">
        <f t="shared" ca="1" si="3"/>
        <v>0</v>
      </c>
    </row>
    <row r="55" spans="1:24" ht="15" customHeight="1" x14ac:dyDescent="0.25">
      <c r="A55" s="73">
        <f>IF('Cash Flow Analysis'!C71="","",'Cash Flow Analysis'!C71)</f>
        <v>6</v>
      </c>
      <c r="B55" s="871">
        <f ca="1">IF(A55="","",IF(A55&lt;1,0,IF(A55=1,$B$44-'Cash Flow Analysis'!I71,-'Cash Flow Analysis'!I71)))</f>
        <v>200171.13723500582</v>
      </c>
      <c r="C55" s="106">
        <f t="shared" ref="C55:W55" ca="1" si="9">IF($B$55="","",IF(AND($B$42="Straight Line",C48&lt;=depr_length),$B$55/depr_length,IF(AND($B$42="MACRS",C48&lt;=depr_length+1),$B$55*INDEX(MACRS_Table,MATCH(C48,recovery_year,0),MATCH($B$43,recovery_period,0)),"")))</f>
        <v>28604.455510882333</v>
      </c>
      <c r="D55" s="107">
        <f t="shared" ca="1" si="9"/>
        <v>49021.911508852929</v>
      </c>
      <c r="E55" s="107">
        <f t="shared" ca="1" si="9"/>
        <v>35009.931902402517</v>
      </c>
      <c r="F55" s="107">
        <f t="shared" ca="1" si="9"/>
        <v>25001.375040652227</v>
      </c>
      <c r="G55" s="107">
        <f t="shared" ca="1" si="9"/>
        <v>17875.282555086022</v>
      </c>
      <c r="H55" s="107">
        <f t="shared" ca="1" si="9"/>
        <v>17855.265441362521</v>
      </c>
      <c r="I55" s="107">
        <f t="shared" ca="1" si="9"/>
        <v>17875.282555086022</v>
      </c>
      <c r="J55" s="107">
        <f t="shared" ca="1" si="9"/>
        <v>8927.6327206812603</v>
      </c>
      <c r="K55" s="107" t="str">
        <f t="shared" ca="1" si="9"/>
        <v/>
      </c>
      <c r="L55" s="107" t="str">
        <f t="shared" ca="1" si="9"/>
        <v/>
      </c>
      <c r="M55" s="107" t="str">
        <f t="shared" ca="1" si="9"/>
        <v/>
      </c>
      <c r="N55" s="107" t="str">
        <f t="shared" ca="1" si="9"/>
        <v/>
      </c>
      <c r="O55" s="107" t="str">
        <f t="shared" ca="1" si="9"/>
        <v/>
      </c>
      <c r="P55" s="107" t="str">
        <f t="shared" ca="1" si="9"/>
        <v/>
      </c>
      <c r="Q55" s="107" t="str">
        <f t="shared" ca="1" si="9"/>
        <v/>
      </c>
      <c r="R55" s="107" t="str">
        <f t="shared" ca="1" si="9"/>
        <v/>
      </c>
      <c r="S55" s="107" t="str">
        <f t="shared" ca="1" si="9"/>
        <v/>
      </c>
      <c r="T55" s="107" t="str">
        <f t="shared" ca="1" si="9"/>
        <v/>
      </c>
      <c r="U55" s="107" t="str">
        <f t="shared" ca="1" si="9"/>
        <v/>
      </c>
      <c r="V55" s="107" t="str">
        <f t="shared" ca="1" si="9"/>
        <v/>
      </c>
      <c r="W55" s="108" t="str">
        <f t="shared" ca="1" si="9"/>
        <v/>
      </c>
      <c r="X55" s="105">
        <f t="shared" ca="1" si="3"/>
        <v>200171.13723500579</v>
      </c>
    </row>
    <row r="56" spans="1:24" ht="15" customHeight="1" x14ac:dyDescent="0.25">
      <c r="A56" s="73">
        <f>IF('Cash Flow Analysis'!C72="","",'Cash Flow Analysis'!C72)</f>
        <v>7</v>
      </c>
      <c r="B56" s="871">
        <f ca="1">IF(A56="","",IF(A56&lt;1,0,IF(A56=1,$B$44-'Cash Flow Analysis'!I72,-'Cash Flow Analysis'!I72)))</f>
        <v>0</v>
      </c>
      <c r="C56" s="106">
        <f t="shared" ref="C56:W56" ca="1" si="10">IF($B$56="","",IF(AND($B$42="Straight Line",C48&lt;=depr_length),$B$56/depr_length,IF(AND($B$42="MACRS",C48&lt;=depr_length+1),$B$56*INDEX(MACRS_Table,MATCH(C48,recovery_year,0),MATCH($B$43,recovery_period,0)),"")))</f>
        <v>0</v>
      </c>
      <c r="D56" s="107">
        <f t="shared" ca="1" si="10"/>
        <v>0</v>
      </c>
      <c r="E56" s="107">
        <f t="shared" ca="1" si="10"/>
        <v>0</v>
      </c>
      <c r="F56" s="107">
        <f t="shared" ca="1" si="10"/>
        <v>0</v>
      </c>
      <c r="G56" s="107">
        <f t="shared" ca="1" si="10"/>
        <v>0</v>
      </c>
      <c r="H56" s="107">
        <f t="shared" ca="1" si="10"/>
        <v>0</v>
      </c>
      <c r="I56" s="107">
        <f t="shared" ca="1" si="10"/>
        <v>0</v>
      </c>
      <c r="J56" s="107">
        <f t="shared" ca="1" si="10"/>
        <v>0</v>
      </c>
      <c r="K56" s="107" t="str">
        <f t="shared" ca="1" si="10"/>
        <v/>
      </c>
      <c r="L56" s="107" t="str">
        <f t="shared" ca="1" si="10"/>
        <v/>
      </c>
      <c r="M56" s="107" t="str">
        <f t="shared" ca="1" si="10"/>
        <v/>
      </c>
      <c r="N56" s="107" t="str">
        <f t="shared" ca="1" si="10"/>
        <v/>
      </c>
      <c r="O56" s="107" t="str">
        <f t="shared" ca="1" si="10"/>
        <v/>
      </c>
      <c r="P56" s="107" t="str">
        <f t="shared" ca="1" si="10"/>
        <v/>
      </c>
      <c r="Q56" s="107" t="str">
        <f t="shared" ca="1" si="10"/>
        <v/>
      </c>
      <c r="R56" s="107" t="str">
        <f t="shared" ca="1" si="10"/>
        <v/>
      </c>
      <c r="S56" s="107" t="str">
        <f t="shared" ca="1" si="10"/>
        <v/>
      </c>
      <c r="T56" s="107" t="str">
        <f t="shared" ca="1" si="10"/>
        <v/>
      </c>
      <c r="U56" s="107" t="str">
        <f t="shared" ca="1" si="10"/>
        <v/>
      </c>
      <c r="V56" s="107" t="str">
        <f t="shared" ca="1" si="10"/>
        <v/>
      </c>
      <c r="W56" s="108" t="str">
        <f t="shared" ca="1" si="10"/>
        <v/>
      </c>
      <c r="X56" s="105">
        <f t="shared" ca="1" si="3"/>
        <v>0</v>
      </c>
    </row>
    <row r="57" spans="1:24" ht="15" customHeight="1" x14ac:dyDescent="0.25">
      <c r="A57" s="73">
        <f>IF('Cash Flow Analysis'!C73="","",'Cash Flow Analysis'!C73)</f>
        <v>8</v>
      </c>
      <c r="B57" s="871">
        <f ca="1">IF(A57="","",IF(A57&lt;1,0,IF(A57=1,$B$44-'Cash Flow Analysis'!I73,-'Cash Flow Analysis'!I73)))</f>
        <v>0</v>
      </c>
      <c r="C57" s="106">
        <f t="shared" ref="C57:W57" ca="1" si="11">IF($B$57="","",IF(AND($B$42="Straight Line",C48&lt;=depr_length),$B$57/depr_length,IF(AND($B$42="MACRS",C48&lt;=depr_length+1),$B$57*INDEX(MACRS_Table,MATCH(C48,recovery_year,0),MATCH($B$43,recovery_period,0)),"")))</f>
        <v>0</v>
      </c>
      <c r="D57" s="107">
        <f t="shared" ca="1" si="11"/>
        <v>0</v>
      </c>
      <c r="E57" s="107">
        <f t="shared" ca="1" si="11"/>
        <v>0</v>
      </c>
      <c r="F57" s="107">
        <f t="shared" ca="1" si="11"/>
        <v>0</v>
      </c>
      <c r="G57" s="107">
        <f t="shared" ca="1" si="11"/>
        <v>0</v>
      </c>
      <c r="H57" s="107">
        <f t="shared" ca="1" si="11"/>
        <v>0</v>
      </c>
      <c r="I57" s="107">
        <f t="shared" ca="1" si="11"/>
        <v>0</v>
      </c>
      <c r="J57" s="107">
        <f t="shared" ca="1" si="11"/>
        <v>0</v>
      </c>
      <c r="K57" s="107" t="str">
        <f t="shared" ca="1" si="11"/>
        <v/>
      </c>
      <c r="L57" s="107" t="str">
        <f t="shared" ca="1" si="11"/>
        <v/>
      </c>
      <c r="M57" s="107" t="str">
        <f t="shared" ca="1" si="11"/>
        <v/>
      </c>
      <c r="N57" s="107" t="str">
        <f t="shared" ca="1" si="11"/>
        <v/>
      </c>
      <c r="O57" s="107" t="str">
        <f t="shared" ca="1" si="11"/>
        <v/>
      </c>
      <c r="P57" s="107" t="str">
        <f t="shared" ca="1" si="11"/>
        <v/>
      </c>
      <c r="Q57" s="107" t="str">
        <f t="shared" ca="1" si="11"/>
        <v/>
      </c>
      <c r="R57" s="107" t="str">
        <f t="shared" ca="1" si="11"/>
        <v/>
      </c>
      <c r="S57" s="107" t="str">
        <f t="shared" ca="1" si="11"/>
        <v/>
      </c>
      <c r="T57" s="107" t="str">
        <f t="shared" ca="1" si="11"/>
        <v/>
      </c>
      <c r="U57" s="107" t="str">
        <f t="shared" ca="1" si="11"/>
        <v/>
      </c>
      <c r="V57" s="107" t="str">
        <f t="shared" ca="1" si="11"/>
        <v/>
      </c>
      <c r="W57" s="108" t="str">
        <f t="shared" ca="1" si="11"/>
        <v/>
      </c>
      <c r="X57" s="105">
        <f t="shared" ca="1" si="3"/>
        <v>0</v>
      </c>
    </row>
    <row r="58" spans="1:24" ht="15" customHeight="1" x14ac:dyDescent="0.25">
      <c r="A58" s="73">
        <f>IF('Cash Flow Analysis'!C74="","",'Cash Flow Analysis'!C74)</f>
        <v>9</v>
      </c>
      <c r="B58" s="871">
        <f ca="1">IF(A58="","",IF(A58&lt;1,0,IF(A58=1,$B$44-'Cash Flow Analysis'!I74,-'Cash Flow Analysis'!I74)))</f>
        <v>0</v>
      </c>
      <c r="C58" s="106">
        <f t="shared" ref="C58:W58" ca="1" si="12">IF($B$58="","",IF(AND($B$42="Straight Line",C48&lt;=depr_length),$B$58/depr_length,IF(AND($B$42="MACRS",C48&lt;=depr_length+1),$B$58*INDEX(MACRS_Table,MATCH(C48,recovery_year,0),MATCH($B$43,recovery_period,0)),"")))</f>
        <v>0</v>
      </c>
      <c r="D58" s="107">
        <f t="shared" ca="1" si="12"/>
        <v>0</v>
      </c>
      <c r="E58" s="107">
        <f t="shared" ca="1" si="12"/>
        <v>0</v>
      </c>
      <c r="F58" s="107">
        <f t="shared" ca="1" si="12"/>
        <v>0</v>
      </c>
      <c r="G58" s="107">
        <f t="shared" ca="1" si="12"/>
        <v>0</v>
      </c>
      <c r="H58" s="107">
        <f t="shared" ca="1" si="12"/>
        <v>0</v>
      </c>
      <c r="I58" s="107">
        <f t="shared" ca="1" si="12"/>
        <v>0</v>
      </c>
      <c r="J58" s="107">
        <f t="shared" ca="1" si="12"/>
        <v>0</v>
      </c>
      <c r="K58" s="107" t="str">
        <f t="shared" ca="1" si="12"/>
        <v/>
      </c>
      <c r="L58" s="107" t="str">
        <f t="shared" ca="1" si="12"/>
        <v/>
      </c>
      <c r="M58" s="107" t="str">
        <f t="shared" ca="1" si="12"/>
        <v/>
      </c>
      <c r="N58" s="107" t="str">
        <f t="shared" ca="1" si="12"/>
        <v/>
      </c>
      <c r="O58" s="107" t="str">
        <f t="shared" ca="1" si="12"/>
        <v/>
      </c>
      <c r="P58" s="107" t="str">
        <f t="shared" ca="1" si="12"/>
        <v/>
      </c>
      <c r="Q58" s="107" t="str">
        <f t="shared" ca="1" si="12"/>
        <v/>
      </c>
      <c r="R58" s="107" t="str">
        <f t="shared" ca="1" si="12"/>
        <v/>
      </c>
      <c r="S58" s="107" t="str">
        <f t="shared" ca="1" si="12"/>
        <v/>
      </c>
      <c r="T58" s="107" t="str">
        <f t="shared" ca="1" si="12"/>
        <v/>
      </c>
      <c r="U58" s="107" t="str">
        <f t="shared" ca="1" si="12"/>
        <v/>
      </c>
      <c r="V58" s="107" t="str">
        <f t="shared" ca="1" si="12"/>
        <v/>
      </c>
      <c r="W58" s="108" t="str">
        <f t="shared" ca="1" si="12"/>
        <v/>
      </c>
      <c r="X58" s="105">
        <f t="shared" ca="1" si="3"/>
        <v>0</v>
      </c>
    </row>
    <row r="59" spans="1:24" ht="15" customHeight="1" x14ac:dyDescent="0.25">
      <c r="A59" s="73">
        <f>IF('Cash Flow Analysis'!C75="","",'Cash Flow Analysis'!C75)</f>
        <v>10</v>
      </c>
      <c r="B59" s="871">
        <f ca="1">IF(A59="","",IF(A59&lt;1,0,IF(A59=1,$B$44-'Cash Flow Analysis'!I75,-'Cash Flow Analysis'!I75)))</f>
        <v>0</v>
      </c>
      <c r="C59" s="106">
        <f t="shared" ref="C59:W59" ca="1" si="13">IF($B$59="","",IF(AND($B$42="Straight Line",C48&lt;=depr_length),$B$59/depr_length,IF(AND($B$42="MACRS",C48&lt;=depr_length+1),$B$59*INDEX(MACRS_Table,MATCH(C48,recovery_year,0),MATCH($B$43,recovery_period,0)),"")))</f>
        <v>0</v>
      </c>
      <c r="D59" s="107">
        <f t="shared" ca="1" si="13"/>
        <v>0</v>
      </c>
      <c r="E59" s="107">
        <f t="shared" ca="1" si="13"/>
        <v>0</v>
      </c>
      <c r="F59" s="107">
        <f t="shared" ca="1" si="13"/>
        <v>0</v>
      </c>
      <c r="G59" s="107">
        <f t="shared" ca="1" si="13"/>
        <v>0</v>
      </c>
      <c r="H59" s="107">
        <f t="shared" ca="1" si="13"/>
        <v>0</v>
      </c>
      <c r="I59" s="107">
        <f t="shared" ca="1" si="13"/>
        <v>0</v>
      </c>
      <c r="J59" s="107">
        <f t="shared" ca="1" si="13"/>
        <v>0</v>
      </c>
      <c r="K59" s="107" t="str">
        <f t="shared" ca="1" si="13"/>
        <v/>
      </c>
      <c r="L59" s="107" t="str">
        <f t="shared" ca="1" si="13"/>
        <v/>
      </c>
      <c r="M59" s="107" t="str">
        <f t="shared" ca="1" si="13"/>
        <v/>
      </c>
      <c r="N59" s="107" t="str">
        <f t="shared" ca="1" si="13"/>
        <v/>
      </c>
      <c r="O59" s="107" t="str">
        <f t="shared" ca="1" si="13"/>
        <v/>
      </c>
      <c r="P59" s="107" t="str">
        <f t="shared" ca="1" si="13"/>
        <v/>
      </c>
      <c r="Q59" s="107" t="str">
        <f t="shared" ca="1" si="13"/>
        <v/>
      </c>
      <c r="R59" s="107" t="str">
        <f t="shared" ca="1" si="13"/>
        <v/>
      </c>
      <c r="S59" s="107" t="str">
        <f t="shared" ca="1" si="13"/>
        <v/>
      </c>
      <c r="T59" s="107" t="str">
        <f t="shared" ca="1" si="13"/>
        <v/>
      </c>
      <c r="U59" s="107" t="str">
        <f t="shared" ca="1" si="13"/>
        <v/>
      </c>
      <c r="V59" s="107" t="str">
        <f t="shared" ca="1" si="13"/>
        <v/>
      </c>
      <c r="W59" s="108" t="str">
        <f t="shared" ca="1" si="13"/>
        <v/>
      </c>
      <c r="X59" s="105">
        <f t="shared" ca="1" si="3"/>
        <v>0</v>
      </c>
    </row>
    <row r="60" spans="1:24" ht="15" customHeight="1" x14ac:dyDescent="0.25">
      <c r="A60" s="73">
        <f>IF('Cash Flow Analysis'!C76="","",'Cash Flow Analysis'!C76)</f>
        <v>11</v>
      </c>
      <c r="B60" s="871">
        <f ca="1">IF(A60="","",IF(A60&lt;1,0,IF(A60=1,$B$44-'Cash Flow Analysis'!I76,-'Cash Flow Analysis'!I76)))</f>
        <v>733079.57914736692</v>
      </c>
      <c r="C60" s="106">
        <f t="shared" ref="C60:W60" ca="1" si="14">IF($B$60="","",IF(AND($B$42="Straight Line",C48&lt;=depr_length),$B$60/depr_length,IF(AND($B$42="MACRS",C48&lt;=depr_length+1),$B$60*INDEX(MACRS_Table,MATCH(C48,recovery_year,0),MATCH($B$43,recovery_period,0)),"")))</f>
        <v>104757.07186015873</v>
      </c>
      <c r="D60" s="107">
        <f t="shared" ca="1" si="14"/>
        <v>179531.18893319016</v>
      </c>
      <c r="E60" s="107">
        <f t="shared" ca="1" si="14"/>
        <v>128215.61839287447</v>
      </c>
      <c r="F60" s="107">
        <f t="shared" ca="1" si="14"/>
        <v>91561.63943550612</v>
      </c>
      <c r="G60" s="107">
        <f t="shared" ca="1" si="14"/>
        <v>65464.00641785987</v>
      </c>
      <c r="H60" s="107">
        <f t="shared" ca="1" si="14"/>
        <v>65390.698459945132</v>
      </c>
      <c r="I60" s="107">
        <f t="shared" ca="1" si="14"/>
        <v>65464.00641785987</v>
      </c>
      <c r="J60" s="107">
        <f t="shared" ca="1" si="14"/>
        <v>32695.349229972566</v>
      </c>
      <c r="K60" s="107" t="str">
        <f t="shared" ca="1" si="14"/>
        <v/>
      </c>
      <c r="L60" s="107" t="str">
        <f t="shared" ca="1" si="14"/>
        <v/>
      </c>
      <c r="M60" s="107" t="str">
        <f t="shared" ca="1" si="14"/>
        <v/>
      </c>
      <c r="N60" s="107" t="str">
        <f t="shared" ca="1" si="14"/>
        <v/>
      </c>
      <c r="O60" s="107" t="str">
        <f t="shared" ca="1" si="14"/>
        <v/>
      </c>
      <c r="P60" s="107" t="str">
        <f t="shared" ca="1" si="14"/>
        <v/>
      </c>
      <c r="Q60" s="107" t="str">
        <f t="shared" ca="1" si="14"/>
        <v/>
      </c>
      <c r="R60" s="107" t="str">
        <f t="shared" ca="1" si="14"/>
        <v/>
      </c>
      <c r="S60" s="107" t="str">
        <f t="shared" ca="1" si="14"/>
        <v/>
      </c>
      <c r="T60" s="107" t="str">
        <f t="shared" ca="1" si="14"/>
        <v/>
      </c>
      <c r="U60" s="107" t="str">
        <f t="shared" ca="1" si="14"/>
        <v/>
      </c>
      <c r="V60" s="107" t="str">
        <f t="shared" ca="1" si="14"/>
        <v/>
      </c>
      <c r="W60" s="108" t="str">
        <f t="shared" ca="1" si="14"/>
        <v/>
      </c>
      <c r="X60" s="105">
        <f t="shared" ca="1" si="3"/>
        <v>733079.57914736704</v>
      </c>
    </row>
    <row r="61" spans="1:24" ht="15" customHeight="1" x14ac:dyDescent="0.25">
      <c r="A61" s="73">
        <f>IF('Cash Flow Analysis'!C77="","",'Cash Flow Analysis'!C77)</f>
        <v>12</v>
      </c>
      <c r="B61" s="871">
        <f ca="1">IF(A61="","",IF(A61&lt;1,0,IF(A61=1,$B$44-'Cash Flow Analysis'!I77,-'Cash Flow Analysis'!I77)))</f>
        <v>0</v>
      </c>
      <c r="C61" s="106">
        <f t="shared" ref="C61:W61" ca="1" si="15">IF($B$61="","",IF(AND($B$42="Straight Line",C48&lt;=depr_length),$B$61/depr_length,IF(AND($B$42="MACRS",C48&lt;=depr_length+1),$B$61*INDEX(MACRS_Table,MATCH(C48,recovery_year,0),MATCH($B$43,recovery_period,0)),"")))</f>
        <v>0</v>
      </c>
      <c r="D61" s="107">
        <f t="shared" ca="1" si="15"/>
        <v>0</v>
      </c>
      <c r="E61" s="107">
        <f t="shared" ca="1" si="15"/>
        <v>0</v>
      </c>
      <c r="F61" s="107">
        <f t="shared" ca="1" si="15"/>
        <v>0</v>
      </c>
      <c r="G61" s="107">
        <f t="shared" ca="1" si="15"/>
        <v>0</v>
      </c>
      <c r="H61" s="107">
        <f t="shared" ca="1" si="15"/>
        <v>0</v>
      </c>
      <c r="I61" s="107">
        <f t="shared" ca="1" si="15"/>
        <v>0</v>
      </c>
      <c r="J61" s="107">
        <f t="shared" ca="1" si="15"/>
        <v>0</v>
      </c>
      <c r="K61" s="107" t="str">
        <f t="shared" ca="1" si="15"/>
        <v/>
      </c>
      <c r="L61" s="107" t="str">
        <f t="shared" ca="1" si="15"/>
        <v/>
      </c>
      <c r="M61" s="107" t="str">
        <f t="shared" ca="1" si="15"/>
        <v/>
      </c>
      <c r="N61" s="107" t="str">
        <f t="shared" ca="1" si="15"/>
        <v/>
      </c>
      <c r="O61" s="107" t="str">
        <f t="shared" ca="1" si="15"/>
        <v/>
      </c>
      <c r="P61" s="107" t="str">
        <f t="shared" ca="1" si="15"/>
        <v/>
      </c>
      <c r="Q61" s="107" t="str">
        <f t="shared" ca="1" si="15"/>
        <v/>
      </c>
      <c r="R61" s="107" t="str">
        <f t="shared" ca="1" si="15"/>
        <v/>
      </c>
      <c r="S61" s="107" t="str">
        <f t="shared" ca="1" si="15"/>
        <v/>
      </c>
      <c r="T61" s="107" t="str">
        <f t="shared" ca="1" si="15"/>
        <v/>
      </c>
      <c r="U61" s="107" t="str">
        <f t="shared" ca="1" si="15"/>
        <v/>
      </c>
      <c r="V61" s="107" t="str">
        <f t="shared" ca="1" si="15"/>
        <v/>
      </c>
      <c r="W61" s="108" t="str">
        <f t="shared" ca="1" si="15"/>
        <v/>
      </c>
      <c r="X61" s="105">
        <f t="shared" ca="1" si="3"/>
        <v>0</v>
      </c>
    </row>
    <row r="62" spans="1:24" ht="15" customHeight="1" x14ac:dyDescent="0.25">
      <c r="A62" s="73">
        <f>IF('Cash Flow Analysis'!C78="","",'Cash Flow Analysis'!C78)</f>
        <v>13</v>
      </c>
      <c r="B62" s="871">
        <f ca="1">IF(A62="","",IF(A62&lt;1,0,IF(A62=1,$B$44-'Cash Flow Analysis'!I78,-'Cash Flow Analysis'!I78)))</f>
        <v>0</v>
      </c>
      <c r="C62" s="106">
        <f t="shared" ref="C62:W62" ca="1" si="16">IF($B$62="","",IF(AND($B$42="Straight Line",C48&lt;=depr_length),$B$62/depr_length,IF(AND($B$42="MACRS",C48&lt;=depr_length+1),$B$62*INDEX(MACRS_Table,MATCH(C48,recovery_year,0),MATCH($B$43,recovery_period,0)),"")))</f>
        <v>0</v>
      </c>
      <c r="D62" s="107">
        <f t="shared" ca="1" si="16"/>
        <v>0</v>
      </c>
      <c r="E62" s="107">
        <f t="shared" ca="1" si="16"/>
        <v>0</v>
      </c>
      <c r="F62" s="107">
        <f t="shared" ca="1" si="16"/>
        <v>0</v>
      </c>
      <c r="G62" s="107">
        <f t="shared" ca="1" si="16"/>
        <v>0</v>
      </c>
      <c r="H62" s="107">
        <f t="shared" ca="1" si="16"/>
        <v>0</v>
      </c>
      <c r="I62" s="107">
        <f t="shared" ca="1" si="16"/>
        <v>0</v>
      </c>
      <c r="J62" s="107">
        <f t="shared" ca="1" si="16"/>
        <v>0</v>
      </c>
      <c r="K62" s="107" t="str">
        <f t="shared" ca="1" si="16"/>
        <v/>
      </c>
      <c r="L62" s="107" t="str">
        <f t="shared" ca="1" si="16"/>
        <v/>
      </c>
      <c r="M62" s="107" t="str">
        <f t="shared" ca="1" si="16"/>
        <v/>
      </c>
      <c r="N62" s="107" t="str">
        <f t="shared" ca="1" si="16"/>
        <v/>
      </c>
      <c r="O62" s="107" t="str">
        <f t="shared" ca="1" si="16"/>
        <v/>
      </c>
      <c r="P62" s="107" t="str">
        <f t="shared" ca="1" si="16"/>
        <v/>
      </c>
      <c r="Q62" s="107" t="str">
        <f t="shared" ca="1" si="16"/>
        <v/>
      </c>
      <c r="R62" s="107" t="str">
        <f t="shared" ca="1" si="16"/>
        <v/>
      </c>
      <c r="S62" s="107" t="str">
        <f t="shared" ca="1" si="16"/>
        <v/>
      </c>
      <c r="T62" s="107" t="str">
        <f t="shared" ca="1" si="16"/>
        <v/>
      </c>
      <c r="U62" s="107" t="str">
        <f t="shared" ca="1" si="16"/>
        <v/>
      </c>
      <c r="V62" s="107" t="str">
        <f t="shared" ca="1" si="16"/>
        <v/>
      </c>
      <c r="W62" s="108" t="str">
        <f t="shared" ca="1" si="16"/>
        <v/>
      </c>
      <c r="X62" s="105">
        <f t="shared" ca="1" si="3"/>
        <v>0</v>
      </c>
    </row>
    <row r="63" spans="1:24" ht="15" customHeight="1" x14ac:dyDescent="0.25">
      <c r="A63" s="73">
        <f>IF('Cash Flow Analysis'!C79="","",'Cash Flow Analysis'!C79)</f>
        <v>14</v>
      </c>
      <c r="B63" s="871">
        <f ca="1">IF(A63="","",IF(A63&lt;1,0,IF(A63=1,$B$44-'Cash Flow Analysis'!I79,-'Cash Flow Analysis'!I79)))</f>
        <v>0</v>
      </c>
      <c r="C63" s="106">
        <f t="shared" ref="C63:W63" ca="1" si="17">IF($B$63="","",IF(AND($B$42="Straight Line",C48&lt;=depr_length),$B$63/depr_length,IF(AND($B$42="MACRS",C48&lt;=depr_length+1),$B$63*INDEX(MACRS_Table,MATCH(C48,recovery_year,0),MATCH($B$43,recovery_period,0)),"")))</f>
        <v>0</v>
      </c>
      <c r="D63" s="107">
        <f t="shared" ca="1" si="17"/>
        <v>0</v>
      </c>
      <c r="E63" s="107">
        <f t="shared" ca="1" si="17"/>
        <v>0</v>
      </c>
      <c r="F63" s="107">
        <f t="shared" ca="1" si="17"/>
        <v>0</v>
      </c>
      <c r="G63" s="107">
        <f t="shared" ca="1" si="17"/>
        <v>0</v>
      </c>
      <c r="H63" s="107">
        <f t="shared" ca="1" si="17"/>
        <v>0</v>
      </c>
      <c r="I63" s="107">
        <f t="shared" ca="1" si="17"/>
        <v>0</v>
      </c>
      <c r="J63" s="107">
        <f t="shared" ca="1" si="17"/>
        <v>0</v>
      </c>
      <c r="K63" s="107" t="str">
        <f t="shared" ca="1" si="17"/>
        <v/>
      </c>
      <c r="L63" s="107" t="str">
        <f t="shared" ca="1" si="17"/>
        <v/>
      </c>
      <c r="M63" s="107" t="str">
        <f t="shared" ca="1" si="17"/>
        <v/>
      </c>
      <c r="N63" s="107" t="str">
        <f t="shared" ca="1" si="17"/>
        <v/>
      </c>
      <c r="O63" s="107" t="str">
        <f t="shared" ca="1" si="17"/>
        <v/>
      </c>
      <c r="P63" s="107" t="str">
        <f t="shared" ca="1" si="17"/>
        <v/>
      </c>
      <c r="Q63" s="107" t="str">
        <f t="shared" ca="1" si="17"/>
        <v/>
      </c>
      <c r="R63" s="107" t="str">
        <f t="shared" ca="1" si="17"/>
        <v/>
      </c>
      <c r="S63" s="107" t="str">
        <f t="shared" ca="1" si="17"/>
        <v/>
      </c>
      <c r="T63" s="107" t="str">
        <f t="shared" ca="1" si="17"/>
        <v/>
      </c>
      <c r="U63" s="107" t="str">
        <f t="shared" ca="1" si="17"/>
        <v/>
      </c>
      <c r="V63" s="107" t="str">
        <f t="shared" ca="1" si="17"/>
        <v/>
      </c>
      <c r="W63" s="108" t="str">
        <f t="shared" ca="1" si="17"/>
        <v/>
      </c>
      <c r="X63" s="105">
        <f t="shared" ca="1" si="3"/>
        <v>0</v>
      </c>
    </row>
    <row r="64" spans="1:24" ht="15" customHeight="1" x14ac:dyDescent="0.25">
      <c r="A64" s="73">
        <f>IF('Cash Flow Analysis'!C80="","",'Cash Flow Analysis'!C80)</f>
        <v>15</v>
      </c>
      <c r="B64" s="871">
        <f ca="1">IF(A64="","",IF(A64&lt;1,0,IF(A64=1,$B$44-'Cash Flow Analysis'!I80,-'Cash Flow Analysis'!I80)))</f>
        <v>0</v>
      </c>
      <c r="C64" s="106">
        <f t="shared" ref="C64:W64" ca="1" si="18">IF($B$64="","",IF(AND($B$42="Straight Line",C48&lt;=depr_length),$B$64/depr_length,IF(AND($B$42="MACRS",C48&lt;=depr_length+1),$B$64*INDEX(MACRS_Table,MATCH(C48,recovery_year,0),MATCH($B$43,recovery_period,0)),"")))</f>
        <v>0</v>
      </c>
      <c r="D64" s="107">
        <f t="shared" ca="1" si="18"/>
        <v>0</v>
      </c>
      <c r="E64" s="107">
        <f t="shared" ca="1" si="18"/>
        <v>0</v>
      </c>
      <c r="F64" s="107">
        <f t="shared" ca="1" si="18"/>
        <v>0</v>
      </c>
      <c r="G64" s="107">
        <f t="shared" ca="1" si="18"/>
        <v>0</v>
      </c>
      <c r="H64" s="107">
        <f t="shared" ca="1" si="18"/>
        <v>0</v>
      </c>
      <c r="I64" s="107">
        <f t="shared" ca="1" si="18"/>
        <v>0</v>
      </c>
      <c r="J64" s="107">
        <f t="shared" ca="1" si="18"/>
        <v>0</v>
      </c>
      <c r="K64" s="107" t="str">
        <f t="shared" ca="1" si="18"/>
        <v/>
      </c>
      <c r="L64" s="107" t="str">
        <f t="shared" ca="1" si="18"/>
        <v/>
      </c>
      <c r="M64" s="107" t="str">
        <f t="shared" ca="1" si="18"/>
        <v/>
      </c>
      <c r="N64" s="107" t="str">
        <f t="shared" ca="1" si="18"/>
        <v/>
      </c>
      <c r="O64" s="107" t="str">
        <f t="shared" ca="1" si="18"/>
        <v/>
      </c>
      <c r="P64" s="107" t="str">
        <f t="shared" ca="1" si="18"/>
        <v/>
      </c>
      <c r="Q64" s="107" t="str">
        <f t="shared" ca="1" si="18"/>
        <v/>
      </c>
      <c r="R64" s="107" t="str">
        <f t="shared" ca="1" si="18"/>
        <v/>
      </c>
      <c r="S64" s="107" t="str">
        <f t="shared" ca="1" si="18"/>
        <v/>
      </c>
      <c r="T64" s="107" t="str">
        <f t="shared" ca="1" si="18"/>
        <v/>
      </c>
      <c r="U64" s="107" t="str">
        <f t="shared" ca="1" si="18"/>
        <v/>
      </c>
      <c r="V64" s="107" t="str">
        <f t="shared" ca="1" si="18"/>
        <v/>
      </c>
      <c r="W64" s="108" t="str">
        <f t="shared" ca="1" si="18"/>
        <v/>
      </c>
      <c r="X64" s="105">
        <f t="shared" ca="1" si="3"/>
        <v>0</v>
      </c>
    </row>
    <row r="65" spans="1:24" ht="15" customHeight="1" x14ac:dyDescent="0.25">
      <c r="A65" s="73">
        <f>IF('Cash Flow Analysis'!C81="","",'Cash Flow Analysis'!C81)</f>
        <v>16</v>
      </c>
      <c r="B65" s="871">
        <f ca="1">IF(A65="","",IF(A65&lt;1,0,IF(A65=1,$B$44-'Cash Flow Analysis'!I81,-'Cash Flow Analysis'!I81)))</f>
        <v>241625.79536067578</v>
      </c>
      <c r="C65" s="106">
        <f t="shared" ref="C65:W65" ca="1" si="19">IF($B$65="","",IF(AND($B$42="Straight Line",C48&lt;=depr_length),$B$65/depr_length,IF(AND($B$42="MACRS",C48&lt;=depr_length+1),$B$65*INDEX(MACRS_Table,MATCH(C48,recovery_year,0),MATCH($B$43,recovery_period,0)),"")))</f>
        <v>34528.326157040567</v>
      </c>
      <c r="D65" s="107">
        <f t="shared" ca="1" si="19"/>
        <v>59174.157283829503</v>
      </c>
      <c r="E65" s="107">
        <f t="shared" ca="1" si="19"/>
        <v>42260.351608582198</v>
      </c>
      <c r="F65" s="107">
        <f t="shared" ca="1" si="19"/>
        <v>30179.061840548406</v>
      </c>
      <c r="G65" s="107">
        <f t="shared" ca="1" si="19"/>
        <v>21577.183525708348</v>
      </c>
      <c r="H65" s="107">
        <f t="shared" ca="1" si="19"/>
        <v>21553.020946172281</v>
      </c>
      <c r="I65" s="107">
        <f t="shared" ca="1" si="19"/>
        <v>21577.183525708348</v>
      </c>
      <c r="J65" s="107">
        <f t="shared" ca="1" si="19"/>
        <v>10776.51047308614</v>
      </c>
      <c r="K65" s="107" t="str">
        <f t="shared" ca="1" si="19"/>
        <v/>
      </c>
      <c r="L65" s="107" t="str">
        <f t="shared" ca="1" si="19"/>
        <v/>
      </c>
      <c r="M65" s="107" t="str">
        <f t="shared" ca="1" si="19"/>
        <v/>
      </c>
      <c r="N65" s="107" t="str">
        <f t="shared" ca="1" si="19"/>
        <v/>
      </c>
      <c r="O65" s="107" t="str">
        <f t="shared" ca="1" si="19"/>
        <v/>
      </c>
      <c r="P65" s="107" t="str">
        <f t="shared" ca="1" si="19"/>
        <v/>
      </c>
      <c r="Q65" s="107" t="str">
        <f t="shared" ca="1" si="19"/>
        <v/>
      </c>
      <c r="R65" s="107" t="str">
        <f t="shared" ca="1" si="19"/>
        <v/>
      </c>
      <c r="S65" s="107" t="str">
        <f t="shared" ca="1" si="19"/>
        <v/>
      </c>
      <c r="T65" s="107" t="str">
        <f t="shared" ca="1" si="19"/>
        <v/>
      </c>
      <c r="U65" s="107" t="str">
        <f t="shared" ca="1" si="19"/>
        <v/>
      </c>
      <c r="V65" s="107" t="str">
        <f t="shared" ca="1" si="19"/>
        <v/>
      </c>
      <c r="W65" s="108" t="str">
        <f t="shared" ca="1" si="19"/>
        <v/>
      </c>
      <c r="X65" s="105">
        <f t="shared" ca="1" si="3"/>
        <v>241625.79536067581</v>
      </c>
    </row>
    <row r="66" spans="1:24" ht="15" customHeight="1" x14ac:dyDescent="0.25">
      <c r="A66" s="73">
        <f>IF('Cash Flow Analysis'!C82="","",'Cash Flow Analysis'!C82)</f>
        <v>17</v>
      </c>
      <c r="B66" s="871">
        <f ca="1">IF(A66="","",IF(A66&lt;1,0,IF(A66=1,$B$44-'Cash Flow Analysis'!I82,-'Cash Flow Analysis'!I82)))</f>
        <v>0</v>
      </c>
      <c r="C66" s="106">
        <f t="shared" ref="C66:W66" ca="1" si="20">IF($B$66="","",IF(AND($B$42="Straight Line",C48&lt;=depr_length),$B$66/depr_length,IF(AND($B$42="MACRS",C48&lt;=depr_length+1),$B$66*INDEX(MACRS_Table,MATCH(C48,recovery_year,0),MATCH($B$43,recovery_period,0)),"")))</f>
        <v>0</v>
      </c>
      <c r="D66" s="107">
        <f t="shared" ca="1" si="20"/>
        <v>0</v>
      </c>
      <c r="E66" s="107">
        <f t="shared" ca="1" si="20"/>
        <v>0</v>
      </c>
      <c r="F66" s="107">
        <f t="shared" ca="1" si="20"/>
        <v>0</v>
      </c>
      <c r="G66" s="107">
        <f t="shared" ca="1" si="20"/>
        <v>0</v>
      </c>
      <c r="H66" s="107">
        <f t="shared" ca="1" si="20"/>
        <v>0</v>
      </c>
      <c r="I66" s="107">
        <f t="shared" ca="1" si="20"/>
        <v>0</v>
      </c>
      <c r="J66" s="107">
        <f t="shared" ca="1" si="20"/>
        <v>0</v>
      </c>
      <c r="K66" s="107" t="str">
        <f t="shared" ca="1" si="20"/>
        <v/>
      </c>
      <c r="L66" s="107" t="str">
        <f t="shared" ca="1" si="20"/>
        <v/>
      </c>
      <c r="M66" s="107" t="str">
        <f t="shared" ca="1" si="20"/>
        <v/>
      </c>
      <c r="N66" s="107" t="str">
        <f t="shared" ca="1" si="20"/>
        <v/>
      </c>
      <c r="O66" s="107" t="str">
        <f t="shared" ca="1" si="20"/>
        <v/>
      </c>
      <c r="P66" s="107" t="str">
        <f t="shared" ca="1" si="20"/>
        <v/>
      </c>
      <c r="Q66" s="107" t="str">
        <f t="shared" ca="1" si="20"/>
        <v/>
      </c>
      <c r="R66" s="107" t="str">
        <f t="shared" ca="1" si="20"/>
        <v/>
      </c>
      <c r="S66" s="107" t="str">
        <f t="shared" ca="1" si="20"/>
        <v/>
      </c>
      <c r="T66" s="107" t="str">
        <f t="shared" ca="1" si="20"/>
        <v/>
      </c>
      <c r="U66" s="107" t="str">
        <f t="shared" ca="1" si="20"/>
        <v/>
      </c>
      <c r="V66" s="107" t="str">
        <f t="shared" ca="1" si="20"/>
        <v/>
      </c>
      <c r="W66" s="108" t="str">
        <f t="shared" ca="1" si="20"/>
        <v/>
      </c>
      <c r="X66" s="105">
        <f t="shared" ca="1" si="3"/>
        <v>0</v>
      </c>
    </row>
    <row r="67" spans="1:24" ht="15" customHeight="1" x14ac:dyDescent="0.25">
      <c r="A67" s="73">
        <f>IF('Cash Flow Analysis'!C83="","",'Cash Flow Analysis'!C83)</f>
        <v>18</v>
      </c>
      <c r="B67" s="871">
        <f ca="1">IF(A67="","",IF(A67&lt;1,0,IF(A67=1,$B$44-'Cash Flow Analysis'!I83,-'Cash Flow Analysis'!I83)))</f>
        <v>0</v>
      </c>
      <c r="C67" s="106">
        <f t="shared" ref="C67:W67" ca="1" si="21">IF($B$67="","",IF(AND($B$42="Straight Line",C48&lt;=depr_length),$B$67/depr_length,IF(AND($B$42="MACRS",C48&lt;=depr_length+1),$B$67*INDEX(MACRS_Table,MATCH(C48,recovery_year,0),MATCH($B$43,recovery_period,0)),"")))</f>
        <v>0</v>
      </c>
      <c r="D67" s="107">
        <f t="shared" ca="1" si="21"/>
        <v>0</v>
      </c>
      <c r="E67" s="107">
        <f t="shared" ca="1" si="21"/>
        <v>0</v>
      </c>
      <c r="F67" s="107">
        <f t="shared" ca="1" si="21"/>
        <v>0</v>
      </c>
      <c r="G67" s="107">
        <f t="shared" ca="1" si="21"/>
        <v>0</v>
      </c>
      <c r="H67" s="107">
        <f t="shared" ca="1" si="21"/>
        <v>0</v>
      </c>
      <c r="I67" s="107">
        <f t="shared" ca="1" si="21"/>
        <v>0</v>
      </c>
      <c r="J67" s="107">
        <f t="shared" ca="1" si="21"/>
        <v>0</v>
      </c>
      <c r="K67" s="107" t="str">
        <f t="shared" ca="1" si="21"/>
        <v/>
      </c>
      <c r="L67" s="107" t="str">
        <f t="shared" ca="1" si="21"/>
        <v/>
      </c>
      <c r="M67" s="107" t="str">
        <f t="shared" ca="1" si="21"/>
        <v/>
      </c>
      <c r="N67" s="107" t="str">
        <f t="shared" ca="1" si="21"/>
        <v/>
      </c>
      <c r="O67" s="107" t="str">
        <f t="shared" ca="1" si="21"/>
        <v/>
      </c>
      <c r="P67" s="107" t="str">
        <f t="shared" ca="1" si="21"/>
        <v/>
      </c>
      <c r="Q67" s="107" t="str">
        <f t="shared" ca="1" si="21"/>
        <v/>
      </c>
      <c r="R67" s="107" t="str">
        <f t="shared" ca="1" si="21"/>
        <v/>
      </c>
      <c r="S67" s="107" t="str">
        <f t="shared" ca="1" si="21"/>
        <v/>
      </c>
      <c r="T67" s="107" t="str">
        <f t="shared" ca="1" si="21"/>
        <v/>
      </c>
      <c r="U67" s="107" t="str">
        <f t="shared" ca="1" si="21"/>
        <v/>
      </c>
      <c r="V67" s="107" t="str">
        <f t="shared" ca="1" si="21"/>
        <v/>
      </c>
      <c r="W67" s="108" t="str">
        <f t="shared" ca="1" si="21"/>
        <v/>
      </c>
      <c r="X67" s="105">
        <f t="shared" ca="1" si="3"/>
        <v>0</v>
      </c>
    </row>
    <row r="68" spans="1:24" ht="15" customHeight="1" x14ac:dyDescent="0.25">
      <c r="A68" s="73">
        <f>IF('Cash Flow Analysis'!C84="","",'Cash Flow Analysis'!C84)</f>
        <v>19</v>
      </c>
      <c r="B68" s="871">
        <f ca="1">IF(A68="","",IF(A68&lt;1,0,IF(A68=1,$B$44-'Cash Flow Analysis'!I84,-'Cash Flow Analysis'!I84)))</f>
        <v>0</v>
      </c>
      <c r="C68" s="106">
        <f t="shared" ref="C68:W68" ca="1" si="22">IF($B$68="","",IF(AND($B$42="Straight Line",C48&lt;=depr_length),$B$68/depr_length,IF(AND($B$42="MACRS",C48&lt;=depr_length+1),$B$68*INDEX(MACRS_Table,MATCH(C48,recovery_year,0),MATCH($B$43,recovery_period,0)),"")))</f>
        <v>0</v>
      </c>
      <c r="D68" s="107">
        <f t="shared" ca="1" si="22"/>
        <v>0</v>
      </c>
      <c r="E68" s="107">
        <f t="shared" ca="1" si="22"/>
        <v>0</v>
      </c>
      <c r="F68" s="107">
        <f t="shared" ca="1" si="22"/>
        <v>0</v>
      </c>
      <c r="G68" s="107">
        <f t="shared" ca="1" si="22"/>
        <v>0</v>
      </c>
      <c r="H68" s="107">
        <f t="shared" ca="1" si="22"/>
        <v>0</v>
      </c>
      <c r="I68" s="107">
        <f t="shared" ca="1" si="22"/>
        <v>0</v>
      </c>
      <c r="J68" s="107">
        <f t="shared" ca="1" si="22"/>
        <v>0</v>
      </c>
      <c r="K68" s="107" t="str">
        <f t="shared" ca="1" si="22"/>
        <v/>
      </c>
      <c r="L68" s="107" t="str">
        <f t="shared" ca="1" si="22"/>
        <v/>
      </c>
      <c r="M68" s="107" t="str">
        <f t="shared" ca="1" si="22"/>
        <v/>
      </c>
      <c r="N68" s="107" t="str">
        <f t="shared" ca="1" si="22"/>
        <v/>
      </c>
      <c r="O68" s="107" t="str">
        <f t="shared" ca="1" si="22"/>
        <v/>
      </c>
      <c r="P68" s="107" t="str">
        <f t="shared" ca="1" si="22"/>
        <v/>
      </c>
      <c r="Q68" s="107" t="str">
        <f t="shared" ca="1" si="22"/>
        <v/>
      </c>
      <c r="R68" s="107" t="str">
        <f t="shared" ca="1" si="22"/>
        <v/>
      </c>
      <c r="S68" s="107" t="str">
        <f t="shared" ca="1" si="22"/>
        <v/>
      </c>
      <c r="T68" s="107" t="str">
        <f t="shared" ca="1" si="22"/>
        <v/>
      </c>
      <c r="U68" s="107" t="str">
        <f t="shared" ca="1" si="22"/>
        <v/>
      </c>
      <c r="V68" s="107" t="str">
        <f t="shared" ca="1" si="22"/>
        <v/>
      </c>
      <c r="W68" s="108" t="str">
        <f t="shared" ca="1" si="22"/>
        <v/>
      </c>
      <c r="X68" s="105">
        <f t="shared" ca="1" si="3"/>
        <v>0</v>
      </c>
    </row>
    <row r="69" spans="1:24" ht="15" customHeight="1" x14ac:dyDescent="0.25">
      <c r="A69" s="73">
        <f>IF('Cash Flow Analysis'!C85="","",'Cash Flow Analysis'!C85)</f>
        <v>20</v>
      </c>
      <c r="B69" s="871">
        <f ca="1">IF(A69="","",IF(A69&lt;1,0,IF(A69=1,$B$44-'Cash Flow Analysis'!I85,-'Cash Flow Analysis'!I85)))</f>
        <v>0</v>
      </c>
      <c r="C69" s="106">
        <f t="shared" ref="C69:W69" ca="1" si="23">IF($B$69="","",IF(AND($B$42="Straight Line",C48&lt;=depr_length),$B$69/depr_length,IF(AND($B$42="MACRS",C48&lt;=depr_length+1),$B$69*INDEX(MACRS_Table,MATCH(C48,recovery_year,0),MATCH($B$43,recovery_period,0)),"")))</f>
        <v>0</v>
      </c>
      <c r="D69" s="107">
        <f t="shared" ca="1" si="23"/>
        <v>0</v>
      </c>
      <c r="E69" s="107">
        <f t="shared" ca="1" si="23"/>
        <v>0</v>
      </c>
      <c r="F69" s="107">
        <f t="shared" ca="1" si="23"/>
        <v>0</v>
      </c>
      <c r="G69" s="107">
        <f t="shared" ca="1" si="23"/>
        <v>0</v>
      </c>
      <c r="H69" s="107">
        <f t="shared" ca="1" si="23"/>
        <v>0</v>
      </c>
      <c r="I69" s="107">
        <f t="shared" ca="1" si="23"/>
        <v>0</v>
      </c>
      <c r="J69" s="107">
        <f t="shared" ca="1" si="23"/>
        <v>0</v>
      </c>
      <c r="K69" s="107" t="str">
        <f t="shared" ca="1" si="23"/>
        <v/>
      </c>
      <c r="L69" s="107" t="str">
        <f t="shared" ca="1" si="23"/>
        <v/>
      </c>
      <c r="M69" s="107" t="str">
        <f t="shared" ca="1" si="23"/>
        <v/>
      </c>
      <c r="N69" s="107" t="str">
        <f t="shared" ca="1" si="23"/>
        <v/>
      </c>
      <c r="O69" s="107" t="str">
        <f t="shared" ca="1" si="23"/>
        <v/>
      </c>
      <c r="P69" s="107" t="str">
        <f t="shared" ca="1" si="23"/>
        <v/>
      </c>
      <c r="Q69" s="107" t="str">
        <f t="shared" ca="1" si="23"/>
        <v/>
      </c>
      <c r="R69" s="107" t="str">
        <f t="shared" ca="1" si="23"/>
        <v/>
      </c>
      <c r="S69" s="107" t="str">
        <f t="shared" ca="1" si="23"/>
        <v/>
      </c>
      <c r="T69" s="107" t="str">
        <f t="shared" ca="1" si="23"/>
        <v/>
      </c>
      <c r="U69" s="107" t="str">
        <f t="shared" ca="1" si="23"/>
        <v/>
      </c>
      <c r="V69" s="107" t="str">
        <f t="shared" ca="1" si="23"/>
        <v/>
      </c>
      <c r="W69" s="108" t="str">
        <f t="shared" ca="1" si="23"/>
        <v/>
      </c>
      <c r="X69" s="105">
        <f t="shared" ca="1" si="3"/>
        <v>0</v>
      </c>
    </row>
    <row r="70" spans="1:24" ht="15" customHeight="1" x14ac:dyDescent="0.25">
      <c r="A70" s="73" t="str">
        <f>IF('Cash Flow Analysis'!C86="","",'Cash Flow Analysis'!C86)</f>
        <v/>
      </c>
      <c r="B70" s="871" t="str">
        <f>IF(A70="","",IF(A70&lt;1,0,IF(A70=1,$B$44-'Cash Flow Analysis'!I86,-'Cash Flow Analysis'!I86)))</f>
        <v/>
      </c>
      <c r="C70" s="106" t="str">
        <f t="shared" ref="C70:W70" si="24">IF($B$70="","",IF(AND($B$42="Straight Line",C48&lt;=depr_length),$B$70/depr_length,IF(AND($B$42="MACRS",C48&lt;=depr_length+1),$B$70*INDEX(MACRS_Table,MATCH(C48,recovery_year,0),MATCH($B$43,recovery_period,0)),"")))</f>
        <v/>
      </c>
      <c r="D70" s="107" t="str">
        <f t="shared" si="24"/>
        <v/>
      </c>
      <c r="E70" s="107" t="str">
        <f t="shared" si="24"/>
        <v/>
      </c>
      <c r="F70" s="107" t="str">
        <f t="shared" si="24"/>
        <v/>
      </c>
      <c r="G70" s="107" t="str">
        <f t="shared" si="24"/>
        <v/>
      </c>
      <c r="H70" s="107" t="str">
        <f t="shared" si="24"/>
        <v/>
      </c>
      <c r="I70" s="107" t="str">
        <f t="shared" si="24"/>
        <v/>
      </c>
      <c r="J70" s="107" t="str">
        <f t="shared" si="24"/>
        <v/>
      </c>
      <c r="K70" s="107" t="str">
        <f t="shared" si="24"/>
        <v/>
      </c>
      <c r="L70" s="107" t="str">
        <f t="shared" si="24"/>
        <v/>
      </c>
      <c r="M70" s="107" t="str">
        <f t="shared" si="24"/>
        <v/>
      </c>
      <c r="N70" s="107" t="str">
        <f t="shared" si="24"/>
        <v/>
      </c>
      <c r="O70" s="107" t="str">
        <f t="shared" si="24"/>
        <v/>
      </c>
      <c r="P70" s="107" t="str">
        <f t="shared" si="24"/>
        <v/>
      </c>
      <c r="Q70" s="107" t="str">
        <f t="shared" si="24"/>
        <v/>
      </c>
      <c r="R70" s="107" t="str">
        <f t="shared" si="24"/>
        <v/>
      </c>
      <c r="S70" s="107" t="str">
        <f t="shared" si="24"/>
        <v/>
      </c>
      <c r="T70" s="107" t="str">
        <f t="shared" si="24"/>
        <v/>
      </c>
      <c r="U70" s="107" t="str">
        <f t="shared" si="24"/>
        <v/>
      </c>
      <c r="V70" s="107" t="str">
        <f t="shared" si="24"/>
        <v/>
      </c>
      <c r="W70" s="108" t="str">
        <f t="shared" si="24"/>
        <v/>
      </c>
      <c r="X70" s="105">
        <f t="shared" si="3"/>
        <v>0</v>
      </c>
    </row>
    <row r="71" spans="1:24" ht="15" customHeight="1" x14ac:dyDescent="0.25">
      <c r="A71" s="73" t="str">
        <f>IF('Cash Flow Analysis'!C87="","",'Cash Flow Analysis'!C87)</f>
        <v/>
      </c>
      <c r="B71" s="871" t="str">
        <f>IF(A71="","",IF(A71&lt;1,0,IF(A71=1,$B$44-'Cash Flow Analysis'!I87,-'Cash Flow Analysis'!I87)))</f>
        <v/>
      </c>
      <c r="C71" s="106" t="str">
        <f t="shared" ref="C71:W71" si="25">IF($B$71="","",IF(AND($B$42="Straight Line",C48&lt;=depr_length),$B$71/depr_length,IF(AND($B$42="MACRS",C48&lt;=depr_length+1),$B$71*INDEX(MACRS_Table,MATCH(C48,recovery_year,0),MATCH($B$43,recovery_period,0)),"")))</f>
        <v/>
      </c>
      <c r="D71" s="107" t="str">
        <f t="shared" si="25"/>
        <v/>
      </c>
      <c r="E71" s="107" t="str">
        <f t="shared" si="25"/>
        <v/>
      </c>
      <c r="F71" s="107" t="str">
        <f t="shared" si="25"/>
        <v/>
      </c>
      <c r="G71" s="107" t="str">
        <f t="shared" si="25"/>
        <v/>
      </c>
      <c r="H71" s="107" t="str">
        <f t="shared" si="25"/>
        <v/>
      </c>
      <c r="I71" s="107" t="str">
        <f t="shared" si="25"/>
        <v/>
      </c>
      <c r="J71" s="107" t="str">
        <f t="shared" si="25"/>
        <v/>
      </c>
      <c r="K71" s="107" t="str">
        <f t="shared" si="25"/>
        <v/>
      </c>
      <c r="L71" s="107" t="str">
        <f t="shared" si="25"/>
        <v/>
      </c>
      <c r="M71" s="107" t="str">
        <f t="shared" si="25"/>
        <v/>
      </c>
      <c r="N71" s="107" t="str">
        <f t="shared" si="25"/>
        <v/>
      </c>
      <c r="O71" s="107" t="str">
        <f t="shared" si="25"/>
        <v/>
      </c>
      <c r="P71" s="107" t="str">
        <f t="shared" si="25"/>
        <v/>
      </c>
      <c r="Q71" s="107" t="str">
        <f t="shared" si="25"/>
        <v/>
      </c>
      <c r="R71" s="107" t="str">
        <f t="shared" si="25"/>
        <v/>
      </c>
      <c r="S71" s="107" t="str">
        <f t="shared" si="25"/>
        <v/>
      </c>
      <c r="T71" s="107" t="str">
        <f t="shared" si="25"/>
        <v/>
      </c>
      <c r="U71" s="107" t="str">
        <f t="shared" si="25"/>
        <v/>
      </c>
      <c r="V71" s="107" t="str">
        <f t="shared" si="25"/>
        <v/>
      </c>
      <c r="W71" s="108" t="str">
        <f t="shared" si="25"/>
        <v/>
      </c>
      <c r="X71" s="105">
        <f t="shared" si="3"/>
        <v>0</v>
      </c>
    </row>
    <row r="72" spans="1:24" ht="15" customHeight="1" x14ac:dyDescent="0.25">
      <c r="A72" s="73" t="str">
        <f>IF('Cash Flow Analysis'!C88="","",'Cash Flow Analysis'!C88)</f>
        <v/>
      </c>
      <c r="B72" s="871" t="str">
        <f>IF(A72="","",IF(A72&lt;1,0,IF(A72=1,$B$44-'Cash Flow Analysis'!I88,-'Cash Flow Analysis'!I88)))</f>
        <v/>
      </c>
      <c r="C72" s="106" t="str">
        <f t="shared" ref="C72:W72" si="26">IF($B$72="","",IF(AND($B$42="Straight Line",C48&lt;=depr_length),$B$72/depr_length,IF(AND($B$42="MACRS",C48&lt;=depr_length+1),$B$72*INDEX(MACRS_Table,MATCH(C48,recovery_year,0),MATCH($B$43,recovery_period,0)),"")))</f>
        <v/>
      </c>
      <c r="D72" s="107" t="str">
        <f t="shared" si="26"/>
        <v/>
      </c>
      <c r="E72" s="107" t="str">
        <f t="shared" si="26"/>
        <v/>
      </c>
      <c r="F72" s="107" t="str">
        <f t="shared" si="26"/>
        <v/>
      </c>
      <c r="G72" s="107" t="str">
        <f t="shared" si="26"/>
        <v/>
      </c>
      <c r="H72" s="107" t="str">
        <f t="shared" si="26"/>
        <v/>
      </c>
      <c r="I72" s="107" t="str">
        <f t="shared" si="26"/>
        <v/>
      </c>
      <c r="J72" s="107" t="str">
        <f t="shared" si="26"/>
        <v/>
      </c>
      <c r="K72" s="107" t="str">
        <f t="shared" si="26"/>
        <v/>
      </c>
      <c r="L72" s="107" t="str">
        <f t="shared" si="26"/>
        <v/>
      </c>
      <c r="M72" s="107" t="str">
        <f t="shared" si="26"/>
        <v/>
      </c>
      <c r="N72" s="107" t="str">
        <f t="shared" si="26"/>
        <v/>
      </c>
      <c r="O72" s="107" t="str">
        <f t="shared" si="26"/>
        <v/>
      </c>
      <c r="P72" s="107" t="str">
        <f t="shared" si="26"/>
        <v/>
      </c>
      <c r="Q72" s="107" t="str">
        <f t="shared" si="26"/>
        <v/>
      </c>
      <c r="R72" s="107" t="str">
        <f t="shared" si="26"/>
        <v/>
      </c>
      <c r="S72" s="107" t="str">
        <f t="shared" si="26"/>
        <v/>
      </c>
      <c r="T72" s="107" t="str">
        <f t="shared" si="26"/>
        <v/>
      </c>
      <c r="U72" s="107" t="str">
        <f t="shared" si="26"/>
        <v/>
      </c>
      <c r="V72" s="107" t="str">
        <f t="shared" si="26"/>
        <v/>
      </c>
      <c r="W72" s="108" t="str">
        <f t="shared" si="26"/>
        <v/>
      </c>
      <c r="X72" s="105">
        <f t="shared" si="3"/>
        <v>0</v>
      </c>
    </row>
    <row r="73" spans="1:24" ht="15" customHeight="1" x14ac:dyDescent="0.25">
      <c r="A73" s="73" t="str">
        <f>IF('Cash Flow Analysis'!C89="","",'Cash Flow Analysis'!C89)</f>
        <v/>
      </c>
      <c r="B73" s="871" t="str">
        <f>IF(A73="","",IF(A73&lt;1,0,IF(A73=1,$B$44-'Cash Flow Analysis'!I89,-'Cash Flow Analysis'!I89)))</f>
        <v/>
      </c>
      <c r="C73" s="106" t="str">
        <f t="shared" ref="C73:W73" si="27">IF($B$73="","",IF(AND($B$42="Straight Line",C48&lt;=depr_length),$B$73/depr_length,IF(AND($B$42="MACRS",C48&lt;=depr_length+1),$B$73*INDEX(MACRS_Table,MATCH(C48,recovery_year,0),MATCH($B$43,recovery_period,0)),"")))</f>
        <v/>
      </c>
      <c r="D73" s="107" t="str">
        <f t="shared" si="27"/>
        <v/>
      </c>
      <c r="E73" s="107" t="str">
        <f t="shared" si="27"/>
        <v/>
      </c>
      <c r="F73" s="107" t="str">
        <f t="shared" si="27"/>
        <v/>
      </c>
      <c r="G73" s="107" t="str">
        <f t="shared" si="27"/>
        <v/>
      </c>
      <c r="H73" s="107" t="str">
        <f t="shared" si="27"/>
        <v/>
      </c>
      <c r="I73" s="107" t="str">
        <f t="shared" si="27"/>
        <v/>
      </c>
      <c r="J73" s="107" t="str">
        <f t="shared" si="27"/>
        <v/>
      </c>
      <c r="K73" s="107" t="str">
        <f t="shared" si="27"/>
        <v/>
      </c>
      <c r="L73" s="107" t="str">
        <f t="shared" si="27"/>
        <v/>
      </c>
      <c r="M73" s="107" t="str">
        <f t="shared" si="27"/>
        <v/>
      </c>
      <c r="N73" s="107" t="str">
        <f t="shared" si="27"/>
        <v/>
      </c>
      <c r="O73" s="107" t="str">
        <f t="shared" si="27"/>
        <v/>
      </c>
      <c r="P73" s="107" t="str">
        <f t="shared" si="27"/>
        <v/>
      </c>
      <c r="Q73" s="107" t="str">
        <f t="shared" si="27"/>
        <v/>
      </c>
      <c r="R73" s="107" t="str">
        <f t="shared" si="27"/>
        <v/>
      </c>
      <c r="S73" s="107" t="str">
        <f t="shared" si="27"/>
        <v/>
      </c>
      <c r="T73" s="107" t="str">
        <f t="shared" si="27"/>
        <v/>
      </c>
      <c r="U73" s="107" t="str">
        <f t="shared" si="27"/>
        <v/>
      </c>
      <c r="V73" s="107" t="str">
        <f t="shared" si="27"/>
        <v/>
      </c>
      <c r="W73" s="108" t="str">
        <f t="shared" si="27"/>
        <v/>
      </c>
      <c r="X73" s="105">
        <f t="shared" si="3"/>
        <v>0</v>
      </c>
    </row>
    <row r="74" spans="1:24" ht="15" customHeight="1" x14ac:dyDescent="0.25">
      <c r="A74" s="73" t="str">
        <f>IF('Cash Flow Analysis'!C90="","",'Cash Flow Analysis'!C90)</f>
        <v/>
      </c>
      <c r="B74" s="871" t="str">
        <f>IF(A74="","",IF(A74&lt;1,0,IF(A74=1,$B$44-'Cash Flow Analysis'!I90,-'Cash Flow Analysis'!I90)))</f>
        <v/>
      </c>
      <c r="C74" s="106" t="str">
        <f t="shared" ref="C74:W74" si="28">IF($B$74="","",IF(AND($B$42="Straight Line",C48&lt;=depr_length),$B$74/depr_length,IF(AND($B$42="MACRS",C48&lt;=depr_length+1),$B$74*INDEX(MACRS_Table,MATCH(C48,recovery_year,0),MATCH($B$43,recovery_period,0)),"")))</f>
        <v/>
      </c>
      <c r="D74" s="107" t="str">
        <f t="shared" si="28"/>
        <v/>
      </c>
      <c r="E74" s="107" t="str">
        <f t="shared" si="28"/>
        <v/>
      </c>
      <c r="F74" s="107" t="str">
        <f t="shared" si="28"/>
        <v/>
      </c>
      <c r="G74" s="107" t="str">
        <f t="shared" si="28"/>
        <v/>
      </c>
      <c r="H74" s="107" t="str">
        <f t="shared" si="28"/>
        <v/>
      </c>
      <c r="I74" s="107" t="str">
        <f t="shared" si="28"/>
        <v/>
      </c>
      <c r="J74" s="107" t="str">
        <f t="shared" si="28"/>
        <v/>
      </c>
      <c r="K74" s="107" t="str">
        <f t="shared" si="28"/>
        <v/>
      </c>
      <c r="L74" s="107" t="str">
        <f t="shared" si="28"/>
        <v/>
      </c>
      <c r="M74" s="107" t="str">
        <f t="shared" si="28"/>
        <v/>
      </c>
      <c r="N74" s="107" t="str">
        <f t="shared" si="28"/>
        <v/>
      </c>
      <c r="O74" s="107" t="str">
        <f t="shared" si="28"/>
        <v/>
      </c>
      <c r="P74" s="107" t="str">
        <f t="shared" si="28"/>
        <v/>
      </c>
      <c r="Q74" s="107" t="str">
        <f t="shared" si="28"/>
        <v/>
      </c>
      <c r="R74" s="107" t="str">
        <f t="shared" si="28"/>
        <v/>
      </c>
      <c r="S74" s="107" t="str">
        <f t="shared" si="28"/>
        <v/>
      </c>
      <c r="T74" s="107" t="str">
        <f t="shared" si="28"/>
        <v/>
      </c>
      <c r="U74" s="107" t="str">
        <f t="shared" si="28"/>
        <v/>
      </c>
      <c r="V74" s="107" t="str">
        <f t="shared" si="28"/>
        <v/>
      </c>
      <c r="W74" s="108" t="str">
        <f t="shared" si="28"/>
        <v/>
      </c>
      <c r="X74" s="105">
        <f t="shared" si="3"/>
        <v>0</v>
      </c>
    </row>
    <row r="75" spans="1:24" ht="15" customHeight="1" x14ac:dyDescent="0.25">
      <c r="A75" s="73" t="str">
        <f>IF('Cash Flow Analysis'!C91="","",'Cash Flow Analysis'!C91)</f>
        <v/>
      </c>
      <c r="B75" s="871" t="str">
        <f>IF(A75="","",IF(A75&lt;1,0,IF(A75=1,$B$44-'Cash Flow Analysis'!I91,-'Cash Flow Analysis'!I91)))</f>
        <v/>
      </c>
      <c r="C75" s="106" t="str">
        <f t="shared" ref="C75:W75" si="29">IF($B$75="","",IF(AND($B$42="Straight Line",C48&lt;=depr_length),$B$75/depr_length,IF(AND($B$42="MACRS",C48&lt;=depr_length+1),$B$75*INDEX(MACRS_Table,MATCH(C48,recovery_year,0),MATCH($B$43,recovery_period,0)),"")))</f>
        <v/>
      </c>
      <c r="D75" s="107" t="str">
        <f t="shared" si="29"/>
        <v/>
      </c>
      <c r="E75" s="107" t="str">
        <f t="shared" si="29"/>
        <v/>
      </c>
      <c r="F75" s="107" t="str">
        <f t="shared" si="29"/>
        <v/>
      </c>
      <c r="G75" s="107" t="str">
        <f t="shared" si="29"/>
        <v/>
      </c>
      <c r="H75" s="107" t="str">
        <f t="shared" si="29"/>
        <v/>
      </c>
      <c r="I75" s="107" t="str">
        <f t="shared" si="29"/>
        <v/>
      </c>
      <c r="J75" s="107" t="str">
        <f t="shared" si="29"/>
        <v/>
      </c>
      <c r="K75" s="107" t="str">
        <f t="shared" si="29"/>
        <v/>
      </c>
      <c r="L75" s="107" t="str">
        <f t="shared" si="29"/>
        <v/>
      </c>
      <c r="M75" s="107" t="str">
        <f t="shared" si="29"/>
        <v/>
      </c>
      <c r="N75" s="107" t="str">
        <f t="shared" si="29"/>
        <v/>
      </c>
      <c r="O75" s="107" t="str">
        <f t="shared" si="29"/>
        <v/>
      </c>
      <c r="P75" s="107" t="str">
        <f t="shared" si="29"/>
        <v/>
      </c>
      <c r="Q75" s="107" t="str">
        <f t="shared" si="29"/>
        <v/>
      </c>
      <c r="R75" s="107" t="str">
        <f t="shared" si="29"/>
        <v/>
      </c>
      <c r="S75" s="107" t="str">
        <f t="shared" si="29"/>
        <v/>
      </c>
      <c r="T75" s="107" t="str">
        <f t="shared" si="29"/>
        <v/>
      </c>
      <c r="U75" s="107" t="str">
        <f t="shared" si="29"/>
        <v/>
      </c>
      <c r="V75" s="107" t="str">
        <f t="shared" si="29"/>
        <v/>
      </c>
      <c r="W75" s="108" t="str">
        <f t="shared" si="29"/>
        <v/>
      </c>
      <c r="X75" s="105">
        <f t="shared" si="3"/>
        <v>0</v>
      </c>
    </row>
    <row r="76" spans="1:24" ht="15" customHeight="1" x14ac:dyDescent="0.25">
      <c r="A76" s="73" t="str">
        <f>IF('Cash Flow Analysis'!C92="","",'Cash Flow Analysis'!C92)</f>
        <v/>
      </c>
      <c r="B76" s="871" t="str">
        <f>IF(A76="","",IF(A76&lt;1,0,IF(A76=1,$B$44-'Cash Flow Analysis'!I92,-'Cash Flow Analysis'!I92)))</f>
        <v/>
      </c>
      <c r="C76" s="106" t="str">
        <f t="shared" ref="C76:W76" si="30">IF($B$76="","",IF(AND($B$42="Straight Line",C48&lt;=depr_length),$B$76/depr_length,IF(AND($B$42="MACRS",C48&lt;=depr_length+1),$B$76*INDEX(MACRS_Table,MATCH(C48,recovery_year,0),MATCH($B$43,recovery_period,0)),"")))</f>
        <v/>
      </c>
      <c r="D76" s="107" t="str">
        <f t="shared" si="30"/>
        <v/>
      </c>
      <c r="E76" s="107" t="str">
        <f t="shared" si="30"/>
        <v/>
      </c>
      <c r="F76" s="107" t="str">
        <f t="shared" si="30"/>
        <v/>
      </c>
      <c r="G76" s="107" t="str">
        <f t="shared" si="30"/>
        <v/>
      </c>
      <c r="H76" s="107" t="str">
        <f t="shared" si="30"/>
        <v/>
      </c>
      <c r="I76" s="107" t="str">
        <f t="shared" si="30"/>
        <v/>
      </c>
      <c r="J76" s="107" t="str">
        <f t="shared" si="30"/>
        <v/>
      </c>
      <c r="K76" s="107" t="str">
        <f t="shared" si="30"/>
        <v/>
      </c>
      <c r="L76" s="107" t="str">
        <f t="shared" si="30"/>
        <v/>
      </c>
      <c r="M76" s="107" t="str">
        <f t="shared" si="30"/>
        <v/>
      </c>
      <c r="N76" s="107" t="str">
        <f t="shared" si="30"/>
        <v/>
      </c>
      <c r="O76" s="107" t="str">
        <f t="shared" si="30"/>
        <v/>
      </c>
      <c r="P76" s="107" t="str">
        <f t="shared" si="30"/>
        <v/>
      </c>
      <c r="Q76" s="107" t="str">
        <f t="shared" si="30"/>
        <v/>
      </c>
      <c r="R76" s="107" t="str">
        <f t="shared" si="30"/>
        <v/>
      </c>
      <c r="S76" s="107" t="str">
        <f t="shared" si="30"/>
        <v/>
      </c>
      <c r="T76" s="107" t="str">
        <f t="shared" si="30"/>
        <v/>
      </c>
      <c r="U76" s="107" t="str">
        <f t="shared" si="30"/>
        <v/>
      </c>
      <c r="V76" s="107" t="str">
        <f t="shared" si="30"/>
        <v/>
      </c>
      <c r="W76" s="108" t="str">
        <f t="shared" si="30"/>
        <v/>
      </c>
      <c r="X76" s="105">
        <f t="shared" si="3"/>
        <v>0</v>
      </c>
    </row>
    <row r="77" spans="1:24" ht="15" customHeight="1" x14ac:dyDescent="0.25">
      <c r="A77" s="73" t="str">
        <f>IF('Cash Flow Analysis'!C93="","",'Cash Flow Analysis'!C93)</f>
        <v/>
      </c>
      <c r="B77" s="871" t="str">
        <f>IF(A77="","",IF(A77&lt;1,0,IF(A77=1,$B$44-'Cash Flow Analysis'!I93,-'Cash Flow Analysis'!I93)))</f>
        <v/>
      </c>
      <c r="C77" s="106" t="str">
        <f t="shared" ref="C77:W77" si="31">IF($B$77="","",IF(AND($B$42="Straight Line",C48&lt;=depr_length),$B$77/depr_length,IF(AND($B$42="MACRS",C48&lt;=depr_length+1),$B$77*INDEX(MACRS_Table,MATCH(C48,recovery_year,0),MATCH($B$43,recovery_period,0)),"")))</f>
        <v/>
      </c>
      <c r="D77" s="107" t="str">
        <f t="shared" si="31"/>
        <v/>
      </c>
      <c r="E77" s="107" t="str">
        <f t="shared" si="31"/>
        <v/>
      </c>
      <c r="F77" s="107" t="str">
        <f t="shared" si="31"/>
        <v/>
      </c>
      <c r="G77" s="107" t="str">
        <f t="shared" si="31"/>
        <v/>
      </c>
      <c r="H77" s="107" t="str">
        <f t="shared" si="31"/>
        <v/>
      </c>
      <c r="I77" s="107" t="str">
        <f t="shared" si="31"/>
        <v/>
      </c>
      <c r="J77" s="107" t="str">
        <f t="shared" si="31"/>
        <v/>
      </c>
      <c r="K77" s="107" t="str">
        <f t="shared" si="31"/>
        <v/>
      </c>
      <c r="L77" s="107" t="str">
        <f t="shared" si="31"/>
        <v/>
      </c>
      <c r="M77" s="107" t="str">
        <f t="shared" si="31"/>
        <v/>
      </c>
      <c r="N77" s="107" t="str">
        <f t="shared" si="31"/>
        <v/>
      </c>
      <c r="O77" s="107" t="str">
        <f t="shared" si="31"/>
        <v/>
      </c>
      <c r="P77" s="107" t="str">
        <f t="shared" si="31"/>
        <v/>
      </c>
      <c r="Q77" s="107" t="str">
        <f t="shared" si="31"/>
        <v/>
      </c>
      <c r="R77" s="107" t="str">
        <f t="shared" si="31"/>
        <v/>
      </c>
      <c r="S77" s="107" t="str">
        <f t="shared" si="31"/>
        <v/>
      </c>
      <c r="T77" s="107" t="str">
        <f t="shared" si="31"/>
        <v/>
      </c>
      <c r="U77" s="107" t="str">
        <f t="shared" si="31"/>
        <v/>
      </c>
      <c r="V77" s="107" t="str">
        <f t="shared" si="31"/>
        <v/>
      </c>
      <c r="W77" s="108" t="str">
        <f t="shared" si="31"/>
        <v/>
      </c>
      <c r="X77" s="105">
        <f t="shared" si="3"/>
        <v>0</v>
      </c>
    </row>
    <row r="78" spans="1:24" ht="15" customHeight="1" x14ac:dyDescent="0.25">
      <c r="A78" s="73" t="str">
        <f>IF('Cash Flow Analysis'!C94="","",'Cash Flow Analysis'!C94)</f>
        <v/>
      </c>
      <c r="B78" s="871" t="str">
        <f>IF(A78="","",IF(A78&lt;1,0,IF(A78=1,$B$44-'Cash Flow Analysis'!I94,-'Cash Flow Analysis'!I94)))</f>
        <v/>
      </c>
      <c r="C78" s="106" t="str">
        <f t="shared" ref="C78:W78" si="32">IF($B$78="","",IF(AND($B$42="Straight Line",C48&lt;=depr_length),$B$78/depr_length,IF(AND($B$42="MACRS",C48&lt;=depr_length+1),$B$78*INDEX(MACRS_Table,MATCH(C48,recovery_year,0),MATCH($B$43,recovery_period,0)),"")))</f>
        <v/>
      </c>
      <c r="D78" s="107" t="str">
        <f t="shared" si="32"/>
        <v/>
      </c>
      <c r="E78" s="107" t="str">
        <f t="shared" si="32"/>
        <v/>
      </c>
      <c r="F78" s="107" t="str">
        <f t="shared" si="32"/>
        <v/>
      </c>
      <c r="G78" s="107" t="str">
        <f t="shared" si="32"/>
        <v/>
      </c>
      <c r="H78" s="107" t="str">
        <f t="shared" si="32"/>
        <v/>
      </c>
      <c r="I78" s="107" t="str">
        <f t="shared" si="32"/>
        <v/>
      </c>
      <c r="J78" s="107" t="str">
        <f t="shared" si="32"/>
        <v/>
      </c>
      <c r="K78" s="107" t="str">
        <f t="shared" si="32"/>
        <v/>
      </c>
      <c r="L78" s="107" t="str">
        <f t="shared" si="32"/>
        <v/>
      </c>
      <c r="M78" s="107" t="str">
        <f t="shared" si="32"/>
        <v/>
      </c>
      <c r="N78" s="107" t="str">
        <f t="shared" si="32"/>
        <v/>
      </c>
      <c r="O78" s="107" t="str">
        <f t="shared" si="32"/>
        <v/>
      </c>
      <c r="P78" s="107" t="str">
        <f t="shared" si="32"/>
        <v/>
      </c>
      <c r="Q78" s="107" t="str">
        <f t="shared" si="32"/>
        <v/>
      </c>
      <c r="R78" s="107" t="str">
        <f t="shared" si="32"/>
        <v/>
      </c>
      <c r="S78" s="107" t="str">
        <f t="shared" si="32"/>
        <v/>
      </c>
      <c r="T78" s="107" t="str">
        <f t="shared" si="32"/>
        <v/>
      </c>
      <c r="U78" s="107" t="str">
        <f t="shared" si="32"/>
        <v/>
      </c>
      <c r="V78" s="107" t="str">
        <f t="shared" si="32"/>
        <v/>
      </c>
      <c r="W78" s="108" t="str">
        <f t="shared" si="32"/>
        <v/>
      </c>
      <c r="X78" s="105">
        <f t="shared" si="3"/>
        <v>0</v>
      </c>
    </row>
    <row r="79" spans="1:24" ht="15" customHeight="1" x14ac:dyDescent="0.25">
      <c r="A79" s="73" t="str">
        <f>IF('Cash Flow Analysis'!C95="","",'Cash Flow Analysis'!C95)</f>
        <v/>
      </c>
      <c r="B79" s="871" t="str">
        <f>IF(A79="","",IF(A79&lt;1,0,IF(A79=1,$B$44-'Cash Flow Analysis'!I95,-'Cash Flow Analysis'!I95)))</f>
        <v/>
      </c>
      <c r="C79" s="106" t="str">
        <f t="shared" ref="C79:W79" si="33">IF($B$79="","",IF(AND($B$42="Straight Line",C48&lt;=depr_length),$B$79/depr_length,IF(AND($B$42="MACRS",C48&lt;=depr_length+1),$B$79*INDEX(MACRS_Table,MATCH(C48,recovery_year,0),MATCH($B$43,recovery_period,0)),"")))</f>
        <v/>
      </c>
      <c r="D79" s="107" t="str">
        <f t="shared" si="33"/>
        <v/>
      </c>
      <c r="E79" s="107" t="str">
        <f t="shared" si="33"/>
        <v/>
      </c>
      <c r="F79" s="107" t="str">
        <f t="shared" si="33"/>
        <v/>
      </c>
      <c r="G79" s="107" t="str">
        <f t="shared" si="33"/>
        <v/>
      </c>
      <c r="H79" s="107" t="str">
        <f t="shared" si="33"/>
        <v/>
      </c>
      <c r="I79" s="107" t="str">
        <f t="shared" si="33"/>
        <v/>
      </c>
      <c r="J79" s="107" t="str">
        <f t="shared" si="33"/>
        <v/>
      </c>
      <c r="K79" s="107" t="str">
        <f t="shared" si="33"/>
        <v/>
      </c>
      <c r="L79" s="107" t="str">
        <f t="shared" si="33"/>
        <v/>
      </c>
      <c r="M79" s="107" t="str">
        <f t="shared" si="33"/>
        <v/>
      </c>
      <c r="N79" s="107" t="str">
        <f t="shared" si="33"/>
        <v/>
      </c>
      <c r="O79" s="107" t="str">
        <f t="shared" si="33"/>
        <v/>
      </c>
      <c r="P79" s="107" t="str">
        <f t="shared" si="33"/>
        <v/>
      </c>
      <c r="Q79" s="107" t="str">
        <f t="shared" si="33"/>
        <v/>
      </c>
      <c r="R79" s="107" t="str">
        <f t="shared" si="33"/>
        <v/>
      </c>
      <c r="S79" s="107" t="str">
        <f t="shared" si="33"/>
        <v/>
      </c>
      <c r="T79" s="107" t="str">
        <f t="shared" si="33"/>
        <v/>
      </c>
      <c r="U79" s="107" t="str">
        <f t="shared" si="33"/>
        <v/>
      </c>
      <c r="V79" s="107" t="str">
        <f t="shared" si="33"/>
        <v/>
      </c>
      <c r="W79" s="108" t="str">
        <f t="shared" si="33"/>
        <v/>
      </c>
      <c r="X79" s="105">
        <f t="shared" si="3"/>
        <v>0</v>
      </c>
    </row>
    <row r="80" spans="1:24" ht="15" customHeight="1" x14ac:dyDescent="0.25">
      <c r="A80" s="73" t="str">
        <f>IF('Cash Flow Analysis'!C96="","",'Cash Flow Analysis'!C96)</f>
        <v/>
      </c>
      <c r="B80" s="871" t="str">
        <f>IF(A80="","",IF(A80&lt;1,0,IF(A80=1,$B$44-'Cash Flow Analysis'!I96,-'Cash Flow Analysis'!I96)))</f>
        <v/>
      </c>
      <c r="C80" s="106" t="str">
        <f t="shared" ref="C80:W80" si="34">IF($B$80="","",IF(AND($B$42="Straight Line",C48&lt;=depr_length),$B$80/depr_length,IF(AND($B$42="MACRS",C48&lt;=depr_length+1),$B$80*INDEX(MACRS_Table,MATCH(C48,recovery_year,0),MATCH($B$43,recovery_period,0)),"")))</f>
        <v/>
      </c>
      <c r="D80" s="107" t="str">
        <f t="shared" si="34"/>
        <v/>
      </c>
      <c r="E80" s="107" t="str">
        <f t="shared" si="34"/>
        <v/>
      </c>
      <c r="F80" s="107" t="str">
        <f t="shared" si="34"/>
        <v/>
      </c>
      <c r="G80" s="107" t="str">
        <f t="shared" si="34"/>
        <v/>
      </c>
      <c r="H80" s="107" t="str">
        <f t="shared" si="34"/>
        <v/>
      </c>
      <c r="I80" s="107" t="str">
        <f t="shared" si="34"/>
        <v/>
      </c>
      <c r="J80" s="107" t="str">
        <f t="shared" si="34"/>
        <v/>
      </c>
      <c r="K80" s="107" t="str">
        <f t="shared" si="34"/>
        <v/>
      </c>
      <c r="L80" s="107" t="str">
        <f t="shared" si="34"/>
        <v/>
      </c>
      <c r="M80" s="107" t="str">
        <f t="shared" si="34"/>
        <v/>
      </c>
      <c r="N80" s="107" t="str">
        <f t="shared" si="34"/>
        <v/>
      </c>
      <c r="O80" s="107" t="str">
        <f t="shared" si="34"/>
        <v/>
      </c>
      <c r="P80" s="107" t="str">
        <f t="shared" si="34"/>
        <v/>
      </c>
      <c r="Q80" s="107" t="str">
        <f t="shared" si="34"/>
        <v/>
      </c>
      <c r="R80" s="107" t="str">
        <f t="shared" si="34"/>
        <v/>
      </c>
      <c r="S80" s="107" t="str">
        <f t="shared" si="34"/>
        <v/>
      </c>
      <c r="T80" s="107" t="str">
        <f t="shared" si="34"/>
        <v/>
      </c>
      <c r="U80" s="107" t="str">
        <f t="shared" si="34"/>
        <v/>
      </c>
      <c r="V80" s="107" t="str">
        <f t="shared" si="34"/>
        <v/>
      </c>
      <c r="W80" s="108" t="str">
        <f t="shared" si="34"/>
        <v/>
      </c>
      <c r="X80" s="105">
        <f t="shared" si="3"/>
        <v>0</v>
      </c>
    </row>
    <row r="81" spans="1:24" ht="15" customHeight="1" x14ac:dyDescent="0.25">
      <c r="A81" s="73" t="str">
        <f>IF('Cash Flow Analysis'!C97="","",'Cash Flow Analysis'!C97)</f>
        <v/>
      </c>
      <c r="B81" s="871" t="str">
        <f>IF(A81="","",IF(A81&lt;1,0,IF(A81=1,$B$44-'Cash Flow Analysis'!I97,-'Cash Flow Analysis'!I97)))</f>
        <v/>
      </c>
      <c r="C81" s="106" t="str">
        <f t="shared" ref="C81:W81" si="35">IF($B$81="","",IF(AND($B$42="Straight Line",C48&lt;=depr_length),$B$81/depr_length,IF(AND($B$42="MACRS",C48&lt;=depr_length+1),$B$81*INDEX(MACRS_Table,MATCH(C48,recovery_year,0),MATCH($B$43,recovery_period,0)),"")))</f>
        <v/>
      </c>
      <c r="D81" s="107" t="str">
        <f t="shared" si="35"/>
        <v/>
      </c>
      <c r="E81" s="107" t="str">
        <f t="shared" si="35"/>
        <v/>
      </c>
      <c r="F81" s="107" t="str">
        <f t="shared" si="35"/>
        <v/>
      </c>
      <c r="G81" s="107" t="str">
        <f t="shared" si="35"/>
        <v/>
      </c>
      <c r="H81" s="107" t="str">
        <f t="shared" si="35"/>
        <v/>
      </c>
      <c r="I81" s="107" t="str">
        <f t="shared" si="35"/>
        <v/>
      </c>
      <c r="J81" s="107" t="str">
        <f t="shared" si="35"/>
        <v/>
      </c>
      <c r="K81" s="107" t="str">
        <f t="shared" si="35"/>
        <v/>
      </c>
      <c r="L81" s="107" t="str">
        <f t="shared" si="35"/>
        <v/>
      </c>
      <c r="M81" s="107" t="str">
        <f t="shared" si="35"/>
        <v/>
      </c>
      <c r="N81" s="107" t="str">
        <f t="shared" si="35"/>
        <v/>
      </c>
      <c r="O81" s="107" t="str">
        <f t="shared" si="35"/>
        <v/>
      </c>
      <c r="P81" s="107" t="str">
        <f t="shared" si="35"/>
        <v/>
      </c>
      <c r="Q81" s="107" t="str">
        <f t="shared" si="35"/>
        <v/>
      </c>
      <c r="R81" s="107" t="str">
        <f t="shared" si="35"/>
        <v/>
      </c>
      <c r="S81" s="107" t="str">
        <f t="shared" si="35"/>
        <v/>
      </c>
      <c r="T81" s="107" t="str">
        <f t="shared" si="35"/>
        <v/>
      </c>
      <c r="U81" s="107" t="str">
        <f t="shared" si="35"/>
        <v/>
      </c>
      <c r="V81" s="107" t="str">
        <f t="shared" si="35"/>
        <v/>
      </c>
      <c r="W81" s="108" t="str">
        <f t="shared" si="35"/>
        <v/>
      </c>
      <c r="X81" s="105">
        <f t="shared" si="3"/>
        <v>0</v>
      </c>
    </row>
    <row r="82" spans="1:24" ht="15" customHeight="1" x14ac:dyDescent="0.25">
      <c r="A82" s="73" t="str">
        <f>IF('Cash Flow Analysis'!C98="","",'Cash Flow Analysis'!C98)</f>
        <v/>
      </c>
      <c r="B82" s="871" t="str">
        <f>IF(A82="","",IF(A82&lt;1,0,IF(A82=1,$B$44-'Cash Flow Analysis'!I98,-'Cash Flow Analysis'!I98)))</f>
        <v/>
      </c>
      <c r="C82" s="106" t="str">
        <f t="shared" ref="C82:W82" si="36">IF($B$82="","",IF(AND($B$42="Straight Line",C48&lt;=depr_length),$B$82/depr_length,IF(AND($B$42="MACRS",C48&lt;=depr_length+1),$B$82*INDEX(MACRS_Table,MATCH(C48,recovery_year,0),MATCH($B$43,recovery_period,0)),"")))</f>
        <v/>
      </c>
      <c r="D82" s="107" t="str">
        <f t="shared" si="36"/>
        <v/>
      </c>
      <c r="E82" s="107" t="str">
        <f t="shared" si="36"/>
        <v/>
      </c>
      <c r="F82" s="107" t="str">
        <f t="shared" si="36"/>
        <v/>
      </c>
      <c r="G82" s="107" t="str">
        <f t="shared" si="36"/>
        <v/>
      </c>
      <c r="H82" s="107" t="str">
        <f t="shared" si="36"/>
        <v/>
      </c>
      <c r="I82" s="107" t="str">
        <f t="shared" si="36"/>
        <v/>
      </c>
      <c r="J82" s="107" t="str">
        <f t="shared" si="36"/>
        <v/>
      </c>
      <c r="K82" s="107" t="str">
        <f t="shared" si="36"/>
        <v/>
      </c>
      <c r="L82" s="107" t="str">
        <f t="shared" si="36"/>
        <v/>
      </c>
      <c r="M82" s="107" t="str">
        <f t="shared" si="36"/>
        <v/>
      </c>
      <c r="N82" s="107" t="str">
        <f t="shared" si="36"/>
        <v/>
      </c>
      <c r="O82" s="107" t="str">
        <f t="shared" si="36"/>
        <v/>
      </c>
      <c r="P82" s="107" t="str">
        <f t="shared" si="36"/>
        <v/>
      </c>
      <c r="Q82" s="107" t="str">
        <f t="shared" si="36"/>
        <v/>
      </c>
      <c r="R82" s="107" t="str">
        <f t="shared" si="36"/>
        <v/>
      </c>
      <c r="S82" s="107" t="str">
        <f t="shared" si="36"/>
        <v/>
      </c>
      <c r="T82" s="107" t="str">
        <f t="shared" si="36"/>
        <v/>
      </c>
      <c r="U82" s="107" t="str">
        <f t="shared" si="36"/>
        <v/>
      </c>
      <c r="V82" s="107" t="str">
        <f t="shared" si="36"/>
        <v/>
      </c>
      <c r="W82" s="108" t="str">
        <f t="shared" si="36"/>
        <v/>
      </c>
      <c r="X82" s="105">
        <f t="shared" si="3"/>
        <v>0</v>
      </c>
    </row>
    <row r="83" spans="1:24" ht="15" customHeight="1" x14ac:dyDescent="0.25">
      <c r="A83" s="73" t="str">
        <f>IF('Cash Flow Analysis'!C99="","",'Cash Flow Analysis'!C99)</f>
        <v/>
      </c>
      <c r="B83" s="871" t="str">
        <f>IF(A83="","",IF(A83&lt;1,0,IF(A83=1,$B$44-'Cash Flow Analysis'!I99,-'Cash Flow Analysis'!I99)))</f>
        <v/>
      </c>
      <c r="C83" s="106" t="str">
        <f t="shared" ref="C83:W83" si="37">IF($B$83="","",IF(AND($B$42="Straight Line",C48&lt;=depr_length),$B$83/depr_length,IF(AND($B$42="MACRS",C48&lt;=depr_length+1),$B$83*INDEX(MACRS_Table,MATCH(C48,recovery_year,0),MATCH($B$43,recovery_period,0)),"")))</f>
        <v/>
      </c>
      <c r="D83" s="107" t="str">
        <f t="shared" si="37"/>
        <v/>
      </c>
      <c r="E83" s="107" t="str">
        <f t="shared" si="37"/>
        <v/>
      </c>
      <c r="F83" s="107" t="str">
        <f t="shared" si="37"/>
        <v/>
      </c>
      <c r="G83" s="107" t="str">
        <f t="shared" si="37"/>
        <v/>
      </c>
      <c r="H83" s="107" t="str">
        <f t="shared" si="37"/>
        <v/>
      </c>
      <c r="I83" s="107" t="str">
        <f t="shared" si="37"/>
        <v/>
      </c>
      <c r="J83" s="107" t="str">
        <f t="shared" si="37"/>
        <v/>
      </c>
      <c r="K83" s="107" t="str">
        <f t="shared" si="37"/>
        <v/>
      </c>
      <c r="L83" s="107" t="str">
        <f t="shared" si="37"/>
        <v/>
      </c>
      <c r="M83" s="107" t="str">
        <f t="shared" si="37"/>
        <v/>
      </c>
      <c r="N83" s="107" t="str">
        <f t="shared" si="37"/>
        <v/>
      </c>
      <c r="O83" s="107" t="str">
        <f t="shared" si="37"/>
        <v/>
      </c>
      <c r="P83" s="107" t="str">
        <f t="shared" si="37"/>
        <v/>
      </c>
      <c r="Q83" s="107" t="str">
        <f t="shared" si="37"/>
        <v/>
      </c>
      <c r="R83" s="107" t="str">
        <f t="shared" si="37"/>
        <v/>
      </c>
      <c r="S83" s="107" t="str">
        <f t="shared" si="37"/>
        <v/>
      </c>
      <c r="T83" s="107" t="str">
        <f t="shared" si="37"/>
        <v/>
      </c>
      <c r="U83" s="107" t="str">
        <f t="shared" si="37"/>
        <v/>
      </c>
      <c r="V83" s="107" t="str">
        <f t="shared" si="37"/>
        <v/>
      </c>
      <c r="W83" s="108" t="str">
        <f t="shared" si="37"/>
        <v/>
      </c>
      <c r="X83" s="105">
        <f t="shared" si="3"/>
        <v>0</v>
      </c>
    </row>
    <row r="84" spans="1:24" ht="15" customHeight="1" x14ac:dyDescent="0.25">
      <c r="A84" s="73" t="str">
        <f>IF('Cash Flow Analysis'!C100="","",'Cash Flow Analysis'!C100)</f>
        <v/>
      </c>
      <c r="B84" s="871" t="str">
        <f>IF(A84="","",IF(A84&lt;1,0,IF(A84=1,$B$44-'Cash Flow Analysis'!I100,-'Cash Flow Analysis'!I100)))</f>
        <v/>
      </c>
      <c r="C84" s="106" t="str">
        <f t="shared" ref="C84:W84" si="38">IF($B$84="","",IF(AND($B$42="Straight Line",C48&lt;=depr_length),$B$84/depr_length,IF(AND($B$42="MACRS",C48&lt;=depr_length+1),$B$84*INDEX(MACRS_Table,MATCH(C48,recovery_year,0),MATCH($B$43,recovery_period,0)),"")))</f>
        <v/>
      </c>
      <c r="D84" s="107" t="str">
        <f t="shared" si="38"/>
        <v/>
      </c>
      <c r="E84" s="107" t="str">
        <f t="shared" si="38"/>
        <v/>
      </c>
      <c r="F84" s="107" t="str">
        <f t="shared" si="38"/>
        <v/>
      </c>
      <c r="G84" s="107" t="str">
        <f t="shared" si="38"/>
        <v/>
      </c>
      <c r="H84" s="107" t="str">
        <f t="shared" si="38"/>
        <v/>
      </c>
      <c r="I84" s="107" t="str">
        <f t="shared" si="38"/>
        <v/>
      </c>
      <c r="J84" s="107" t="str">
        <f t="shared" si="38"/>
        <v/>
      </c>
      <c r="K84" s="107" t="str">
        <f t="shared" si="38"/>
        <v/>
      </c>
      <c r="L84" s="107" t="str">
        <f t="shared" si="38"/>
        <v/>
      </c>
      <c r="M84" s="107" t="str">
        <f t="shared" si="38"/>
        <v/>
      </c>
      <c r="N84" s="107" t="str">
        <f t="shared" si="38"/>
        <v/>
      </c>
      <c r="O84" s="107" t="str">
        <f t="shared" si="38"/>
        <v/>
      </c>
      <c r="P84" s="107" t="str">
        <f t="shared" si="38"/>
        <v/>
      </c>
      <c r="Q84" s="107" t="str">
        <f t="shared" si="38"/>
        <v/>
      </c>
      <c r="R84" s="107" t="str">
        <f t="shared" si="38"/>
        <v/>
      </c>
      <c r="S84" s="107" t="str">
        <f t="shared" si="38"/>
        <v/>
      </c>
      <c r="T84" s="107" t="str">
        <f t="shared" si="38"/>
        <v/>
      </c>
      <c r="U84" s="107" t="str">
        <f t="shared" si="38"/>
        <v/>
      </c>
      <c r="V84" s="107" t="str">
        <f t="shared" si="38"/>
        <v/>
      </c>
      <c r="W84" s="108" t="str">
        <f t="shared" si="38"/>
        <v/>
      </c>
      <c r="X84" s="105">
        <f t="shared" si="3"/>
        <v>0</v>
      </c>
    </row>
    <row r="85" spans="1:24" ht="15" customHeight="1" x14ac:dyDescent="0.25">
      <c r="A85" s="73" t="str">
        <f>IF('Cash Flow Analysis'!C101="","",'Cash Flow Analysis'!C101)</f>
        <v/>
      </c>
      <c r="B85" s="871" t="str">
        <f>IF(A85="","",IF(A85&lt;1,0,IF(A85=1,$B$44-'Cash Flow Analysis'!I101,-'Cash Flow Analysis'!I101)))</f>
        <v/>
      </c>
      <c r="C85" s="106" t="str">
        <f t="shared" ref="C85:W85" si="39">IF($B$85="","",IF(AND($B$42="Straight Line",C48&lt;=depr_length),$B$85/depr_length,IF(AND($B$42="MACRS",C48&lt;=depr_length+1),$B$85*INDEX(MACRS_Table,MATCH(C48,recovery_year,0),MATCH($B$43,recovery_period,0)),"")))</f>
        <v/>
      </c>
      <c r="D85" s="107" t="str">
        <f t="shared" si="39"/>
        <v/>
      </c>
      <c r="E85" s="107" t="str">
        <f t="shared" si="39"/>
        <v/>
      </c>
      <c r="F85" s="107" t="str">
        <f t="shared" si="39"/>
        <v/>
      </c>
      <c r="G85" s="107" t="str">
        <f t="shared" si="39"/>
        <v/>
      </c>
      <c r="H85" s="107" t="str">
        <f t="shared" si="39"/>
        <v/>
      </c>
      <c r="I85" s="107" t="str">
        <f t="shared" si="39"/>
        <v/>
      </c>
      <c r="J85" s="107" t="str">
        <f t="shared" si="39"/>
        <v/>
      </c>
      <c r="K85" s="107" t="str">
        <f t="shared" si="39"/>
        <v/>
      </c>
      <c r="L85" s="107" t="str">
        <f t="shared" si="39"/>
        <v/>
      </c>
      <c r="M85" s="107" t="str">
        <f t="shared" si="39"/>
        <v/>
      </c>
      <c r="N85" s="107" t="str">
        <f t="shared" si="39"/>
        <v/>
      </c>
      <c r="O85" s="107" t="str">
        <f t="shared" si="39"/>
        <v/>
      </c>
      <c r="P85" s="107" t="str">
        <f t="shared" si="39"/>
        <v/>
      </c>
      <c r="Q85" s="107" t="str">
        <f t="shared" si="39"/>
        <v/>
      </c>
      <c r="R85" s="107" t="str">
        <f t="shared" si="39"/>
        <v/>
      </c>
      <c r="S85" s="107" t="str">
        <f t="shared" si="39"/>
        <v/>
      </c>
      <c r="T85" s="107" t="str">
        <f t="shared" si="39"/>
        <v/>
      </c>
      <c r="U85" s="107" t="str">
        <f t="shared" si="39"/>
        <v/>
      </c>
      <c r="V85" s="107" t="str">
        <f t="shared" si="39"/>
        <v/>
      </c>
      <c r="W85" s="108" t="str">
        <f t="shared" si="39"/>
        <v/>
      </c>
      <c r="X85" s="105">
        <f t="shared" si="3"/>
        <v>0</v>
      </c>
    </row>
    <row r="86" spans="1:24" ht="15" customHeight="1" x14ac:dyDescent="0.25">
      <c r="A86" s="73" t="str">
        <f>IF('Cash Flow Analysis'!C102="","",'Cash Flow Analysis'!C102)</f>
        <v/>
      </c>
      <c r="B86" s="871" t="str">
        <f>IF(A86="","",IF(A86&lt;1,0,IF(A86=1,$B$44-'Cash Flow Analysis'!I102,-'Cash Flow Analysis'!I102)))</f>
        <v/>
      </c>
      <c r="C86" s="106" t="str">
        <f t="shared" ref="C86:W86" si="40">IF($B$86="","",IF(AND($B$42="Straight Line",C48&lt;=depr_length),$B$86/depr_length,IF(AND($B$42="MACRS",C48&lt;=depr_length+1),$B$86*INDEX(MACRS_Table,MATCH(C48,recovery_year,0),MATCH($B$43,recovery_period,0)),"")))</f>
        <v/>
      </c>
      <c r="D86" s="107" t="str">
        <f t="shared" si="40"/>
        <v/>
      </c>
      <c r="E86" s="107" t="str">
        <f t="shared" si="40"/>
        <v/>
      </c>
      <c r="F86" s="107" t="str">
        <f t="shared" si="40"/>
        <v/>
      </c>
      <c r="G86" s="107" t="str">
        <f t="shared" si="40"/>
        <v/>
      </c>
      <c r="H86" s="107" t="str">
        <f t="shared" si="40"/>
        <v/>
      </c>
      <c r="I86" s="107" t="str">
        <f t="shared" si="40"/>
        <v/>
      </c>
      <c r="J86" s="107" t="str">
        <f t="shared" si="40"/>
        <v/>
      </c>
      <c r="K86" s="107" t="str">
        <f t="shared" si="40"/>
        <v/>
      </c>
      <c r="L86" s="107" t="str">
        <f t="shared" si="40"/>
        <v/>
      </c>
      <c r="M86" s="107" t="str">
        <f t="shared" si="40"/>
        <v/>
      </c>
      <c r="N86" s="107" t="str">
        <f t="shared" si="40"/>
        <v/>
      </c>
      <c r="O86" s="107" t="str">
        <f t="shared" si="40"/>
        <v/>
      </c>
      <c r="P86" s="107" t="str">
        <f t="shared" si="40"/>
        <v/>
      </c>
      <c r="Q86" s="107" t="str">
        <f t="shared" si="40"/>
        <v/>
      </c>
      <c r="R86" s="107" t="str">
        <f t="shared" si="40"/>
        <v/>
      </c>
      <c r="S86" s="107" t="str">
        <f t="shared" si="40"/>
        <v/>
      </c>
      <c r="T86" s="107" t="str">
        <f t="shared" si="40"/>
        <v/>
      </c>
      <c r="U86" s="107" t="str">
        <f t="shared" si="40"/>
        <v/>
      </c>
      <c r="V86" s="107" t="str">
        <f t="shared" si="40"/>
        <v/>
      </c>
      <c r="W86" s="108" t="str">
        <f t="shared" si="40"/>
        <v/>
      </c>
      <c r="X86" s="105">
        <f t="shared" si="3"/>
        <v>0</v>
      </c>
    </row>
    <row r="87" spans="1:24" ht="15" customHeight="1" x14ac:dyDescent="0.25">
      <c r="A87" s="73" t="str">
        <f>IF('Cash Flow Analysis'!C103="","",'Cash Flow Analysis'!C103)</f>
        <v/>
      </c>
      <c r="B87" s="871" t="str">
        <f>IF(A87="","",IF(A87&lt;1,0,IF(A87=1,$B$44-'Cash Flow Analysis'!I103,-'Cash Flow Analysis'!I103)))</f>
        <v/>
      </c>
      <c r="C87" s="106" t="str">
        <f t="shared" ref="C87:W87" si="41">IF($B$87="","",IF(AND($B$42="Straight Line",C48&lt;=depr_length),$B$87/depr_length,IF(AND($B$42="MACRS",C48&lt;=depr_length+1),$B$87*INDEX(MACRS_Table,MATCH(C48,recovery_year,0),MATCH($B$43,recovery_period,0)),"")))</f>
        <v/>
      </c>
      <c r="D87" s="107" t="str">
        <f t="shared" si="41"/>
        <v/>
      </c>
      <c r="E87" s="107" t="str">
        <f t="shared" si="41"/>
        <v/>
      </c>
      <c r="F87" s="107" t="str">
        <f t="shared" si="41"/>
        <v/>
      </c>
      <c r="G87" s="107" t="str">
        <f t="shared" si="41"/>
        <v/>
      </c>
      <c r="H87" s="107" t="str">
        <f t="shared" si="41"/>
        <v/>
      </c>
      <c r="I87" s="107" t="str">
        <f t="shared" si="41"/>
        <v/>
      </c>
      <c r="J87" s="107" t="str">
        <f t="shared" si="41"/>
        <v/>
      </c>
      <c r="K87" s="107" t="str">
        <f t="shared" si="41"/>
        <v/>
      </c>
      <c r="L87" s="107" t="str">
        <f t="shared" si="41"/>
        <v/>
      </c>
      <c r="M87" s="107" t="str">
        <f t="shared" si="41"/>
        <v/>
      </c>
      <c r="N87" s="107" t="str">
        <f t="shared" si="41"/>
        <v/>
      </c>
      <c r="O87" s="107" t="str">
        <f t="shared" si="41"/>
        <v/>
      </c>
      <c r="P87" s="107" t="str">
        <f t="shared" si="41"/>
        <v/>
      </c>
      <c r="Q87" s="107" t="str">
        <f t="shared" si="41"/>
        <v/>
      </c>
      <c r="R87" s="107" t="str">
        <f t="shared" si="41"/>
        <v/>
      </c>
      <c r="S87" s="107" t="str">
        <f t="shared" si="41"/>
        <v/>
      </c>
      <c r="T87" s="107" t="str">
        <f t="shared" si="41"/>
        <v/>
      </c>
      <c r="U87" s="107" t="str">
        <f t="shared" si="41"/>
        <v/>
      </c>
      <c r="V87" s="107" t="str">
        <f t="shared" si="41"/>
        <v/>
      </c>
      <c r="W87" s="108" t="str">
        <f t="shared" si="41"/>
        <v/>
      </c>
      <c r="X87" s="105">
        <f t="shared" si="3"/>
        <v>0</v>
      </c>
    </row>
    <row r="88" spans="1:24" ht="15" customHeight="1" x14ac:dyDescent="0.25">
      <c r="A88" s="73" t="str">
        <f>IF('Cash Flow Analysis'!C104="","",'Cash Flow Analysis'!C104)</f>
        <v/>
      </c>
      <c r="B88" s="871" t="str">
        <f>IF(A88="","",IF(A88&lt;1,0,IF(A88=1,$B$44-'Cash Flow Analysis'!I104,-'Cash Flow Analysis'!I104)))</f>
        <v/>
      </c>
      <c r="C88" s="106" t="str">
        <f t="shared" ref="C88:W88" si="42">IF($B$88="","",IF(AND($B$42="Straight Line",C48&lt;=depr_length),$B$88/depr_length,IF(AND($B$42="MACRS",C48&lt;=depr_length+1),$B$88*INDEX(MACRS_Table,MATCH(C48,recovery_year,0),MATCH($B$43,recovery_period,0)),"")))</f>
        <v/>
      </c>
      <c r="D88" s="107" t="str">
        <f t="shared" si="42"/>
        <v/>
      </c>
      <c r="E88" s="107" t="str">
        <f t="shared" si="42"/>
        <v/>
      </c>
      <c r="F88" s="107" t="str">
        <f t="shared" si="42"/>
        <v/>
      </c>
      <c r="G88" s="107" t="str">
        <f t="shared" si="42"/>
        <v/>
      </c>
      <c r="H88" s="107" t="str">
        <f t="shared" si="42"/>
        <v/>
      </c>
      <c r="I88" s="107" t="str">
        <f t="shared" si="42"/>
        <v/>
      </c>
      <c r="J88" s="107" t="str">
        <f t="shared" si="42"/>
        <v/>
      </c>
      <c r="K88" s="107" t="str">
        <f t="shared" si="42"/>
        <v/>
      </c>
      <c r="L88" s="107" t="str">
        <f t="shared" si="42"/>
        <v/>
      </c>
      <c r="M88" s="107" t="str">
        <f t="shared" si="42"/>
        <v/>
      </c>
      <c r="N88" s="107" t="str">
        <f t="shared" si="42"/>
        <v/>
      </c>
      <c r="O88" s="107" t="str">
        <f t="shared" si="42"/>
        <v/>
      </c>
      <c r="P88" s="107" t="str">
        <f t="shared" si="42"/>
        <v/>
      </c>
      <c r="Q88" s="107" t="str">
        <f t="shared" si="42"/>
        <v/>
      </c>
      <c r="R88" s="107" t="str">
        <f t="shared" si="42"/>
        <v/>
      </c>
      <c r="S88" s="107" t="str">
        <f t="shared" si="42"/>
        <v/>
      </c>
      <c r="T88" s="107" t="str">
        <f t="shared" si="42"/>
        <v/>
      </c>
      <c r="U88" s="107" t="str">
        <f t="shared" si="42"/>
        <v/>
      </c>
      <c r="V88" s="107" t="str">
        <f t="shared" si="42"/>
        <v/>
      </c>
      <c r="W88" s="108" t="str">
        <f t="shared" si="42"/>
        <v/>
      </c>
      <c r="X88" s="105">
        <f t="shared" si="3"/>
        <v>0</v>
      </c>
    </row>
    <row r="89" spans="1:24" ht="15" customHeight="1" x14ac:dyDescent="0.25">
      <c r="A89" s="73" t="str">
        <f>IF('Cash Flow Analysis'!C105="","",'Cash Flow Analysis'!C105)</f>
        <v/>
      </c>
      <c r="B89" s="871" t="str">
        <f>IF(A89="","",IF(A89&lt;1,0,IF(A89=1,$B$44-'Cash Flow Analysis'!I105,-'Cash Flow Analysis'!I105)))</f>
        <v/>
      </c>
      <c r="C89" s="106" t="str">
        <f t="shared" ref="C89:W89" si="43">IF($B$89="","",IF(AND($B$42="Straight Line",C48&lt;=depr_length),$B$89/depr_length,IF(AND($B$42="MACRS",C48&lt;=depr_length+1),$B$89*INDEX(MACRS_Table,MATCH(C48,recovery_year,0),MATCH($B$43,recovery_period,0)),"")))</f>
        <v/>
      </c>
      <c r="D89" s="107" t="str">
        <f t="shared" si="43"/>
        <v/>
      </c>
      <c r="E89" s="107" t="str">
        <f t="shared" si="43"/>
        <v/>
      </c>
      <c r="F89" s="107" t="str">
        <f t="shared" si="43"/>
        <v/>
      </c>
      <c r="G89" s="107" t="str">
        <f t="shared" si="43"/>
        <v/>
      </c>
      <c r="H89" s="107" t="str">
        <f t="shared" si="43"/>
        <v/>
      </c>
      <c r="I89" s="107" t="str">
        <f t="shared" si="43"/>
        <v/>
      </c>
      <c r="J89" s="107" t="str">
        <f t="shared" si="43"/>
        <v/>
      </c>
      <c r="K89" s="107" t="str">
        <f t="shared" si="43"/>
        <v/>
      </c>
      <c r="L89" s="107" t="str">
        <f t="shared" si="43"/>
        <v/>
      </c>
      <c r="M89" s="107" t="str">
        <f t="shared" si="43"/>
        <v/>
      </c>
      <c r="N89" s="107" t="str">
        <f t="shared" si="43"/>
        <v/>
      </c>
      <c r="O89" s="107" t="str">
        <f t="shared" si="43"/>
        <v/>
      </c>
      <c r="P89" s="107" t="str">
        <f t="shared" si="43"/>
        <v/>
      </c>
      <c r="Q89" s="107" t="str">
        <f t="shared" si="43"/>
        <v/>
      </c>
      <c r="R89" s="107" t="str">
        <f t="shared" si="43"/>
        <v/>
      </c>
      <c r="S89" s="107" t="str">
        <f t="shared" si="43"/>
        <v/>
      </c>
      <c r="T89" s="107" t="str">
        <f t="shared" si="43"/>
        <v/>
      </c>
      <c r="U89" s="107" t="str">
        <f t="shared" si="43"/>
        <v/>
      </c>
      <c r="V89" s="107" t="str">
        <f t="shared" si="43"/>
        <v/>
      </c>
      <c r="W89" s="108" t="str">
        <f t="shared" si="43"/>
        <v/>
      </c>
      <c r="X89" s="105">
        <f t="shared" si="3"/>
        <v>0</v>
      </c>
    </row>
    <row r="90" spans="1:24" ht="15" customHeight="1" x14ac:dyDescent="0.25">
      <c r="A90" s="73" t="str">
        <f>IF('Cash Flow Analysis'!C106="","",'Cash Flow Analysis'!C106)</f>
        <v/>
      </c>
      <c r="B90" s="871" t="str">
        <f>IF(A90="","",IF(A90&lt;1,0,IF(A90=1,$B$44-'Cash Flow Analysis'!I106,-'Cash Flow Analysis'!I106)))</f>
        <v/>
      </c>
      <c r="C90" s="106" t="str">
        <f t="shared" ref="C90:W90" si="44">IF($B$90="","",IF(AND($B$42="Straight Line",C48&lt;=depr_length),$B$90/depr_length,IF(AND($B$42="MACRS",C48&lt;=depr_length+1),$B$90*INDEX(MACRS_Table,MATCH(C48,recovery_year,0),MATCH($B$43,recovery_period,0)),"")))</f>
        <v/>
      </c>
      <c r="D90" s="107" t="str">
        <f t="shared" si="44"/>
        <v/>
      </c>
      <c r="E90" s="107" t="str">
        <f t="shared" si="44"/>
        <v/>
      </c>
      <c r="F90" s="107" t="str">
        <f t="shared" si="44"/>
        <v/>
      </c>
      <c r="G90" s="107" t="str">
        <f t="shared" si="44"/>
        <v/>
      </c>
      <c r="H90" s="107" t="str">
        <f t="shared" si="44"/>
        <v/>
      </c>
      <c r="I90" s="107" t="str">
        <f t="shared" si="44"/>
        <v/>
      </c>
      <c r="J90" s="107" t="str">
        <f t="shared" si="44"/>
        <v/>
      </c>
      <c r="K90" s="107" t="str">
        <f t="shared" si="44"/>
        <v/>
      </c>
      <c r="L90" s="107" t="str">
        <f t="shared" si="44"/>
        <v/>
      </c>
      <c r="M90" s="107" t="str">
        <f t="shared" si="44"/>
        <v/>
      </c>
      <c r="N90" s="107" t="str">
        <f t="shared" si="44"/>
        <v/>
      </c>
      <c r="O90" s="107" t="str">
        <f t="shared" si="44"/>
        <v/>
      </c>
      <c r="P90" s="107" t="str">
        <f t="shared" si="44"/>
        <v/>
      </c>
      <c r="Q90" s="107" t="str">
        <f t="shared" si="44"/>
        <v/>
      </c>
      <c r="R90" s="107" t="str">
        <f t="shared" si="44"/>
        <v/>
      </c>
      <c r="S90" s="107" t="str">
        <f t="shared" si="44"/>
        <v/>
      </c>
      <c r="T90" s="107" t="str">
        <f t="shared" si="44"/>
        <v/>
      </c>
      <c r="U90" s="107" t="str">
        <f t="shared" si="44"/>
        <v/>
      </c>
      <c r="V90" s="107" t="str">
        <f t="shared" si="44"/>
        <v/>
      </c>
      <c r="W90" s="108" t="str">
        <f t="shared" si="44"/>
        <v/>
      </c>
      <c r="X90" s="105">
        <f t="shared" si="3"/>
        <v>0</v>
      </c>
    </row>
    <row r="91" spans="1:24" ht="15" customHeight="1" x14ac:dyDescent="0.25">
      <c r="A91" s="73" t="str">
        <f>IF('Cash Flow Analysis'!C107="","",'Cash Flow Analysis'!C107)</f>
        <v/>
      </c>
      <c r="B91" s="871" t="str">
        <f>IF(A91="","",IF(A91&lt;1,0,IF(A91=1,$B$44-'Cash Flow Analysis'!I107,-'Cash Flow Analysis'!I107)))</f>
        <v/>
      </c>
      <c r="C91" s="106" t="str">
        <f t="shared" ref="C91:W91" si="45">IF($B$91="","",IF(AND($B$42="Straight Line",C48&lt;=depr_length),$B$91/depr_length,IF(AND($B$42="MACRS",C48&lt;=depr_length+1),$B$91*INDEX(MACRS_Table,MATCH(C48,recovery_year,0),MATCH($B$43,recovery_period,0)),"")))</f>
        <v/>
      </c>
      <c r="D91" s="107" t="str">
        <f t="shared" si="45"/>
        <v/>
      </c>
      <c r="E91" s="107" t="str">
        <f t="shared" si="45"/>
        <v/>
      </c>
      <c r="F91" s="107" t="str">
        <f t="shared" si="45"/>
        <v/>
      </c>
      <c r="G91" s="107" t="str">
        <f t="shared" si="45"/>
        <v/>
      </c>
      <c r="H91" s="107" t="str">
        <f t="shared" si="45"/>
        <v/>
      </c>
      <c r="I91" s="107" t="str">
        <f t="shared" si="45"/>
        <v/>
      </c>
      <c r="J91" s="107" t="str">
        <f t="shared" si="45"/>
        <v/>
      </c>
      <c r="K91" s="107" t="str">
        <f t="shared" si="45"/>
        <v/>
      </c>
      <c r="L91" s="107" t="str">
        <f t="shared" si="45"/>
        <v/>
      </c>
      <c r="M91" s="107" t="str">
        <f t="shared" si="45"/>
        <v/>
      </c>
      <c r="N91" s="107" t="str">
        <f t="shared" si="45"/>
        <v/>
      </c>
      <c r="O91" s="107" t="str">
        <f t="shared" si="45"/>
        <v/>
      </c>
      <c r="P91" s="107" t="str">
        <f t="shared" si="45"/>
        <v/>
      </c>
      <c r="Q91" s="107" t="str">
        <f t="shared" si="45"/>
        <v/>
      </c>
      <c r="R91" s="107" t="str">
        <f t="shared" si="45"/>
        <v/>
      </c>
      <c r="S91" s="107" t="str">
        <f t="shared" si="45"/>
        <v/>
      </c>
      <c r="T91" s="107" t="str">
        <f t="shared" si="45"/>
        <v/>
      </c>
      <c r="U91" s="107" t="str">
        <f t="shared" si="45"/>
        <v/>
      </c>
      <c r="V91" s="107" t="str">
        <f t="shared" si="45"/>
        <v/>
      </c>
      <c r="W91" s="108" t="str">
        <f t="shared" si="45"/>
        <v/>
      </c>
      <c r="X91" s="105">
        <f t="shared" si="3"/>
        <v>0</v>
      </c>
    </row>
    <row r="92" spans="1:24" ht="15" customHeight="1" thickBot="1" x14ac:dyDescent="0.3">
      <c r="A92" s="77" t="str">
        <f>IF('Cash Flow Analysis'!C108="","",'Cash Flow Analysis'!C108)</f>
        <v/>
      </c>
      <c r="B92" s="871" t="str">
        <f>IF(A92="","",IF(A92&lt;1,0,IF(A92=1,$B$44-'Cash Flow Analysis'!I108,-'Cash Flow Analysis'!I108)))</f>
        <v/>
      </c>
      <c r="C92" s="109" t="str">
        <f t="shared" ref="C92:W92" si="46">IF($B$92="","",IF(AND($B$42="Straight Line",C48&lt;=depr_length),$B$92/depr_length,IF(AND($B$42="MACRS",C48&lt;=depr_length+1),$B$92*INDEX(MACRS_Table,MATCH(C48,recovery_year,0),MATCH($B$43,recovery_period,0)),"")))</f>
        <v/>
      </c>
      <c r="D92" s="110" t="str">
        <f t="shared" si="46"/>
        <v/>
      </c>
      <c r="E92" s="110" t="str">
        <f t="shared" si="46"/>
        <v/>
      </c>
      <c r="F92" s="110" t="str">
        <f t="shared" si="46"/>
        <v/>
      </c>
      <c r="G92" s="110" t="str">
        <f t="shared" si="46"/>
        <v/>
      </c>
      <c r="H92" s="110" t="str">
        <f t="shared" si="46"/>
        <v/>
      </c>
      <c r="I92" s="110" t="str">
        <f t="shared" si="46"/>
        <v/>
      </c>
      <c r="J92" s="110" t="str">
        <f t="shared" si="46"/>
        <v/>
      </c>
      <c r="K92" s="110" t="str">
        <f t="shared" si="46"/>
        <v/>
      </c>
      <c r="L92" s="110" t="str">
        <f t="shared" si="46"/>
        <v/>
      </c>
      <c r="M92" s="110" t="str">
        <f t="shared" si="46"/>
        <v/>
      </c>
      <c r="N92" s="110" t="str">
        <f t="shared" si="46"/>
        <v/>
      </c>
      <c r="O92" s="110" t="str">
        <f t="shared" si="46"/>
        <v/>
      </c>
      <c r="P92" s="110" t="str">
        <f t="shared" si="46"/>
        <v/>
      </c>
      <c r="Q92" s="110" t="str">
        <f t="shared" si="46"/>
        <v/>
      </c>
      <c r="R92" s="110" t="str">
        <f t="shared" si="46"/>
        <v/>
      </c>
      <c r="S92" s="110" t="str">
        <f t="shared" si="46"/>
        <v/>
      </c>
      <c r="T92" s="110" t="str">
        <f t="shared" si="46"/>
        <v/>
      </c>
      <c r="U92" s="110" t="str">
        <f t="shared" si="46"/>
        <v/>
      </c>
      <c r="V92" s="110" t="str">
        <f t="shared" si="46"/>
        <v/>
      </c>
      <c r="W92" s="95" t="str">
        <f t="shared" si="46"/>
        <v/>
      </c>
      <c r="X92" s="111">
        <f t="shared" si="3"/>
        <v>0</v>
      </c>
    </row>
    <row r="93" spans="1:24" s="37" customFormat="1" ht="15" customHeight="1" thickTop="1" x14ac:dyDescent="0.25">
      <c r="A93" s="43"/>
      <c r="B93" s="112"/>
      <c r="C93" s="112"/>
      <c r="D93" s="112"/>
      <c r="E93" s="112"/>
      <c r="F93" s="112"/>
      <c r="G93" s="112"/>
      <c r="H93" s="112"/>
      <c r="I93" s="112"/>
      <c r="J93" s="112"/>
      <c r="K93" s="112"/>
      <c r="L93" s="112"/>
      <c r="M93" s="112"/>
      <c r="N93" s="112"/>
      <c r="O93" s="112"/>
      <c r="P93" s="112"/>
      <c r="Q93" s="112"/>
      <c r="R93" s="112"/>
      <c r="S93" s="112"/>
      <c r="T93" s="112"/>
      <c r="U93" s="112"/>
      <c r="V93" s="112"/>
      <c r="W93" s="112"/>
      <c r="X93" s="112"/>
    </row>
    <row r="94" spans="1:24" ht="15" customHeight="1" thickBot="1" x14ac:dyDescent="0.3">
      <c r="B94" s="113"/>
      <c r="C94" s="113"/>
      <c r="D94" s="113"/>
      <c r="E94" s="113"/>
      <c r="F94" s="113"/>
      <c r="G94" s="113"/>
      <c r="H94" s="113"/>
      <c r="I94" s="113"/>
      <c r="J94" s="113"/>
      <c r="K94" s="113"/>
      <c r="L94" s="113"/>
      <c r="M94" s="113"/>
      <c r="N94" s="113"/>
      <c r="O94" s="113"/>
      <c r="P94" s="113"/>
      <c r="Q94" s="113"/>
      <c r="R94" s="113"/>
      <c r="S94" s="113"/>
      <c r="T94" s="113"/>
      <c r="U94" s="113"/>
      <c r="V94" s="113"/>
      <c r="W94" s="113"/>
      <c r="X94" s="113"/>
    </row>
    <row r="95" spans="1:24" ht="30.75" customHeight="1" thickTop="1" thickBot="1" x14ac:dyDescent="0.35">
      <c r="A95" s="96" t="s">
        <v>58</v>
      </c>
      <c r="B95" s="62"/>
      <c r="C95" s="63"/>
    </row>
    <row r="96" spans="1:24" ht="31.2" customHeight="1" thickTop="1" x14ac:dyDescent="0.25">
      <c r="A96" s="114" t="s">
        <v>55</v>
      </c>
      <c r="B96" s="115" t="s">
        <v>59</v>
      </c>
      <c r="C96" s="116" t="s">
        <v>60</v>
      </c>
    </row>
    <row r="97" spans="1:3" ht="15" customHeight="1" x14ac:dyDescent="0.25">
      <c r="A97" s="92">
        <f>IF('Cash Flow Analysis'!C65="","",'Cash Flow Analysis'!C65)</f>
        <v>-1</v>
      </c>
      <c r="B97" s="107">
        <f>C49</f>
        <v>0</v>
      </c>
      <c r="C97" s="117">
        <f t="shared" ref="C97:C140" si="47">IF(A97="",B97,0)</f>
        <v>0</v>
      </c>
    </row>
    <row r="98" spans="1:3" ht="15" customHeight="1" x14ac:dyDescent="0.25">
      <c r="A98" s="92">
        <f>IF('Cash Flow Analysis'!C66="","",'Cash Flow Analysis'!C66)</f>
        <v>1</v>
      </c>
      <c r="B98" s="107">
        <f ca="1">SUM(D49,C50)</f>
        <v>242231.38469665655</v>
      </c>
      <c r="C98" s="117">
        <f t="shared" si="47"/>
        <v>0</v>
      </c>
    </row>
    <row r="99" spans="1:3" ht="15" customHeight="1" x14ac:dyDescent="0.25">
      <c r="A99" s="92">
        <f>IF('Cash Flow Analysis'!C67="","",'Cash Flow Analysis'!C67)</f>
        <v>2</v>
      </c>
      <c r="B99" s="107">
        <f ca="1">SUM(E49,D50,C51)</f>
        <v>415132.72296858777</v>
      </c>
      <c r="C99" s="117">
        <f t="shared" si="47"/>
        <v>0</v>
      </c>
    </row>
    <row r="100" spans="1:3" ht="15" customHeight="1" x14ac:dyDescent="0.25">
      <c r="A100" s="92">
        <f>IF('Cash Flow Analysis'!C68="","",'Cash Flow Analysis'!C68)</f>
        <v>3</v>
      </c>
      <c r="B100" s="107">
        <f ca="1">SUM(F49,E50,D51,C52)</f>
        <v>296474.94180157612</v>
      </c>
      <c r="C100" s="117">
        <f t="shared" si="47"/>
        <v>0</v>
      </c>
    </row>
    <row r="101" spans="1:3" ht="15" customHeight="1" x14ac:dyDescent="0.25">
      <c r="A101" s="92">
        <f>IF('Cash Flow Analysis'!C69="","",'Cash Flow Analysis'!C69)</f>
        <v>4</v>
      </c>
      <c r="B101" s="107">
        <f ca="1">SUM(G49,F50,E51,D52,C53)</f>
        <v>211719.38382513926</v>
      </c>
      <c r="C101" s="117">
        <f t="shared" si="47"/>
        <v>0</v>
      </c>
    </row>
    <row r="102" spans="1:3" ht="15" customHeight="1" x14ac:dyDescent="0.25">
      <c r="A102" s="92">
        <f>IF('Cash Flow Analysis'!C70="","",'Cash Flow Analysis'!C70)</f>
        <v>5</v>
      </c>
      <c r="B102" s="107">
        <f ca="1">SUM(H49,G50,F51,E52,D53,C54)</f>
        <v>151373.42654591624</v>
      </c>
      <c r="C102" s="117">
        <f t="shared" si="47"/>
        <v>0</v>
      </c>
    </row>
    <row r="103" spans="1:3" ht="15" customHeight="1" x14ac:dyDescent="0.25">
      <c r="A103" s="92">
        <f>IF('Cash Flow Analysis'!C71="","",'Cash Flow Analysis'!C71)</f>
        <v>6</v>
      </c>
      <c r="B103" s="107">
        <f ca="1">SUM(I49,H50,G51,F52,E53,D54,C55)</f>
        <v>179808.37094084569</v>
      </c>
      <c r="C103" s="117">
        <f t="shared" si="47"/>
        <v>0</v>
      </c>
    </row>
    <row r="104" spans="1:3" ht="15" customHeight="1" x14ac:dyDescent="0.25">
      <c r="A104" s="92">
        <f>IF('Cash Flow Analysis'!C72="","",'Cash Flow Analysis'!C72)</f>
        <v>7</v>
      </c>
      <c r="B104" s="107">
        <f ca="1">SUM(J49,I50,H51,G52,F53,E54,D55,C56)</f>
        <v>200395.33805476918</v>
      </c>
      <c r="C104" s="117">
        <f t="shared" si="47"/>
        <v>0</v>
      </c>
    </row>
    <row r="105" spans="1:3" ht="15" customHeight="1" x14ac:dyDescent="0.25">
      <c r="A105" s="92">
        <f>IF('Cash Flow Analysis'!C73="","",'Cash Flow Analysis'!C73)</f>
        <v>8</v>
      </c>
      <c r="B105" s="107">
        <f ca="1">SUM(K49,J50,I51,H52,G53,F54,E55,D56,C57)</f>
        <v>110611.88961738419</v>
      </c>
      <c r="C105" s="117">
        <f t="shared" si="47"/>
        <v>0</v>
      </c>
    </row>
    <row r="106" spans="1:3" ht="15" customHeight="1" x14ac:dyDescent="0.25">
      <c r="A106" s="92">
        <f>IF('Cash Flow Analysis'!C74="","",'Cash Flow Analysis'!C74)</f>
        <v>9</v>
      </c>
      <c r="B106" s="107">
        <f ca="1">SUM(L49,K50,J51,I52,H53,G54,F55,E56,D57,C58)</f>
        <v>25001.375040652227</v>
      </c>
      <c r="C106" s="117">
        <f t="shared" si="47"/>
        <v>0</v>
      </c>
    </row>
    <row r="107" spans="1:3" ht="15" customHeight="1" x14ac:dyDescent="0.25">
      <c r="A107" s="92">
        <f>IF('Cash Flow Analysis'!C75="","",'Cash Flow Analysis'!C75)</f>
        <v>10</v>
      </c>
      <c r="B107" s="107">
        <f ca="1">SUM(M49,L50,K51,J52,I53,H54,G55,F56,E57,D58,C59)</f>
        <v>17875.282555086022</v>
      </c>
      <c r="C107" s="117">
        <f t="shared" si="47"/>
        <v>0</v>
      </c>
    </row>
    <row r="108" spans="1:3" ht="15" customHeight="1" x14ac:dyDescent="0.25">
      <c r="A108" s="92">
        <f>IF('Cash Flow Analysis'!C76="","",'Cash Flow Analysis'!C76)</f>
        <v>11</v>
      </c>
      <c r="B108" s="107">
        <f ca="1">SUM(N49,M50,L51,K52,J53,I54,H55,G56,F57,E58,D59,C60)</f>
        <v>122612.33730152124</v>
      </c>
      <c r="C108" s="117">
        <f t="shared" si="47"/>
        <v>0</v>
      </c>
    </row>
    <row r="109" spans="1:3" ht="15" customHeight="1" x14ac:dyDescent="0.25">
      <c r="A109" s="92">
        <f>IF('Cash Flow Analysis'!C77="","",'Cash Flow Analysis'!C77)</f>
        <v>12</v>
      </c>
      <c r="B109" s="107">
        <f ca="1">SUM(O49,N50,M51,L52,K53,J54,I55,H56,G57,F58,E59,D60,C61)</f>
        <v>197406.47148827618</v>
      </c>
      <c r="C109" s="117">
        <f t="shared" si="47"/>
        <v>0</v>
      </c>
    </row>
    <row r="110" spans="1:3" ht="15" customHeight="1" x14ac:dyDescent="0.25">
      <c r="A110" s="92">
        <f>IF('Cash Flow Analysis'!C78="","",'Cash Flow Analysis'!C78)</f>
        <v>13</v>
      </c>
      <c r="B110" s="107">
        <f ca="1">SUM(P49,O50,N51,M52,L53,K54,J55,I56,H57,G58,F59,E60,D61,C62)</f>
        <v>137143.25111355574</v>
      </c>
      <c r="C110" s="117">
        <f t="shared" si="47"/>
        <v>0</v>
      </c>
    </row>
    <row r="111" spans="1:3" ht="15" customHeight="1" x14ac:dyDescent="0.25">
      <c r="A111" s="92">
        <f>IF('Cash Flow Analysis'!C79="","",'Cash Flow Analysis'!C79)</f>
        <v>14</v>
      </c>
      <c r="B111" s="107">
        <f ca="1">SUM(Q49,P50,O51,N52,M53,L54,K55,J56,I57,H58,G59,F60,E61,D62,C63)</f>
        <v>91561.63943550612</v>
      </c>
      <c r="C111" s="117">
        <f t="shared" si="47"/>
        <v>0</v>
      </c>
    </row>
    <row r="112" spans="1:3" ht="15" customHeight="1" x14ac:dyDescent="0.25">
      <c r="A112" s="92">
        <f>IF('Cash Flow Analysis'!C80="","",'Cash Flow Analysis'!C80)</f>
        <v>15</v>
      </c>
      <c r="B112" s="107">
        <f ca="1">SUM(R49,Q50,P51,O52,N53,M54,L55,K56,J57,I58,H59,G60,F61,E62,D63,C64)</f>
        <v>65464.00641785987</v>
      </c>
      <c r="C112" s="117">
        <f t="shared" si="47"/>
        <v>0</v>
      </c>
    </row>
    <row r="113" spans="1:3" ht="15" customHeight="1" x14ac:dyDescent="0.25">
      <c r="A113" s="92">
        <f>IF('Cash Flow Analysis'!C81="","",'Cash Flow Analysis'!C81)</f>
        <v>16</v>
      </c>
      <c r="B113" s="107">
        <f ca="1">SUM(S49,R50,Q51,P52,O53,N54,M55,L56,K57,J58,I59,H60,G61,F62,E63,D64,C65)</f>
        <v>99919.024616985698</v>
      </c>
      <c r="C113" s="117">
        <f t="shared" si="47"/>
        <v>0</v>
      </c>
    </row>
    <row r="114" spans="1:3" ht="15" customHeight="1" x14ac:dyDescent="0.25">
      <c r="A114" s="92">
        <f>IF('Cash Flow Analysis'!C82="","",'Cash Flow Analysis'!C82)</f>
        <v>17</v>
      </c>
      <c r="B114" s="107">
        <f ca="1">SUM(T49,S50,R51,Q52,P53,O54,N55,M56,L57,K58,J59,I60,H61,G62,F63,E64,D65,C66)</f>
        <v>124638.16370168937</v>
      </c>
      <c r="C114" s="117">
        <f t="shared" si="47"/>
        <v>0</v>
      </c>
    </row>
    <row r="115" spans="1:3" ht="15" customHeight="1" x14ac:dyDescent="0.25">
      <c r="A115" s="92">
        <f>IF('Cash Flow Analysis'!C83="","",'Cash Flow Analysis'!C83)</f>
        <v>18</v>
      </c>
      <c r="B115" s="107">
        <f ca="1">SUM(U49,T50,S51,R52,Q53,P54,O55,N56,M57,L58,K59,J60,I61,H62,G63,F64,E65,D66,C67)</f>
        <v>74955.700838554767</v>
      </c>
      <c r="C115" s="117">
        <f t="shared" si="47"/>
        <v>0</v>
      </c>
    </row>
    <row r="116" spans="1:3" ht="15" customHeight="1" x14ac:dyDescent="0.25">
      <c r="A116" s="92">
        <f>IF('Cash Flow Analysis'!C84="","",'Cash Flow Analysis'!C84)</f>
        <v>19</v>
      </c>
      <c r="B116" s="107">
        <f ca="1">SUM(V49,U50,T51,S52,R53,Q54,P55,O56,N57,M58,L59,K60,J61,I62,H63,G64,F65,E66,D67,C68)</f>
        <v>30179.061840548406</v>
      </c>
      <c r="C116" s="117">
        <f t="shared" si="47"/>
        <v>0</v>
      </c>
    </row>
    <row r="117" spans="1:3" ht="15" customHeight="1" x14ac:dyDescent="0.25">
      <c r="A117" s="92">
        <f>IF('Cash Flow Analysis'!C85="","",'Cash Flow Analysis'!C85)</f>
        <v>20</v>
      </c>
      <c r="B117" s="107">
        <f t="shared" ref="B117:B140" ca="1" si="48">SUM(W49,V50,U51,T52,S53,R54,Q55,P56,O57,N58,M59,L60,K61,J62,I63,H64,G65,F66,E67,D68,C69)</f>
        <v>21577.183525708348</v>
      </c>
      <c r="C117" s="117">
        <f t="shared" si="47"/>
        <v>0</v>
      </c>
    </row>
    <row r="118" spans="1:3" ht="15" customHeight="1" x14ac:dyDescent="0.25">
      <c r="A118" s="92" t="str">
        <f>IF('Cash Flow Analysis'!C86="","",'Cash Flow Analysis'!C86)</f>
        <v/>
      </c>
      <c r="B118" s="107">
        <f t="shared" ca="1" si="48"/>
        <v>21553.020946172281</v>
      </c>
      <c r="C118" s="117">
        <f t="shared" ca="1" si="47"/>
        <v>21553.020946172281</v>
      </c>
    </row>
    <row r="119" spans="1:3" ht="15" customHeight="1" x14ac:dyDescent="0.25">
      <c r="A119" s="92" t="str">
        <f>IF('Cash Flow Analysis'!C87="","",'Cash Flow Analysis'!C87)</f>
        <v/>
      </c>
      <c r="B119" s="107">
        <f t="shared" ca="1" si="48"/>
        <v>21577.183525708348</v>
      </c>
      <c r="C119" s="117">
        <f t="shared" ca="1" si="47"/>
        <v>21577.183525708348</v>
      </c>
    </row>
    <row r="120" spans="1:3" ht="15" customHeight="1" x14ac:dyDescent="0.25">
      <c r="A120" s="92" t="str">
        <f>IF('Cash Flow Analysis'!C88="","",'Cash Flow Analysis'!C88)</f>
        <v/>
      </c>
      <c r="B120" s="107">
        <f t="shared" ca="1" si="48"/>
        <v>10776.51047308614</v>
      </c>
      <c r="C120" s="117">
        <f t="shared" ca="1" si="47"/>
        <v>10776.51047308614</v>
      </c>
    </row>
    <row r="121" spans="1:3" ht="15" customHeight="1" x14ac:dyDescent="0.25">
      <c r="A121" s="92" t="str">
        <f>IF('Cash Flow Analysis'!C89="","",'Cash Flow Analysis'!C89)</f>
        <v/>
      </c>
      <c r="B121" s="107">
        <f t="shared" ca="1" si="48"/>
        <v>0</v>
      </c>
      <c r="C121" s="117">
        <f t="shared" ca="1" si="47"/>
        <v>0</v>
      </c>
    </row>
    <row r="122" spans="1:3" ht="15" customHeight="1" x14ac:dyDescent="0.25">
      <c r="A122" s="92" t="str">
        <f>IF('Cash Flow Analysis'!C90="","",'Cash Flow Analysis'!C90)</f>
        <v/>
      </c>
      <c r="B122" s="107">
        <f t="shared" ca="1" si="48"/>
        <v>0</v>
      </c>
      <c r="C122" s="117">
        <f t="shared" ca="1" si="47"/>
        <v>0</v>
      </c>
    </row>
    <row r="123" spans="1:3" ht="15" customHeight="1" x14ac:dyDescent="0.25">
      <c r="A123" s="92" t="str">
        <f>IF('Cash Flow Analysis'!C91="","",'Cash Flow Analysis'!C91)</f>
        <v/>
      </c>
      <c r="B123" s="107">
        <f t="shared" ca="1" si="48"/>
        <v>0</v>
      </c>
      <c r="C123" s="117">
        <f t="shared" ca="1" si="47"/>
        <v>0</v>
      </c>
    </row>
    <row r="124" spans="1:3" ht="15" customHeight="1" x14ac:dyDescent="0.25">
      <c r="A124" s="92" t="str">
        <f>IF('Cash Flow Analysis'!C92="","",'Cash Flow Analysis'!C92)</f>
        <v/>
      </c>
      <c r="B124" s="107">
        <f t="shared" ca="1" si="48"/>
        <v>0</v>
      </c>
      <c r="C124" s="117">
        <f t="shared" ca="1" si="47"/>
        <v>0</v>
      </c>
    </row>
    <row r="125" spans="1:3" ht="15" customHeight="1" x14ac:dyDescent="0.25">
      <c r="A125" s="92" t="str">
        <f>IF('Cash Flow Analysis'!C93="","",'Cash Flow Analysis'!C93)</f>
        <v/>
      </c>
      <c r="B125" s="107">
        <f t="shared" ca="1" si="48"/>
        <v>0</v>
      </c>
      <c r="C125" s="117">
        <f t="shared" ca="1" si="47"/>
        <v>0</v>
      </c>
    </row>
    <row r="126" spans="1:3" ht="15" customHeight="1" x14ac:dyDescent="0.25">
      <c r="A126" s="92" t="str">
        <f>IF('Cash Flow Analysis'!C94="","",'Cash Flow Analysis'!C94)</f>
        <v/>
      </c>
      <c r="B126" s="107">
        <f t="shared" ca="1" si="48"/>
        <v>0</v>
      </c>
      <c r="C126" s="117">
        <f t="shared" ca="1" si="47"/>
        <v>0</v>
      </c>
    </row>
    <row r="127" spans="1:3" ht="15" customHeight="1" x14ac:dyDescent="0.25">
      <c r="A127" s="92" t="str">
        <f>IF('Cash Flow Analysis'!C95="","",'Cash Flow Analysis'!C95)</f>
        <v/>
      </c>
      <c r="B127" s="107">
        <f t="shared" ca="1" si="48"/>
        <v>0</v>
      </c>
      <c r="C127" s="117">
        <f t="shared" ca="1" si="47"/>
        <v>0</v>
      </c>
    </row>
    <row r="128" spans="1:3" ht="15" customHeight="1" x14ac:dyDescent="0.25">
      <c r="A128" s="92" t="str">
        <f>IF('Cash Flow Analysis'!C96="","",'Cash Flow Analysis'!C96)</f>
        <v/>
      </c>
      <c r="B128" s="107">
        <f t="shared" ca="1" si="48"/>
        <v>0</v>
      </c>
      <c r="C128" s="117">
        <f t="shared" ca="1" si="47"/>
        <v>0</v>
      </c>
    </row>
    <row r="129" spans="1:3" ht="15" customHeight="1" x14ac:dyDescent="0.25">
      <c r="A129" s="92" t="str">
        <f>IF('Cash Flow Analysis'!C97="","",'Cash Flow Analysis'!C97)</f>
        <v/>
      </c>
      <c r="B129" s="107">
        <f t="shared" ca="1" si="48"/>
        <v>0</v>
      </c>
      <c r="C129" s="117">
        <f t="shared" ca="1" si="47"/>
        <v>0</v>
      </c>
    </row>
    <row r="130" spans="1:3" ht="15" customHeight="1" x14ac:dyDescent="0.25">
      <c r="A130" s="92" t="str">
        <f>IF('Cash Flow Analysis'!C98="","",'Cash Flow Analysis'!C98)</f>
        <v/>
      </c>
      <c r="B130" s="107">
        <f t="shared" ca="1" si="48"/>
        <v>0</v>
      </c>
      <c r="C130" s="117">
        <f t="shared" ca="1" si="47"/>
        <v>0</v>
      </c>
    </row>
    <row r="131" spans="1:3" ht="15" customHeight="1" x14ac:dyDescent="0.25">
      <c r="A131" s="92" t="str">
        <f>IF('Cash Flow Analysis'!C99="","",'Cash Flow Analysis'!C99)</f>
        <v/>
      </c>
      <c r="B131" s="107">
        <f t="shared" ca="1" si="48"/>
        <v>0</v>
      </c>
      <c r="C131" s="117">
        <f t="shared" ca="1" si="47"/>
        <v>0</v>
      </c>
    </row>
    <row r="132" spans="1:3" ht="15" customHeight="1" x14ac:dyDescent="0.25">
      <c r="A132" s="92" t="str">
        <f>IF('Cash Flow Analysis'!C100="","",'Cash Flow Analysis'!C100)</f>
        <v/>
      </c>
      <c r="B132" s="107">
        <f t="shared" ca="1" si="48"/>
        <v>0</v>
      </c>
      <c r="C132" s="117">
        <f t="shared" ca="1" si="47"/>
        <v>0</v>
      </c>
    </row>
    <row r="133" spans="1:3" ht="15" customHeight="1" x14ac:dyDescent="0.25">
      <c r="A133" s="92" t="str">
        <f>IF('Cash Flow Analysis'!C101="","",'Cash Flow Analysis'!C101)</f>
        <v/>
      </c>
      <c r="B133" s="107">
        <f t="shared" ca="1" si="48"/>
        <v>0</v>
      </c>
      <c r="C133" s="117">
        <f t="shared" ca="1" si="47"/>
        <v>0</v>
      </c>
    </row>
    <row r="134" spans="1:3" ht="15" customHeight="1" x14ac:dyDescent="0.25">
      <c r="A134" s="92" t="str">
        <f>IF('Cash Flow Analysis'!C102="","",'Cash Flow Analysis'!C102)</f>
        <v/>
      </c>
      <c r="B134" s="107">
        <f t="shared" ca="1" si="48"/>
        <v>0</v>
      </c>
      <c r="C134" s="117">
        <f t="shared" ca="1" si="47"/>
        <v>0</v>
      </c>
    </row>
    <row r="135" spans="1:3" ht="15" customHeight="1" x14ac:dyDescent="0.25">
      <c r="A135" s="92" t="str">
        <f>IF('Cash Flow Analysis'!C103="","",'Cash Flow Analysis'!C103)</f>
        <v/>
      </c>
      <c r="B135" s="107">
        <f t="shared" ca="1" si="48"/>
        <v>0</v>
      </c>
      <c r="C135" s="117">
        <f t="shared" ca="1" si="47"/>
        <v>0</v>
      </c>
    </row>
    <row r="136" spans="1:3" ht="15" customHeight="1" x14ac:dyDescent="0.25">
      <c r="A136" s="92" t="str">
        <f>IF('Cash Flow Analysis'!C104="","",'Cash Flow Analysis'!C104)</f>
        <v/>
      </c>
      <c r="B136" s="107">
        <f t="shared" ca="1" si="48"/>
        <v>0</v>
      </c>
      <c r="C136" s="117">
        <f t="shared" ca="1" si="47"/>
        <v>0</v>
      </c>
    </row>
    <row r="137" spans="1:3" ht="15" customHeight="1" x14ac:dyDescent="0.25">
      <c r="A137" s="92" t="str">
        <f>IF('Cash Flow Analysis'!C105="","",'Cash Flow Analysis'!C105)</f>
        <v/>
      </c>
      <c r="B137" s="107">
        <f t="shared" ca="1" si="48"/>
        <v>0</v>
      </c>
      <c r="C137" s="117">
        <f t="shared" ca="1" si="47"/>
        <v>0</v>
      </c>
    </row>
    <row r="138" spans="1:3" ht="15" customHeight="1" x14ac:dyDescent="0.25">
      <c r="A138" s="92" t="str">
        <f>IF('Cash Flow Analysis'!C106="","",'Cash Flow Analysis'!C106)</f>
        <v/>
      </c>
      <c r="B138" s="107">
        <f t="shared" si="48"/>
        <v>0</v>
      </c>
      <c r="C138" s="117">
        <f t="shared" si="47"/>
        <v>0</v>
      </c>
    </row>
    <row r="139" spans="1:3" ht="15" customHeight="1" x14ac:dyDescent="0.25">
      <c r="A139" s="92" t="str">
        <f>IF('Cash Flow Analysis'!C107="","",'Cash Flow Analysis'!C107)</f>
        <v/>
      </c>
      <c r="B139" s="107">
        <f t="shared" si="48"/>
        <v>0</v>
      </c>
      <c r="C139" s="117">
        <f t="shared" si="47"/>
        <v>0</v>
      </c>
    </row>
    <row r="140" spans="1:3" ht="15" customHeight="1" thickBot="1" x14ac:dyDescent="0.3">
      <c r="A140" s="118" t="str">
        <f>IF('Cash Flow Analysis'!C108="","",'Cash Flow Analysis'!C108)</f>
        <v/>
      </c>
      <c r="B140" s="119">
        <f t="shared" si="48"/>
        <v>0</v>
      </c>
      <c r="C140" s="120">
        <f t="shared" si="47"/>
        <v>0</v>
      </c>
    </row>
    <row r="141" spans="1:3" ht="15" customHeight="1" thickTop="1" thickBot="1" x14ac:dyDescent="0.3">
      <c r="A141" s="121" t="s">
        <v>61</v>
      </c>
      <c r="B141" s="122">
        <f ca="1">SUM(B97:B140)</f>
        <v>2869987.6712717852</v>
      </c>
      <c r="C141" s="123">
        <f ca="1">SUM(C97:C140)</f>
        <v>53906.71494496677</v>
      </c>
    </row>
    <row r="142" spans="1:3" ht="15" customHeight="1" thickTop="1" x14ac:dyDescent="0.25">
      <c r="A142" s="124"/>
      <c r="B142" s="125"/>
      <c r="C142" s="126"/>
    </row>
    <row r="143" spans="1:3" ht="15" customHeight="1" thickBot="1" x14ac:dyDescent="0.3">
      <c r="A143" s="36" t="str">
        <f>IF('Cash Flow Analysis'!C109="","",'Cash Flow Analysis'!C109)</f>
        <v/>
      </c>
      <c r="B143" s="113"/>
    </row>
    <row r="144" spans="1:3" ht="31.5" customHeight="1" thickTop="1" x14ac:dyDescent="0.3">
      <c r="A144" s="1665" t="s">
        <v>62</v>
      </c>
      <c r="B144" s="1666"/>
    </row>
    <row r="145" spans="1:2" ht="16.5" customHeight="1" thickBot="1" x14ac:dyDescent="0.3">
      <c r="A145" s="127" t="s">
        <v>63</v>
      </c>
      <c r="B145" s="128" t="s">
        <v>59</v>
      </c>
    </row>
    <row r="146" spans="1:2" ht="15" customHeight="1" thickTop="1" x14ac:dyDescent="0.25">
      <c r="A146" s="129">
        <v>1</v>
      </c>
      <c r="B146" s="103">
        <f>SUM(D92,E91,F90,G89,H88,I87,J86,K85,L84,M83,N82,O81,P80,Q79,R78,S77,T76,U75,V74,W73)</f>
        <v>0</v>
      </c>
    </row>
    <row r="147" spans="1:2" ht="15" customHeight="1" x14ac:dyDescent="0.25">
      <c r="A147" s="92">
        <v>2</v>
      </c>
      <c r="B147" s="108">
        <f>SUM(E92,F91,G90,H89,I88,J87,K86,L85,M84,N83,O82,P81,Q80,R79,S78,T77,U76,V75,W74)</f>
        <v>0</v>
      </c>
    </row>
    <row r="148" spans="1:2" ht="15" customHeight="1" x14ac:dyDescent="0.25">
      <c r="A148" s="92">
        <v>3</v>
      </c>
      <c r="B148" s="108">
        <f>SUM(F92,G91,H90,I89,J88,K87,L86,M85,N84,O83,P82,Q81,R80,S79,T78,U77,V76,W75)</f>
        <v>0</v>
      </c>
    </row>
    <row r="149" spans="1:2" ht="15" customHeight="1" x14ac:dyDescent="0.25">
      <c r="A149" s="92">
        <v>4</v>
      </c>
      <c r="B149" s="108">
        <f>SUM(G92,H91,I90,J89,K88,L87,M86,N85,O84,P83,Q82,R81,S80,T79,U78,V77,W76)</f>
        <v>0</v>
      </c>
    </row>
    <row r="150" spans="1:2" ht="15" customHeight="1" x14ac:dyDescent="0.25">
      <c r="A150" s="92">
        <v>5</v>
      </c>
      <c r="B150" s="108">
        <f>SUM(H92,I91,J90,K89,L88,M87,N86,O85,P84,Q83,R82,S81,T80,U79,V78,W77)</f>
        <v>0</v>
      </c>
    </row>
    <row r="151" spans="1:2" ht="15" customHeight="1" x14ac:dyDescent="0.25">
      <c r="A151" s="92">
        <v>6</v>
      </c>
      <c r="B151" s="108">
        <f>SUM(I92,J91,K90,L89,M88,N87,O86,P85,Q84,R83,S82,T81,U80,V79,W78)</f>
        <v>0</v>
      </c>
    </row>
    <row r="152" spans="1:2" ht="15" customHeight="1" x14ac:dyDescent="0.25">
      <c r="A152" s="92">
        <v>7</v>
      </c>
      <c r="B152" s="108">
        <f>SUM(J92,K91,L90,M89,N88,O87,P86,Q85,R84,S83,T82,U81,V80,W79)</f>
        <v>0</v>
      </c>
    </row>
    <row r="153" spans="1:2" ht="15" customHeight="1" x14ac:dyDescent="0.25">
      <c r="A153" s="92">
        <v>8</v>
      </c>
      <c r="B153" s="108">
        <f>SUM(K92,L91,M90,N89,O88,P87,Q86,R85,S84,T83,U82,V81,W80)</f>
        <v>0</v>
      </c>
    </row>
    <row r="154" spans="1:2" ht="15" customHeight="1" x14ac:dyDescent="0.25">
      <c r="A154" s="92">
        <v>9</v>
      </c>
      <c r="B154" s="108">
        <f>SUM(L92,M91,N90,O89,P88,Q87,R86,S85,T84,U83,V82,W81)</f>
        <v>0</v>
      </c>
    </row>
    <row r="155" spans="1:2" ht="15" customHeight="1" x14ac:dyDescent="0.25">
      <c r="A155" s="92">
        <v>10</v>
      </c>
      <c r="B155" s="108">
        <f>SUM(M92,N91,O90,P89,Q88,R87,S86,T85,U84,V83,W82)</f>
        <v>0</v>
      </c>
    </row>
    <row r="156" spans="1:2" ht="15" customHeight="1" x14ac:dyDescent="0.25">
      <c r="A156" s="92">
        <v>11</v>
      </c>
      <c r="B156" s="108">
        <f>SUM(N92,O91,P90,Q89,R88,S87,T86,U85,V84,W83)</f>
        <v>0</v>
      </c>
    </row>
    <row r="157" spans="1:2" ht="15" customHeight="1" x14ac:dyDescent="0.25">
      <c r="A157" s="92">
        <v>12</v>
      </c>
      <c r="B157" s="108">
        <f>SUM(O92,P91,Q90,R89,S88,T87,U86,V85,W84)</f>
        <v>0</v>
      </c>
    </row>
    <row r="158" spans="1:2" ht="15" customHeight="1" x14ac:dyDescent="0.25">
      <c r="A158" s="92">
        <v>13</v>
      </c>
      <c r="B158" s="108">
        <f>SUM(P92,Q91,R90,S89,T88,U87,V86,W85)</f>
        <v>0</v>
      </c>
    </row>
    <row r="159" spans="1:2" ht="15" customHeight="1" x14ac:dyDescent="0.25">
      <c r="A159" s="92">
        <v>14</v>
      </c>
      <c r="B159" s="108">
        <f>SUM(Q92,R91,S90,T89,U88,V87,W86)</f>
        <v>0</v>
      </c>
    </row>
    <row r="160" spans="1:2" ht="15" customHeight="1" x14ac:dyDescent="0.25">
      <c r="A160" s="92">
        <v>15</v>
      </c>
      <c r="B160" s="108">
        <f>SUM(R92,S91,T90,U89,V88,W87)</f>
        <v>0</v>
      </c>
    </row>
    <row r="161" spans="1:2" ht="15" customHeight="1" x14ac:dyDescent="0.25">
      <c r="A161" s="92">
        <v>16</v>
      </c>
      <c r="B161" s="108">
        <f>SUM(S92,T91,U90,V89,W88)</f>
        <v>0</v>
      </c>
    </row>
    <row r="162" spans="1:2" ht="15" customHeight="1" x14ac:dyDescent="0.25">
      <c r="A162" s="92">
        <v>17</v>
      </c>
      <c r="B162" s="108">
        <f>SUM(T92,U91,V90,W89)</f>
        <v>0</v>
      </c>
    </row>
    <row r="163" spans="1:2" ht="15" customHeight="1" x14ac:dyDescent="0.25">
      <c r="A163" s="92">
        <v>18</v>
      </c>
      <c r="B163" s="108">
        <f>SUM(U92,V91,W90)</f>
        <v>0</v>
      </c>
    </row>
    <row r="164" spans="1:2" ht="15" customHeight="1" x14ac:dyDescent="0.25">
      <c r="A164" s="92">
        <v>19</v>
      </c>
      <c r="B164" s="108">
        <f>SUM(V92,W91)</f>
        <v>0</v>
      </c>
    </row>
    <row r="165" spans="1:2" ht="15" customHeight="1" thickBot="1" x14ac:dyDescent="0.3">
      <c r="A165" s="94">
        <v>20</v>
      </c>
      <c r="B165" s="95">
        <f>SUM(W92)</f>
        <v>0</v>
      </c>
    </row>
    <row r="166" spans="1:2" ht="14.4" thickTop="1" thickBot="1" x14ac:dyDescent="0.3">
      <c r="A166" s="121" t="s">
        <v>61</v>
      </c>
      <c r="B166" s="130">
        <f>SUM(B146:B165)</f>
        <v>0</v>
      </c>
    </row>
    <row r="167" spans="1:2" ht="13.8" thickTop="1" x14ac:dyDescent="0.25"/>
  </sheetData>
  <mergeCells count="2">
    <mergeCell ref="C13:H13"/>
    <mergeCell ref="A144:B144"/>
  </mergeCells>
  <phoneticPr fontId="0" type="noConversion"/>
  <pageMargins left="0.75" right="0.75" top="1" bottom="1" header="0.5" footer="0.5"/>
  <pageSetup scale="46" fitToHeight="0" orientation="landscape" r:id="rId1"/>
  <headerFooter alignWithMargins="0"/>
  <rowBreaks count="1" manualBreakCount="1">
    <brk id="60" max="16383" man="1"/>
  </rowBreaks>
  <colBreaks count="1" manualBreakCount="1">
    <brk id="11" max="1048575" man="1"/>
  </col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5">
    <tabColor indexed="18"/>
  </sheetPr>
  <dimension ref="A1:E31"/>
  <sheetViews>
    <sheetView workbookViewId="0"/>
  </sheetViews>
  <sheetFormatPr defaultRowHeight="13.2" x14ac:dyDescent="0.25"/>
  <cols>
    <col min="1" max="1" width="33" customWidth="1"/>
    <col min="2" max="2" width="10" customWidth="1"/>
    <col min="3" max="3" width="14" customWidth="1"/>
    <col min="4" max="4" width="11.33203125" customWidth="1"/>
    <col min="5" max="5" width="60.6640625" customWidth="1"/>
    <col min="7" max="8" width="14" customWidth="1"/>
    <col min="11" max="11" width="14.33203125" customWidth="1"/>
    <col min="12" max="12" width="18.33203125" customWidth="1"/>
    <col min="15" max="15" width="12.44140625" bestFit="1" customWidth="1"/>
    <col min="16" max="16" width="14.33203125" customWidth="1"/>
  </cols>
  <sheetData>
    <row r="1" spans="1:5" s="2" customFormat="1" ht="13.8" x14ac:dyDescent="0.25">
      <c r="A1" s="2" t="s">
        <v>283</v>
      </c>
      <c r="B1" s="2" t="s">
        <v>284</v>
      </c>
      <c r="C1" s="2" t="s">
        <v>285</v>
      </c>
    </row>
    <row r="2" spans="1:5" ht="13.8" x14ac:dyDescent="0.25">
      <c r="A2" s="2" t="s">
        <v>286</v>
      </c>
    </row>
    <row r="3" spans="1:5" x14ac:dyDescent="0.25">
      <c r="A3" t="s">
        <v>287</v>
      </c>
      <c r="B3" t="s">
        <v>288</v>
      </c>
      <c r="C3">
        <v>1.6093</v>
      </c>
      <c r="D3" t="s">
        <v>631</v>
      </c>
    </row>
    <row r="4" spans="1:5" x14ac:dyDescent="0.25">
      <c r="A4" t="s">
        <v>289</v>
      </c>
      <c r="B4" t="s">
        <v>290</v>
      </c>
      <c r="C4">
        <v>3.7850000000000001</v>
      </c>
      <c r="D4" t="s">
        <v>632</v>
      </c>
    </row>
    <row r="5" spans="1:5" x14ac:dyDescent="0.25">
      <c r="A5" t="s">
        <v>291</v>
      </c>
      <c r="B5" t="s">
        <v>292</v>
      </c>
      <c r="C5">
        <v>1.8263969224024776E-2</v>
      </c>
      <c r="D5" t="s">
        <v>633</v>
      </c>
    </row>
    <row r="6" spans="1:5" x14ac:dyDescent="0.25">
      <c r="A6" t="s">
        <v>837</v>
      </c>
      <c r="B6" t="s">
        <v>990</v>
      </c>
      <c r="C6">
        <v>2.6852999999999998E-2</v>
      </c>
      <c r="D6" t="s">
        <v>634</v>
      </c>
      <c r="E6" t="s">
        <v>698</v>
      </c>
    </row>
    <row r="7" spans="1:5" x14ac:dyDescent="0.25">
      <c r="A7" t="s">
        <v>845</v>
      </c>
      <c r="B7" t="s">
        <v>267</v>
      </c>
      <c r="C7">
        <f>1/2.205</f>
        <v>0.45351473922902491</v>
      </c>
      <c r="D7" t="s">
        <v>635</v>
      </c>
    </row>
    <row r="8" spans="1:5" x14ac:dyDescent="0.25">
      <c r="A8" t="s">
        <v>902</v>
      </c>
      <c r="B8" t="s">
        <v>990</v>
      </c>
      <c r="C8">
        <v>2.8316999999999998E-2</v>
      </c>
      <c r="D8" t="s">
        <v>636</v>
      </c>
      <c r="E8" t="s">
        <v>699</v>
      </c>
    </row>
    <row r="9" spans="1:5" x14ac:dyDescent="0.25">
      <c r="A9" t="s">
        <v>374</v>
      </c>
      <c r="B9" t="s">
        <v>410</v>
      </c>
      <c r="C9">
        <v>145.03800000000001</v>
      </c>
      <c r="D9" t="s">
        <v>540</v>
      </c>
    </row>
    <row r="11" spans="1:5" ht="13.8" x14ac:dyDescent="0.25">
      <c r="A11" s="2" t="s">
        <v>293</v>
      </c>
    </row>
    <row r="12" spans="1:5" x14ac:dyDescent="0.25">
      <c r="A12" t="s">
        <v>294</v>
      </c>
      <c r="B12" t="s">
        <v>295</v>
      </c>
      <c r="C12">
        <v>0.27777777777777779</v>
      </c>
    </row>
    <row r="13" spans="1:5" x14ac:dyDescent="0.25">
      <c r="A13" t="s">
        <v>296</v>
      </c>
      <c r="B13" t="s">
        <v>295</v>
      </c>
      <c r="C13">
        <v>34.022625288888882</v>
      </c>
    </row>
    <row r="14" spans="1:5" x14ac:dyDescent="0.25">
      <c r="A14" t="s">
        <v>297</v>
      </c>
      <c r="B14" t="s">
        <v>298</v>
      </c>
      <c r="C14">
        <v>0.97933196399532141</v>
      </c>
    </row>
    <row r="15" spans="1:5" x14ac:dyDescent="0.25">
      <c r="A15" t="s">
        <v>297</v>
      </c>
      <c r="B15" t="s">
        <v>295</v>
      </c>
      <c r="C15">
        <f>kgH2_to_GJ*MJ_to_kWh*1000</f>
        <v>33.392121748655818</v>
      </c>
    </row>
    <row r="16" spans="1:5" x14ac:dyDescent="0.25">
      <c r="A16" t="s">
        <v>297</v>
      </c>
      <c r="B16" t="s">
        <v>1056</v>
      </c>
      <c r="C16">
        <f>H2_LHV_MJ_p_kg/1000</f>
        <v>0.12021163829516093</v>
      </c>
    </row>
    <row r="17" spans="1:3" x14ac:dyDescent="0.25">
      <c r="A17" t="s">
        <v>299</v>
      </c>
      <c r="B17" t="s">
        <v>295</v>
      </c>
      <c r="C17">
        <v>2.9308323563892143E-4</v>
      </c>
    </row>
    <row r="18" spans="1:3" x14ac:dyDescent="0.25">
      <c r="A18" t="s">
        <v>1055</v>
      </c>
      <c r="B18" t="s">
        <v>1056</v>
      </c>
      <c r="C18">
        <v>1.0549999999999999</v>
      </c>
    </row>
    <row r="21" spans="1:3" ht="13.8" x14ac:dyDescent="0.25">
      <c r="A21" s="2" t="s">
        <v>527</v>
      </c>
      <c r="C21" s="434" t="s">
        <v>827</v>
      </c>
    </row>
    <row r="22" spans="1:3" x14ac:dyDescent="0.25">
      <c r="A22" t="s">
        <v>400</v>
      </c>
      <c r="B22">
        <v>1</v>
      </c>
    </row>
    <row r="23" spans="1:3" x14ac:dyDescent="0.25">
      <c r="A23" t="s">
        <v>401</v>
      </c>
      <c r="B23">
        <v>25</v>
      </c>
    </row>
    <row r="24" spans="1:3" x14ac:dyDescent="0.25">
      <c r="A24" t="s">
        <v>402</v>
      </c>
      <c r="B24">
        <v>298</v>
      </c>
    </row>
    <row r="27" spans="1:3" ht="13.8" x14ac:dyDescent="0.25">
      <c r="A27" s="2" t="s">
        <v>693</v>
      </c>
    </row>
    <row r="28" spans="1:3" x14ac:dyDescent="0.25">
      <c r="A28" t="s">
        <v>694</v>
      </c>
      <c r="B28" t="s">
        <v>695</v>
      </c>
    </row>
    <row r="29" spans="1:3" x14ac:dyDescent="0.25">
      <c r="A29" t="s">
        <v>851</v>
      </c>
      <c r="B29">
        <f>mmBTU_to_GJ</f>
        <v>1.0549999999999999</v>
      </c>
    </row>
    <row r="30" spans="1:3" x14ac:dyDescent="0.25">
      <c r="A30" t="s">
        <v>295</v>
      </c>
      <c r="B30">
        <f>1/MJ_to_kWh/1000</f>
        <v>3.5999999999999995E-3</v>
      </c>
    </row>
    <row r="31" spans="1:3" x14ac:dyDescent="0.25">
      <c r="A31" t="s">
        <v>1056</v>
      </c>
      <c r="B31">
        <v>1</v>
      </c>
    </row>
  </sheetData>
  <phoneticPr fontId="3" type="noConversion"/>
  <pageMargins left="0.75" right="0.75" top="1" bottom="1" header="0.5" footer="0.5"/>
  <pageSetup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8">
    <tabColor indexed="18"/>
  </sheetPr>
  <dimension ref="A1:AC80"/>
  <sheetViews>
    <sheetView workbookViewId="0">
      <selection activeCell="G32" sqref="G32:H32"/>
    </sheetView>
  </sheetViews>
  <sheetFormatPr defaultRowHeight="13.2" x14ac:dyDescent="0.25"/>
  <cols>
    <col min="1" max="1" width="17" customWidth="1"/>
    <col min="3" max="3" width="13.6640625" customWidth="1"/>
    <col min="5" max="5" width="16" customWidth="1"/>
    <col min="7" max="7" width="56.44140625" customWidth="1"/>
    <col min="8" max="8" width="18.6640625" customWidth="1"/>
    <col min="10" max="10" width="22.33203125" customWidth="1"/>
    <col min="11" max="11" width="33.6640625" customWidth="1"/>
    <col min="13" max="13" width="21" customWidth="1"/>
    <col min="15" max="15" width="20.6640625" customWidth="1"/>
    <col min="16" max="16" width="17.33203125" customWidth="1"/>
    <col min="17" max="17" width="16.33203125" customWidth="1"/>
    <col min="18" max="18" width="21" customWidth="1"/>
    <col min="20" max="20" width="14.5546875" customWidth="1"/>
    <col min="22" max="22" width="18.5546875" customWidth="1"/>
    <col min="25" max="25" width="22.5546875" customWidth="1"/>
    <col min="26" max="26" width="15.33203125" customWidth="1"/>
    <col min="27" max="27" width="12.5546875" bestFit="1" customWidth="1"/>
    <col min="28" max="28" width="18.6640625" customWidth="1"/>
    <col min="29" max="29" width="18.5546875" customWidth="1"/>
  </cols>
  <sheetData>
    <row r="1" spans="1:29" x14ac:dyDescent="0.25">
      <c r="A1" s="1" t="s">
        <v>1073</v>
      </c>
    </row>
    <row r="2" spans="1:29" x14ac:dyDescent="0.25">
      <c r="J2" s="1" t="s">
        <v>803</v>
      </c>
    </row>
    <row r="3" spans="1:29" x14ac:dyDescent="0.25">
      <c r="A3" s="1" t="s">
        <v>987</v>
      </c>
      <c r="C3" s="1" t="s">
        <v>21</v>
      </c>
      <c r="E3" s="1" t="s">
        <v>165</v>
      </c>
      <c r="G3" s="1" t="s">
        <v>10</v>
      </c>
      <c r="J3" s="816" t="s">
        <v>1097</v>
      </c>
      <c r="M3" s="1" t="s">
        <v>74</v>
      </c>
      <c r="O3" s="1" t="s">
        <v>429</v>
      </c>
      <c r="Q3" s="299" t="s">
        <v>1258</v>
      </c>
      <c r="R3" s="1" t="s">
        <v>655</v>
      </c>
      <c r="T3" s="1" t="s">
        <v>424</v>
      </c>
      <c r="V3" s="1" t="s">
        <v>426</v>
      </c>
      <c r="Y3" s="1" t="s">
        <v>345</v>
      </c>
      <c r="AA3" s="299" t="s">
        <v>1258</v>
      </c>
      <c r="AB3" s="1" t="s">
        <v>1048</v>
      </c>
    </row>
    <row r="4" spans="1:29" x14ac:dyDescent="0.25">
      <c r="A4" t="s">
        <v>988</v>
      </c>
      <c r="C4" t="s">
        <v>22</v>
      </c>
      <c r="E4" s="1">
        <v>100000</v>
      </c>
      <c r="G4" t="s">
        <v>323</v>
      </c>
      <c r="H4" t="s">
        <v>7</v>
      </c>
      <c r="J4" s="816" t="s">
        <v>1085</v>
      </c>
      <c r="M4" t="s">
        <v>1024</v>
      </c>
      <c r="O4" t="str">
        <f>M7</f>
        <v>ref_year</v>
      </c>
      <c r="P4">
        <v>2016</v>
      </c>
      <c r="Q4" t="b">
        <v>1</v>
      </c>
      <c r="R4" s="434" t="s">
        <v>1024</v>
      </c>
      <c r="T4">
        <v>1</v>
      </c>
      <c r="U4" t="s">
        <v>425</v>
      </c>
      <c r="V4" t="s">
        <v>411</v>
      </c>
      <c r="W4">
        <v>1.1000000000000001</v>
      </c>
      <c r="Y4" t="s">
        <v>338</v>
      </c>
      <c r="Z4">
        <v>0.9</v>
      </c>
      <c r="AA4" t="b">
        <v>0</v>
      </c>
      <c r="AB4" t="s">
        <v>26</v>
      </c>
      <c r="AC4" s="434" t="s">
        <v>813</v>
      </c>
    </row>
    <row r="5" spans="1:29" x14ac:dyDescent="0.25">
      <c r="A5" t="s">
        <v>989</v>
      </c>
      <c r="C5" t="s">
        <v>281</v>
      </c>
      <c r="G5" t="s">
        <v>334</v>
      </c>
      <c r="H5" t="s">
        <v>25</v>
      </c>
      <c r="J5" s="816" t="s">
        <v>1086</v>
      </c>
      <c r="M5" t="s">
        <v>7</v>
      </c>
      <c r="O5" t="str">
        <f>M18</f>
        <v>depr_type</v>
      </c>
      <c r="P5" t="s">
        <v>428</v>
      </c>
      <c r="Q5" t="b">
        <v>1</v>
      </c>
      <c r="R5" s="434" t="s">
        <v>923</v>
      </c>
      <c r="T5">
        <v>1.2</v>
      </c>
      <c r="U5" t="s">
        <v>418</v>
      </c>
      <c r="V5" t="s">
        <v>412</v>
      </c>
      <c r="W5">
        <v>1</v>
      </c>
      <c r="Y5" t="s">
        <v>339</v>
      </c>
      <c r="Z5">
        <v>0.04</v>
      </c>
      <c r="AA5" t="b">
        <v>0</v>
      </c>
      <c r="AB5" t="s">
        <v>178</v>
      </c>
      <c r="AC5" s="434" t="s">
        <v>813</v>
      </c>
    </row>
    <row r="6" spans="1:29" x14ac:dyDescent="0.25">
      <c r="G6" t="s">
        <v>370</v>
      </c>
      <c r="H6" t="s">
        <v>181</v>
      </c>
      <c r="J6" s="816" t="s">
        <v>1087</v>
      </c>
      <c r="M6" t="s">
        <v>25</v>
      </c>
      <c r="O6" t="str">
        <f>M19</f>
        <v>equity</v>
      </c>
      <c r="P6" s="1148">
        <v>0.4</v>
      </c>
      <c r="Q6" t="b">
        <v>1</v>
      </c>
      <c r="R6" s="434" t="s">
        <v>924</v>
      </c>
      <c r="V6" t="s">
        <v>413</v>
      </c>
      <c r="W6">
        <v>1.05</v>
      </c>
      <c r="Y6" t="s">
        <v>539</v>
      </c>
      <c r="Z6">
        <v>14.7</v>
      </c>
      <c r="AA6" t="b">
        <v>0</v>
      </c>
      <c r="AB6" t="s">
        <v>170</v>
      </c>
      <c r="AC6" s="434" t="s">
        <v>813</v>
      </c>
    </row>
    <row r="7" spans="1:29" x14ac:dyDescent="0.25">
      <c r="A7" s="1" t="s">
        <v>269</v>
      </c>
      <c r="C7" s="1" t="s">
        <v>1039</v>
      </c>
      <c r="G7" t="s">
        <v>371</v>
      </c>
      <c r="H7" t="s">
        <v>9</v>
      </c>
      <c r="J7" s="1076" t="s">
        <v>1197</v>
      </c>
      <c r="M7" t="s">
        <v>1007</v>
      </c>
      <c r="O7" t="str">
        <f t="shared" ref="O7:O13" si="0">M25</f>
        <v>decom_percent</v>
      </c>
      <c r="P7">
        <v>0.1</v>
      </c>
      <c r="Q7" t="b">
        <v>1</v>
      </c>
      <c r="R7" s="434" t="s">
        <v>925</v>
      </c>
      <c r="V7" t="s">
        <v>414</v>
      </c>
      <c r="W7">
        <v>1.1000000000000001</v>
      </c>
      <c r="Y7" t="s">
        <v>946</v>
      </c>
      <c r="Z7">
        <v>0</v>
      </c>
      <c r="AA7" t="b">
        <v>1</v>
      </c>
      <c r="AB7" t="s">
        <v>172</v>
      </c>
      <c r="AC7" s="434" t="s">
        <v>813</v>
      </c>
    </row>
    <row r="8" spans="1:29" x14ac:dyDescent="0.25">
      <c r="A8" t="s">
        <v>247</v>
      </c>
      <c r="C8" t="s">
        <v>1034</v>
      </c>
      <c r="G8" t="s">
        <v>375</v>
      </c>
      <c r="H8" t="s">
        <v>180</v>
      </c>
      <c r="M8" t="s">
        <v>181</v>
      </c>
      <c r="O8" t="str">
        <f t="shared" si="0"/>
        <v>salvage_perct</v>
      </c>
      <c r="P8">
        <v>0.1</v>
      </c>
      <c r="Q8" t="b">
        <v>1</v>
      </c>
      <c r="R8" s="434" t="s">
        <v>926</v>
      </c>
      <c r="V8" t="s">
        <v>416</v>
      </c>
      <c r="W8">
        <v>1.1000000000000001</v>
      </c>
      <c r="Y8" s="299" t="s">
        <v>1193</v>
      </c>
      <c r="Z8" s="299">
        <v>1</v>
      </c>
      <c r="AA8" t="b">
        <v>0</v>
      </c>
      <c r="AB8" t="s">
        <v>28</v>
      </c>
      <c r="AC8" s="434" t="s">
        <v>813</v>
      </c>
    </row>
    <row r="9" spans="1:29" x14ac:dyDescent="0.25">
      <c r="A9" t="s">
        <v>270</v>
      </c>
      <c r="C9" t="s">
        <v>270</v>
      </c>
      <c r="G9" t="s">
        <v>376</v>
      </c>
      <c r="H9" t="s">
        <v>169</v>
      </c>
      <c r="M9" t="s">
        <v>9</v>
      </c>
      <c r="O9" t="str">
        <f t="shared" si="0"/>
        <v>inflation_rate</v>
      </c>
      <c r="P9">
        <v>1.9E-2</v>
      </c>
      <c r="Q9" t="b">
        <v>1</v>
      </c>
      <c r="R9" s="434" t="s">
        <v>927</v>
      </c>
      <c r="V9" t="s">
        <v>415</v>
      </c>
      <c r="W9">
        <v>1.3</v>
      </c>
      <c r="Y9" s="299" t="s">
        <v>344</v>
      </c>
      <c r="Z9" s="299">
        <v>100</v>
      </c>
      <c r="AA9" t="b">
        <v>1</v>
      </c>
      <c r="AB9" t="s">
        <v>158</v>
      </c>
      <c r="AC9" s="434" t="s">
        <v>813</v>
      </c>
    </row>
    <row r="10" spans="1:29" x14ac:dyDescent="0.25">
      <c r="A10" t="s">
        <v>271</v>
      </c>
      <c r="C10" t="s">
        <v>1040</v>
      </c>
      <c r="G10" t="s">
        <v>324</v>
      </c>
      <c r="H10" t="s">
        <v>17</v>
      </c>
      <c r="M10" t="s">
        <v>160</v>
      </c>
      <c r="O10" t="str">
        <f t="shared" si="0"/>
        <v>real_irr</v>
      </c>
      <c r="P10" s="1148">
        <v>0.08</v>
      </c>
      <c r="Q10" t="b">
        <v>1</v>
      </c>
      <c r="R10" s="434" t="s">
        <v>928</v>
      </c>
      <c r="V10" t="s">
        <v>417</v>
      </c>
      <c r="W10">
        <v>1.5</v>
      </c>
      <c r="Y10" s="299" t="s">
        <v>1188</v>
      </c>
      <c r="Z10" s="299">
        <v>0.75</v>
      </c>
      <c r="AA10" t="b">
        <v>0</v>
      </c>
      <c r="AB10" t="s">
        <v>168</v>
      </c>
      <c r="AC10" s="434" t="s">
        <v>813</v>
      </c>
    </row>
    <row r="11" spans="1:29" x14ac:dyDescent="0.25">
      <c r="C11" t="s">
        <v>1053</v>
      </c>
      <c r="G11" t="s">
        <v>325</v>
      </c>
      <c r="H11" t="s">
        <v>177</v>
      </c>
      <c r="J11" s="1" t="s">
        <v>682</v>
      </c>
      <c r="K11" s="1" t="s">
        <v>683</v>
      </c>
      <c r="M11" t="s">
        <v>161</v>
      </c>
      <c r="O11" t="str">
        <f t="shared" si="0"/>
        <v>state_tax_rate</v>
      </c>
      <c r="P11">
        <v>0.06</v>
      </c>
      <c r="Q11" t="b">
        <v>1</v>
      </c>
      <c r="R11" s="434" t="s">
        <v>929</v>
      </c>
      <c r="Y11" s="299" t="s">
        <v>1189</v>
      </c>
      <c r="Z11" s="1047" t="s">
        <v>22</v>
      </c>
      <c r="AA11" t="b">
        <v>0</v>
      </c>
      <c r="AB11" t="s">
        <v>1075</v>
      </c>
      <c r="AC11" t="s">
        <v>826</v>
      </c>
    </row>
    <row r="12" spans="1:29" x14ac:dyDescent="0.25">
      <c r="C12" t="s">
        <v>271</v>
      </c>
      <c r="G12" t="s">
        <v>326</v>
      </c>
      <c r="H12" t="s">
        <v>29</v>
      </c>
      <c r="J12" s="743" t="str">
        <f>TMP_PriceTable</f>
        <v>AEO_2017_Reference_Case</v>
      </c>
      <c r="K12" t="str">
        <f>J12&amp;"_Feeds"</f>
        <v>AEO_2017_Reference_Case_Feeds</v>
      </c>
      <c r="M12" t="s">
        <v>162</v>
      </c>
      <c r="O12" t="str">
        <f t="shared" si="0"/>
        <v>fed_tax_rate</v>
      </c>
      <c r="P12" s="1148">
        <v>0.21</v>
      </c>
      <c r="Q12" t="b">
        <v>1</v>
      </c>
      <c r="R12" s="434" t="s">
        <v>930</v>
      </c>
      <c r="Y12" s="299" t="s">
        <v>1190</v>
      </c>
      <c r="Z12" s="1047" t="s">
        <v>22</v>
      </c>
      <c r="AA12" t="b">
        <v>0</v>
      </c>
      <c r="AB12" t="s">
        <v>1076</v>
      </c>
      <c r="AC12" t="s">
        <v>1044</v>
      </c>
    </row>
    <row r="13" spans="1:29" x14ac:dyDescent="0.25">
      <c r="G13" t="s">
        <v>327</v>
      </c>
      <c r="H13" t="s">
        <v>173</v>
      </c>
      <c r="K13" s="1" t="s">
        <v>684</v>
      </c>
      <c r="M13" t="s">
        <v>163</v>
      </c>
      <c r="O13" t="str">
        <f t="shared" si="0"/>
        <v>WorkingCap</v>
      </c>
      <c r="P13">
        <v>0.15</v>
      </c>
      <c r="Q13" t="b">
        <v>1</v>
      </c>
      <c r="R13" s="434" t="s">
        <v>931</v>
      </c>
      <c r="Y13" s="299" t="s">
        <v>1191</v>
      </c>
      <c r="Z13" s="299">
        <v>0</v>
      </c>
      <c r="AA13" t="b">
        <v>1</v>
      </c>
      <c r="AB13" t="s">
        <v>1004</v>
      </c>
      <c r="AC13">
        <v>0.25</v>
      </c>
    </row>
    <row r="14" spans="1:29" x14ac:dyDescent="0.25">
      <c r="A14" s="1" t="s">
        <v>15</v>
      </c>
      <c r="C14" s="1" t="s">
        <v>198</v>
      </c>
      <c r="G14" t="s">
        <v>328</v>
      </c>
      <c r="H14" t="s">
        <v>183</v>
      </c>
      <c r="K14" t="str">
        <f>J12&amp;"_Years"</f>
        <v>AEO_2017_Reference_Case_Years</v>
      </c>
      <c r="M14" t="s">
        <v>180</v>
      </c>
      <c r="O14" t="s">
        <v>159</v>
      </c>
      <c r="P14">
        <v>0.2</v>
      </c>
      <c r="Q14" t="b">
        <v>1</v>
      </c>
      <c r="R14" t="s">
        <v>7</v>
      </c>
      <c r="Y14" s="299" t="s">
        <v>1192</v>
      </c>
      <c r="Z14" s="299">
        <v>53</v>
      </c>
      <c r="AA14" t="b">
        <v>0</v>
      </c>
      <c r="AB14" t="s">
        <v>1005</v>
      </c>
      <c r="AC14" t="s">
        <v>826</v>
      </c>
    </row>
    <row r="15" spans="1:29" x14ac:dyDescent="0.25">
      <c r="A15" t="s">
        <v>190</v>
      </c>
      <c r="C15" s="678" t="s">
        <v>199</v>
      </c>
      <c r="G15" t="s">
        <v>329</v>
      </c>
      <c r="H15" t="s">
        <v>27</v>
      </c>
      <c r="M15" t="s">
        <v>169</v>
      </c>
      <c r="O15" t="s">
        <v>185</v>
      </c>
      <c r="P15">
        <v>0.02</v>
      </c>
      <c r="Q15" t="b">
        <v>1</v>
      </c>
      <c r="R15" t="s">
        <v>25</v>
      </c>
      <c r="Y15" s="1044"/>
      <c r="Z15" s="1044"/>
      <c r="AB15" t="s">
        <v>30</v>
      </c>
      <c r="AC15" t="s">
        <v>1044</v>
      </c>
    </row>
    <row r="16" spans="1:29" ht="13.8" x14ac:dyDescent="0.25">
      <c r="A16" t="s">
        <v>191</v>
      </c>
      <c r="C16" s="679" t="s">
        <v>200</v>
      </c>
      <c r="G16" t="s">
        <v>330</v>
      </c>
      <c r="H16" t="s">
        <v>188</v>
      </c>
      <c r="M16" t="s">
        <v>6</v>
      </c>
      <c r="O16" t="s">
        <v>176</v>
      </c>
      <c r="P16">
        <v>0</v>
      </c>
      <c r="R16" t="s">
        <v>1007</v>
      </c>
      <c r="Y16" s="1044"/>
      <c r="Z16" s="1045"/>
      <c r="AB16" t="s">
        <v>174</v>
      </c>
      <c r="AC16" t="s">
        <v>1044</v>
      </c>
    </row>
    <row r="17" spans="1:29" x14ac:dyDescent="0.25">
      <c r="A17" t="s">
        <v>242</v>
      </c>
      <c r="C17" s="698" t="s">
        <v>491</v>
      </c>
      <c r="G17" t="s">
        <v>11</v>
      </c>
      <c r="H17" t="s">
        <v>245</v>
      </c>
      <c r="M17" t="s">
        <v>23</v>
      </c>
      <c r="O17" t="s">
        <v>155</v>
      </c>
      <c r="P17">
        <v>0</v>
      </c>
      <c r="R17" t="s">
        <v>181</v>
      </c>
      <c r="AB17" t="s">
        <v>1006</v>
      </c>
      <c r="AC17" t="s">
        <v>1044</v>
      </c>
    </row>
    <row r="18" spans="1:29" x14ac:dyDescent="0.25">
      <c r="A18" t="s">
        <v>243</v>
      </c>
      <c r="C18" s="680" t="s">
        <v>1014</v>
      </c>
      <c r="G18" t="s">
        <v>116</v>
      </c>
      <c r="H18" t="s">
        <v>957</v>
      </c>
      <c r="M18" t="s">
        <v>24</v>
      </c>
      <c r="O18" t="s">
        <v>184</v>
      </c>
      <c r="P18">
        <v>0</v>
      </c>
      <c r="R18" t="s">
        <v>9</v>
      </c>
      <c r="Y18" s="1044"/>
      <c r="Z18" s="1044"/>
      <c r="AB18" t="s">
        <v>171</v>
      </c>
      <c r="AC18" t="s">
        <v>1044</v>
      </c>
    </row>
    <row r="19" spans="1:29" x14ac:dyDescent="0.25">
      <c r="A19" t="s">
        <v>244</v>
      </c>
      <c r="C19" s="436" t="s">
        <v>201</v>
      </c>
      <c r="G19" t="s">
        <v>623</v>
      </c>
      <c r="H19" t="s">
        <v>624</v>
      </c>
      <c r="M19" t="s">
        <v>246</v>
      </c>
      <c r="O19" t="s">
        <v>947</v>
      </c>
      <c r="P19">
        <v>0</v>
      </c>
      <c r="R19" t="s">
        <v>160</v>
      </c>
      <c r="Y19" s="1044"/>
      <c r="Z19" s="1044"/>
      <c r="AB19" t="s">
        <v>156</v>
      </c>
      <c r="AC19" t="s">
        <v>1043</v>
      </c>
    </row>
    <row r="20" spans="1:29" x14ac:dyDescent="0.25">
      <c r="A20" t="s">
        <v>16</v>
      </c>
      <c r="G20" t="s">
        <v>349</v>
      </c>
      <c r="H20" t="s">
        <v>1075</v>
      </c>
      <c r="M20" t="s">
        <v>12</v>
      </c>
      <c r="O20" t="s">
        <v>948</v>
      </c>
      <c r="P20">
        <v>0</v>
      </c>
      <c r="R20" t="s">
        <v>161</v>
      </c>
      <c r="Y20" s="1044"/>
      <c r="Z20" s="1044"/>
      <c r="AB20" t="s">
        <v>157</v>
      </c>
      <c r="AC20" t="s">
        <v>1044</v>
      </c>
    </row>
    <row r="21" spans="1:29" x14ac:dyDescent="0.25">
      <c r="G21" t="s">
        <v>651</v>
      </c>
      <c r="H21" t="s">
        <v>1004</v>
      </c>
      <c r="M21" t="s">
        <v>13</v>
      </c>
      <c r="R21" t="s">
        <v>162</v>
      </c>
      <c r="AB21" t="s">
        <v>186</v>
      </c>
      <c r="AC21" t="s">
        <v>1043</v>
      </c>
    </row>
    <row r="22" spans="1:29" x14ac:dyDescent="0.25">
      <c r="G22" t="s">
        <v>331</v>
      </c>
      <c r="H22" t="s">
        <v>159</v>
      </c>
      <c r="M22" t="s">
        <v>164</v>
      </c>
      <c r="R22" t="s">
        <v>163</v>
      </c>
      <c r="AB22" t="s">
        <v>279</v>
      </c>
      <c r="AC22" t="s">
        <v>1043</v>
      </c>
    </row>
    <row r="23" spans="1:29" x14ac:dyDescent="0.25">
      <c r="A23" s="1" t="s">
        <v>825</v>
      </c>
      <c r="G23" t="s">
        <v>332</v>
      </c>
      <c r="H23" t="s">
        <v>185</v>
      </c>
      <c r="M23" t="s">
        <v>166</v>
      </c>
      <c r="R23" t="s">
        <v>180</v>
      </c>
      <c r="AB23" t="s">
        <v>187</v>
      </c>
      <c r="AC23" t="s">
        <v>1043</v>
      </c>
    </row>
    <row r="24" spans="1:29" x14ac:dyDescent="0.25">
      <c r="A24" s="434" t="s">
        <v>1043</v>
      </c>
      <c r="G24" t="s">
        <v>356</v>
      </c>
      <c r="H24" t="s">
        <v>174</v>
      </c>
      <c r="M24" t="s">
        <v>167</v>
      </c>
      <c r="R24" t="s">
        <v>169</v>
      </c>
      <c r="AB24" t="s">
        <v>179</v>
      </c>
      <c r="AC24" t="s">
        <v>1043</v>
      </c>
    </row>
    <row r="25" spans="1:29" x14ac:dyDescent="0.25">
      <c r="A25" s="434" t="s">
        <v>1044</v>
      </c>
      <c r="G25" t="s">
        <v>357</v>
      </c>
      <c r="H25" t="s">
        <v>1006</v>
      </c>
      <c r="M25" t="s">
        <v>17</v>
      </c>
      <c r="R25" t="s">
        <v>6</v>
      </c>
      <c r="AB25" t="s">
        <v>176</v>
      </c>
      <c r="AC25" t="s">
        <v>1043</v>
      </c>
    </row>
    <row r="26" spans="1:29" x14ac:dyDescent="0.25">
      <c r="A26" s="434" t="s">
        <v>826</v>
      </c>
      <c r="G26" t="s">
        <v>358</v>
      </c>
      <c r="H26" t="s">
        <v>171</v>
      </c>
      <c r="M26" t="s">
        <v>177</v>
      </c>
      <c r="R26" t="s">
        <v>23</v>
      </c>
      <c r="AB26" t="s">
        <v>155</v>
      </c>
      <c r="AC26" t="s">
        <v>1043</v>
      </c>
    </row>
    <row r="27" spans="1:29" x14ac:dyDescent="0.25">
      <c r="A27" s="434" t="s">
        <v>813</v>
      </c>
      <c r="G27" t="s">
        <v>362</v>
      </c>
      <c r="H27" t="s">
        <v>187</v>
      </c>
      <c r="M27" t="s">
        <v>29</v>
      </c>
      <c r="R27" t="s">
        <v>24</v>
      </c>
      <c r="AB27" t="s">
        <v>184</v>
      </c>
      <c r="AC27" t="s">
        <v>1043</v>
      </c>
    </row>
    <row r="28" spans="1:29" x14ac:dyDescent="0.25">
      <c r="A28">
        <v>0.1</v>
      </c>
      <c r="G28" t="s">
        <v>363</v>
      </c>
      <c r="H28" t="s">
        <v>179</v>
      </c>
      <c r="M28" t="s">
        <v>173</v>
      </c>
      <c r="R28" t="s">
        <v>246</v>
      </c>
      <c r="AB28" t="s">
        <v>1047</v>
      </c>
      <c r="AC28" t="s">
        <v>813</v>
      </c>
    </row>
    <row r="29" spans="1:29" x14ac:dyDescent="0.25">
      <c r="A29">
        <v>0.2</v>
      </c>
      <c r="G29" t="s">
        <v>982</v>
      </c>
      <c r="H29" t="s">
        <v>8</v>
      </c>
      <c r="M29" t="s">
        <v>183</v>
      </c>
      <c r="R29" t="s">
        <v>12</v>
      </c>
    </row>
    <row r="30" spans="1:29" x14ac:dyDescent="0.25">
      <c r="A30">
        <v>0.25</v>
      </c>
      <c r="G30" t="s">
        <v>822</v>
      </c>
      <c r="H30" t="s">
        <v>823</v>
      </c>
      <c r="M30" t="s">
        <v>27</v>
      </c>
      <c r="R30" t="s">
        <v>13</v>
      </c>
    </row>
    <row r="31" spans="1:29" x14ac:dyDescent="0.25">
      <c r="A31">
        <v>0.3</v>
      </c>
      <c r="G31" t="s">
        <v>822</v>
      </c>
      <c r="H31" t="s">
        <v>823</v>
      </c>
      <c r="M31" t="s">
        <v>188</v>
      </c>
      <c r="R31" t="s">
        <v>164</v>
      </c>
    </row>
    <row r="32" spans="1:29" x14ac:dyDescent="0.25">
      <c r="A32">
        <v>0.4</v>
      </c>
      <c r="G32" t="s">
        <v>1633</v>
      </c>
      <c r="H32" t="s">
        <v>1634</v>
      </c>
      <c r="M32" t="s">
        <v>1075</v>
      </c>
      <c r="R32" t="s">
        <v>166</v>
      </c>
    </row>
    <row r="33" spans="1:18" x14ac:dyDescent="0.25">
      <c r="A33">
        <v>0.5</v>
      </c>
      <c r="M33" t="s">
        <v>1076</v>
      </c>
      <c r="R33" t="s">
        <v>167</v>
      </c>
    </row>
    <row r="34" spans="1:18" x14ac:dyDescent="0.25">
      <c r="A34">
        <v>0.6</v>
      </c>
      <c r="M34" t="s">
        <v>1004</v>
      </c>
      <c r="R34" t="s">
        <v>17</v>
      </c>
    </row>
    <row r="35" spans="1:18" x14ac:dyDescent="0.25">
      <c r="A35">
        <v>0.7</v>
      </c>
      <c r="M35" t="s">
        <v>1005</v>
      </c>
      <c r="R35" t="s">
        <v>177</v>
      </c>
    </row>
    <row r="36" spans="1:18" x14ac:dyDescent="0.25">
      <c r="A36">
        <v>0.8</v>
      </c>
      <c r="M36" t="s">
        <v>159</v>
      </c>
      <c r="R36" t="s">
        <v>29</v>
      </c>
    </row>
    <row r="37" spans="1:18" x14ac:dyDescent="0.25">
      <c r="A37">
        <v>0.9</v>
      </c>
      <c r="M37" t="s">
        <v>185</v>
      </c>
      <c r="R37" t="s">
        <v>173</v>
      </c>
    </row>
    <row r="38" spans="1:18" x14ac:dyDescent="0.25">
      <c r="M38" t="s">
        <v>174</v>
      </c>
      <c r="R38" t="s">
        <v>183</v>
      </c>
    </row>
    <row r="39" spans="1:18" x14ac:dyDescent="0.25">
      <c r="M39" t="s">
        <v>1006</v>
      </c>
      <c r="R39" t="s">
        <v>27</v>
      </c>
    </row>
    <row r="40" spans="1:18" x14ac:dyDescent="0.25">
      <c r="M40" t="s">
        <v>171</v>
      </c>
      <c r="R40" t="s">
        <v>188</v>
      </c>
    </row>
    <row r="41" spans="1:18" x14ac:dyDescent="0.25">
      <c r="M41" t="s">
        <v>156</v>
      </c>
      <c r="R41" t="s">
        <v>245</v>
      </c>
    </row>
    <row r="42" spans="1:18" x14ac:dyDescent="0.25">
      <c r="M42" t="s">
        <v>157</v>
      </c>
      <c r="R42" t="s">
        <v>26</v>
      </c>
    </row>
    <row r="43" spans="1:18" x14ac:dyDescent="0.25">
      <c r="M43" t="s">
        <v>279</v>
      </c>
      <c r="R43" t="s">
        <v>178</v>
      </c>
    </row>
    <row r="44" spans="1:18" x14ac:dyDescent="0.25">
      <c r="M44" t="s">
        <v>186</v>
      </c>
      <c r="R44" t="s">
        <v>170</v>
      </c>
    </row>
    <row r="45" spans="1:18" x14ac:dyDescent="0.25">
      <c r="M45" t="s">
        <v>187</v>
      </c>
      <c r="R45" t="s">
        <v>172</v>
      </c>
    </row>
    <row r="46" spans="1:18" x14ac:dyDescent="0.25">
      <c r="M46" t="s">
        <v>179</v>
      </c>
      <c r="R46" t="s">
        <v>28</v>
      </c>
    </row>
    <row r="47" spans="1:18" x14ac:dyDescent="0.25">
      <c r="M47" t="s">
        <v>175</v>
      </c>
      <c r="R47" t="s">
        <v>158</v>
      </c>
    </row>
    <row r="48" spans="1:18" x14ac:dyDescent="0.25">
      <c r="M48" t="s">
        <v>176</v>
      </c>
      <c r="R48" t="s">
        <v>168</v>
      </c>
    </row>
    <row r="49" spans="13:18" x14ac:dyDescent="0.25">
      <c r="M49" t="s">
        <v>155</v>
      </c>
      <c r="R49" t="s">
        <v>1075</v>
      </c>
    </row>
    <row r="50" spans="13:18" x14ac:dyDescent="0.25">
      <c r="M50" t="s">
        <v>184</v>
      </c>
      <c r="R50" t="s">
        <v>1076</v>
      </c>
    </row>
    <row r="51" spans="13:18" x14ac:dyDescent="0.25">
      <c r="M51" t="s">
        <v>8</v>
      </c>
      <c r="R51" t="s">
        <v>1004</v>
      </c>
    </row>
    <row r="52" spans="13:18" x14ac:dyDescent="0.25">
      <c r="M52" t="s">
        <v>1047</v>
      </c>
      <c r="R52" t="s">
        <v>1005</v>
      </c>
    </row>
    <row r="53" spans="13:18" x14ac:dyDescent="0.25">
      <c r="M53" t="s">
        <v>576</v>
      </c>
      <c r="R53" t="s">
        <v>159</v>
      </c>
    </row>
    <row r="54" spans="13:18" x14ac:dyDescent="0.25">
      <c r="M54" t="s">
        <v>339</v>
      </c>
      <c r="R54" t="s">
        <v>185</v>
      </c>
    </row>
    <row r="55" spans="13:18" x14ac:dyDescent="0.25">
      <c r="M55" t="s">
        <v>340</v>
      </c>
      <c r="R55" t="s">
        <v>174</v>
      </c>
    </row>
    <row r="56" spans="13:18" x14ac:dyDescent="0.25">
      <c r="M56" t="s">
        <v>341</v>
      </c>
      <c r="R56" t="s">
        <v>1006</v>
      </c>
    </row>
    <row r="57" spans="13:18" x14ac:dyDescent="0.25">
      <c r="M57" t="s">
        <v>577</v>
      </c>
      <c r="R57" t="s">
        <v>171</v>
      </c>
    </row>
    <row r="58" spans="13:18" x14ac:dyDescent="0.25">
      <c r="M58" t="s">
        <v>342</v>
      </c>
      <c r="R58" t="s">
        <v>156</v>
      </c>
    </row>
    <row r="59" spans="13:18" x14ac:dyDescent="0.25">
      <c r="M59" t="s">
        <v>578</v>
      </c>
      <c r="R59" t="s">
        <v>157</v>
      </c>
    </row>
    <row r="60" spans="13:18" x14ac:dyDescent="0.25">
      <c r="M60" t="s">
        <v>343</v>
      </c>
      <c r="R60" t="s">
        <v>279</v>
      </c>
    </row>
    <row r="61" spans="13:18" x14ac:dyDescent="0.25">
      <c r="M61" t="s">
        <v>344</v>
      </c>
      <c r="R61" t="s">
        <v>280</v>
      </c>
    </row>
    <row r="62" spans="13:18" x14ac:dyDescent="0.25">
      <c r="R62" t="s">
        <v>258</v>
      </c>
    </row>
    <row r="63" spans="13:18" x14ac:dyDescent="0.25">
      <c r="R63" t="s">
        <v>186</v>
      </c>
    </row>
    <row r="64" spans="13:18" x14ac:dyDescent="0.25">
      <c r="R64" t="s">
        <v>187</v>
      </c>
    </row>
    <row r="65" spans="18:18" x14ac:dyDescent="0.25">
      <c r="R65" t="s">
        <v>179</v>
      </c>
    </row>
    <row r="66" spans="18:18" x14ac:dyDescent="0.25">
      <c r="R66" t="s">
        <v>175</v>
      </c>
    </row>
    <row r="67" spans="18:18" x14ac:dyDescent="0.25">
      <c r="R67" t="s">
        <v>176</v>
      </c>
    </row>
    <row r="68" spans="18:18" x14ac:dyDescent="0.25">
      <c r="R68" t="s">
        <v>155</v>
      </c>
    </row>
    <row r="69" spans="18:18" x14ac:dyDescent="0.25">
      <c r="R69" t="s">
        <v>184</v>
      </c>
    </row>
    <row r="70" spans="18:18" x14ac:dyDescent="0.25">
      <c r="R70" t="s">
        <v>8</v>
      </c>
    </row>
    <row r="71" spans="18:18" x14ac:dyDescent="0.25">
      <c r="R71" t="s">
        <v>1047</v>
      </c>
    </row>
    <row r="72" spans="18:18" x14ac:dyDescent="0.25">
      <c r="R72" t="s">
        <v>576</v>
      </c>
    </row>
    <row r="73" spans="18:18" x14ac:dyDescent="0.25">
      <c r="R73" t="s">
        <v>339</v>
      </c>
    </row>
    <row r="74" spans="18:18" x14ac:dyDescent="0.25">
      <c r="R74" t="s">
        <v>340</v>
      </c>
    </row>
    <row r="75" spans="18:18" x14ac:dyDescent="0.25">
      <c r="R75" t="s">
        <v>341</v>
      </c>
    </row>
    <row r="76" spans="18:18" x14ac:dyDescent="0.25">
      <c r="R76" t="s">
        <v>577</v>
      </c>
    </row>
    <row r="77" spans="18:18" x14ac:dyDescent="0.25">
      <c r="R77" t="s">
        <v>342</v>
      </c>
    </row>
    <row r="78" spans="18:18" x14ac:dyDescent="0.25">
      <c r="R78" t="s">
        <v>578</v>
      </c>
    </row>
    <row r="79" spans="18:18" x14ac:dyDescent="0.25">
      <c r="R79" t="s">
        <v>343</v>
      </c>
    </row>
    <row r="80" spans="18:18" x14ac:dyDescent="0.25">
      <c r="R80" t="s">
        <v>344</v>
      </c>
    </row>
  </sheetData>
  <phoneticPr fontId="3" type="noConversion"/>
  <pageMargins left="0.75" right="0.75" top="1" bottom="1" header="0.5" footer="0.5"/>
  <pageSetup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ct:contentTypeSchema xmlns:ct="http://schemas.microsoft.com/office/2006/metadata/contentType" xmlns:ma="http://schemas.microsoft.com/office/2006/metadata/properties/metaAttributes" ct:_="" ma:_="" ma:contentTypeName="Document" ma:contentTypeID="0x01010026FE44E97B14A94AB65A0BB740F65A9E" ma:contentTypeVersion="11" ma:contentTypeDescription="Create a new document." ma:contentTypeScope="" ma:versionID="bda02f5095bc975456b544bb0cae081a">
  <xsd:schema xmlns:xsd="http://www.w3.org/2001/XMLSchema" xmlns:p="http://schemas.microsoft.com/office/2006/metadata/properties" xmlns:ns2="d82b9494-d8c4-46c3-8d38-25b9e100fe6d" targetNamespace="http://schemas.microsoft.com/office/2006/metadata/properties" ma:root="true" ma:fieldsID="734938b0f007d2aca19eb134f9733a2c" ns2:_="">
    <xsd:import namespace="d82b9494-d8c4-46c3-8d38-25b9e100fe6d"/>
    <xsd:element name="properties">
      <xsd:complexType>
        <xsd:sequence>
          <xsd:element name="documentManagement">
            <xsd:complexType>
              <xsd:all>
                <xsd:element ref="ns2:Document_x0020_Status" minOccurs="0"/>
                <xsd:element ref="ns2:Document_x0020_Type" minOccurs="0"/>
                <xsd:element ref="ns2:Case_x0020_type" minOccurs="0"/>
                <xsd:element ref="ns2:Analysis_x0020_approach" minOccurs="0"/>
                <xsd:element ref="ns2:H2A_x0020_Goals" minOccurs="0"/>
                <xsd:element ref="ns2:Case_x0020_Study" minOccurs="0"/>
              </xsd:all>
            </xsd:complexType>
          </xsd:element>
        </xsd:sequence>
      </xsd:complexType>
    </xsd:element>
  </xsd:schema>
  <xsd:schema xmlns:xsd="http://www.w3.org/2001/XMLSchema" xmlns:dms="http://schemas.microsoft.com/office/2006/documentManagement/types" targetNamespace="d82b9494-d8c4-46c3-8d38-25b9e100fe6d" elementFormDefault="qualified">
    <xsd:import namespace="http://schemas.microsoft.com/office/2006/documentManagement/types"/>
    <xsd:element name="Document_x0020_Status" ma:index="8" nillable="true" ma:displayName="Document Status" ma:default="Edit in progress" ma:description="Choose the status of the document" ma:format="Dropdown" ma:internalName="Document_x0020_Status">
      <xsd:simpleType>
        <xsd:restriction base="dms:Choice">
          <xsd:enumeration value="Edit in progress"/>
          <xsd:enumeration value="Edits complete"/>
          <xsd:enumeration value="Sent to DOE for review"/>
          <xsd:enumeration value="Archived"/>
          <xsd:enumeration value="Other"/>
        </xsd:restriction>
      </xsd:simpleType>
    </xsd:element>
    <xsd:element name="Document_x0020_Type" ma:index="9" nillable="true" ma:displayName="Document Type" ma:default="Task list" ma:description="Choose document type" ma:format="Dropdown" ma:internalName="Document_x0020_Type">
      <xsd:simpleType>
        <xsd:restriction base="dms:Choice">
          <xsd:enumeration value="Task list"/>
          <xsd:enumeration value="Punch list"/>
          <xsd:enumeration value="DOE records"/>
          <xsd:enumeration value="Case study report"/>
          <xsd:enumeration value="User guide"/>
          <xsd:enumeration value="Webinar"/>
          <xsd:enumeration value="Target table presentations"/>
          <xsd:enumeration value="Presentations"/>
        </xsd:restriction>
      </xsd:simpleType>
    </xsd:element>
    <xsd:element name="Case_x0020_type" ma:index="10" nillable="true" ma:displayName="Case type" ma:default="Central" ma:format="RadioButtons" ma:internalName="Case_x0020_type">
      <xsd:simpleType>
        <xsd:restriction base="dms:Choice">
          <xsd:enumeration value="Central"/>
          <xsd:enumeration value="Distributed"/>
          <xsd:enumeration value="None"/>
        </xsd:restriction>
      </xsd:simpleType>
    </xsd:element>
    <xsd:element name="Analysis_x0020_approach" ma:index="11" nillable="true" ma:displayName="Analysis approach" ma:default="Bottom-up" ma:format="RadioButtons" ma:internalName="Analysis_x0020_approach">
      <xsd:simpleType>
        <xsd:restriction base="dms:Choice">
          <xsd:enumeration value="Bottom-up"/>
          <xsd:enumeration value="Top-down"/>
          <xsd:enumeration value="None"/>
        </xsd:restriction>
      </xsd:simpleType>
    </xsd:element>
    <xsd:element name="H2A_x0020_Goals" ma:index="12" nillable="true" ma:displayName="H2A Goals" ma:default="#1 Publish Central NG, Biomass Gasification, and Electrolysis Cases" ma:format="Dropdown" ma:internalName="H2A_x0020_Goals">
      <xsd:simpleType>
        <xsd:restriction base="dms:Choice">
          <xsd:enumeration value="#1 Publish Central NG, Biomass Gasification, and Electrolysis Cases"/>
          <xsd:enumeration value="#2 Publish Central Early development Technologies"/>
          <xsd:enumeration value="#3 Complete H2A updates with CSD for distributed NG, electrolysis, and ethanol"/>
          <xsd:enumeration value="#4 Update MYRD&amp;D Plan Tables"/>
          <xsd:enumeration value="#5 Webinar to show PIs how to use H2A v3 with their parameters"/>
          <xsd:enumeration value="#6 Create records for each technology"/>
          <xsd:enumeration value="None"/>
          <xsd:enumeration value="All"/>
        </xsd:restriction>
      </xsd:simpleType>
    </xsd:element>
    <xsd:element name="Case_x0020_Study" ma:index="13" nillable="true" ma:displayName="Case Study" ma:default="Biomass gasification" ma:description="Choose the case study" ma:format="Dropdown" ma:internalName="Case_x0020_Study">
      <xsd:simpleType>
        <xsd:restriction base="dms:Choice">
          <xsd:enumeration value="Biomass gasification"/>
          <xsd:enumeration value="Biological"/>
          <xsd:enumeration value="Electrolysis"/>
          <xsd:enumeration value="Natural gas"/>
          <xsd:enumeration value="PEC"/>
          <xsd:enumeration value="SMR"/>
          <xsd:enumeration value="STCH"/>
          <xsd:enumeration value="Ethanol"/>
          <xsd:enumeration value="Pyrolysis oil"/>
          <xsd:enumeration value="Coal"/>
          <xsd:enumeration value="Nuclear"/>
          <xsd:enumeration value="Other"/>
          <xsd:enumeration value="None"/>
          <xsd:enumeration value="All"/>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Document_x0020_Type xmlns="d82b9494-d8c4-46c3-8d38-25b9e100fe6d">Case study report</Document_x0020_Type>
    <Analysis_x0020_approach xmlns="d82b9494-d8c4-46c3-8d38-25b9e100fe6d">Bottom-up</Analysis_x0020_approach>
    <Case_x0020_Study xmlns="d82b9494-d8c4-46c3-8d38-25b9e100fe6d">SMR</Case_x0020_Study>
    <Document_x0020_Status xmlns="d82b9494-d8c4-46c3-8d38-25b9e100fe6d">Edits complete</Document_x0020_Status>
    <H2A_x0020_Goals xmlns="d82b9494-d8c4-46c3-8d38-25b9e100fe6d">#1 Publish Central NG, Biomass Gasification, and Electrolysis Cases</H2A_x0020_Goals>
    <Case_x0020_type xmlns="d82b9494-d8c4-46c3-8d38-25b9e100fe6d">Central</Case_x0020_typ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F59CC31-1F39-4F49-8195-FDC0A9322C02}">
  <ds:schemaRefs>
    <ds:schemaRef ds:uri="http://schemas.microsoft.com/office/2006/metadata/longProperties"/>
  </ds:schemaRefs>
</ds:datastoreItem>
</file>

<file path=customXml/itemProps2.xml><?xml version="1.0" encoding="utf-8"?>
<ds:datastoreItem xmlns:ds="http://schemas.openxmlformats.org/officeDocument/2006/customXml" ds:itemID="{4E93857C-CB31-45F4-895E-96F0D114797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82b9494-d8c4-46c3-8d38-25b9e100fe6d"/>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8EF8E5CF-3FBC-4639-B789-46FCAB06DA57}">
  <ds:schemaRefs>
    <ds:schemaRef ds:uri="d82b9494-d8c4-46c3-8d38-25b9e100fe6d"/>
    <ds:schemaRef ds:uri="http://purl.org/dc/dcmitype/"/>
    <ds:schemaRef ds:uri="http://purl.org/dc/elements/1.1/"/>
    <ds:schemaRef ds:uri="http://schemas.microsoft.com/office/2006/metadata/properties"/>
    <ds:schemaRef ds:uri="http://schemas.microsoft.com/office/2006/documentManagement/types"/>
    <ds:schemaRef ds:uri="http://purl.org/dc/terms/"/>
    <ds:schemaRef ds:uri="http://schemas.openxmlformats.org/package/2006/metadata/core-properties"/>
    <ds:schemaRef ds:uri="http://www.w3.org/XML/1998/namespace"/>
    <ds:schemaRef ds:uri="http://schemas.microsoft.com/office/infopath/2007/PartnerControls"/>
  </ds:schemaRefs>
</ds:datastoreItem>
</file>

<file path=customXml/itemProps4.xml><?xml version="1.0" encoding="utf-8"?>
<ds:datastoreItem xmlns:ds="http://schemas.openxmlformats.org/officeDocument/2006/customXml" ds:itemID="{5FD97086-85F3-44E1-B356-8D8C4A3E015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310</vt:i4>
      </vt:variant>
    </vt:vector>
  </HeadingPairs>
  <TitlesOfParts>
    <vt:vector size="329" baseType="lpstr">
      <vt:lpstr>Title</vt:lpstr>
      <vt:lpstr>Description</vt:lpstr>
      <vt:lpstr>ProcessFlow</vt:lpstr>
      <vt:lpstr>Input_Sheet_Template</vt:lpstr>
      <vt:lpstr>Replacement Costs</vt:lpstr>
      <vt:lpstr>Capital Costs</vt:lpstr>
      <vt:lpstr>Plant Scaling</vt:lpstr>
      <vt:lpstr>Carbon Sequestration</vt:lpstr>
      <vt:lpstr>Results</vt:lpstr>
      <vt:lpstr>Tornado Charts &amp; Risk Analysis</vt:lpstr>
      <vt:lpstr>Cash Flow Analysis</vt:lpstr>
      <vt:lpstr>Energy Feed &amp; Utility Prices</vt:lpstr>
      <vt:lpstr>Non-Energy Material Prices</vt:lpstr>
      <vt:lpstr>AEO Data</vt:lpstr>
      <vt:lpstr>HyARC Physical Property Data</vt:lpstr>
      <vt:lpstr>Debt Financing Calculations</vt:lpstr>
      <vt:lpstr>Depreciation</vt:lpstr>
      <vt:lpstr>Constants and Conversions</vt:lpstr>
      <vt:lpstr>Lists</vt:lpstr>
      <vt:lpstr>acre_cost</vt:lpstr>
      <vt:lpstr>acres</vt:lpstr>
      <vt:lpstr>Add_As_list</vt:lpstr>
      <vt:lpstr>AEO_2009_Reference_Case</vt:lpstr>
      <vt:lpstr>AEO_2009_Reference_Case_Feeds</vt:lpstr>
      <vt:lpstr>AEO_2009_Reference_Case_Years</vt:lpstr>
      <vt:lpstr>AEO_2013_High_Price_Case</vt:lpstr>
      <vt:lpstr>AEO_2013_High_Price_Case_Feeds</vt:lpstr>
      <vt:lpstr>AEO_2013_High_Price_Case_Years</vt:lpstr>
      <vt:lpstr>AEO_2013_Reference_Case</vt:lpstr>
      <vt:lpstr>AEO_2013_Reference_Case_Feeds</vt:lpstr>
      <vt:lpstr>AEO_2013_Reference_Case_Years</vt:lpstr>
      <vt:lpstr>AEO_2014_Reference_Case</vt:lpstr>
      <vt:lpstr>AEO_2014_Reference_Case_Feeds</vt:lpstr>
      <vt:lpstr>AEO_2014_Reference_Case_Years</vt:lpstr>
      <vt:lpstr>AEO_2017_Reference_Case</vt:lpstr>
      <vt:lpstr>AEO_2017_Reference_Case_Feeds</vt:lpstr>
      <vt:lpstr>AEO_2017_Reference_Case_Years</vt:lpstr>
      <vt:lpstr>after_tax_nominal_IRR</vt:lpstr>
      <vt:lpstr>after_tax_real_IRR</vt:lpstr>
      <vt:lpstr>anal_period</vt:lpstr>
      <vt:lpstr>Baseline_Design_Capacity</vt:lpstr>
      <vt:lpstr>BasisYear</vt:lpstr>
      <vt:lpstr>btu_to_kWh</vt:lpstr>
      <vt:lpstr>Cancelled</vt:lpstr>
      <vt:lpstr>cap_factor</vt:lpstr>
      <vt:lpstr>Case_eByprod_List</vt:lpstr>
      <vt:lpstr>Case_eFeed_List</vt:lpstr>
      <vt:lpstr>Case_eUtility_List</vt:lpstr>
      <vt:lpstr>Case_material_byprod_list</vt:lpstr>
      <vt:lpstr>Case_Material_Input_List</vt:lpstr>
      <vt:lpstr>CC_feedconversion</vt:lpstr>
      <vt:lpstr>CCS_tax_insurance</vt:lpstr>
      <vt:lpstr>CCSEqpCap</vt:lpstr>
      <vt:lpstr>CEPCIinflator</vt:lpstr>
      <vt:lpstr>Chemical_price_indexes</vt:lpstr>
      <vt:lpstr>CO2_cap_charge_rate</vt:lpstr>
      <vt:lpstr>CO2_cap_rec</vt:lpstr>
      <vt:lpstr>CO2_capptonneCO2</vt:lpstr>
      <vt:lpstr>CO2_Capture_Efficiency</vt:lpstr>
      <vt:lpstr>CO2_CashFlow_eUse</vt:lpstr>
      <vt:lpstr>CO2_ControlSystem</vt:lpstr>
      <vt:lpstr>CO2_credit</vt:lpstr>
      <vt:lpstr>CO2_depr_factor</vt:lpstr>
      <vt:lpstr>CO2_eCost</vt:lpstr>
      <vt:lpstr>CO2_eCostpY</vt:lpstr>
      <vt:lpstr>CO2_energyptonneCO2</vt:lpstr>
      <vt:lpstr>CO2_eUse_kWhpkg</vt:lpstr>
      <vt:lpstr>CO2_flowrate</vt:lpstr>
      <vt:lpstr>CO2_flowrate_GTpY</vt:lpstr>
      <vt:lpstr>CO2_inUse</vt:lpstr>
      <vt:lpstr>CO2_Location</vt:lpstr>
      <vt:lpstr>CO2_MaintFactor</vt:lpstr>
      <vt:lpstr>CO2_OandMcost</vt:lpstr>
      <vt:lpstr>CO2_OandMptonneCO2</vt:lpstr>
      <vt:lpstr>CO2_Pin_psia</vt:lpstr>
      <vt:lpstr>CO2_PipeDia</vt:lpstr>
      <vt:lpstr>CO2_PipeElevation</vt:lpstr>
      <vt:lpstr>CO2_PipeFactor</vt:lpstr>
      <vt:lpstr>CO2_PipeLength</vt:lpstr>
      <vt:lpstr>CO2_Pipeline_Temp</vt:lpstr>
      <vt:lpstr>CO2_Pipeline_Temp_factor</vt:lpstr>
      <vt:lpstr>CO2_Pump_Eff</vt:lpstr>
      <vt:lpstr>CO2_seq</vt:lpstr>
      <vt:lpstr>CO2_SurgeTank</vt:lpstr>
      <vt:lpstr>CO2_Terrain</vt:lpstr>
      <vt:lpstr>CO2_Terrain_2</vt:lpstr>
      <vt:lpstr>CO2_Terrain_factor</vt:lpstr>
      <vt:lpstr>CO2_Value_Defaults</vt:lpstr>
      <vt:lpstr>ColorList</vt:lpstr>
      <vt:lpstr>construct</vt:lpstr>
      <vt:lpstr>CPIinflator</vt:lpstr>
      <vt:lpstr>CurrentYear</vt:lpstr>
      <vt:lpstr>debt_interest</vt:lpstr>
      <vt:lpstr>debt_period</vt:lpstr>
      <vt:lpstr>decom</vt:lpstr>
      <vt:lpstr>decom_percent</vt:lpstr>
      <vt:lpstr>DeflatorTable</vt:lpstr>
      <vt:lpstr>Delete_As_List</vt:lpstr>
      <vt:lpstr>depr_cap</vt:lpstr>
      <vt:lpstr>depr_cap_infl</vt:lpstr>
      <vt:lpstr>depr_cost</vt:lpstr>
      <vt:lpstr>depr_length</vt:lpstr>
      <vt:lpstr>depr_type</vt:lpstr>
      <vt:lpstr>depr_yr</vt:lpstr>
      <vt:lpstr>design_cap</vt:lpstr>
      <vt:lpstr>Det_CO2_OandMcost</vt:lpstr>
      <vt:lpstr>Det_CO2_seq</vt:lpstr>
      <vt:lpstr>Det_direct_cap</vt:lpstr>
      <vt:lpstr>Det_scaled_cap</vt:lpstr>
      <vt:lpstr>direct_cap</vt:lpstr>
      <vt:lpstr>DR_Carbon_Sequestration_1</vt:lpstr>
      <vt:lpstr>DR_Carbon_Sequestration_2</vt:lpstr>
      <vt:lpstr>DR_CostDetail_1</vt:lpstr>
      <vt:lpstr>DR_CostDetail_2</vt:lpstr>
      <vt:lpstr>DR_PlantScaling_1</vt:lpstr>
      <vt:lpstr>DR_PlantScaling_2</vt:lpstr>
      <vt:lpstr>DR_ReplacementCosts_01</vt:lpstr>
      <vt:lpstr>DR_ReplacementCosts_1</vt:lpstr>
      <vt:lpstr>Dynamic_Byproduct_Total</vt:lpstr>
      <vt:lpstr>Dynamic_Feed_Total</vt:lpstr>
      <vt:lpstr>Dynamic_NonE_Byprod_Total</vt:lpstr>
      <vt:lpstr>Dynamic_NonE_Feed_Total</vt:lpstr>
      <vt:lpstr>Dynamic_Utilities_Total</vt:lpstr>
      <vt:lpstr>Energy_Feed_List</vt:lpstr>
      <vt:lpstr>Energy_Feed_Years</vt:lpstr>
      <vt:lpstr>Engin</vt:lpstr>
      <vt:lpstr>equity</vt:lpstr>
      <vt:lpstr>Export_Variable_List</vt:lpstr>
      <vt:lpstr>fed_tax_rate</vt:lpstr>
      <vt:lpstr>Feed_CO2_kgpkgH2</vt:lpstr>
      <vt:lpstr>Feed_CO2_MTpY</vt:lpstr>
      <vt:lpstr>Feed_Type_List</vt:lpstr>
      <vt:lpstr>FeedPropertyTable</vt:lpstr>
      <vt:lpstr>Feedstock</vt:lpstr>
      <vt:lpstr>feedstockCommercial_Electricity_Price</vt:lpstr>
      <vt:lpstr>feedstockCommercial_Electricity_Usage</vt:lpstr>
      <vt:lpstr>feedstockIndustrial_Natural_Gas_Price</vt:lpstr>
      <vt:lpstr>feedstockIndustrial_Natural_Gas_Usage</vt:lpstr>
      <vt:lpstr>Fees</vt:lpstr>
      <vt:lpstr>fixed</vt:lpstr>
      <vt:lpstr>FTE_cost</vt:lpstr>
      <vt:lpstr>FTEs</vt:lpstr>
      <vt:lpstr>gal_to_liters</vt:lpstr>
      <vt:lpstr>GGE_to_kWh</vt:lpstr>
      <vt:lpstr>GHG_CH4_factor</vt:lpstr>
      <vt:lpstr>GHG_CO2_factor</vt:lpstr>
      <vt:lpstr>GHG_N2O_factor</vt:lpstr>
      <vt:lpstr>H2_LHV_MJ_p_kg</vt:lpstr>
      <vt:lpstr>H2_price_nominal</vt:lpstr>
      <vt:lpstr>H2_price_real</vt:lpstr>
      <vt:lpstr>Import_Variable_List</vt:lpstr>
      <vt:lpstr>inflated_fixed</vt:lpstr>
      <vt:lpstr>inflated_otherraw</vt:lpstr>
      <vt:lpstr>inflated_othervar</vt:lpstr>
      <vt:lpstr>INFLATION_FACTOR</vt:lpstr>
      <vt:lpstr>inflation_rate</vt:lpstr>
      <vt:lpstr>Input_Value_Defaults</vt:lpstr>
      <vt:lpstr>key_MPTable</vt:lpstr>
      <vt:lpstr>kgH2_to_GGE</vt:lpstr>
      <vt:lpstr>kgH2_to_GJ</vt:lpstr>
      <vt:lpstr>kgH2_to_kWh</vt:lpstr>
      <vt:lpstr>labor_cost</vt:lpstr>
      <vt:lpstr>land_cost</vt:lpstr>
      <vt:lpstr>lb_to_kg</vt:lpstr>
      <vt:lpstr>licensing</vt:lpstr>
      <vt:lpstr>low_capacity_limit</vt:lpstr>
      <vt:lpstr>MACRS_Table</vt:lpstr>
      <vt:lpstr>material</vt:lpstr>
      <vt:lpstr>miles_to_km</vt:lpstr>
      <vt:lpstr>MJ_to_kWh</vt:lpstr>
      <vt:lpstr>mmBTU_to_GJ</vt:lpstr>
      <vt:lpstr>MPa_to_psi</vt:lpstr>
      <vt:lpstr>MPG_to_kWhPkm</vt:lpstr>
      <vt:lpstr>n_CO2_pumps</vt:lpstr>
      <vt:lpstr>n_pumps</vt:lpstr>
      <vt:lpstr>ncf_to_Nm3</vt:lpstr>
      <vt:lpstr>nominal_irr</vt:lpstr>
      <vt:lpstr>non_dep_cap</vt:lpstr>
      <vt:lpstr>non_dep_infl</vt:lpstr>
      <vt:lpstr>NPV</vt:lpstr>
      <vt:lpstr>operator_profit</vt:lpstr>
      <vt:lpstr>other_fees</vt:lpstr>
      <vt:lpstr>other_fixed</vt:lpstr>
      <vt:lpstr>Other_indirect</vt:lpstr>
      <vt:lpstr>Other_Inputs_years</vt:lpstr>
      <vt:lpstr>output_kgpday</vt:lpstr>
      <vt:lpstr>output_kgyear</vt:lpstr>
      <vt:lpstr>overhead_GA</vt:lpstr>
      <vt:lpstr>overhead_rate</vt:lpstr>
      <vt:lpstr>percent_cap1</vt:lpstr>
      <vt:lpstr>percent_cap2</vt:lpstr>
      <vt:lpstr>percent_cap3</vt:lpstr>
      <vt:lpstr>percent_cap4</vt:lpstr>
      <vt:lpstr>percnt_fixed</vt:lpstr>
      <vt:lpstr>percnt_revs</vt:lpstr>
      <vt:lpstr>percnt_var</vt:lpstr>
      <vt:lpstr>Permitting</vt:lpstr>
      <vt:lpstr>plant_life</vt:lpstr>
      <vt:lpstr>pre_tax_nominal_IRR</vt:lpstr>
      <vt:lpstr>pre_tax_real_IRR</vt:lpstr>
      <vt:lpstr>Price_Table_in_Use</vt:lpstr>
      <vt:lpstr>Price_Table_List</vt:lpstr>
      <vt:lpstr>Price_Tables</vt:lpstr>
      <vt:lpstr>'AEO Data'!Print_Area</vt:lpstr>
      <vt:lpstr>'Capital Costs'!Print_Area</vt:lpstr>
      <vt:lpstr>'Cash Flow Analysis'!Print_Area</vt:lpstr>
      <vt:lpstr>'HyARC Physical Property Data'!Print_Area</vt:lpstr>
      <vt:lpstr>Input_Sheet_Template!Print_Area</vt:lpstr>
      <vt:lpstr>'Plant Scaling'!Print_Area</vt:lpstr>
      <vt:lpstr>'Replacement Costs'!Print_Area</vt:lpstr>
      <vt:lpstr>Results!Print_Area</vt:lpstr>
      <vt:lpstr>'Plant Scaling'!Print_Titles</vt:lpstr>
      <vt:lpstr>Proc_CO2_MTpY</vt:lpstr>
      <vt:lpstr>Proc_CO2_tax</vt:lpstr>
      <vt:lpstr>Proc_CO2_taxpYear</vt:lpstr>
      <vt:lpstr>ProcEqpCap</vt:lpstr>
      <vt:lpstr>Process_cont</vt:lpstr>
      <vt:lpstr>prod_maint</vt:lpstr>
      <vt:lpstr>Project_cont</vt:lpstr>
      <vt:lpstr>Pump_Eff</vt:lpstr>
      <vt:lpstr>R_CostDetail_6</vt:lpstr>
      <vt:lpstr>real_irr</vt:lpstr>
      <vt:lpstr>recovery_period</vt:lpstr>
      <vt:lpstr>recovery_year</vt:lpstr>
      <vt:lpstr>ref_year</vt:lpstr>
      <vt:lpstr>rent</vt:lpstr>
      <vt:lpstr>replace_factor</vt:lpstr>
      <vt:lpstr>result_byprod_contr</vt:lpstr>
      <vt:lpstr>result_cap_contr</vt:lpstr>
      <vt:lpstr>result_decom_contr</vt:lpstr>
      <vt:lpstr>result_feed_contr</vt:lpstr>
      <vt:lpstr>result_Fixed_O_M_contr</vt:lpstr>
      <vt:lpstr>result_Other_Mat_contr</vt:lpstr>
      <vt:lpstr>result_other_var_contr</vt:lpstr>
      <vt:lpstr>Result_price</vt:lpstr>
      <vt:lpstr>royalties</vt:lpstr>
      <vt:lpstr>RunRiskAnalysis</vt:lpstr>
      <vt:lpstr>salvage</vt:lpstr>
      <vt:lpstr>salvage_perct</vt:lpstr>
      <vt:lpstr>Scale_Factor</vt:lpstr>
      <vt:lpstr>Scale_Ratio</vt:lpstr>
      <vt:lpstr>scaled_cap</vt:lpstr>
      <vt:lpstr>Scaling_Factor_Exponent</vt:lpstr>
      <vt:lpstr>Scaling_Method_Defaults</vt:lpstr>
      <vt:lpstr>Scaling_validation</vt:lpstr>
      <vt:lpstr>scf_to_Nm3</vt:lpstr>
      <vt:lpstr>SELECTED_FEED</vt:lpstr>
      <vt:lpstr>sensitivity_01</vt:lpstr>
      <vt:lpstr>sensitivity_02</vt:lpstr>
      <vt:lpstr>sensitivity_03</vt:lpstr>
      <vt:lpstr>sensitivity_04</vt:lpstr>
      <vt:lpstr>sensitivity_05</vt:lpstr>
      <vt:lpstr>sensitivity_06</vt:lpstr>
      <vt:lpstr>sensitivity_07</vt:lpstr>
      <vt:lpstr>Sensitivity_case</vt:lpstr>
      <vt:lpstr>Sensitivity_output</vt:lpstr>
      <vt:lpstr>Sensitivity_results</vt:lpstr>
      <vt:lpstr>SensitivityInputs</vt:lpstr>
      <vt:lpstr>Site_prep</vt:lpstr>
      <vt:lpstr>solidwaste_treat</vt:lpstr>
      <vt:lpstr>START_BYPROD</vt:lpstr>
      <vt:lpstr>START_FEED</vt:lpstr>
      <vt:lpstr>START_NONE_BYPROD</vt:lpstr>
      <vt:lpstr>START_NONE_FEED</vt:lpstr>
      <vt:lpstr>START_NONE_TOP</vt:lpstr>
      <vt:lpstr>start_time</vt:lpstr>
      <vt:lpstr>START_TOP</vt:lpstr>
      <vt:lpstr>START_UTILITY</vt:lpstr>
      <vt:lpstr>startup_year</vt:lpstr>
      <vt:lpstr>StartYr_comm_Electricity</vt:lpstr>
      <vt:lpstr>StartYr_indust_Electricity</vt:lpstr>
      <vt:lpstr>state_tax_rate</vt:lpstr>
      <vt:lpstr>tax_credit</vt:lpstr>
      <vt:lpstr>tax_ins_rate</vt:lpstr>
      <vt:lpstr>tax_insurance</vt:lpstr>
      <vt:lpstr>Tbl_2005Emissions</vt:lpstr>
      <vt:lpstr>Tbl_eByprod_Transfer_Info</vt:lpstr>
      <vt:lpstr>Tbl_Emissions</vt:lpstr>
      <vt:lpstr>Tbl_eUtility_Transfer_Info</vt:lpstr>
      <vt:lpstr>Tbl_Feedstock_Transfer_Info</vt:lpstr>
      <vt:lpstr>Tbl_labor_indexes</vt:lpstr>
      <vt:lpstr>Tbl_material_byprod_transfer_info</vt:lpstr>
      <vt:lpstr>Tbl_Material_Input_transfer_info</vt:lpstr>
      <vt:lpstr>Tbl_PlantCostIndexes</vt:lpstr>
      <vt:lpstr>Tbl_Result_CCSCost</vt:lpstr>
      <vt:lpstr>TCI_infl</vt:lpstr>
      <vt:lpstr>Temp_Var_Location</vt:lpstr>
      <vt:lpstr>title</vt:lpstr>
      <vt:lpstr>TMP_Conversion</vt:lpstr>
      <vt:lpstr>TMP_conversion_effic</vt:lpstr>
      <vt:lpstr>TMP_Escalation</vt:lpstr>
      <vt:lpstr>TMP_FeedName</vt:lpstr>
      <vt:lpstr>TMP_FeedType</vt:lpstr>
      <vt:lpstr>TMP_nonE_Escalation</vt:lpstr>
      <vt:lpstr>TMP_NonE_Feed</vt:lpstr>
      <vt:lpstr>TMP_NonE_StartPrice</vt:lpstr>
      <vt:lpstr>TMP_NonE_StartYrCost</vt:lpstr>
      <vt:lpstr>TMP_NonE_Type</vt:lpstr>
      <vt:lpstr>TMP_NonE_Usage</vt:lpstr>
      <vt:lpstr>TMP_NonE_Usage_txt</vt:lpstr>
      <vt:lpstr>TMP_PriceTable</vt:lpstr>
      <vt:lpstr>TMP_StartPrice</vt:lpstr>
      <vt:lpstr>TMP_StartYrCost</vt:lpstr>
      <vt:lpstr>TMP_Units</vt:lpstr>
      <vt:lpstr>TMP_Usage</vt:lpstr>
      <vt:lpstr>total_byproducts</vt:lpstr>
      <vt:lpstr>total_cap</vt:lpstr>
      <vt:lpstr>Total_Energy_Byproduct_Cost</vt:lpstr>
      <vt:lpstr>Total_Energy_Byproduct_Credit</vt:lpstr>
      <vt:lpstr>Total_Energy_Feed_Cost</vt:lpstr>
      <vt:lpstr>Total_Energy_Utilities_Cost</vt:lpstr>
      <vt:lpstr>total_feedstock</vt:lpstr>
      <vt:lpstr>total_non_energy_byproduct_credit</vt:lpstr>
      <vt:lpstr>Total_Non_Energy_Feed_Cost</vt:lpstr>
      <vt:lpstr>total_other_raw</vt:lpstr>
      <vt:lpstr>total_tax_rate</vt:lpstr>
      <vt:lpstr>total_utilities</vt:lpstr>
      <vt:lpstr>total_var</vt:lpstr>
      <vt:lpstr>upper_capacity_limit</vt:lpstr>
      <vt:lpstr>Upstream_CO2_tax</vt:lpstr>
      <vt:lpstr>Upstream_CO2_taxpYear</vt:lpstr>
      <vt:lpstr>Upstream_GHG_total</vt:lpstr>
      <vt:lpstr>Use_Default</vt:lpstr>
      <vt:lpstr>VAR_FEED_VALUES</vt:lpstr>
      <vt:lpstr>var_misc</vt:lpstr>
      <vt:lpstr>VAR_NonE_FEED_VALUES</vt:lpstr>
      <vt:lpstr>waste_treat</vt:lpstr>
      <vt:lpstr>WorkingCap</vt:lpstr>
      <vt:lpstr>Yes_No</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Current Central Hydrogen Production from Natural Gas with CO2 Capture and Sequestration version 3.2018</dc:title>
  <dc:subject>DOE H2A production case study for current central hydrogen production from biomass gasification.</dc:subject>
  <dc:creator>dsteward</dc:creator>
  <cp:lastModifiedBy>Penev, Michael (Misho)</cp:lastModifiedBy>
  <cp:lastPrinted>2008-09-22T17:50:40Z</cp:lastPrinted>
  <dcterms:created xsi:type="dcterms:W3CDTF">2007-03-27T19:45:13Z</dcterms:created>
  <dcterms:modified xsi:type="dcterms:W3CDTF">2022-04-29T18:42:54Z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tatus/notes">
    <vt:lpwstr/>
  </property>
  <property fmtid="{D5CDD505-2E9C-101B-9397-08002B2CF9AE}" pid="3" name="ContentType">
    <vt:lpwstr>Document</vt:lpwstr>
  </property>
</Properties>
</file>